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94FF59D8-597D-4BF7-93E7-00122F132F23}" xr6:coauthVersionLast="47" xr6:coauthVersionMax="47" xr10:uidLastSave="{00000000-0000-0000-0000-000000000000}"/>
  <workbookProtection workbookAlgorithmName="SHA-512" workbookHashValue="2H+I2lfvVCbXuTOh02UosjmL7QP+sNyxCe6HGyDTcJQ0Lr0YRTIE2ZY5U+KfwmIrTOCOHg7vl8OyoLChclzg2w==" workbookSaltValue="95/WqxuGFzlZlAqYsG85oA==" workbookSpinCount="100000" lockStructure="1"/>
  <bookViews>
    <workbookView xWindow="-120" yWindow="-120" windowWidth="38640" windowHeight="21120" tabRatio="876" xr2:uid="{00000000-000D-0000-FFFF-FFFF00000000}"/>
  </bookViews>
  <sheets>
    <sheet name="Instructions" sheetId="15" r:id="rId1"/>
    <sheet name="General Info &amp; Test Results" sheetId="1" r:id="rId2"/>
    <sheet name="Determination of Test Method" sheetId="32" r:id="rId3"/>
    <sheet name="Setup &amp; Instrumentation" sheetId="2" r:id="rId4"/>
    <sheet name="NEMA MG 1-2016" sheetId="34" r:id="rId5"/>
    <sheet name="CSA C390-10" sheetId="26" r:id="rId6"/>
    <sheet name="IEC 60034-2-1 Method 2-1-1A" sheetId="40" r:id="rId7"/>
    <sheet name="IEC 60034-2-1 Method 2-1-1B" sheetId="35" r:id="rId8"/>
    <sheet name="IEEE 112-2017 Method A" sheetId="42" r:id="rId9"/>
    <sheet name="IEEE 112-2017 Method B" sheetId="41" r:id="rId10"/>
    <sheet name="IEEE 114-2010" sheetId="37" r:id="rId11"/>
    <sheet name="CSA C747-09" sheetId="33" r:id="rId12"/>
    <sheet name="IEC 61800-9-2" sheetId="38" r:id="rId13"/>
    <sheet name="Photos" sheetId="9" r:id="rId14"/>
    <sheet name="Comments" sheetId="10" r:id="rId15"/>
    <sheet name="Report Sign-Off Block" sheetId="11" r:id="rId16"/>
    <sheet name="Drop-downs" sheetId="7" r:id="rId17"/>
    <sheet name="Version Control" sheetId="14"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2" i="26" l="1"/>
  <c r="E92" i="26"/>
  <c r="F92" i="26"/>
  <c r="G92" i="26"/>
  <c r="H92" i="26"/>
  <c r="C92" i="26"/>
  <c r="D82" i="26"/>
  <c r="E82" i="26"/>
  <c r="F82" i="26"/>
  <c r="G82" i="26"/>
  <c r="H82" i="26"/>
  <c r="C82" i="26"/>
  <c r="H71" i="35"/>
  <c r="H70" i="35" s="1"/>
  <c r="H118" i="35" s="1"/>
  <c r="G71" i="35"/>
  <c r="F71" i="35"/>
  <c r="E71" i="35"/>
  <c r="D71" i="35"/>
  <c r="H67" i="42"/>
  <c r="G67" i="42"/>
  <c r="F67" i="42"/>
  <c r="E67" i="42"/>
  <c r="D67" i="42"/>
  <c r="D54" i="38"/>
  <c r="E54" i="38"/>
  <c r="F54" i="38"/>
  <c r="G54" i="38"/>
  <c r="H54" i="38"/>
  <c r="I54" i="38"/>
  <c r="J54" i="38"/>
  <c r="D51" i="38"/>
  <c r="E51" i="38"/>
  <c r="F51" i="38"/>
  <c r="G51" i="38"/>
  <c r="H51" i="38"/>
  <c r="I51" i="38"/>
  <c r="J51" i="38"/>
  <c r="C54" i="38"/>
  <c r="C51" i="38"/>
  <c r="C23" i="38"/>
  <c r="C124" i="33"/>
  <c r="D128" i="33"/>
  <c r="E128" i="33"/>
  <c r="F128" i="33"/>
  <c r="G128" i="33"/>
  <c r="C128" i="33"/>
  <c r="C117" i="33"/>
  <c r="C116" i="33"/>
  <c r="D77" i="33"/>
  <c r="E77" i="33"/>
  <c r="F77" i="33"/>
  <c r="G77" i="33"/>
  <c r="C77" i="33"/>
  <c r="D58" i="33"/>
  <c r="E58" i="33"/>
  <c r="F58" i="33"/>
  <c r="G58" i="33"/>
  <c r="C58" i="33"/>
  <c r="C30" i="33"/>
  <c r="D82" i="37"/>
  <c r="E82" i="37"/>
  <c r="F82" i="37"/>
  <c r="G82" i="37"/>
  <c r="H82" i="37"/>
  <c r="D81" i="37"/>
  <c r="E81" i="37"/>
  <c r="F81" i="37"/>
  <c r="G81" i="37"/>
  <c r="H81" i="37"/>
  <c r="D80" i="37"/>
  <c r="E80" i="37"/>
  <c r="F80" i="37"/>
  <c r="G80" i="37"/>
  <c r="H80" i="37"/>
  <c r="D79" i="37"/>
  <c r="E79" i="37"/>
  <c r="F79" i="37"/>
  <c r="G79" i="37"/>
  <c r="H79" i="37"/>
  <c r="D78" i="37"/>
  <c r="E78" i="37"/>
  <c r="F78" i="37"/>
  <c r="G78" i="37"/>
  <c r="H78" i="37"/>
  <c r="D77" i="37"/>
  <c r="E77" i="37"/>
  <c r="F77" i="37"/>
  <c r="G77" i="37"/>
  <c r="H77" i="37"/>
  <c r="D76" i="37"/>
  <c r="E76" i="37"/>
  <c r="F76" i="37"/>
  <c r="G76" i="37"/>
  <c r="H76" i="37"/>
  <c r="D75" i="37"/>
  <c r="E75" i="37"/>
  <c r="F75" i="37"/>
  <c r="G75" i="37"/>
  <c r="H75" i="37"/>
  <c r="D74" i="37"/>
  <c r="E74" i="37"/>
  <c r="F74" i="37"/>
  <c r="G74" i="37"/>
  <c r="H74" i="37"/>
  <c r="D70" i="37"/>
  <c r="E70" i="37"/>
  <c r="F70" i="37"/>
  <c r="G70" i="37"/>
  <c r="H70" i="37"/>
  <c r="D67" i="37"/>
  <c r="E67" i="37"/>
  <c r="F67" i="37"/>
  <c r="G67" i="37"/>
  <c r="H67" i="37"/>
  <c r="D66" i="37"/>
  <c r="E66" i="37"/>
  <c r="F66" i="37"/>
  <c r="G66" i="37"/>
  <c r="H66" i="37"/>
  <c r="C82" i="37"/>
  <c r="C81" i="37"/>
  <c r="C80" i="37"/>
  <c r="C79" i="37"/>
  <c r="C78" i="37"/>
  <c r="C77" i="37"/>
  <c r="C76" i="37"/>
  <c r="C75" i="37"/>
  <c r="C74" i="37"/>
  <c r="C70" i="37"/>
  <c r="C67" i="37"/>
  <c r="C66" i="37"/>
  <c r="C101" i="37"/>
  <c r="C47" i="37"/>
  <c r="C45" i="37" s="1"/>
  <c r="C25" i="37"/>
  <c r="D167" i="41"/>
  <c r="E167" i="41"/>
  <c r="E147" i="41" s="1"/>
  <c r="F167" i="41"/>
  <c r="F147" i="41" s="1"/>
  <c r="G167" i="41"/>
  <c r="H167" i="41"/>
  <c r="D161" i="41"/>
  <c r="E161" i="41"/>
  <c r="F161" i="41"/>
  <c r="G161" i="41"/>
  <c r="H161" i="41"/>
  <c r="D160" i="41"/>
  <c r="E160" i="41"/>
  <c r="F160" i="41"/>
  <c r="G160" i="41"/>
  <c r="H160" i="41"/>
  <c r="D158" i="41"/>
  <c r="E158" i="41"/>
  <c r="F158" i="41"/>
  <c r="G158" i="41"/>
  <c r="H158" i="41"/>
  <c r="D147" i="41"/>
  <c r="G147" i="41"/>
  <c r="H147" i="41"/>
  <c r="D146" i="41"/>
  <c r="E146" i="41"/>
  <c r="F146" i="41"/>
  <c r="G146" i="41"/>
  <c r="H146" i="41"/>
  <c r="D145" i="41"/>
  <c r="E145" i="41"/>
  <c r="F145" i="41"/>
  <c r="G145" i="41"/>
  <c r="H145" i="41"/>
  <c r="D144" i="41"/>
  <c r="E144" i="41"/>
  <c r="F144" i="41"/>
  <c r="G144" i="41"/>
  <c r="H144" i="41"/>
  <c r="D74" i="41"/>
  <c r="E74" i="41"/>
  <c r="F74" i="41"/>
  <c r="G74" i="41"/>
  <c r="H74" i="41"/>
  <c r="D73" i="41"/>
  <c r="E73" i="41"/>
  <c r="F73" i="41"/>
  <c r="G73" i="41"/>
  <c r="H73" i="41"/>
  <c r="D72" i="41"/>
  <c r="E72" i="41"/>
  <c r="F72" i="41"/>
  <c r="G72" i="41"/>
  <c r="H72" i="41"/>
  <c r="D71" i="41"/>
  <c r="E71" i="41"/>
  <c r="F71" i="41"/>
  <c r="G71" i="41"/>
  <c r="H71" i="41"/>
  <c r="D70" i="41"/>
  <c r="E70" i="41"/>
  <c r="F70" i="41"/>
  <c r="G70" i="41"/>
  <c r="H70" i="41"/>
  <c r="C167" i="41"/>
  <c r="C161" i="41"/>
  <c r="C160" i="41"/>
  <c r="C158" i="41"/>
  <c r="C147" i="41"/>
  <c r="C146" i="41"/>
  <c r="C145" i="41"/>
  <c r="C144" i="41"/>
  <c r="H109" i="41"/>
  <c r="G109" i="41"/>
  <c r="F109" i="41"/>
  <c r="E109" i="41"/>
  <c r="D109" i="41"/>
  <c r="C109" i="41"/>
  <c r="C77" i="41"/>
  <c r="C76" i="41"/>
  <c r="C74" i="41" s="1"/>
  <c r="C72" i="41"/>
  <c r="C71" i="41"/>
  <c r="C70" i="41"/>
  <c r="C40" i="41"/>
  <c r="C39" i="41"/>
  <c r="D120" i="42"/>
  <c r="E120" i="42"/>
  <c r="F120" i="42"/>
  <c r="G120" i="42"/>
  <c r="H120" i="42"/>
  <c r="D119" i="42"/>
  <c r="E119" i="42"/>
  <c r="F119" i="42"/>
  <c r="G119" i="42"/>
  <c r="H119" i="42"/>
  <c r="D118" i="42"/>
  <c r="E118" i="42"/>
  <c r="F118" i="42"/>
  <c r="G118" i="42"/>
  <c r="H118" i="42"/>
  <c r="D117" i="42"/>
  <c r="E117" i="42"/>
  <c r="F117" i="42"/>
  <c r="G117" i="42"/>
  <c r="H117" i="42"/>
  <c r="D116" i="42"/>
  <c r="E116" i="42"/>
  <c r="F116" i="42"/>
  <c r="G116" i="42"/>
  <c r="H116" i="42"/>
  <c r="D80" i="42"/>
  <c r="E80" i="42"/>
  <c r="F80" i="42"/>
  <c r="G80" i="42"/>
  <c r="H80" i="42"/>
  <c r="D78" i="42"/>
  <c r="E78" i="42"/>
  <c r="F78" i="42"/>
  <c r="G78" i="42"/>
  <c r="H78" i="42"/>
  <c r="D77" i="42"/>
  <c r="E77" i="42"/>
  <c r="F77" i="42"/>
  <c r="G77" i="42"/>
  <c r="H77" i="42"/>
  <c r="D76" i="42"/>
  <c r="E76" i="42"/>
  <c r="F76" i="42"/>
  <c r="G76" i="42"/>
  <c r="H76" i="42"/>
  <c r="D75" i="42"/>
  <c r="E75" i="42"/>
  <c r="F75" i="42"/>
  <c r="G75" i="42"/>
  <c r="H75" i="42"/>
  <c r="D74" i="42"/>
  <c r="E74" i="42"/>
  <c r="F74" i="42"/>
  <c r="G74" i="42"/>
  <c r="H74" i="42"/>
  <c r="D71" i="42"/>
  <c r="E71" i="42"/>
  <c r="F71" i="42"/>
  <c r="G71" i="42"/>
  <c r="H71" i="42"/>
  <c r="D70" i="42"/>
  <c r="E70" i="42"/>
  <c r="F70" i="42"/>
  <c r="G70" i="42"/>
  <c r="H70" i="42"/>
  <c r="D69" i="42"/>
  <c r="E69" i="42"/>
  <c r="F69" i="42"/>
  <c r="G69" i="42"/>
  <c r="H69" i="42"/>
  <c r="C123" i="42"/>
  <c r="C122" i="42"/>
  <c r="C120" i="42" s="1"/>
  <c r="C118" i="42"/>
  <c r="C117" i="42"/>
  <c r="C116" i="42"/>
  <c r="C80" i="42"/>
  <c r="C78" i="42"/>
  <c r="C77" i="42"/>
  <c r="C76" i="42"/>
  <c r="C75" i="42"/>
  <c r="C74" i="42"/>
  <c r="C71" i="42"/>
  <c r="C70" i="42"/>
  <c r="C69" i="42"/>
  <c r="C68" i="42"/>
  <c r="C67" i="42"/>
  <c r="C41" i="42"/>
  <c r="C40" i="42"/>
  <c r="G118" i="35"/>
  <c r="D117" i="35"/>
  <c r="E117" i="35"/>
  <c r="F117" i="35"/>
  <c r="G117" i="35"/>
  <c r="H117" i="35"/>
  <c r="D99" i="35"/>
  <c r="E99" i="35"/>
  <c r="F99" i="35"/>
  <c r="D98" i="35"/>
  <c r="E98" i="35"/>
  <c r="F98" i="35"/>
  <c r="G98" i="35"/>
  <c r="H98" i="35"/>
  <c r="I98" i="35"/>
  <c r="J98" i="35"/>
  <c r="D97" i="35"/>
  <c r="E97" i="35"/>
  <c r="F97" i="35"/>
  <c r="G97" i="35"/>
  <c r="H97" i="35"/>
  <c r="I97" i="35"/>
  <c r="J97" i="35"/>
  <c r="D96" i="35"/>
  <c r="E96" i="35"/>
  <c r="F96" i="35"/>
  <c r="G96" i="35"/>
  <c r="H96" i="35"/>
  <c r="I96" i="35"/>
  <c r="J96" i="35"/>
  <c r="D72" i="35"/>
  <c r="E72" i="35"/>
  <c r="F72" i="35"/>
  <c r="G72" i="35"/>
  <c r="H72" i="35"/>
  <c r="G70" i="35"/>
  <c r="D69" i="35"/>
  <c r="E69" i="35"/>
  <c r="F69" i="35"/>
  <c r="G69" i="35"/>
  <c r="H69" i="35"/>
  <c r="C109" i="35"/>
  <c r="C108" i="35"/>
  <c r="C107" i="35"/>
  <c r="C98" i="35"/>
  <c r="C97" i="35"/>
  <c r="C96" i="35"/>
  <c r="C72" i="35"/>
  <c r="C69" i="35"/>
  <c r="C44" i="35"/>
  <c r="C43" i="35"/>
  <c r="C31" i="40"/>
  <c r="D81" i="26"/>
  <c r="E81" i="26"/>
  <c r="F81" i="26"/>
  <c r="G81" i="26"/>
  <c r="H81" i="26"/>
  <c r="D80" i="26"/>
  <c r="E80" i="26"/>
  <c r="F80" i="26"/>
  <c r="G80" i="26"/>
  <c r="H80" i="26"/>
  <c r="D79" i="26"/>
  <c r="E79" i="26"/>
  <c r="F79" i="26"/>
  <c r="G79" i="26"/>
  <c r="H79" i="26"/>
  <c r="D78" i="26"/>
  <c r="E78" i="26"/>
  <c r="F78" i="26"/>
  <c r="G78" i="26"/>
  <c r="H78" i="26"/>
  <c r="D74" i="26"/>
  <c r="E74" i="26"/>
  <c r="F74" i="26"/>
  <c r="G74" i="26"/>
  <c r="H74" i="26"/>
  <c r="D73" i="26"/>
  <c r="E73" i="26"/>
  <c r="F73" i="26"/>
  <c r="G73" i="26"/>
  <c r="H73" i="26"/>
  <c r="D90" i="26"/>
  <c r="D91" i="26" s="1"/>
  <c r="D98" i="26" s="1"/>
  <c r="E90" i="26"/>
  <c r="E91" i="26" s="1"/>
  <c r="E98" i="26" s="1"/>
  <c r="F90" i="26"/>
  <c r="G90" i="26"/>
  <c r="H90" i="26"/>
  <c r="F91" i="26"/>
  <c r="F98" i="26" s="1"/>
  <c r="G91" i="26"/>
  <c r="H91" i="26"/>
  <c r="D97" i="26"/>
  <c r="E97" i="26"/>
  <c r="F97" i="26"/>
  <c r="G97" i="26"/>
  <c r="H97" i="26"/>
  <c r="D134" i="26"/>
  <c r="E134" i="26"/>
  <c r="F134" i="26"/>
  <c r="G134" i="26"/>
  <c r="H134" i="26"/>
  <c r="D133" i="26"/>
  <c r="E133" i="26"/>
  <c r="F133" i="26"/>
  <c r="G133" i="26"/>
  <c r="H133" i="26"/>
  <c r="D153" i="26"/>
  <c r="E153" i="26"/>
  <c r="F153" i="26"/>
  <c r="G153" i="26"/>
  <c r="H153" i="26"/>
  <c r="D151" i="26"/>
  <c r="E151" i="26"/>
  <c r="F151" i="26"/>
  <c r="G151" i="26"/>
  <c r="H151" i="26"/>
  <c r="D150" i="26"/>
  <c r="E150" i="26"/>
  <c r="F150" i="26"/>
  <c r="G150" i="26"/>
  <c r="H150" i="26"/>
  <c r="D149" i="26"/>
  <c r="E149" i="26"/>
  <c r="F149" i="26"/>
  <c r="G149" i="26"/>
  <c r="H149" i="26"/>
  <c r="D148" i="26"/>
  <c r="E148" i="26"/>
  <c r="F148" i="26"/>
  <c r="G148" i="26"/>
  <c r="H148" i="26"/>
  <c r="D186" i="26"/>
  <c r="D185" i="26"/>
  <c r="C199" i="26"/>
  <c r="C198" i="26"/>
  <c r="C197" i="26"/>
  <c r="C196" i="26"/>
  <c r="C195" i="26"/>
  <c r="C194" i="26"/>
  <c r="C193" i="26"/>
  <c r="C192" i="26"/>
  <c r="C186" i="26"/>
  <c r="C185" i="26"/>
  <c r="C151" i="26"/>
  <c r="C150" i="26"/>
  <c r="C149" i="26"/>
  <c r="C148" i="26"/>
  <c r="C144" i="26"/>
  <c r="C143" i="26"/>
  <c r="C142" i="26"/>
  <c r="C141" i="26"/>
  <c r="C134" i="26"/>
  <c r="C133" i="26"/>
  <c r="C97" i="26"/>
  <c r="C91" i="26"/>
  <c r="C90" i="26"/>
  <c r="C81" i="26"/>
  <c r="C80" i="26"/>
  <c r="C74" i="26"/>
  <c r="C73" i="26"/>
  <c r="C45" i="26"/>
  <c r="C44" i="26"/>
  <c r="C43" i="26"/>
  <c r="C17" i="32"/>
  <c r="G98" i="26" l="1"/>
  <c r="H98" i="26"/>
  <c r="H99" i="26" s="1"/>
  <c r="G99" i="26"/>
  <c r="F99" i="26"/>
  <c r="E99" i="26"/>
  <c r="D99" i="26"/>
  <c r="C71" i="26" l="1"/>
  <c r="C72" i="26"/>
  <c r="D71" i="26"/>
  <c r="E71" i="26"/>
  <c r="F71" i="26"/>
  <c r="G71" i="26"/>
  <c r="H71" i="26"/>
  <c r="D72" i="26"/>
  <c r="E72" i="26"/>
  <c r="F72" i="26"/>
  <c r="G72" i="26"/>
  <c r="H72" i="26"/>
  <c r="C22" i="32"/>
  <c r="C19" i="32"/>
  <c r="C18" i="32"/>
  <c r="C21" i="38"/>
  <c r="C22" i="37"/>
  <c r="C24" i="41"/>
  <c r="C22" i="41"/>
  <c r="C21" i="35"/>
  <c r="C21" i="40"/>
  <c r="C21" i="26"/>
  <c r="F13" i="1" l="1"/>
  <c r="E23" i="1" s="1"/>
  <c r="B31" i="15"/>
  <c r="B19" i="15"/>
  <c r="B20" i="15"/>
  <c r="B21" i="15"/>
  <c r="B22" i="15"/>
  <c r="B23" i="15"/>
  <c r="B24" i="15"/>
  <c r="B25" i="15"/>
  <c r="B26" i="15"/>
  <c r="B27" i="15"/>
  <c r="B28" i="15"/>
  <c r="B29" i="15"/>
  <c r="B30" i="15"/>
  <c r="B17" i="15"/>
  <c r="B18" i="15"/>
  <c r="C22" i="38"/>
  <c r="D28" i="38" s="1"/>
  <c r="D35" i="38" s="1"/>
  <c r="H49" i="38"/>
  <c r="C22" i="33"/>
  <c r="C25" i="33"/>
  <c r="C24" i="33"/>
  <c r="C23" i="33"/>
  <c r="C21" i="33"/>
  <c r="D35" i="33" s="1"/>
  <c r="C26" i="37"/>
  <c r="C24" i="37"/>
  <c r="C27" i="37" s="1"/>
  <c r="C23" i="37"/>
  <c r="C21" i="37"/>
  <c r="C21" i="41"/>
  <c r="C23" i="41"/>
  <c r="C25" i="41"/>
  <c r="C23" i="42"/>
  <c r="C25" i="42"/>
  <c r="C26" i="42" s="1"/>
  <c r="C24" i="42"/>
  <c r="C22" i="42"/>
  <c r="D68" i="42" s="1"/>
  <c r="C21" i="42"/>
  <c r="C22" i="35"/>
  <c r="C24" i="26"/>
  <c r="C23" i="26"/>
  <c r="C22" i="26"/>
  <c r="C74" i="35"/>
  <c r="D41" i="37"/>
  <c r="D35" i="37"/>
  <c r="D52" i="38"/>
  <c r="E52" i="38"/>
  <c r="F52" i="38"/>
  <c r="G52" i="38"/>
  <c r="H52" i="38"/>
  <c r="I52" i="38"/>
  <c r="J52" i="38"/>
  <c r="C52" i="38"/>
  <c r="G49" i="38"/>
  <c r="D50" i="38"/>
  <c r="E50" i="38"/>
  <c r="F50" i="38"/>
  <c r="G50" i="38"/>
  <c r="H50" i="38"/>
  <c r="I50" i="38"/>
  <c r="J50" i="38"/>
  <c r="C50" i="38"/>
  <c r="C33" i="38"/>
  <c r="C153" i="42"/>
  <c r="C72" i="42" s="1"/>
  <c r="C73" i="42" s="1"/>
  <c r="C79" i="42" s="1"/>
  <c r="C102" i="37"/>
  <c r="C104" i="37" s="1"/>
  <c r="C79" i="33"/>
  <c r="C118" i="33"/>
  <c r="C35" i="38"/>
  <c r="C30" i="38"/>
  <c r="D34" i="33"/>
  <c r="C201" i="26"/>
  <c r="D184" i="26"/>
  <c r="C184" i="26"/>
  <c r="D183" i="26"/>
  <c r="C183" i="26"/>
  <c r="D131" i="26"/>
  <c r="E131" i="26"/>
  <c r="F131" i="26"/>
  <c r="G131" i="26"/>
  <c r="H131" i="26"/>
  <c r="C131" i="26"/>
  <c r="C41" i="35"/>
  <c r="D116" i="35"/>
  <c r="E116" i="35"/>
  <c r="F116" i="35"/>
  <c r="G116" i="35"/>
  <c r="H116" i="35"/>
  <c r="C116" i="35"/>
  <c r="D95" i="35"/>
  <c r="E95" i="35"/>
  <c r="F95" i="35"/>
  <c r="G95" i="35"/>
  <c r="H95" i="35"/>
  <c r="I95" i="35"/>
  <c r="J95" i="35"/>
  <c r="C95" i="35"/>
  <c r="C25" i="26"/>
  <c r="C138" i="41"/>
  <c r="D149" i="41"/>
  <c r="E149" i="41"/>
  <c r="F149" i="41"/>
  <c r="G149" i="41"/>
  <c r="H149" i="41"/>
  <c r="C149" i="41"/>
  <c r="G89" i="35"/>
  <c r="G88" i="35"/>
  <c r="F89" i="35"/>
  <c r="F88" i="35"/>
  <c r="C6" i="26"/>
  <c r="C20" i="34"/>
  <c r="C21" i="34" s="1"/>
  <c r="C52" i="34" s="1"/>
  <c r="C54" i="34" s="1"/>
  <c r="B56" i="34"/>
  <c r="C34" i="34"/>
  <c r="D46" i="34" s="1"/>
  <c r="C23" i="34"/>
  <c r="C22" i="34"/>
  <c r="C19" i="34"/>
  <c r="C18" i="34"/>
  <c r="C17" i="34"/>
  <c r="C16" i="34"/>
  <c r="C28" i="32"/>
  <c r="C123" i="33"/>
  <c r="C46" i="37"/>
  <c r="C149" i="42"/>
  <c r="C148" i="42"/>
  <c r="B9" i="42"/>
  <c r="C8" i="42"/>
  <c r="B7" i="42"/>
  <c r="C6" i="42"/>
  <c r="B6" i="42"/>
  <c r="B5" i="42"/>
  <c r="C4" i="42"/>
  <c r="B4" i="42"/>
  <c r="C3" i="42"/>
  <c r="B3" i="42"/>
  <c r="B2" i="42"/>
  <c r="D75" i="26" l="1"/>
  <c r="D76" i="26" s="1"/>
  <c r="E75" i="26"/>
  <c r="E76" i="26" s="1"/>
  <c r="F75" i="26"/>
  <c r="F76" i="26" s="1"/>
  <c r="G75" i="26"/>
  <c r="G76" i="26" s="1"/>
  <c r="C75" i="26"/>
  <c r="C76" i="26" s="1"/>
  <c r="H75" i="26"/>
  <c r="H76" i="26" s="1"/>
  <c r="C41" i="41"/>
  <c r="C111" i="41"/>
  <c r="F18" i="1"/>
  <c r="F16" i="1"/>
  <c r="E17" i="1"/>
  <c r="E16" i="1"/>
  <c r="F17" i="1"/>
  <c r="E18" i="1"/>
  <c r="F19" i="1"/>
  <c r="E19" i="1"/>
  <c r="F20" i="1"/>
  <c r="E20" i="1"/>
  <c r="F21" i="1"/>
  <c r="E21" i="1"/>
  <c r="F22" i="1"/>
  <c r="E22" i="1"/>
  <c r="F23" i="1"/>
  <c r="E49" i="38"/>
  <c r="I49" i="38"/>
  <c r="C49" i="38"/>
  <c r="J49" i="38"/>
  <c r="C42" i="42"/>
  <c r="C28" i="38"/>
  <c r="C34" i="38" s="1"/>
  <c r="F49" i="38"/>
  <c r="D49" i="38"/>
  <c r="C82" i="42"/>
  <c r="G68" i="42"/>
  <c r="H68" i="42"/>
  <c r="F68" i="42"/>
  <c r="E68" i="42"/>
  <c r="C188" i="26"/>
  <c r="D30" i="38"/>
  <c r="D31" i="38"/>
  <c r="D33" i="38"/>
  <c r="D34" i="38"/>
  <c r="D29" i="38"/>
  <c r="D32" i="38"/>
  <c r="C152" i="26"/>
  <c r="H152" i="26"/>
  <c r="G152" i="26"/>
  <c r="F152" i="26"/>
  <c r="E152" i="26"/>
  <c r="D152" i="26"/>
  <c r="C26" i="26"/>
  <c r="C38" i="26"/>
  <c r="I53" i="38"/>
  <c r="C59" i="34"/>
  <c r="C53" i="34"/>
  <c r="H53" i="38"/>
  <c r="F53" i="38"/>
  <c r="C53" i="38"/>
  <c r="J53" i="38"/>
  <c r="E53" i="38"/>
  <c r="G53" i="38"/>
  <c r="D53" i="38"/>
  <c r="H69" i="37"/>
  <c r="C69" i="37"/>
  <c r="D69" i="37"/>
  <c r="E69" i="37"/>
  <c r="F69" i="37"/>
  <c r="G69" i="37"/>
  <c r="D174" i="41"/>
  <c r="E174" i="41"/>
  <c r="F174" i="41"/>
  <c r="G174" i="41"/>
  <c r="H174" i="41"/>
  <c r="C174" i="41"/>
  <c r="C134" i="41"/>
  <c r="C133" i="41"/>
  <c r="C83" i="41" l="1"/>
  <c r="C73" i="41" s="1"/>
  <c r="C128" i="42"/>
  <c r="C119" i="42" s="1"/>
  <c r="C57" i="38"/>
  <c r="C60" i="33"/>
  <c r="C32" i="38"/>
  <c r="C31" i="38"/>
  <c r="C29" i="38"/>
  <c r="C78" i="41"/>
  <c r="C124" i="42"/>
  <c r="C84" i="26"/>
  <c r="C136" i="26"/>
  <c r="E94" i="26"/>
  <c r="D94" i="26"/>
  <c r="C94" i="26"/>
  <c r="H94" i="26"/>
  <c r="G94" i="26"/>
  <c r="F94" i="26"/>
  <c r="B2" i="41"/>
  <c r="B3" i="41"/>
  <c r="C3" i="41"/>
  <c r="B4" i="41"/>
  <c r="C4" i="41"/>
  <c r="B5" i="41"/>
  <c r="B6" i="41"/>
  <c r="C6" i="41"/>
  <c r="B7" i="41"/>
  <c r="C8" i="41"/>
  <c r="B9" i="41"/>
  <c r="C77" i="40"/>
  <c r="C78" i="40" s="1"/>
  <c r="B77" i="40"/>
  <c r="B78" i="40" s="1"/>
  <c r="B9" i="40"/>
  <c r="C8" i="40"/>
  <c r="B7" i="40"/>
  <c r="C6" i="40"/>
  <c r="B6" i="40"/>
  <c r="B5" i="40"/>
  <c r="C4" i="40"/>
  <c r="B4" i="40"/>
  <c r="C3" i="40"/>
  <c r="B3" i="40"/>
  <c r="B2" i="40"/>
  <c r="D123" i="35"/>
  <c r="E123" i="35"/>
  <c r="F123" i="35"/>
  <c r="G123" i="35"/>
  <c r="H123" i="35"/>
  <c r="C123" i="35"/>
  <c r="C103" i="35"/>
  <c r="H68" i="35"/>
  <c r="G68" i="35"/>
  <c r="F68" i="35"/>
  <c r="E68" i="35"/>
  <c r="D68" i="35"/>
  <c r="C68" i="35"/>
  <c r="C40" i="35"/>
  <c r="C8" i="26"/>
  <c r="C4" i="26"/>
  <c r="C3" i="26"/>
  <c r="B9" i="26"/>
  <c r="B7" i="26"/>
  <c r="B6" i="26"/>
  <c r="B5" i="26"/>
  <c r="B4" i="26"/>
  <c r="B3" i="26"/>
  <c r="B2" i="26"/>
  <c r="B9" i="38"/>
  <c r="C8" i="38"/>
  <c r="B7" i="38"/>
  <c r="C6" i="38"/>
  <c r="B6" i="38"/>
  <c r="B5" i="38"/>
  <c r="C4" i="38"/>
  <c r="B4" i="38"/>
  <c r="C3" i="38"/>
  <c r="B3" i="38"/>
  <c r="B2" i="38"/>
  <c r="B9" i="37"/>
  <c r="C8" i="37"/>
  <c r="B7" i="37"/>
  <c r="C6" i="37"/>
  <c r="B6" i="37"/>
  <c r="B5" i="37"/>
  <c r="C4" i="37"/>
  <c r="B4" i="37"/>
  <c r="C3" i="37"/>
  <c r="B3" i="37"/>
  <c r="B2" i="37"/>
  <c r="B9" i="35"/>
  <c r="C8" i="35"/>
  <c r="B7" i="35"/>
  <c r="C6" i="35"/>
  <c r="B6" i="35"/>
  <c r="B5" i="35"/>
  <c r="C4" i="35"/>
  <c r="B4" i="35"/>
  <c r="C3" i="35"/>
  <c r="B3" i="35"/>
  <c r="B2" i="35"/>
  <c r="B9" i="34"/>
  <c r="C8" i="34"/>
  <c r="B7" i="34"/>
  <c r="C6" i="34"/>
  <c r="B6" i="34"/>
  <c r="B5" i="34"/>
  <c r="C4" i="34"/>
  <c r="B4" i="34"/>
  <c r="C3" i="34"/>
  <c r="B3" i="34"/>
  <c r="B2" i="34"/>
  <c r="B9" i="33"/>
  <c r="C8" i="33"/>
  <c r="B7" i="33"/>
  <c r="C6" i="33"/>
  <c r="B6" i="33"/>
  <c r="B5" i="33"/>
  <c r="C4" i="33"/>
  <c r="B4" i="33"/>
  <c r="C3" i="33"/>
  <c r="B3" i="33"/>
  <c r="B2" i="33"/>
  <c r="D132" i="26"/>
  <c r="E132" i="26"/>
  <c r="F132" i="26"/>
  <c r="G132" i="26"/>
  <c r="H132" i="26"/>
  <c r="C132" i="26"/>
  <c r="D148" i="41" l="1"/>
  <c r="E148" i="41"/>
  <c r="H148" i="41"/>
  <c r="F148" i="41"/>
  <c r="G148" i="41"/>
  <c r="C84" i="41"/>
  <c r="C148" i="41"/>
  <c r="C129" i="42"/>
  <c r="C150" i="42" s="1"/>
  <c r="C117" i="35"/>
  <c r="C99" i="35"/>
  <c r="C110" i="35" s="1"/>
  <c r="C42" i="35"/>
  <c r="C16" i="32"/>
  <c r="C20" i="32" s="1"/>
  <c r="C21" i="32" s="1"/>
  <c r="B9" i="32"/>
  <c r="C8" i="32"/>
  <c r="B7" i="32"/>
  <c r="C6" i="32"/>
  <c r="B6" i="32"/>
  <c r="B5" i="32"/>
  <c r="C4" i="32"/>
  <c r="B4" i="32"/>
  <c r="C3" i="32"/>
  <c r="B3" i="32"/>
  <c r="B2" i="32"/>
  <c r="H35" i="1"/>
  <c r="G35" i="1"/>
  <c r="H34" i="1"/>
  <c r="G34" i="1"/>
  <c r="G159" i="41" l="1"/>
  <c r="G162" i="41" s="1"/>
  <c r="G150" i="41"/>
  <c r="G151" i="41" s="1"/>
  <c r="G153" i="41" s="1"/>
  <c r="G157" i="41" s="1"/>
  <c r="F150" i="41"/>
  <c r="F151" i="41" s="1"/>
  <c r="F153" i="41" s="1"/>
  <c r="F157" i="41" s="1"/>
  <c r="F159" i="41"/>
  <c r="F162" i="41" s="1"/>
  <c r="H159" i="41"/>
  <c r="H162" i="41" s="1"/>
  <c r="H150" i="41"/>
  <c r="H151" i="41" s="1"/>
  <c r="H153" i="41" s="1"/>
  <c r="H157" i="41" s="1"/>
  <c r="E150" i="41"/>
  <c r="E151" i="41" s="1"/>
  <c r="E153" i="41"/>
  <c r="E157" i="41" s="1"/>
  <c r="E159" i="41"/>
  <c r="E162" i="41" s="1"/>
  <c r="D159" i="41"/>
  <c r="D162" i="41" s="1"/>
  <c r="D150" i="41"/>
  <c r="D151" i="41" s="1"/>
  <c r="D153" i="41" s="1"/>
  <c r="D157" i="41" s="1"/>
  <c r="C159" i="41"/>
  <c r="C162" i="41" s="1"/>
  <c r="C150" i="41"/>
  <c r="C151" i="41" s="1"/>
  <c r="C151" i="42"/>
  <c r="C152" i="42"/>
  <c r="C78" i="26"/>
  <c r="E70" i="35"/>
  <c r="E118" i="35" s="1"/>
  <c r="F70" i="35"/>
  <c r="F118" i="35" s="1"/>
  <c r="C135" i="41"/>
  <c r="C25" i="34"/>
  <c r="B7" i="1"/>
  <c r="C6" i="1"/>
  <c r="B6" i="1"/>
  <c r="B5" i="1"/>
  <c r="B4" i="1"/>
  <c r="C3" i="1"/>
  <c r="B3" i="1"/>
  <c r="B2" i="1"/>
  <c r="C5" i="14"/>
  <c r="C136" i="41" l="1"/>
  <c r="C137" i="41"/>
  <c r="C71" i="35"/>
  <c r="C70" i="35" s="1"/>
  <c r="C118" i="35" s="1"/>
  <c r="D70" i="35"/>
  <c r="D118" i="35" s="1"/>
  <c r="C45" i="35"/>
  <c r="C46" i="35"/>
  <c r="F77" i="26"/>
  <c r="F89" i="26"/>
  <c r="F93" i="26" s="1"/>
  <c r="F95" i="26" s="1"/>
  <c r="G77" i="26"/>
  <c r="G89" i="26"/>
  <c r="G93" i="26" s="1"/>
  <c r="G95" i="26" s="1"/>
  <c r="H89" i="26"/>
  <c r="H77" i="26"/>
  <c r="D89" i="26"/>
  <c r="D93" i="26" s="1"/>
  <c r="D95" i="26" s="1"/>
  <c r="D77" i="26"/>
  <c r="E89" i="26"/>
  <c r="E93" i="26" s="1"/>
  <c r="E95" i="26" s="1"/>
  <c r="E77" i="26"/>
  <c r="C79" i="26"/>
  <c r="C98" i="26"/>
  <c r="C5" i="1"/>
  <c r="C5" i="42"/>
  <c r="C5" i="37"/>
  <c r="C5" i="26"/>
  <c r="C5" i="38"/>
  <c r="C5" i="35"/>
  <c r="C5" i="33"/>
  <c r="C5" i="40"/>
  <c r="C5" i="41"/>
  <c r="C5" i="34"/>
  <c r="C5" i="32"/>
  <c r="D72" i="42"/>
  <c r="D73" i="42" s="1"/>
  <c r="D79" i="42" s="1"/>
  <c r="E72" i="42"/>
  <c r="E73" i="42" s="1"/>
  <c r="E79" i="42" s="1"/>
  <c r="F72" i="42"/>
  <c r="F73" i="42" s="1"/>
  <c r="F79" i="42" s="1"/>
  <c r="G72" i="42"/>
  <c r="G73" i="42" s="1"/>
  <c r="G79" i="42" s="1"/>
  <c r="H72" i="42"/>
  <c r="H73" i="42" s="1"/>
  <c r="H79" i="42" s="1"/>
  <c r="C23" i="32"/>
  <c r="C25" i="32" s="1"/>
  <c r="B3" i="15"/>
  <c r="C47" i="35" l="1"/>
  <c r="H93" i="26"/>
  <c r="H95" i="26" s="1"/>
  <c r="C89" i="26"/>
  <c r="C77" i="26"/>
  <c r="C154" i="41"/>
  <c r="C155" i="41" s="1"/>
  <c r="C156" i="41" s="1"/>
  <c r="C157" i="26" l="1"/>
  <c r="C158" i="26" s="1"/>
  <c r="C156" i="26"/>
  <c r="C153" i="26" s="1"/>
  <c r="C152" i="41"/>
  <c r="E154" i="41"/>
  <c r="E155" i="41" s="1"/>
  <c r="E156" i="41" s="1"/>
  <c r="F154" i="41"/>
  <c r="F155" i="41" s="1"/>
  <c r="F156" i="41" s="1"/>
  <c r="H154" i="41"/>
  <c r="H155" i="41" s="1"/>
  <c r="H156" i="41" s="1"/>
  <c r="G154" i="41"/>
  <c r="G155" i="41" s="1"/>
  <c r="G156" i="41" s="1"/>
  <c r="D154" i="41"/>
  <c r="D155" i="41" s="1"/>
  <c r="D156" i="41" s="1"/>
  <c r="C8" i="9"/>
  <c r="C8" i="10"/>
  <c r="C8" i="11"/>
  <c r="C8" i="7"/>
  <c r="B9" i="2"/>
  <c r="B8" i="2"/>
  <c r="C8" i="14"/>
  <c r="C8" i="1" s="1"/>
  <c r="C9" i="14"/>
  <c r="C153" i="41" l="1"/>
  <c r="C157" i="41" s="1"/>
  <c r="C173" i="41" s="1"/>
  <c r="C127" i="35"/>
  <c r="C128" i="35"/>
  <c r="C130" i="35"/>
  <c r="C131" i="35" s="1"/>
  <c r="H152" i="41"/>
  <c r="H173" i="41" s="1"/>
  <c r="F152" i="41"/>
  <c r="F173" i="41" s="1"/>
  <c r="E152" i="41"/>
  <c r="E173" i="41" s="1"/>
  <c r="D152" i="41"/>
  <c r="D173" i="41" s="1"/>
  <c r="G152" i="41"/>
  <c r="G173" i="41" s="1"/>
  <c r="C9" i="42"/>
  <c r="C9" i="40"/>
  <c r="C9" i="41"/>
  <c r="C9" i="26"/>
  <c r="C9" i="33"/>
  <c r="C9" i="38"/>
  <c r="C9" i="34"/>
  <c r="C9" i="37"/>
  <c r="C9" i="35"/>
  <c r="C9" i="1"/>
  <c r="C9" i="32"/>
  <c r="C9" i="15"/>
  <c r="C8" i="2"/>
  <c r="C8" i="15"/>
  <c r="C9" i="2"/>
  <c r="D124" i="35" l="1"/>
  <c r="D137" i="35" s="1"/>
  <c r="D138" i="35" s="1"/>
  <c r="E124" i="35"/>
  <c r="E137" i="35" s="1"/>
  <c r="E138" i="35" s="1"/>
  <c r="F124" i="35"/>
  <c r="F137" i="35" s="1"/>
  <c r="F138" i="35" s="1"/>
  <c r="G124" i="35"/>
  <c r="G137" i="35" s="1"/>
  <c r="G138" i="35" s="1"/>
  <c r="H124" i="35"/>
  <c r="H137" i="35" s="1"/>
  <c r="H138" i="35" s="1"/>
  <c r="C124" i="35"/>
  <c r="C137" i="35" s="1"/>
  <c r="C138" i="35" s="1"/>
  <c r="C178" i="41"/>
  <c r="C177" i="41"/>
  <c r="C176" i="41"/>
  <c r="C200" i="26"/>
  <c r="D16" i="11"/>
  <c r="G32" i="1" s="1"/>
  <c r="H33" i="1"/>
  <c r="H32" i="1"/>
  <c r="C3" i="15"/>
  <c r="B7" i="15"/>
  <c r="B6" i="15"/>
  <c r="B5" i="15"/>
  <c r="B4" i="15"/>
  <c r="B2" i="15"/>
  <c r="C6" i="15"/>
  <c r="C163" i="41" l="1"/>
  <c r="C164" i="41" s="1"/>
  <c r="C165" i="41" s="1"/>
  <c r="C166" i="41" s="1"/>
  <c r="D163" i="41"/>
  <c r="D164" i="41" s="1"/>
  <c r="D165" i="41" s="1"/>
  <c r="D166" i="41" s="1"/>
  <c r="E163" i="41"/>
  <c r="E164" i="41" s="1"/>
  <c r="E165" i="41" s="1"/>
  <c r="E166" i="41" s="1"/>
  <c r="F163" i="41"/>
  <c r="F164" i="41" s="1"/>
  <c r="F165" i="41" s="1"/>
  <c r="F166" i="41" s="1"/>
  <c r="G163" i="41"/>
  <c r="G164" i="41" s="1"/>
  <c r="G165" i="41" s="1"/>
  <c r="G166" i="41" s="1"/>
  <c r="H163" i="41"/>
  <c r="H164" i="41" s="1"/>
  <c r="H165" i="41" s="1"/>
  <c r="H166" i="41" s="1"/>
  <c r="C179" i="41"/>
  <c r="C129" i="35"/>
  <c r="C99" i="26"/>
  <c r="C93" i="26"/>
  <c r="C95" i="26" s="1"/>
  <c r="B7" i="2"/>
  <c r="B6" i="2"/>
  <c r="B5" i="2"/>
  <c r="B4" i="2"/>
  <c r="B3" i="2"/>
  <c r="B2" i="2"/>
  <c r="B9" i="9"/>
  <c r="B7" i="9"/>
  <c r="B6" i="9"/>
  <c r="B5" i="9"/>
  <c r="B4" i="9"/>
  <c r="B3" i="9"/>
  <c r="B2" i="9"/>
  <c r="B9" i="10"/>
  <c r="B7" i="10"/>
  <c r="B6" i="10"/>
  <c r="B5" i="10"/>
  <c r="B4" i="10"/>
  <c r="B3" i="10"/>
  <c r="B2" i="10"/>
  <c r="B9" i="11"/>
  <c r="B7" i="11"/>
  <c r="B6" i="11"/>
  <c r="B5" i="11"/>
  <c r="B4" i="11"/>
  <c r="B3" i="11"/>
  <c r="B2" i="11"/>
  <c r="B9" i="7"/>
  <c r="B7" i="7"/>
  <c r="B6" i="7"/>
  <c r="B5" i="7"/>
  <c r="B4" i="7"/>
  <c r="B3" i="7"/>
  <c r="B2" i="7"/>
  <c r="C105" i="26" l="1"/>
  <c r="C104" i="26"/>
  <c r="C106" i="26"/>
  <c r="C107" i="26" s="1"/>
  <c r="C6" i="2"/>
  <c r="C3" i="2"/>
  <c r="C6" i="9"/>
  <c r="C3" i="9"/>
  <c r="C6" i="10"/>
  <c r="C3" i="10"/>
  <c r="C6" i="11"/>
  <c r="C3" i="11"/>
  <c r="C3" i="7"/>
  <c r="C6" i="7"/>
  <c r="C7" i="14"/>
  <c r="C6" i="14"/>
  <c r="C4" i="14"/>
  <c r="C4" i="1" s="1"/>
  <c r="C96" i="26" l="1"/>
  <c r="C100" i="26" s="1"/>
  <c r="C101" i="26" s="1"/>
  <c r="D96" i="26"/>
  <c r="D100" i="26" s="1"/>
  <c r="D101" i="26" s="1"/>
  <c r="G96" i="26"/>
  <c r="G100" i="26" s="1"/>
  <c r="G101" i="26" s="1"/>
  <c r="E96" i="26"/>
  <c r="E100" i="26" s="1"/>
  <c r="E101" i="26" s="1"/>
  <c r="F96" i="26"/>
  <c r="F100" i="26" s="1"/>
  <c r="F101" i="26" s="1"/>
  <c r="H96" i="26"/>
  <c r="H100" i="26" s="1"/>
  <c r="H101" i="26" s="1"/>
  <c r="C7" i="42"/>
  <c r="C7" i="40"/>
  <c r="C7" i="41"/>
  <c r="C7" i="38"/>
  <c r="C7" i="26"/>
  <c r="C7" i="37"/>
  <c r="C7" i="34"/>
  <c r="C7" i="35"/>
  <c r="C7" i="33"/>
  <c r="C7" i="1"/>
  <c r="C7" i="32"/>
  <c r="C4" i="15"/>
  <c r="C5" i="15"/>
  <c r="C7" i="7"/>
  <c r="C7" i="15"/>
  <c r="C9" i="7"/>
  <c r="C4" i="9"/>
  <c r="C5" i="11"/>
  <c r="C5" i="2"/>
  <c r="C4" i="10"/>
  <c r="C4" i="7"/>
  <c r="C4" i="11"/>
  <c r="C5" i="9"/>
  <c r="C4" i="2"/>
  <c r="C5" i="7"/>
  <c r="C5" i="10"/>
  <c r="C9" i="11"/>
  <c r="C9" i="10"/>
  <c r="C9" i="9"/>
  <c r="C7" i="2"/>
  <c r="C7" i="9"/>
  <c r="C7" i="10"/>
  <c r="C7" i="11"/>
  <c r="G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tc={06640363-0E1B-4F8A-8564-C9FB745ADCEE}</author>
  </authors>
  <commentList>
    <comment ref="B51" authorId="0" shapeId="0" xr:uid="{06640363-0E1B-4F8A-8564-C9FB745ADCEE}">
      <text>
        <t>[Threaded comment]
Your version of Excel allows you to read this threaded comment; however, any edits to it will get removed if the file is opened in a newer version of Excel. Learn more: https://go.microsoft.com/fwlink/?linkid=870924
Comment:
    @Brian Glasser I added this to put in the summary of test results section, but does it make sense to you?</t>
      </text>
    </comment>
  </commentList>
</comments>
</file>

<file path=xl/sharedStrings.xml><?xml version="1.0" encoding="utf-8"?>
<sst xmlns="http://schemas.openxmlformats.org/spreadsheetml/2006/main" count="1274" uniqueCount="664">
  <si>
    <t>Table of Contents</t>
  </si>
  <si>
    <t>Tab</t>
  </si>
  <si>
    <t>Contents</t>
  </si>
  <si>
    <t>Instructions</t>
  </si>
  <si>
    <t>Instructions and table of contents</t>
  </si>
  <si>
    <t>Lab information, product information and test results</t>
  </si>
  <si>
    <t>Inputs for photographs</t>
  </si>
  <si>
    <t>Inputs for report template user to provide comments</t>
  </si>
  <si>
    <t>Drop-downs</t>
  </si>
  <si>
    <t>Drop-downs used</t>
  </si>
  <si>
    <t>Version Control</t>
  </si>
  <si>
    <t>Revision history</t>
  </si>
  <si>
    <t>LEGEND</t>
  </si>
  <si>
    <t>Tabs</t>
  </si>
  <si>
    <t>Tabs with input cells</t>
  </si>
  <si>
    <t>Tabs with space to paste raw data</t>
  </si>
  <si>
    <t>Cells</t>
  </si>
  <si>
    <t xml:space="preserve"> Input data</t>
  </si>
  <si>
    <t>Auto-populated cell</t>
  </si>
  <si>
    <t>Provided data</t>
  </si>
  <si>
    <t>NOT USED</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</si>
  <si>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</si>
  <si>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</si>
  <si>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</si>
  <si>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STEP:</t>
  </si>
  <si>
    <t>FILL IN INPUT CELLS IN THIS TAB:</t>
  </si>
  <si>
    <t>Step 1</t>
  </si>
  <si>
    <t>General Info &amp; Test Results</t>
  </si>
  <si>
    <t>Step 2</t>
  </si>
  <si>
    <t>Setup &amp; Instrumentation</t>
  </si>
  <si>
    <t>Step 3</t>
  </si>
  <si>
    <t>Step 5</t>
  </si>
  <si>
    <t>Step 6</t>
  </si>
  <si>
    <t>Step 7</t>
  </si>
  <si>
    <t>Photos</t>
  </si>
  <si>
    <t>Comments</t>
  </si>
  <si>
    <t>Report Sign-off Block</t>
  </si>
  <si>
    <t>Back to Instructions tab</t>
  </si>
  <si>
    <t>Lab Information</t>
  </si>
  <si>
    <t>Lab Name:</t>
  </si>
  <si>
    <t>Lab Location:</t>
  </si>
  <si>
    <t>Test Information</t>
  </si>
  <si>
    <t>Date Test Started:</t>
  </si>
  <si>
    <t>[MM/DD/YYYY]</t>
  </si>
  <si>
    <t>Date Test Finished:</t>
  </si>
  <si>
    <t>Product Information</t>
  </si>
  <si>
    <t xml:space="preserve">Test Report Sign-Off Block </t>
  </si>
  <si>
    <t xml:space="preserve">Manufacturer: </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</si>
  <si>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</si>
  <si>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Brand:</t>
  </si>
  <si>
    <t xml:space="preserve">Manufacturer Model Number: </t>
  </si>
  <si>
    <t>Serial Number:</t>
  </si>
  <si>
    <t>Role</t>
  </si>
  <si>
    <t>Date</t>
  </si>
  <si>
    <t>Entity</t>
  </si>
  <si>
    <t>Date Manufactured:</t>
  </si>
  <si>
    <t>Test Completion</t>
  </si>
  <si>
    <t xml:space="preserve">Date Product Received: </t>
  </si>
  <si>
    <t>Template Completion</t>
  </si>
  <si>
    <t>Condition as Received:</t>
  </si>
  <si>
    <t>Report Review by Test Lab</t>
  </si>
  <si>
    <t>Product Characteristics</t>
  </si>
  <si>
    <t>Instrument Type</t>
  </si>
  <si>
    <t xml:space="preserve">Brand </t>
  </si>
  <si>
    <t>Model #</t>
  </si>
  <si>
    <t>Sensor Location</t>
  </si>
  <si>
    <t>Accuracy</t>
  </si>
  <si>
    <t>Date of Last Calibration</t>
  </si>
  <si>
    <t>Deadline for Next Calibration</t>
  </si>
  <si>
    <t>Description</t>
  </si>
  <si>
    <t>Value</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</si>
  <si>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</si>
  <si>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[Test Lab Name]</t>
  </si>
  <si>
    <t>Single-speed</t>
  </si>
  <si>
    <t>Dual-speed</t>
  </si>
  <si>
    <t>Multi/variable-speed</t>
  </si>
  <si>
    <t>Title Block</t>
  </si>
  <si>
    <t>Test Report Template Name:</t>
  </si>
  <si>
    <t>Version Number:</t>
  </si>
  <si>
    <t xml:space="preserve">Latest Template Revision: </t>
  </si>
  <si>
    <t>Tab Name:</t>
  </si>
  <si>
    <t>File Name:</t>
  </si>
  <si>
    <t>Revisions List</t>
  </si>
  <si>
    <t>Version</t>
  </si>
  <si>
    <t>v1.0</t>
  </si>
  <si>
    <t>Test Start Date:</t>
  </si>
  <si>
    <t>Test Completion Date:</t>
  </si>
  <si>
    <t>Speed Configuration</t>
  </si>
  <si>
    <t>NOTE: Copy only; sign off is done in the Report Sign-Off Block tab</t>
  </si>
  <si>
    <t>Motor Phase</t>
  </si>
  <si>
    <t>Motor_Phase</t>
  </si>
  <si>
    <t>Yes_No</t>
  </si>
  <si>
    <t>Yes</t>
  </si>
  <si>
    <t>No</t>
  </si>
  <si>
    <t>Electric Motors</t>
  </si>
  <si>
    <t>Frame size</t>
  </si>
  <si>
    <t>Performance requirement met</t>
  </si>
  <si>
    <t>Inverter Capabilities</t>
  </si>
  <si>
    <t>Electrical info</t>
  </si>
  <si>
    <t>Rotor Type</t>
  </si>
  <si>
    <t>Product Design</t>
  </si>
  <si>
    <t>Additional Design Options</t>
  </si>
  <si>
    <t>Is there a single or double shaft extension?</t>
  </si>
  <si>
    <t>Is there a non-standard endshield or flange?</t>
  </si>
  <si>
    <t>Is there a separately powered blower?</t>
  </si>
  <si>
    <t>Duty Type</t>
  </si>
  <si>
    <t>Current Waveform</t>
  </si>
  <si>
    <t>Power Supply Type</t>
  </si>
  <si>
    <t>EM_Variety</t>
  </si>
  <si>
    <t>Synchronous</t>
  </si>
  <si>
    <t>Induction</t>
  </si>
  <si>
    <t>Air-over</t>
  </si>
  <si>
    <t>Brake</t>
  </si>
  <si>
    <t>Close-coupled</t>
  </si>
  <si>
    <t>Immersible</t>
  </si>
  <si>
    <t>Partial</t>
  </si>
  <si>
    <t>None of the above</t>
  </si>
  <si>
    <t>Speed_Configuration</t>
  </si>
  <si>
    <t>Rotor_Type</t>
  </si>
  <si>
    <t>Squirrel-cage (MG1)</t>
  </si>
  <si>
    <t>Cage (IEC)</t>
  </si>
  <si>
    <t>Locked</t>
  </si>
  <si>
    <t>Wound</t>
  </si>
  <si>
    <t>Duty_Type</t>
  </si>
  <si>
    <t>Continuous Duty (MG1) / Type S1 (IEC)</t>
  </si>
  <si>
    <t>Other</t>
  </si>
  <si>
    <t>Frame_Size</t>
  </si>
  <si>
    <t>Standard Frame Size</t>
  </si>
  <si>
    <t>Two-digit NEMA (or IEC equivalent)</t>
  </si>
  <si>
    <t>Three-digit NEMA (or IEC equivalent)</t>
  </si>
  <si>
    <t>Four-digit NEMA (or IEC equivalent)</t>
  </si>
  <si>
    <t>Enclosed 56 NEMA (or IEC equivalent)</t>
  </si>
  <si>
    <t>Specialized frame size</t>
  </si>
  <si>
    <t>NEMA Design A</t>
  </si>
  <si>
    <t>NEMA Design B</t>
  </si>
  <si>
    <t>NEMA Design C</t>
  </si>
  <si>
    <t>IEC Design N</t>
  </si>
  <si>
    <t>IEC Design NE</t>
  </si>
  <si>
    <t>IEC Design NEY</t>
  </si>
  <si>
    <t>IEC Design NY</t>
  </si>
  <si>
    <t>IEC Design H</t>
  </si>
  <si>
    <t>IEC Design HE</t>
  </si>
  <si>
    <t xml:space="preserve">IEC Design HEY </t>
  </si>
  <si>
    <t>IEC Design HY</t>
  </si>
  <si>
    <t>Inverter_Capabilities</t>
  </si>
  <si>
    <t>Can operate without an inverter</t>
  </si>
  <si>
    <t>Inverter-only (inverter included)</t>
  </si>
  <si>
    <t>Inverter-only (inverter not included)</t>
  </si>
  <si>
    <t>Single-phase</t>
  </si>
  <si>
    <t>Two-phase</t>
  </si>
  <si>
    <t>Three-phase</t>
  </si>
  <si>
    <t>Pole_Configuration</t>
  </si>
  <si>
    <t>Current_Waveform</t>
  </si>
  <si>
    <t>Sinusoidal</t>
  </si>
  <si>
    <t>Performance_Req_Met</t>
  </si>
  <si>
    <t>Does performance design meet criteria in 431.25(g)?</t>
  </si>
  <si>
    <t>Does frame size meet criteria in 431.25(g)?</t>
  </si>
  <si>
    <t>Is this a polyphase EM?</t>
  </si>
  <si>
    <t>Between two consecutive NEMA frame sizes (or IEC equivalent)</t>
  </si>
  <si>
    <t>Does this EM meet the criteria in 431.25(g)?</t>
  </si>
  <si>
    <t>Do electric requirements meet criteria in 431.25(g)?</t>
  </si>
  <si>
    <t xml:space="preserve">Permissible industry test procedures </t>
  </si>
  <si>
    <t>Additional setup information (if applicable)</t>
  </si>
  <si>
    <t>Is this an ESEM?</t>
  </si>
  <si>
    <t>Are there non-standard bases, feet, or mounting?</t>
  </si>
  <si>
    <t xml:space="preserve">EM Variety (if applicable) </t>
  </si>
  <si>
    <t>Inverter info (if applicable)</t>
  </si>
  <si>
    <t>Operating Phase</t>
  </si>
  <si>
    <t>Is this inverter listed as recommended in manufacturer catalog?</t>
  </si>
  <si>
    <t>Motor Control Method</t>
  </si>
  <si>
    <t>Load Profile Setting</t>
  </si>
  <si>
    <t>Saving Energy Mode (if used)</t>
  </si>
  <si>
    <t>Does frame size meet ESEM definition?</t>
  </si>
  <si>
    <t>Applicable test case (internal)</t>
  </si>
  <si>
    <t>Manufacturer</t>
  </si>
  <si>
    <t>A</t>
  </si>
  <si>
    <t>Brand</t>
  </si>
  <si>
    <t>Additional Determinations</t>
  </si>
  <si>
    <t>Is the dynamometer correction necessary?</t>
  </si>
  <si>
    <t>Correlation Coefficient</t>
  </si>
  <si>
    <t>Correlation passed?</t>
  </si>
  <si>
    <t>Test Procedure Description</t>
  </si>
  <si>
    <t>Initial Measurements</t>
  </si>
  <si>
    <t>Relevant Motor Characteristics</t>
  </si>
  <si>
    <t xml:space="preserve">EM Variety </t>
  </si>
  <si>
    <t>Load Point Index</t>
  </si>
  <si>
    <t>Percentage of Rated Load</t>
  </si>
  <si>
    <t>Speed (rpm)</t>
  </si>
  <si>
    <t>Dynamometer Correction</t>
  </si>
  <si>
    <t>Is a dynamometer correction necessary?</t>
  </si>
  <si>
    <t>Data</t>
  </si>
  <si>
    <t>Calculations</t>
  </si>
  <si>
    <t>Slope</t>
  </si>
  <si>
    <t>????</t>
  </si>
  <si>
    <t>cos(ϕ)</t>
  </si>
  <si>
    <t>sin(ϕ)</t>
  </si>
  <si>
    <t>Intercept</t>
  </si>
  <si>
    <t>Smoothing of the residual loss data</t>
  </si>
  <si>
    <t>Line Current (A)</t>
  </si>
  <si>
    <t>Stator power (W)</t>
  </si>
  <si>
    <t>Line-to-line Voltage (V)</t>
  </si>
  <si>
    <t>Frequency (Hz)</t>
  </si>
  <si>
    <t>Ambient Temperature (˚C)</t>
  </si>
  <si>
    <t xml:space="preserve">Data Observed </t>
  </si>
  <si>
    <t>Correlation coefficient sufficient?</t>
  </si>
  <si>
    <t>Test Index</t>
  </si>
  <si>
    <t>Operate motor at rated voltage while coupled to the dynamometer with all electrical power removed from the dynamometer.</t>
  </si>
  <si>
    <t>Uncouple the motor from the dynamometer and operate at no load at rated voltage.</t>
  </si>
  <si>
    <t>Is a dynamometer correction required?</t>
  </si>
  <si>
    <t>B</t>
  </si>
  <si>
    <t>Test Condition Details</t>
  </si>
  <si>
    <t>Electrical Input Power (W)</t>
  </si>
  <si>
    <t>Slip (p.u.)</t>
  </si>
  <si>
    <t>Stator I2R loss (W)</t>
  </si>
  <si>
    <t>Corrected slip (p.u.)</t>
  </si>
  <si>
    <t>Observed Speed (rpm)</t>
  </si>
  <si>
    <t>Observed Slip (rpm)</t>
  </si>
  <si>
    <t>Observed Slip (p.u.)</t>
  </si>
  <si>
    <t>Corrected Slip (p.u.)</t>
  </si>
  <si>
    <t>Corrected Speed (rpm)</t>
  </si>
  <si>
    <t>Shaft Power (W)</t>
  </si>
  <si>
    <t>Corrected stator power (W)</t>
  </si>
  <si>
    <t>Efficiency (%)</t>
  </si>
  <si>
    <t>Power Factor (%)</t>
  </si>
  <si>
    <r>
      <t xml:space="preserve">Stator winding temp, </t>
    </r>
    <r>
      <rPr>
        <i/>
        <sz val="11"/>
        <color theme="1"/>
        <rFont val="Palatino Linotype"/>
        <family val="1"/>
      </rPr>
      <t>t</t>
    </r>
    <r>
      <rPr>
        <i/>
        <sz val="9"/>
        <color theme="1"/>
        <rFont val="Palatino Linotype"/>
        <family val="1"/>
      </rPr>
      <t>t</t>
    </r>
    <r>
      <rPr>
        <sz val="11"/>
        <color theme="1"/>
        <rFont val="Palatino Linotype"/>
        <family val="1"/>
      </rPr>
      <t xml:space="preserve"> (</t>
    </r>
    <r>
      <rPr>
        <sz val="11"/>
        <color theme="1"/>
        <rFont val="Calibri"/>
        <family val="2"/>
      </rPr>
      <t>˚</t>
    </r>
    <r>
      <rPr>
        <sz val="9.9"/>
        <color theme="1"/>
        <rFont val="Palatino Linotype"/>
        <family val="1"/>
      </rPr>
      <t>C)</t>
    </r>
  </si>
  <si>
    <t>Number of poles</t>
  </si>
  <si>
    <t>Synchronous Speed (rpm)</t>
  </si>
  <si>
    <t>Slip Speed (rpm)</t>
  </si>
  <si>
    <t>Stator core voltage (V)</t>
  </si>
  <si>
    <t>Core Loss (W)</t>
  </si>
  <si>
    <t>Power across air gap (W)</t>
  </si>
  <si>
    <t>Rotor I2R Loss (W)</t>
  </si>
  <si>
    <t>Total convention loss (W)</t>
  </si>
  <si>
    <t>Apparent total Loss (W)</t>
  </si>
  <si>
    <t>Stray load loss (W)</t>
  </si>
  <si>
    <t>Corrected power across air gap (W)</t>
  </si>
  <si>
    <t>Corrected stray load loss (W)</t>
  </si>
  <si>
    <t>Corrected shaft power (W)</t>
  </si>
  <si>
    <t>Linear Regression Analysis</t>
  </si>
  <si>
    <t>Rated ("hot") Load Temperature Test - not required if previously performed on a duplicate machine</t>
  </si>
  <si>
    <t>Ambient ("cold") Temperature Data</t>
  </si>
  <si>
    <t>Conductor Material</t>
  </si>
  <si>
    <t>Is duplicate data being used?</t>
  </si>
  <si>
    <t>Percentage of Rated Voltage</t>
  </si>
  <si>
    <t>No-Load Index</t>
  </si>
  <si>
    <t>Establish stability and run motor at rated voltage and frequency with no connected load record the following</t>
  </si>
  <si>
    <t>Analysis</t>
  </si>
  <si>
    <t>Calculated Data</t>
  </si>
  <si>
    <t>Torque Squared</t>
  </si>
  <si>
    <t>Correlation Factor</t>
  </si>
  <si>
    <t>Stray Load Loss</t>
  </si>
  <si>
    <t>Does worst data point need to be deleted?</t>
  </si>
  <si>
    <t>No-Load Test</t>
  </si>
  <si>
    <t>Correction</t>
  </si>
  <si>
    <t>Synchronous speed (rpm)</t>
  </si>
  <si>
    <t>Load Point Testing</t>
  </si>
  <si>
    <t>Corrected Slip Speed (rpm)</t>
  </si>
  <si>
    <t>Output Power (W)</t>
  </si>
  <si>
    <t>Voltage (V)</t>
  </si>
  <si>
    <t>Input Power (W)</t>
  </si>
  <si>
    <t>Input Power Correction (W)</t>
  </si>
  <si>
    <t>Corrected Input Power (W)</t>
  </si>
  <si>
    <t>Initial Data Collection</t>
  </si>
  <si>
    <r>
      <t>Stator Main Winding Temp, t</t>
    </r>
    <r>
      <rPr>
        <sz val="9"/>
        <color theme="1"/>
        <rFont val="Palatino Linotype"/>
        <family val="1"/>
      </rPr>
      <t>t</t>
    </r>
    <r>
      <rPr>
        <sz val="11"/>
        <color theme="1"/>
        <rFont val="Palatino Linotype"/>
        <family val="1"/>
      </rPr>
      <t xml:space="preserve"> (˚C)</t>
    </r>
  </si>
  <si>
    <t>Synchronous Speed</t>
  </si>
  <si>
    <t>k constant value</t>
  </si>
  <si>
    <t>Conductor_Material</t>
  </si>
  <si>
    <t>Aluminum</t>
  </si>
  <si>
    <t>Copper</t>
  </si>
  <si>
    <t>Motor running at no load and coupled to the dynamometer</t>
  </si>
  <si>
    <t>Motor running at no load and uncoupled from the dynamometer</t>
  </si>
  <si>
    <t>C</t>
  </si>
  <si>
    <t>Motor running at 25% load test point</t>
  </si>
  <si>
    <t>Supply Voltage (V)</t>
  </si>
  <si>
    <t>Input Current (A)</t>
  </si>
  <si>
    <t>Shaft Speed (rpm)</t>
  </si>
  <si>
    <t>Stator Current (A)</t>
  </si>
  <si>
    <r>
      <t>Stator resistive loss at t</t>
    </r>
    <r>
      <rPr>
        <sz val="9"/>
        <color theme="1"/>
        <rFont val="Palatino Linotype"/>
        <family val="1"/>
      </rPr>
      <t>t</t>
    </r>
    <r>
      <rPr>
        <sz val="11"/>
        <color theme="1"/>
        <rFont val="Palatino Linotype"/>
        <family val="1"/>
      </rPr>
      <t xml:space="preserve"> (W)</t>
    </r>
  </si>
  <si>
    <r>
      <t>Stator resistive loss at t</t>
    </r>
    <r>
      <rPr>
        <sz val="9"/>
        <color theme="1"/>
        <rFont val="Palatino Linotype"/>
        <family val="1"/>
      </rPr>
      <t>s</t>
    </r>
    <r>
      <rPr>
        <sz val="11"/>
        <color theme="1"/>
        <rFont val="Palatino Linotype"/>
        <family val="1"/>
      </rPr>
      <t xml:space="preserve"> (W)</t>
    </r>
  </si>
  <si>
    <t>Measured Load (% of rated Torque)</t>
  </si>
  <si>
    <t>Nameplate Speed (rpm)</t>
  </si>
  <si>
    <t>Winding Temperature (˚C)</t>
  </si>
  <si>
    <t>Total Harmonic Distortion (%)</t>
  </si>
  <si>
    <r>
      <t xml:space="preserve">No Load Coupled </t>
    </r>
    <r>
      <rPr>
        <sz val="11"/>
        <color theme="1"/>
        <rFont val="Palatino Linotype"/>
        <family val="1"/>
      </rPr>
      <t>- With dynamometer coupled, reduce load to minimum dynamometer load, with motor operating at rated voltage and frequency</t>
    </r>
  </si>
  <si>
    <r>
      <t>Low Load Point</t>
    </r>
    <r>
      <rPr>
        <sz val="11"/>
        <color theme="1"/>
        <rFont val="Palatino Linotype"/>
        <family val="1"/>
      </rPr>
      <t xml:space="preserve"> - Adjust dynamometer to 10-25% rated load</t>
    </r>
  </si>
  <si>
    <r>
      <t>No Load Uncoupled</t>
    </r>
    <r>
      <rPr>
        <sz val="11"/>
        <color theme="1"/>
        <rFont val="Palatino Linotype"/>
        <family val="1"/>
      </rPr>
      <t xml:space="preserve"> - Immediately disconnect dynamometer and apply rated voltage and frequency</t>
    </r>
  </si>
  <si>
    <t>Percentage of Rated Load (%)</t>
  </si>
  <si>
    <t>Percentage of rated power (%)</t>
  </si>
  <si>
    <t>Targeted Rated Load (%)</t>
  </si>
  <si>
    <t>125-150</t>
  </si>
  <si>
    <t>Winding Material Used</t>
  </si>
  <si>
    <t>Percentage of Nominal Voltage (%)</t>
  </si>
  <si>
    <t>125-115</t>
  </si>
  <si>
    <t>114-100</t>
  </si>
  <si>
    <t>99-85</t>
  </si>
  <si>
    <t>84-50</t>
  </si>
  <si>
    <t>49-35</t>
  </si>
  <si>
    <t>34-20</t>
  </si>
  <si>
    <t>F</t>
  </si>
  <si>
    <t>H</t>
  </si>
  <si>
    <t>Capacitor Configuration</t>
  </si>
  <si>
    <t>Capacitor_Configuration</t>
  </si>
  <si>
    <t>Capacitor-Start Induction-Run</t>
  </si>
  <si>
    <t>Capacitor-Start Capacitor-Run</t>
  </si>
  <si>
    <t>N/A</t>
  </si>
  <si>
    <t>Permanent Split Capacitor</t>
  </si>
  <si>
    <t>Is this a vertical EM or have bearings incapable of horizontal operation?</t>
  </si>
  <si>
    <t>Is this a vertical motor?</t>
  </si>
  <si>
    <t>Determination of Target Temperature</t>
  </si>
  <si>
    <t>Indication of Motor Temperature Rise</t>
  </si>
  <si>
    <t>Indicated numerically</t>
  </si>
  <si>
    <t>Indication_MotorTempRise</t>
  </si>
  <si>
    <t>Indicated by insulation class</t>
  </si>
  <si>
    <t>Not indicated</t>
  </si>
  <si>
    <t>Insulation_Class</t>
  </si>
  <si>
    <t>Temperature Testing</t>
  </si>
  <si>
    <t>Location of temperature detectors</t>
  </si>
  <si>
    <t>Reading within tolerance?</t>
  </si>
  <si>
    <t>Motor at rated load with air flow provided by an external blower</t>
  </si>
  <si>
    <t>Immediately after shutting down motor and blower</t>
  </si>
  <si>
    <t>Sensor_Location</t>
  </si>
  <si>
    <t>On winding</t>
  </si>
  <si>
    <t>On stator iron</t>
  </si>
  <si>
    <t>Motor at ambient temperature (25˚C)</t>
  </si>
  <si>
    <t>Ratio (Average winding temp/highest detector reading)</t>
  </si>
  <si>
    <t>Is average winding temperature within 10˚C of target?</t>
  </si>
  <si>
    <t>Is tolerance met?</t>
  </si>
  <si>
    <t>Determination of Test Procedure</t>
  </si>
  <si>
    <t>Load Test</t>
  </si>
  <si>
    <t>Motor Characteristic</t>
  </si>
  <si>
    <r>
      <rPr>
        <b/>
        <sz val="11"/>
        <color theme="1"/>
        <rFont val="Palatino Linotype"/>
        <family val="1"/>
      </rPr>
      <t>Full Load ("Hot") Temperature Run</t>
    </r>
    <r>
      <rPr>
        <sz val="11"/>
        <color theme="1"/>
        <rFont val="Palatino Linotype"/>
        <family val="1"/>
      </rPr>
      <t xml:space="preserve"> - Stabilize motor at rated V and Hz, take data within 30 seconds of shutdown</t>
    </r>
  </si>
  <si>
    <r>
      <t xml:space="preserve">Thermal Equilibrium </t>
    </r>
    <r>
      <rPr>
        <sz val="11"/>
        <color theme="1"/>
        <rFont val="Palatino Linotype"/>
        <family val="1"/>
      </rPr>
      <t>- At rated voltage, frequency and full-load torque</t>
    </r>
  </si>
  <si>
    <t>Determination of Industry Test Procedure Used</t>
  </si>
  <si>
    <t>Target Temperature (˚C)</t>
  </si>
  <si>
    <t>Insulation Class</t>
  </si>
  <si>
    <t>Temperature Rise (˚C)</t>
  </si>
  <si>
    <t>Detector Reading (˚C)</t>
  </si>
  <si>
    <t>Motor Winding Resistance (Ω)</t>
  </si>
  <si>
    <t>Highest Detector Reading (˚C)</t>
  </si>
  <si>
    <t>Average Winding Temperature (˚C)</t>
  </si>
  <si>
    <t>Cold Motor Winding Temp (˚C)</t>
  </si>
  <si>
    <t>Motor Winding Temperature (˚C)</t>
  </si>
  <si>
    <t>Specified Temperature (˚C)</t>
  </si>
  <si>
    <t>Temperature Rise as Measured (˚C)</t>
  </si>
  <si>
    <t>Temperature Rise by Resistance (˚C)</t>
  </si>
  <si>
    <t>Motor Torque (N*m)</t>
  </si>
  <si>
    <t>Torque (N*m)</t>
  </si>
  <si>
    <r>
      <t>Stator resistance at t</t>
    </r>
    <r>
      <rPr>
        <sz val="9"/>
        <color theme="1"/>
        <rFont val="Palatino Linotype"/>
        <family val="1"/>
      </rPr>
      <t>t</t>
    </r>
    <r>
      <rPr>
        <sz val="11"/>
        <color theme="1"/>
        <rFont val="Palatino Linotype"/>
        <family val="1"/>
      </rPr>
      <t xml:space="preserve"> (Ω)</t>
    </r>
  </si>
  <si>
    <r>
      <t>Stator resistance at t</t>
    </r>
    <r>
      <rPr>
        <sz val="9"/>
        <color theme="1"/>
        <rFont val="Palatino Linotype"/>
        <family val="1"/>
      </rPr>
      <t>s</t>
    </r>
    <r>
      <rPr>
        <sz val="11"/>
        <color theme="1"/>
        <rFont val="Palatino Linotype"/>
        <family val="1"/>
      </rPr>
      <t xml:space="preserve"> (Ω)</t>
    </r>
  </si>
  <si>
    <t>Corrected Torque (N*m)</t>
  </si>
  <si>
    <t>Initial Torque Offset (N*m)</t>
  </si>
  <si>
    <t>Full-Load Torque (N*m)</t>
  </si>
  <si>
    <t>Torque output (N*m)</t>
  </si>
  <si>
    <t>Final Torque Offset (N*m)</t>
  </si>
  <si>
    <t>Stator winding resistance (Ω)</t>
  </si>
  <si>
    <r>
      <t xml:space="preserve">Stator winding resistance, </t>
    </r>
    <r>
      <rPr>
        <i/>
        <sz val="11"/>
        <color theme="1"/>
        <rFont val="Palatino Linotype"/>
        <family val="1"/>
      </rPr>
      <t>Rc</t>
    </r>
    <r>
      <rPr>
        <sz val="11"/>
        <color theme="1"/>
        <rFont val="Palatino Linotype"/>
        <family val="1"/>
      </rPr>
      <t xml:space="preserve"> (Ω)</t>
    </r>
  </si>
  <si>
    <r>
      <t xml:space="preserve">Stator winding resistance, </t>
    </r>
    <r>
      <rPr>
        <i/>
        <sz val="11"/>
        <color theme="1"/>
        <rFont val="Palatino Linotype"/>
        <family val="1"/>
      </rPr>
      <t>Rh</t>
    </r>
    <r>
      <rPr>
        <sz val="11"/>
        <color theme="1"/>
        <rFont val="Palatino Linotype"/>
        <family val="1"/>
      </rPr>
      <t xml:space="preserve"> (Ω)</t>
    </r>
  </si>
  <si>
    <t>Rated Load Temperature (˚C)</t>
  </si>
  <si>
    <r>
      <t xml:space="preserve">Specified Temperature, </t>
    </r>
    <r>
      <rPr>
        <i/>
        <sz val="11"/>
        <color theme="1"/>
        <rFont val="Palatino Linotype"/>
        <family val="1"/>
      </rPr>
      <t>ts</t>
    </r>
    <r>
      <rPr>
        <sz val="11"/>
        <color theme="1"/>
        <rFont val="Palatino Linotype"/>
        <family val="1"/>
      </rPr>
      <t xml:space="preserve"> (˚C)</t>
    </r>
  </si>
  <si>
    <r>
      <t xml:space="preserve">Specified Temperature from duplicate, </t>
    </r>
    <r>
      <rPr>
        <i/>
        <sz val="11"/>
        <color theme="1"/>
        <rFont val="Palatino Linotype"/>
        <family val="1"/>
      </rPr>
      <t>ts</t>
    </r>
    <r>
      <rPr>
        <sz val="11"/>
        <color theme="1"/>
        <rFont val="Palatino Linotype"/>
        <family val="1"/>
      </rPr>
      <t xml:space="preserve"> (˚C)</t>
    </r>
  </si>
  <si>
    <t>Rated Load (W)</t>
  </si>
  <si>
    <t>Rated Voltage (V)</t>
  </si>
  <si>
    <t>Rated Frequency (Hz)</t>
  </si>
  <si>
    <t>Temperature (˚C)</t>
  </si>
  <si>
    <t>Percentage of Rated Voltage (%)</t>
  </si>
  <si>
    <r>
      <t xml:space="preserve">Core Loss at Rated Voltage, </t>
    </r>
    <r>
      <rPr>
        <i/>
        <sz val="11"/>
        <color theme="1"/>
        <rFont val="Palatino Linotype"/>
        <family val="1"/>
      </rPr>
      <t>Ph</t>
    </r>
    <r>
      <rPr>
        <sz val="11"/>
        <color theme="1"/>
        <rFont val="Palatino Linotype"/>
        <family val="1"/>
      </rPr>
      <t xml:space="preserve"> (W)</t>
    </r>
  </si>
  <si>
    <t>Friction and Windage Loss (W)</t>
  </si>
  <si>
    <t>Stator I2R Loss Test A (W)</t>
  </si>
  <si>
    <t>Stator I2R Loss Test B (W)</t>
  </si>
  <si>
    <t>Associated Power Test A (W)</t>
  </si>
  <si>
    <t>Associated Power Test B (W)</t>
  </si>
  <si>
    <t>Torque correction of dynamometer (N*m)</t>
  </si>
  <si>
    <t>Stator Power Correction (W)</t>
  </si>
  <si>
    <t>Resistance between terminals (Ω)</t>
  </si>
  <si>
    <r>
      <t xml:space="preserve">Stator Winding Resistance, </t>
    </r>
    <r>
      <rPr>
        <i/>
        <sz val="11"/>
        <color theme="1"/>
        <rFont val="Palatino Linotype"/>
        <family val="1"/>
      </rPr>
      <t xml:space="preserve">Rc </t>
    </r>
    <r>
      <rPr>
        <sz val="11"/>
        <color theme="1"/>
        <rFont val="Palatino Linotype"/>
        <family val="1"/>
      </rPr>
      <t xml:space="preserve"> (Ω)</t>
    </r>
  </si>
  <si>
    <r>
      <t xml:space="preserve">Stator Winding Resistance, </t>
    </r>
    <r>
      <rPr>
        <i/>
        <sz val="11"/>
        <color theme="1"/>
        <rFont val="Palatino Linotype"/>
        <family val="1"/>
      </rPr>
      <t>Rh</t>
    </r>
    <r>
      <rPr>
        <sz val="11"/>
        <color theme="1"/>
        <rFont val="Palatino Linotype"/>
        <family val="1"/>
      </rPr>
      <t xml:space="preserve"> (Ω)</t>
    </r>
  </si>
  <si>
    <t>Current (A)</t>
  </si>
  <si>
    <t>Power input (W)</t>
  </si>
  <si>
    <t>Stator I2R (W)</t>
  </si>
  <si>
    <t>Total loss - Stator I2R loss (W)</t>
  </si>
  <si>
    <r>
      <t xml:space="preserve">Core Loss, </t>
    </r>
    <r>
      <rPr>
        <i/>
        <sz val="11"/>
        <color theme="1"/>
        <rFont val="Palatino Linotype"/>
        <family val="1"/>
      </rPr>
      <t>Ph</t>
    </r>
    <r>
      <rPr>
        <sz val="11"/>
        <color theme="1"/>
        <rFont val="Palatino Linotype"/>
        <family val="1"/>
      </rPr>
      <t xml:space="preserve"> (W)</t>
    </r>
  </si>
  <si>
    <t>Friction and Windage loss (W)</t>
  </si>
  <si>
    <t>Actual No Load Coupled Torque (N*m)</t>
  </si>
  <si>
    <t>Dynamometer Correction Factor (N*m)</t>
  </si>
  <si>
    <t>Supply_Type</t>
  </si>
  <si>
    <t>Nameplate speed (rpm)</t>
  </si>
  <si>
    <t>Inverter Efficiency (%)</t>
  </si>
  <si>
    <t>Switching Frequency (Hz)</t>
  </si>
  <si>
    <t>Max Frequency (Hz)</t>
  </si>
  <si>
    <t>Max Output Voltage (V)</t>
  </si>
  <si>
    <t>Model Number</t>
  </si>
  <si>
    <r>
      <t xml:space="preserve">Stator I2R Loss at </t>
    </r>
    <r>
      <rPr>
        <i/>
        <sz val="11"/>
        <color theme="1"/>
        <rFont val="Palatino Linotype"/>
        <family val="1"/>
      </rPr>
      <t>tt</t>
    </r>
    <r>
      <rPr>
        <sz val="11"/>
        <color theme="1"/>
        <rFont val="Palatino Linotype"/>
        <family val="1"/>
      </rPr>
      <t xml:space="preserve"> (W)</t>
    </r>
  </si>
  <si>
    <r>
      <t xml:space="preserve">Winding resistance at </t>
    </r>
    <r>
      <rPr>
        <i/>
        <sz val="11"/>
        <color theme="1"/>
        <rFont val="Palatino Linotype"/>
        <family val="1"/>
      </rPr>
      <t>ts</t>
    </r>
    <r>
      <rPr>
        <sz val="11"/>
        <color theme="1"/>
        <rFont val="Palatino Linotype"/>
        <family val="1"/>
      </rPr>
      <t xml:space="preserve"> (Ω)</t>
    </r>
  </si>
  <si>
    <r>
      <t xml:space="preserve">Stator I2R Loss at </t>
    </r>
    <r>
      <rPr>
        <i/>
        <sz val="11"/>
        <color theme="1"/>
        <rFont val="Palatino Linotype"/>
        <family val="1"/>
      </rPr>
      <t>ts</t>
    </r>
    <r>
      <rPr>
        <sz val="11"/>
        <color theme="1"/>
        <rFont val="Palatino Linotype"/>
        <family val="1"/>
      </rPr>
      <t xml:space="preserve"> (W)</t>
    </r>
  </si>
  <si>
    <t>Average winding resistance (Ω)</t>
  </si>
  <si>
    <r>
      <t xml:space="preserve">Stator I2R loss at </t>
    </r>
    <r>
      <rPr>
        <i/>
        <sz val="11"/>
        <color theme="1"/>
        <rFont val="Palatino Linotype"/>
        <family val="1"/>
      </rPr>
      <t>ts</t>
    </r>
    <r>
      <rPr>
        <sz val="11"/>
        <color theme="1"/>
        <rFont val="Palatino Linotype"/>
        <family val="1"/>
      </rPr>
      <t xml:space="preserve"> (W)</t>
    </r>
  </si>
  <si>
    <t>Corrected total loss (W)</t>
  </si>
  <si>
    <r>
      <t xml:space="preserve">Corrected Rotor I2R Loss at </t>
    </r>
    <r>
      <rPr>
        <i/>
        <sz val="11"/>
        <color theme="1"/>
        <rFont val="Palatino Linotype"/>
        <family val="1"/>
      </rPr>
      <t>ts</t>
    </r>
    <r>
      <rPr>
        <sz val="11"/>
        <color theme="1"/>
        <rFont val="Palatino Linotype"/>
        <family val="1"/>
      </rPr>
      <t xml:space="preserve"> (W)</t>
    </r>
  </si>
  <si>
    <t>Direct-current</t>
  </si>
  <si>
    <t>Alternating-current</t>
  </si>
  <si>
    <t>Stator core and windage-friction losses</t>
  </si>
  <si>
    <t>Heat-run test</t>
  </si>
  <si>
    <t>100-150</t>
  </si>
  <si>
    <t>25-100</t>
  </si>
  <si>
    <t>Load Testing - Test from highest to lowest load</t>
  </si>
  <si>
    <t>100-125</t>
  </si>
  <si>
    <t>75-100</t>
  </si>
  <si>
    <t>20-50</t>
  </si>
  <si>
    <t>Targeted Load Range (%)</t>
  </si>
  <si>
    <t>Targeted Voltage Range (%)</t>
  </si>
  <si>
    <t xml:space="preserve">Establish stability and test the following voltage points without increasing current </t>
  </si>
  <si>
    <t>Establish stability and test the following from highest to lowest voltage without increasing current</t>
  </si>
  <si>
    <r>
      <t xml:space="preserve">Load Testing </t>
    </r>
    <r>
      <rPr>
        <sz val="11"/>
        <color theme="1"/>
        <rFont val="Palatino Linotype"/>
        <family val="1"/>
      </rPr>
      <t>- Test the following points from highest to lowest load</t>
    </r>
  </si>
  <si>
    <t>Load curve test</t>
  </si>
  <si>
    <t>Average Terminal Voltage (V)</t>
  </si>
  <si>
    <t>Average Line Current (A)</t>
  </si>
  <si>
    <t>Operating Speed (1/s)</t>
  </si>
  <si>
    <t>Machine Torque (N*m)</t>
  </si>
  <si>
    <t>Primary coolant inlet temperature (˚C)</t>
  </si>
  <si>
    <t>Ambient Winding Resistance (Ω)</t>
  </si>
  <si>
    <t>Supply Frequency (Hz)</t>
  </si>
  <si>
    <t>Test Resistance (Ω)</t>
  </si>
  <si>
    <t xml:space="preserve"> Winding temperature (˚C)</t>
  </si>
  <si>
    <t>Power input, (kW)</t>
  </si>
  <si>
    <t>Frequency, (Hz)</t>
  </si>
  <si>
    <t>Winding temperature, (°C)</t>
  </si>
  <si>
    <t>Cold winding temperature (°C)</t>
  </si>
  <si>
    <t>Cold motor stator winding resistance (Ω)</t>
  </si>
  <si>
    <t>Maximum allowed time delay (sec)</t>
  </si>
  <si>
    <t>Actual time delay (sec)</t>
  </si>
  <si>
    <t xml:space="preserve">Description </t>
  </si>
  <si>
    <t>Average Voltage (V)</t>
  </si>
  <si>
    <t>Ambient temperature (°C)</t>
  </si>
  <si>
    <r>
      <t xml:space="preserve">Load test </t>
    </r>
    <r>
      <rPr>
        <sz val="11"/>
        <color theme="1"/>
        <rFont val="Palatino Linotype"/>
        <family val="1"/>
      </rPr>
      <t>- Apply rated voltage and frequency</t>
    </r>
  </si>
  <si>
    <t>Line a-b Voltage (V)</t>
  </si>
  <si>
    <t>Line b-c Voltage (V)</t>
  </si>
  <si>
    <t>Line c-a Voltage (V)</t>
  </si>
  <si>
    <r>
      <t xml:space="preserve">No-load test </t>
    </r>
    <r>
      <rPr>
        <sz val="11"/>
        <color theme="1"/>
        <rFont val="Palatino Linotype"/>
        <family val="1"/>
      </rPr>
      <t>- Establish power stabilization and apply rated frequency at no-load</t>
    </r>
  </si>
  <si>
    <t>Line a Current (A)</t>
  </si>
  <si>
    <t>Line b Current (A)</t>
  </si>
  <si>
    <t>Line c Current (A)</t>
  </si>
  <si>
    <t>Temperature rise by resistance (°C)</t>
  </si>
  <si>
    <t>Corrected winding temperature (°C)</t>
  </si>
  <si>
    <t>Slip</t>
  </si>
  <si>
    <t>Corrected Winding Resistance Ambient (Ω)</t>
  </si>
  <si>
    <t>Efficiency determination</t>
  </si>
  <si>
    <t>No-load test</t>
  </si>
  <si>
    <t>Primary Coolant Inlet Temp (˚C)</t>
  </si>
  <si>
    <t>Corrected rotor winding losses (W)</t>
  </si>
  <si>
    <t>Slip (sec)</t>
  </si>
  <si>
    <t>Corrected Slip (sec)</t>
  </si>
  <si>
    <t>Operating Speed (rpm)</t>
  </si>
  <si>
    <t>Winding Resistance (Ω)</t>
  </si>
  <si>
    <t>Resistance immediately before test (Ω)</t>
  </si>
  <si>
    <t>Resistance immediately after test (Ω)</t>
  </si>
  <si>
    <t>Stator-winding losses at no load (W)</t>
  </si>
  <si>
    <t>Constant losses (W)</t>
  </si>
  <si>
    <t>Friction and windage losses (W)</t>
  </si>
  <si>
    <t>Inner voltage (V)</t>
  </si>
  <si>
    <t>Input power at no-load (W)</t>
  </si>
  <si>
    <t>Interpolated Winding Resistance (Ω)</t>
  </si>
  <si>
    <t>Percentage of Rated Voltage? (%)</t>
  </si>
  <si>
    <t>Targeted Rated Voltage? (%)</t>
  </si>
  <si>
    <t>Referenced in Interpolation (Internal)</t>
  </si>
  <si>
    <t>Shaft Torque (N*m)</t>
  </si>
  <si>
    <t>Terminal Voltage (V)</t>
  </si>
  <si>
    <r>
      <t>Voltage Squared (V</t>
    </r>
    <r>
      <rPr>
        <vertAlign val="superscript"/>
        <sz val="11"/>
        <color theme="1"/>
        <rFont val="Palatino Linotype"/>
        <family val="1"/>
      </rPr>
      <t>2</t>
    </r>
    <r>
      <rPr>
        <sz val="11"/>
        <color theme="1"/>
        <rFont val="Palatino Linotype"/>
        <family val="1"/>
      </rPr>
      <t>)</t>
    </r>
  </si>
  <si>
    <t>Full Load Losses</t>
  </si>
  <si>
    <t>Full Load Iron Losses (W)</t>
  </si>
  <si>
    <t>Iron Losses over no-load (W)</t>
  </si>
  <si>
    <t>Additional Load Losses</t>
  </si>
  <si>
    <t>Corrected Friction and Windage Losses (W)</t>
  </si>
  <si>
    <t>Residual losses (W)</t>
  </si>
  <si>
    <t>Uncorrected stator-winding losses (W)</t>
  </si>
  <si>
    <t xml:space="preserve"> Uncorrected rotor-winding losses (W)</t>
  </si>
  <si>
    <t>Iron Losses (W)</t>
  </si>
  <si>
    <r>
      <t>Torque</t>
    </r>
    <r>
      <rPr>
        <vertAlign val="superscript"/>
        <sz val="11"/>
        <color theme="1"/>
        <rFont val="Palatino Linotype"/>
        <family val="1"/>
      </rPr>
      <t>2</t>
    </r>
    <r>
      <rPr>
        <sz val="11"/>
        <color theme="1"/>
        <rFont val="Palatino Linotype"/>
        <family val="1"/>
      </rPr>
      <t xml:space="preserve"> (N*m</t>
    </r>
    <r>
      <rPr>
        <vertAlign val="superscript"/>
        <sz val="11"/>
        <color theme="1"/>
        <rFont val="Palatino Linotype"/>
        <family val="1"/>
      </rPr>
      <t>2</t>
    </r>
    <r>
      <rPr>
        <sz val="11"/>
        <color theme="1"/>
        <rFont val="Palatino Linotype"/>
        <family val="1"/>
      </rPr>
      <t>)</t>
    </r>
  </si>
  <si>
    <t>Additional Load Losses (W)</t>
  </si>
  <si>
    <t>Load point index deleted (if applicable)</t>
  </si>
  <si>
    <t>Total Losses (W)</t>
  </si>
  <si>
    <t xml:space="preserve"> Temperature correction factor</t>
  </si>
  <si>
    <t>Corrected input power (W)</t>
  </si>
  <si>
    <t>Rated Load Test</t>
  </si>
  <si>
    <t>Ambient Temperature Measurements</t>
  </si>
  <si>
    <t>Corrected stator-winding losses (W)</t>
  </si>
  <si>
    <t>Number of Poles</t>
  </si>
  <si>
    <t>Uncorrected rotor winding losses (W)</t>
  </si>
  <si>
    <t>Stator Winding Resistance (Ω)</t>
  </si>
  <si>
    <t>Stator Winding Temperature (°C)</t>
  </si>
  <si>
    <t>Ambient Temperature (°C)</t>
  </si>
  <si>
    <t>Establish thermal equilibrium at rated voltage, frequency, and no less than full-load, then disconnect power and allow the motor to stop and record the following within the maximum allowable time delay:</t>
  </si>
  <si>
    <t>Corrected winding temp (°C)</t>
  </si>
  <si>
    <t>Winding temp after equilibrium (°C)</t>
  </si>
  <si>
    <t>Corrected winding resistance (Ω)</t>
  </si>
  <si>
    <t>Stator Winding loss (kW)</t>
  </si>
  <si>
    <t>Core and winding friction correction (kW)</t>
  </si>
  <si>
    <t>Windage-Friction Loss (kW)</t>
  </si>
  <si>
    <t>Average Line Curent (A)</t>
  </si>
  <si>
    <t>Corrected Voltage (V)</t>
  </si>
  <si>
    <t>cos φ</t>
  </si>
  <si>
    <t>sin φ</t>
  </si>
  <si>
    <t>Stator Winding Loss (kW)</t>
  </si>
  <si>
    <t>Rotor Winding Loss (kW)</t>
  </si>
  <si>
    <t>Core Loss (kW)</t>
  </si>
  <si>
    <t>Outlet Power (kW)</t>
  </si>
  <si>
    <t>Residual Power (kW)</t>
  </si>
  <si>
    <t>Satisfactory?</t>
  </si>
  <si>
    <t>Load Point index deleted (if applicable)</t>
  </si>
  <si>
    <t>Corrected Stator Winding Loss (kW)</t>
  </si>
  <si>
    <t>Slip Corrected to Ambient</t>
  </si>
  <si>
    <t xml:space="preserve">Corrected Rotor Winding Loss (kW) </t>
  </si>
  <si>
    <t>Corrected power Output (kW)</t>
  </si>
  <si>
    <t>Power input (kW)</t>
  </si>
  <si>
    <t>Winding Temperature (°C)</t>
  </si>
  <si>
    <t>Stray Load Loss (kW)</t>
  </si>
  <si>
    <t>Core Losses (kW)</t>
  </si>
  <si>
    <t>Voltage Unbalance (%)</t>
  </si>
  <si>
    <t>Frequency Variation (%)</t>
  </si>
  <si>
    <t>Average Line Voltage (V)</t>
  </si>
  <si>
    <t>Average Current (A)</t>
  </si>
  <si>
    <t>Slope - resistance temp vs resistance</t>
  </si>
  <si>
    <t>Intercept - resistance temp vs resistance</t>
  </si>
  <si>
    <t>Slope - temp device vs resistance</t>
  </si>
  <si>
    <t>Intercept - temp device vs resistance</t>
  </si>
  <si>
    <t>Operate the motor coupled to the dynamometer, with the dynamometer not loaded.</t>
  </si>
  <si>
    <t>Run the motor uncoupled from the dynamometer.</t>
  </si>
  <si>
    <t>Torque Output (N*m)</t>
  </si>
  <si>
    <t>Rotational speed (rpm)</t>
  </si>
  <si>
    <t>Speed (p.u.)</t>
  </si>
  <si>
    <t>Stator Loss Test A (kW)</t>
  </si>
  <si>
    <t>Stator Loss Test B (kW)</t>
  </si>
  <si>
    <t>Corrected Winding Temperature Test B</t>
  </si>
  <si>
    <t>Corrected Winding Resistance Test B</t>
  </si>
  <si>
    <t>Corrected Winding Temperature Test A</t>
  </si>
  <si>
    <t>Corrected Winding Resistance Test A</t>
  </si>
  <si>
    <t>Core Loss at Rated V (kW)</t>
  </si>
  <si>
    <t>When the motor winding, stator core, or frame temperature is within 3°C of ambient temperature, record the following:</t>
  </si>
  <si>
    <t>Cold Temperature Test</t>
  </si>
  <si>
    <t>Permissibility of Power Supply:</t>
  </si>
  <si>
    <t>Input Power (kW)</t>
  </si>
  <si>
    <t>Load Testing</t>
  </si>
  <si>
    <t>Conduct testing at full load first, then move in descending order to lowest desired load point. Load Points shall be substantially equally spaced. Measure and record data within 30 seconds of establishing each load point. After each measurement, return the motor to full load equilibrium unless all measurements can be made within 3 minutes.</t>
  </si>
  <si>
    <t>Line Voltage (V)</t>
  </si>
  <si>
    <t>Additional Conditions</t>
  </si>
  <si>
    <t>Motors shall also be tested at each selectable speed, voltage, or frequency. Continuously adjustable speed motors shall be tested at 75% to 50% of full speed.</t>
  </si>
  <si>
    <t>Selectable Metric Used</t>
  </si>
  <si>
    <t>Selection Number</t>
  </si>
  <si>
    <t>Load Torque (N*m)</t>
  </si>
  <si>
    <t>Final Measurements and Calculations</t>
  </si>
  <si>
    <t>Absolute Difference of Torque Offsets (N*m)</t>
  </si>
  <si>
    <t>Data Validation</t>
  </si>
  <si>
    <t>CSA_Selectable_Metric</t>
  </si>
  <si>
    <t>Voltage</t>
  </si>
  <si>
    <t>Frequency</t>
  </si>
  <si>
    <t>None</t>
  </si>
  <si>
    <t>Speed</t>
  </si>
  <si>
    <t>Targeted Torque (N*m)</t>
  </si>
  <si>
    <t>Targeted Speed (rpm)</t>
  </si>
  <si>
    <t>For each load point, several measurements over a period of time (at least several slip cycles, typically 1 min to 3 min) shall be simultaneously sampled and the average of these values shall be used for the determination of losses. This table represents the average load values for each trial conducted.</t>
  </si>
  <si>
    <t>Short Circuit Ratio</t>
  </si>
  <si>
    <t>Output Torque (N*m)</t>
  </si>
  <si>
    <t>Output Power (kW)</t>
  </si>
  <si>
    <t>Input Power Factor (%)</t>
  </si>
  <si>
    <t>Determined Power Losses (kW)</t>
  </si>
  <si>
    <t>Crest Factor of Supply Voltage</t>
  </si>
  <si>
    <t>Data Permissibility</t>
  </si>
  <si>
    <t>Short Circuit Ratio Condition Met?</t>
  </si>
  <si>
    <t>Rated Load (kW)</t>
  </si>
  <si>
    <r>
      <rPr>
        <b/>
        <sz val="11"/>
        <color theme="1"/>
        <rFont val="Palatino Linotype"/>
        <family val="1"/>
      </rPr>
      <t>Ambient ("Cold") Temperature Run</t>
    </r>
    <r>
      <rPr>
        <sz val="11"/>
        <color theme="1"/>
        <rFont val="Palatino Linotype"/>
        <family val="1"/>
      </rPr>
      <t xml:space="preserve"> - Reference ambient temperature of 25 °C</t>
    </r>
  </si>
  <si>
    <t>Use in-line, shaft-coupled, rotating torque transducer or stationary stator reaction torque transducer</t>
  </si>
  <si>
    <t>IEEE 114-2010</t>
  </si>
  <si>
    <t>CSA C747-09</t>
  </si>
  <si>
    <t>IEC 61800-9-2</t>
  </si>
  <si>
    <t>Correlation coefficient</t>
  </si>
  <si>
    <t>Is intercept considerably small?</t>
  </si>
  <si>
    <t>Validation</t>
  </si>
  <si>
    <t>Pole Configuration (number of poles)</t>
  </si>
  <si>
    <t>Rated Load (hp)</t>
  </si>
  <si>
    <t>Phase Configuration</t>
  </si>
  <si>
    <t xml:space="preserve"> Frequency (Hz)</t>
  </si>
  <si>
    <t>Variation from Average Frequency (%)</t>
  </si>
  <si>
    <t>Average test frequency (Hz)</t>
  </si>
  <si>
    <t>Variation from rated (%)</t>
  </si>
  <si>
    <t>Data Permissibility:</t>
  </si>
  <si>
    <t>Rated Torque (N*m)</t>
  </si>
  <si>
    <t>k value</t>
  </si>
  <si>
    <t>Instrumentation Requirements</t>
  </si>
  <si>
    <t>Has instrumentation data been reported and does it meet conditions above?</t>
  </si>
  <si>
    <t>Before proceeding, please ensure the information regarding test equipment has been reported in the "Setup &amp; Instrumentation" tab of this document. Verify the following:
      Instruments shall be accompanied by a calibration record performed within 12 months of testing, and limiting error shall be within ±0.2% of full scale when testing for efficiency.
      Errors relating to instrument transformers shall be within ±0.3% of full scale.
      Instruments used for power measurement shall be selected at a power factor of 1.0, and shall be calibrated over the range of intended use, including measurements from 0.1 to 1.0 power factor.
      If a dynamometer is used, the coupling, friction, and windage load shall not be greater than 15% of the rated output of the motor.
      The errors of the instrumentation used to measure torque shall be within ±0.2% of full scale.
      Power shall have a maximum uncertainty of ±1.0%.
      Voltage and current shall have a maximum uncertainty of ±0.5%.
      Torque shall have a maximum uncertainty of ±0.7%.
      Temperature shall have a maximum uncertainty of ±1.5 °C.
      Winding resistance shall have a maximum uncertainty of ±1%. A four-wire measuring circuit shall be used to eliminate errors from test lead resistance.
      Motor speed shall have a maximum uncertainty of ±1 rpm.</t>
  </si>
  <si>
    <r>
      <rPr>
        <b/>
        <sz val="11"/>
        <color theme="1"/>
        <rFont val="Palatino Linotype"/>
        <family val="1"/>
      </rPr>
      <t>Linear Regression Data</t>
    </r>
    <r>
      <rPr>
        <sz val="11"/>
        <color theme="1"/>
        <rFont val="Palatino Linotype"/>
        <family val="1"/>
      </rPr>
      <t xml:space="preserve"> (Residual Power vs. Torque</t>
    </r>
    <r>
      <rPr>
        <vertAlign val="superscript"/>
        <sz val="11"/>
        <color theme="1"/>
        <rFont val="Palatino Linotype"/>
        <family val="1"/>
      </rPr>
      <t>2</t>
    </r>
    <r>
      <rPr>
        <sz val="11"/>
        <color theme="1"/>
        <rFont val="Palatino Linotype"/>
        <family val="1"/>
      </rPr>
      <t>)</t>
    </r>
  </si>
  <si>
    <r>
      <t>Torque</t>
    </r>
    <r>
      <rPr>
        <vertAlign val="superscript"/>
        <sz val="11"/>
        <color theme="1"/>
        <rFont val="Palatino Linotype"/>
        <family val="1"/>
      </rPr>
      <t>2</t>
    </r>
    <r>
      <rPr>
        <sz val="11"/>
        <color theme="1"/>
        <rFont val="Palatino Linotype"/>
        <family val="1"/>
      </rPr>
      <t xml:space="preserve"> (N</t>
    </r>
    <r>
      <rPr>
        <vertAlign val="superscript"/>
        <sz val="11"/>
        <color theme="1"/>
        <rFont val="Palatino Linotype"/>
        <family val="1"/>
      </rPr>
      <t>2</t>
    </r>
    <r>
      <rPr>
        <sz val="11"/>
        <color theme="1"/>
        <rFont val="Palatino Linotype"/>
        <family val="1"/>
      </rPr>
      <t>*m</t>
    </r>
    <r>
      <rPr>
        <vertAlign val="superscript"/>
        <sz val="11"/>
        <color theme="1"/>
        <rFont val="Palatino Linotype"/>
        <family val="1"/>
      </rPr>
      <t>2</t>
    </r>
    <r>
      <rPr>
        <sz val="11"/>
        <color theme="1"/>
        <rFont val="Palatino Linotype"/>
        <family val="1"/>
      </rPr>
      <t>)</t>
    </r>
  </si>
  <si>
    <t>Before proceeding, please ensure the information regarding test equipment has been reported in the "Setup &amp; Instrumentation" tab of this document. Verify the following:
      For analog instruments the observed values should be in the upper third of the instrument range.
      The measuring instruments shall have the equivalent of an accuracy class of 0.2 in case of a direct test and 0.5 in case of an indirect test.
      The measuring equipment shall reach an overall uncertainty of 0.2 % of reading at power factor 1.0 and shall include all errors of instrument transformers or transducers, if used
      The instrumentation used to measure the torque shall have a minimum class of 0.2. The minimum torque measured shall be at least 10% of the torque meter’s nominal torque.
      The instrumentation used to measure supply frequency shall have an accuracy of ±0.1 % of full scale. 
      The speed measurement should be accurate within 0.1 rpm.
      The instrumentation used to measure temperatures shall have an accuracy of ±1 K.</t>
  </si>
  <si>
    <t xml:space="preserve">Before proceeding, please ensure the information regarding test equipment has been reported in the "Setup &amp; Instrumentation" tab of this document. Verify the following:
      Instruments indication of limits of error shall be within ±0.2% of full scale.
      The total error for current measurements shall not exceed ±0.5% of the full-load reading, including all errors from the ammeter and CTs.
      The total error for power measurements shall not exceed ±1.0% of the full-load reading, including all errors from the wattmeter, CTs, and VTs.
      The errors of the transformers used shall not be greater than ±0.5%.
      The instrument used to measure frequency shall have an accuracy of ±0.05%. 
      The instruments shall bear record of calibration, within 12 months of the test, indicating limits of the error no greater than ±0.2% of full scale.
      If used, the dynamometer should be sensitive to a change of torque of 0.25% of the rated torque.
      Total error for torque measurements shall not exceed ±0.7%, which shall include all errors from all sources.
      For measurements for which the speed is less than or equal to 1800 rpm, the total error of the instrumentation used for speed or slip measurements shall not exceed ±1.0 rpm.
      For measurements for which the speed is greater than 1800 rpm, the total error for speed measurements shall not exceed ±(0.1 rpm + 0.05% of the reading).
      Slip measurements shall not exceed a value equivalent to ±(0.1 rpm + 0.05% of [synchronous rpm – slip rpm]).
</t>
  </si>
  <si>
    <t xml:space="preserve">Before proceeding, please ensure the information regarding test equipment has been reported in the "Setup &amp; Instrumentation" tab of this document. Verify the following:
      Instruments indication of limits of error shall be within ±0.2% of full scale.
      The total error for current measurements shall not exceed ±0.5% of the full-load reading, including all errors from the ammeter and CTs.
      The total error for power measurements shall not exceed ±1.0% of the full-load reading, including all errors from the wattmeter, CTs, and VTs.
      The errors of the transformers used shall be within ±0.3%. When instrument transformers and instruments for measuring voltage, current, or power are calibrated as a system, the system errors shall be ±0.2% of full scale.
      The instrument used to measure frequency shall have an accuracy of ±0.05%. 
      The instruments shall bear record of calibration, within 12 months of the test, indicating limits of the error no greater than ±0.2% of full scale.
      If used, the dynamometer should be sensitive to a change of torque of 0.25% of the rated torque.
      Total error for torque measurements shall not exceed ±0.7%, which shall include all errors from all sources.
      For measurements for which the speed is less than or equal to 1800 rpm, the total error of the instrumentation used for speed or slip measurements shall not exceed ±1.0 rpm.
      For measurements for which the speed is greater than 1800 rpm, the total error for speed measurements shall not exceed ±(0.1 rpm + 0.05% of the reading).
      Slip measurements shall not exceed a value equivalent to ±(0.1 rpm + 0.05% of [synchronous rpm – slip rpm]).
</t>
  </si>
  <si>
    <t>Before proceeding, please ensure the information regarding test equipment has been reported in the "Setup &amp; Instrumentation" tab of this document. Verify the following:
      The indicating instruments shall bear record of calibration, within the previous 12 months, indicating limits of the error no greater than ± 0.2% of full scale for determination of efficiency.
      The errors of the instrument transformers used shall not be greater the 0.3%.
      The dynamometer used should be sensitive to a change in torque of 0.1% of the rated torque.</t>
  </si>
  <si>
    <t>Before proceeding, please ensure the information regarding test equipment has been reported in the "Setup &amp; Instrumentation" tab of this document. Verify the following:
      Indicating instruments shall have been calibrated over the range of their intended use within the past 12 months to limits of error no greater than ±0.2% of full-scale deflection.
      The ratio errors of instrument transformers shall be no greater than 0.3%.
      Power shall have a maximum uncertainty of ±0.5% of the reading at the full-load rating of the motor under test.
      Voltage and current shall have a maximum uncertainty of ±0.5% of the reading at the full-load rating.
      Torque shall have a maximum uncertainty of ±1.0% of the reading at the full-load.
      Temperature shall have a maximum uncertainty of ±1.5 °C.
      Motor speed (RPM) shall have a maximum uncertainty of ±0.2% of the reading.</t>
  </si>
  <si>
    <t>Before proceeding, please ensure the information regarding test equipment has been reported in the "Setup &amp; Instrumentation" tab of this document. Verify the following:
      The uncertainty specified by the instrument manufacturer of the power meters shall be 0.2%.
      The bandwidth of power meters and sensors shall be sufficiently wide to ensure an error of the total active power of less or equal to 0.3 %.
      Units having a power rating below 7.5 kW shall be measured with a minimum of 15m shielded cable. If the manufacturer specifies less than 15 m of maximum cable length, use the highest admissible length. Disregard for integrated power drive systems.</t>
  </si>
  <si>
    <t>Please complete product information reporting in the "General Info &amp; Test Results" tab of this document before referring below. 
10 CFR Part 431 Subpart B appoints applicable industry standards that may be utilized during testing to Electric Motors with various characteristics. 
The purpose of this portion of the template is to indicate which industry procedures may be used based on the given product information specified. Note that if multiple procedures are indicated, only one of the tests needs to be completed.
After identifying the industry test procedure being used, please refer to the sheet in this document matching the industry title, and note any applicable set-up instructions below.</t>
  </si>
  <si>
    <t>Test Procedure being Used</t>
  </si>
  <si>
    <t>Test_Method_Used</t>
  </si>
  <si>
    <t>NEMA MG 1-2016</t>
  </si>
  <si>
    <t>CSA C390-10</t>
  </si>
  <si>
    <t>IEC 60034-2-1 Method 2-1-1A</t>
  </si>
  <si>
    <t>IEC 60034-2-1 Method 2-1-1B</t>
  </si>
  <si>
    <t>IEEE 112-2017 Method A</t>
  </si>
  <si>
    <t>IEEE 112-2017 Method B</t>
  </si>
  <si>
    <t>Test Setup
1. This table must include all instrumentation, sensors, and equipment used during testing.
2. Entries may be added or deleted as needed depending on the industry test method used.
3. Refer to each industry document for more details on instrument requirements.</t>
  </si>
  <si>
    <t>Applicable Test Procedure</t>
  </si>
  <si>
    <t>NEMA MG 1-2016 incorporates multiple industry standards by reference to provide further inform testing. Refer below and test according to one of the applicable test procedures. 
When testing air-over electric motors, further temperature testing is needed before referring to applicable test standards for load testing.</t>
  </si>
  <si>
    <t>The test procedure in CSA C390-10 utilizes an input-output efficiency calculation approach with indirect measurement of the stray-load loss and direct measurement of the stator winding, rotor winding, core, and windage-friction losses.</t>
  </si>
  <si>
    <t>Method 2-1-1A of IEC 60034-2-1 utilizes direct measurements of input and output to determine efficiency. The mechanical power of a machine as well as the electrical power of the stator are determined in the same test by measuring the shaft torque and speed at thermal equilibrium.</t>
  </si>
  <si>
    <t>Method 2-1-1B of IEC 60034-2-1 utilizes a summation of losses approach to determine efficiency. Separate loss components due to windage and friction, stator and rotor copper, as well as iron, and additional losses are determined to calculate the total losses through varying loads.</t>
  </si>
  <si>
    <t>Method A of IEEE 112-2017 calculates electric motor efficiency as a ratio of measured output power to measured input power, after applying temperature and dynamometer corrections as needed.</t>
  </si>
  <si>
    <r>
      <t>Average Voltage</t>
    </r>
    <r>
      <rPr>
        <vertAlign val="superscript"/>
        <sz val="11"/>
        <color theme="1"/>
        <rFont val="Palatino Linotype"/>
        <family val="1"/>
      </rPr>
      <t>2</t>
    </r>
    <r>
      <rPr>
        <sz val="11"/>
        <color theme="1"/>
        <rFont val="Palatino Linotype"/>
        <family val="1"/>
      </rPr>
      <t xml:space="preserve"> (V</t>
    </r>
    <r>
      <rPr>
        <vertAlign val="superscript"/>
        <sz val="11"/>
        <color theme="1"/>
        <rFont val="Palatino Linotype"/>
        <family val="1"/>
      </rPr>
      <t>2</t>
    </r>
    <r>
      <rPr>
        <sz val="11"/>
        <color theme="1"/>
        <rFont val="Palatino Linotype"/>
        <family val="1"/>
      </rPr>
      <t>)</t>
    </r>
  </si>
  <si>
    <r>
      <rPr>
        <b/>
        <sz val="11"/>
        <color theme="1"/>
        <rFont val="Palatino Linotype"/>
        <family val="1"/>
      </rPr>
      <t>Linear Regression Data</t>
    </r>
    <r>
      <rPr>
        <sz val="11"/>
        <color theme="1"/>
        <rFont val="Palatino Linotype"/>
        <family val="1"/>
      </rPr>
      <t xml:space="preserve"> (Core and winding loss vs. Voltage</t>
    </r>
    <r>
      <rPr>
        <vertAlign val="superscript"/>
        <sz val="11"/>
        <color theme="1"/>
        <rFont val="Palatino Linotype"/>
        <family val="1"/>
      </rPr>
      <t>2</t>
    </r>
    <r>
      <rPr>
        <sz val="11"/>
        <color theme="1"/>
        <rFont val="Palatino Linotype"/>
        <family val="1"/>
      </rPr>
      <t>)</t>
    </r>
  </si>
  <si>
    <t xml:space="preserve">Method B of IEEE 112-2017 utilizes an input output approach with loss segregation to determine electric motor efficiency. The apparent total loss is segregated into its various components with stray-load loss defined as the difference between the apparent total loss and the sum of the conventional losses. A linear regression analysis of stray-load loss against torque squared is then used to calculate final value of total loss and efficiency. </t>
  </si>
  <si>
    <t>IEEE 114-2010 determines the efficiency of an electric motor using the ratio of measured output power to corrected input power. Applicable corrections for ambient temperature and dynamometer usage are made to measured input power and determined losses as needed.</t>
  </si>
  <si>
    <t>CSA C747-09 determines the energy efficiency of small direct-current and single- and three-phase alternating-current rotating motors. Efficiency for various load points is calculated using corrected output torque in relation to measured input power and motor speed.</t>
  </si>
  <si>
    <t>IEC 61800-9-2 determines energy efficiency of power drive systems used for motor driven equipment utilizing an input-output determination of losses. Input power is determined based on measured voltage and current values, while output power is determined by measured torque and speed of the motor. This test procedure determines the losses at 8 required load points at varying torque and speed values.</t>
  </si>
  <si>
    <t>Space for instrumentation information and sensor placement descriptions</t>
  </si>
  <si>
    <t>Determination of Test Method</t>
  </si>
  <si>
    <t>Determination of industry test methods that can be applied to the detailed product</t>
  </si>
  <si>
    <t>Detailed method of testing and calculations relating to industry standard NEMA MG 1-2016</t>
  </si>
  <si>
    <t>Efficiency calculations for motors tested in accordance with CSA C390-10</t>
  </si>
  <si>
    <t>Efficiency calculations for motors tested in accordance with IEC 60034-2-1 Method 2-1-1A</t>
  </si>
  <si>
    <t>Efficiency calculations for motors tested in accordance with IEC 60034-2-1 Method 2-1-1B</t>
  </si>
  <si>
    <t>Efficiency calculations for motors tested in accordance with IEEE 112-2017 Method A</t>
  </si>
  <si>
    <t>Efficiency calculations for motors tested in accordance with IEEE 112-2017 Method B</t>
  </si>
  <si>
    <t>Efficiency calculations for motors tested in accordance with IEEE 114-2010</t>
  </si>
  <si>
    <t>Efficiency calculations for motors tested in accordance with CSA C747-09</t>
  </si>
  <si>
    <t>Efficiency calculations for motors tested in accordance with IEC 61800-9-2</t>
  </si>
  <si>
    <t>Report approval and revision history</t>
  </si>
  <si>
    <t>Test Results</t>
  </si>
  <si>
    <t>Load Test Used</t>
  </si>
  <si>
    <t>Perform the load test to any of the following test standards with the external blower configured exactly as it was at the conclusion of the temperature test:</t>
  </si>
  <si>
    <t>IEEE 112 Method B</t>
  </si>
  <si>
    <t>IEEE 114</t>
  </si>
  <si>
    <t>CSA C390</t>
  </si>
  <si>
    <t>CSA C747</t>
  </si>
  <si>
    <t>The average winding temperature must be within 10 ˚C of the target temperature determined in cell C34.</t>
  </si>
  <si>
    <t>Industry load method used</t>
  </si>
  <si>
    <t>Percent Rated Load (%)</t>
  </si>
  <si>
    <t>Rated Motor Torque (N*m)</t>
  </si>
  <si>
    <t>Rated Speed (rpm)</t>
  </si>
  <si>
    <t>2. Photo showing industry performance requirement met (if applicable)</t>
  </si>
  <si>
    <t>3. Photos of the unit from all sides</t>
  </si>
  <si>
    <t>1. Photo of nameplate displaying relevant motor ratings</t>
  </si>
  <si>
    <t>4. Arrival Photos</t>
  </si>
  <si>
    <t>5. Additional photos (if necessary)</t>
  </si>
  <si>
    <t>Reference Test Procedures</t>
  </si>
  <si>
    <t>10 CFR 431 Subpart B Appendix B: Uniform Test Method for Measuring the Efficiency of Electric Motors</t>
  </si>
  <si>
    <t xml:space="preserve"> </t>
  </si>
  <si>
    <r>
      <t>Test Procedure Measurements</t>
    </r>
    <r>
      <rPr>
        <sz val="11"/>
        <color theme="1"/>
        <rFont val="Palatino Linotype"/>
        <family val="1"/>
      </rPr>
      <t xml:space="preserve"> - couple the machine to a load machine and operate at rated load until thermal equilibrium (&lt; = 1 K / 30min) is achieved</t>
    </r>
  </si>
  <si>
    <t>Step 4a (dependent on step 3)</t>
  </si>
  <si>
    <t>Step 4b (dependent on step 3)</t>
  </si>
  <si>
    <t>Step 4c (dependent on step 3)</t>
  </si>
  <si>
    <t>Step 4d (dependent on step 3)</t>
  </si>
  <si>
    <t>Step 4e (dependent on step 3)</t>
  </si>
  <si>
    <t>Step 4f (dependent on step 3)</t>
  </si>
  <si>
    <t>Step 4g (dependent on step 3)</t>
  </si>
  <si>
    <t>Step 4h (dependent on step 3)</t>
  </si>
  <si>
    <t>Step 4i (dependent on step 3)</t>
  </si>
  <si>
    <t>Rated_Frequency</t>
  </si>
  <si>
    <t>NOTE: The term "ESEM" refers to equipment formally named "SNEM" in 10 CFR Part 431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</si>
</sst>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00"/>
  </numFmts>
  <fonts count="37" x14ac:knownFonts="1">
    <font>
      <sz val="11"/>
      <color theme="1"/>
      <name val="Calibri"/>
      <family val="2"/>
      <scheme val="minor"/>
    </font>
    <font>
      <sz val="11"/>
      <color theme="1"/>
      <name val="Palatino Linotype"/>
      <family val="1"/>
    </font>
    <font>
      <b/>
      <sz val="11"/>
      <name val="Palatino Linotype"/>
      <family val="2"/>
    </font>
    <font>
      <b/>
      <sz val="11"/>
      <name val="Palatino Linotype"/>
      <family val="1"/>
    </font>
    <font>
      <sz val="11"/>
      <color theme="1"/>
      <name val="Palatino Linotype"/>
      <family val="2"/>
    </font>
    <font>
      <sz val="11"/>
      <color rgb="FF000000"/>
      <name val="Palatino Linotype"/>
      <family val="1"/>
    </font>
    <font>
      <u/>
      <sz val="11"/>
      <color theme="10"/>
      <name val="Palatino Linotype"/>
      <family val="2"/>
    </font>
    <font>
      <u/>
      <sz val="11"/>
      <color theme="10"/>
      <name val="Palatino Linotype"/>
      <family val="1"/>
    </font>
    <font>
      <b/>
      <sz val="11"/>
      <color indexed="8"/>
      <name val="Palatino Linotype"/>
      <family val="1"/>
    </font>
    <font>
      <sz val="11"/>
      <color indexed="8"/>
      <name val="Palatino Linotype"/>
      <family val="1"/>
    </font>
    <font>
      <sz val="11"/>
      <color theme="0"/>
      <name val="Palatino Linotype"/>
      <family val="1"/>
    </font>
    <font>
      <sz val="10"/>
      <name val="Arial"/>
      <family val="2"/>
    </font>
    <font>
      <sz val="11"/>
      <name val="Palatino Linotype"/>
      <family val="1"/>
    </font>
    <font>
      <sz val="11"/>
      <name val="Palatino Linotype"/>
      <family val="2"/>
    </font>
    <font>
      <b/>
      <sz val="11"/>
      <color theme="1"/>
      <name val="Palatino Linotype"/>
      <family val="1"/>
    </font>
    <font>
      <sz val="11"/>
      <color theme="0"/>
      <name val="Palatino Linotype"/>
      <family val="2"/>
    </font>
    <font>
      <sz val="11"/>
      <color theme="1"/>
      <name val="Calibri"/>
      <family val="2"/>
      <scheme val="minor"/>
    </font>
    <font>
      <sz val="11"/>
      <color rgb="FF3F3F76"/>
      <name val="Palatino Linotype"/>
      <family val="2"/>
    </font>
    <font>
      <sz val="11"/>
      <color theme="0"/>
      <name val="Calibri"/>
      <family val="2"/>
      <scheme val="minor"/>
    </font>
    <font>
      <u/>
      <sz val="11"/>
      <color theme="10"/>
      <name val="Calibri"/>
      <family val="2"/>
    </font>
    <font>
      <i/>
      <sz val="11"/>
      <color theme="6" tint="-0.499984740745262"/>
      <name val="Palatino Linotype"/>
      <family val="2"/>
    </font>
    <font>
      <i/>
      <sz val="11"/>
      <color rgb="FF7F7F7F"/>
      <name val="Palatino Linotype"/>
      <family val="2"/>
    </font>
    <font>
      <sz val="11"/>
      <color rgb="FF9C6500"/>
      <name val="Palatino Linotype"/>
      <family val="2"/>
    </font>
    <font>
      <b/>
      <sz val="11"/>
      <color theme="9" tint="-0.499984740745262"/>
      <name val="Palatino Linotype"/>
      <family val="2"/>
    </font>
    <font>
      <sz val="11"/>
      <color rgb="FFFF0000"/>
      <name val="Palatino Linotype"/>
      <family val="1"/>
    </font>
    <font>
      <sz val="8"/>
      <name val="Calibri"/>
      <family val="2"/>
      <scheme val="minor"/>
    </font>
    <font>
      <i/>
      <sz val="11"/>
      <color rgb="FFFF0000"/>
      <name val="Palatino Linotype"/>
      <family val="1"/>
    </font>
    <font>
      <i/>
      <sz val="11"/>
      <name val="Palatino Linotype"/>
      <family val="1"/>
    </font>
    <font>
      <b/>
      <sz val="11"/>
      <color theme="0"/>
      <name val="Palatino Linotype"/>
      <family val="1"/>
    </font>
    <font>
      <sz val="24"/>
      <color theme="1"/>
      <name val="Palatino Linotype"/>
      <family val="1"/>
    </font>
    <font>
      <vertAlign val="superscript"/>
      <sz val="11"/>
      <color theme="1"/>
      <name val="Palatino Linotype"/>
      <family val="1"/>
    </font>
    <font>
      <sz val="11"/>
      <color theme="1"/>
      <name val="Calibri"/>
      <family val="2"/>
    </font>
    <font>
      <sz val="9.9"/>
      <color theme="1"/>
      <name val="Palatino Linotype"/>
      <family val="1"/>
    </font>
    <font>
      <i/>
      <sz val="11"/>
      <color theme="1"/>
      <name val="Palatino Linotype"/>
      <family val="1"/>
    </font>
    <font>
      <i/>
      <sz val="9"/>
      <color theme="1"/>
      <name val="Palatino Linotype"/>
      <family val="1"/>
    </font>
    <font>
      <sz val="9"/>
      <color theme="1"/>
      <name val="Palatino Linotype"/>
      <family val="1"/>
    </font>
    <font>
      <b/>
      <sz val="10"/>
      <color theme="0"/>
      <name val="Palatino Linotype"/>
      <family val="1"/>
    </font>
  </fonts>
  <fills count="2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800000"/>
        <bgColor indexed="64"/>
      </patternFill>
    </fill>
    <fill>
      <patternFill patternType="solid">
        <fgColor theme="4" tint="0.59996337778862885"/>
        <bgColor indexed="64"/>
      </patternFill>
    </fill>
    <fill>
      <patternFill patternType="solid">
        <fgColor rgb="FFFFFFCC"/>
        <bgColor indexed="64"/>
      </patternFill>
    </fill>
    <fill>
      <patternFill patternType="solid">
        <fgColor rgb="FFFFEB9C"/>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rgb="FF0066CC"/>
        <bgColor indexed="64"/>
      </patternFill>
    </fill>
    <fill>
      <patternFill patternType="solid">
        <fgColor rgb="FF99CCFF"/>
        <bgColor indexed="64"/>
      </patternFill>
    </fill>
    <fill>
      <patternFill patternType="lightUp">
        <fgColor auto="1"/>
        <bgColor rgb="FFD8D8D8"/>
      </patternFill>
    </fill>
    <fill>
      <patternFill patternType="solid">
        <fgColor rgb="FFCCFFCC"/>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9" tint="0.79998168889431442"/>
        <bgColor auto="1"/>
      </patternFill>
    </fill>
    <fill>
      <patternFill patternType="solid">
        <fgColor theme="2" tint="-0.249977111117893"/>
        <bgColor indexed="64"/>
      </patternFill>
    </fill>
    <fill>
      <patternFill patternType="solid">
        <fgColor theme="6" tint="0.39997558519241921"/>
        <bgColor indexed="64"/>
      </patternFill>
    </fill>
    <fill>
      <patternFill patternType="solid">
        <fgColor theme="0" tint="-0.34998626667073579"/>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theme="0" tint="-0.14999847407452621"/>
      </bottom>
      <diagonal/>
    </border>
    <border>
      <left style="medium">
        <color indexed="64"/>
      </left>
      <right style="medium">
        <color indexed="64"/>
      </right>
      <top style="medium">
        <color indexed="64"/>
      </top>
      <bottom style="medium">
        <color indexed="64"/>
      </bottom>
      <diagonal/>
    </border>
    <border>
      <left style="medium">
        <color indexed="64"/>
      </left>
      <right/>
      <top style="thin">
        <color theme="0" tint="-0.14999847407452621"/>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theme="0" tint="-0.14999847407452621"/>
      </top>
      <bottom style="thin">
        <color theme="0" tint="-0.1499984740745262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top style="thin">
        <color theme="0" tint="-0.249977111117893"/>
      </top>
      <bottom style="medium">
        <color indexed="64"/>
      </bottom>
      <diagonal/>
    </border>
    <border>
      <left style="medium">
        <color indexed="64"/>
      </left>
      <right style="thin">
        <color indexed="64"/>
      </right>
      <top/>
      <bottom style="thin">
        <color indexed="64"/>
      </bottom>
      <diagonal/>
    </border>
    <border>
      <left style="medium">
        <color indexed="64"/>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medium">
        <color indexed="64"/>
      </left>
      <right/>
      <top/>
      <bottom style="thin">
        <color theme="0" tint="-0.14999847407452621"/>
      </bottom>
      <diagonal/>
    </border>
    <border>
      <left style="medium">
        <color indexed="64"/>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style="thin">
        <color indexed="64"/>
      </right>
      <top/>
      <bottom style="thin">
        <color theme="0" tint="-0.24994659260841701"/>
      </bottom>
      <diagonal/>
    </border>
    <border>
      <left style="thin">
        <color indexed="64"/>
      </left>
      <right style="medium">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thin">
        <color indexed="64"/>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thin">
        <color theme="0" tint="-0.249977111117893"/>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theme="0" tint="-0.249977111117893"/>
      </bottom>
      <diagonal/>
    </border>
    <border>
      <left style="medium">
        <color indexed="64"/>
      </left>
      <right/>
      <top style="medium">
        <color indexed="64"/>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auto="1"/>
      </right>
      <top/>
      <bottom style="medium">
        <color indexed="64"/>
      </bottom>
      <diagonal/>
    </border>
    <border>
      <left style="medium">
        <color indexed="64"/>
      </left>
      <right/>
      <top style="medium">
        <color indexed="64"/>
      </top>
      <bottom style="thin">
        <color theme="0" tint="-0.14996795556505021"/>
      </bottom>
      <diagonal/>
    </border>
    <border>
      <left style="thin">
        <color indexed="64"/>
      </left>
      <right style="medium">
        <color indexed="64"/>
      </right>
      <top style="medium">
        <color indexed="64"/>
      </top>
      <bottom style="thin">
        <color theme="0" tint="-0.14996795556505021"/>
      </bottom>
      <diagonal/>
    </border>
    <border>
      <left style="medium">
        <color indexed="64"/>
      </left>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style="thin">
        <color theme="0" tint="-0.249977111117893"/>
      </top>
      <bottom style="thin">
        <color theme="0" tint="-0.249977111117893"/>
      </bottom>
      <diagonal/>
    </border>
    <border>
      <left/>
      <right style="thin">
        <color indexed="64"/>
      </right>
      <top style="thin">
        <color theme="0" tint="-0.249977111117893"/>
      </top>
      <bottom style="thin">
        <color theme="0" tint="-0.249977111117893"/>
      </bottom>
      <diagonal/>
    </border>
    <border>
      <left style="medium">
        <color indexed="64"/>
      </left>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medium">
        <color indexed="64"/>
      </left>
      <right/>
      <top style="thin">
        <color theme="0" tint="-0.249977111117893"/>
      </top>
      <bottom/>
      <diagonal/>
    </border>
    <border>
      <left/>
      <right style="thin">
        <color indexed="64"/>
      </right>
      <top style="thin">
        <color theme="0" tint="-0.249977111117893"/>
      </top>
      <bottom/>
      <diagonal/>
    </border>
    <border>
      <left/>
      <right style="thin">
        <color indexed="64"/>
      </right>
      <top style="thin">
        <color theme="0" tint="-0.24994659260841701"/>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theme="2"/>
      </bottom>
      <diagonal/>
    </border>
    <border>
      <left style="medium">
        <color indexed="64"/>
      </left>
      <right style="thin">
        <color indexed="64"/>
      </right>
      <top style="thin">
        <color theme="2"/>
      </top>
      <bottom/>
      <diagonal/>
    </border>
    <border>
      <left style="medium">
        <color indexed="64"/>
      </left>
      <right style="thin">
        <color indexed="64"/>
      </right>
      <top style="thin">
        <color theme="2"/>
      </top>
      <bottom style="thin">
        <color theme="2"/>
      </bottom>
      <diagonal/>
    </border>
    <border>
      <left style="medium">
        <color indexed="64"/>
      </left>
      <right style="thin">
        <color auto="1"/>
      </right>
      <top style="thin">
        <color theme="2"/>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theme="2"/>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style="thin">
        <color theme="0" tint="-0.14999847407452621"/>
      </bottom>
      <diagonal/>
    </border>
    <border>
      <left style="medium">
        <color indexed="64"/>
      </left>
      <right/>
      <top style="medium">
        <color indexed="64"/>
      </top>
      <bottom style="thin">
        <color indexed="64"/>
      </bottom>
      <diagonal/>
    </border>
  </borders>
  <cellStyleXfs count="28">
    <xf numFmtId="0" fontId="0" fillId="0" borderId="0"/>
    <xf numFmtId="0" fontId="2" fillId="4" borderId="0" applyNumberFormat="0" applyBorder="0" applyProtection="0">
      <alignment horizontal="left" vertical="center"/>
    </xf>
    <xf numFmtId="0" fontId="4" fillId="0" borderId="0"/>
    <xf numFmtId="0" fontId="6" fillId="0" borderId="0" applyNumberFormat="0" applyFill="0" applyBorder="0" applyAlignment="0" applyProtection="0">
      <alignment vertical="top"/>
      <protection locked="0"/>
    </xf>
    <xf numFmtId="0" fontId="13" fillId="7" borderId="1" applyNumberFormat="0" applyProtection="0">
      <alignment horizontal="center" vertical="center"/>
    </xf>
    <xf numFmtId="0" fontId="4" fillId="0" borderId="0"/>
    <xf numFmtId="0" fontId="15" fillId="6" borderId="1">
      <alignment horizontal="center" vertical="center"/>
    </xf>
    <xf numFmtId="9" fontId="16" fillId="0" borderId="0" applyFont="0" applyFill="0" applyBorder="0" applyAlignment="0" applyProtection="0"/>
    <xf numFmtId="0" fontId="4" fillId="0" borderId="0"/>
    <xf numFmtId="0" fontId="17" fillId="7" borderId="1" applyNumberFormat="0" applyProtection="0">
      <alignment horizontal="center" vertical="center"/>
    </xf>
    <xf numFmtId="0" fontId="16" fillId="10" borderId="0" applyNumberFormat="0" applyBorder="0" applyAlignment="0" applyProtection="0"/>
    <xf numFmtId="0" fontId="18" fillId="12" borderId="0" applyNumberFormat="0" applyBorder="0" applyAlignment="0" applyProtection="0"/>
    <xf numFmtId="0" fontId="19" fillId="0" borderId="0" applyNumberFormat="0" applyFill="0" applyBorder="0" applyAlignment="0" applyProtection="0">
      <alignment vertical="top"/>
      <protection locked="0"/>
    </xf>
    <xf numFmtId="0" fontId="15" fillId="11" borderId="0" applyNumberFormat="0" applyBorder="0" applyAlignment="0" applyProtection="0"/>
    <xf numFmtId="0" fontId="10" fillId="17" borderId="1">
      <alignment horizontal="center" vertical="center"/>
    </xf>
    <xf numFmtId="0" fontId="13" fillId="18" borderId="1" applyNumberFormat="0" applyAlignment="0" applyProtection="0"/>
    <xf numFmtId="0" fontId="1" fillId="0" borderId="1">
      <alignment horizontal="center"/>
    </xf>
    <xf numFmtId="0" fontId="20" fillId="19" borderId="0" applyNumberFormat="0" applyAlignment="0" applyProtection="0"/>
    <xf numFmtId="0" fontId="21" fillId="0" borderId="0" applyNumberFormat="0" applyFill="0" applyBorder="0" applyAlignment="0" applyProtection="0"/>
    <xf numFmtId="0" fontId="1" fillId="0" borderId="1">
      <alignment horizontal="center" vertical="center"/>
    </xf>
    <xf numFmtId="0" fontId="22" fillId="9" borderId="0" applyNumberFormat="0" applyBorder="0" applyAlignment="0" applyProtection="0"/>
    <xf numFmtId="0" fontId="11" fillId="0" borderId="0"/>
    <xf numFmtId="0" fontId="11" fillId="0" borderId="0"/>
    <xf numFmtId="0" fontId="4" fillId="0" borderId="0"/>
    <xf numFmtId="0" fontId="23" fillId="20" borderId="1" applyNumberFormat="0" applyProtection="0">
      <alignment horizontal="center" vertical="center"/>
    </xf>
    <xf numFmtId="0" fontId="24" fillId="3" borderId="0"/>
    <xf numFmtId="0" fontId="14" fillId="0" borderId="0"/>
    <xf numFmtId="0" fontId="14" fillId="0" borderId="6">
      <alignment horizontal="center" vertical="center" wrapText="1"/>
    </xf>
  </cellStyleXfs>
  <cellXfs count="984">
    <xf numFmtId="0" fontId="0" fillId="0" borderId="0" xfId="0"/>
    <xf numFmtId="0" fontId="7" fillId="0" borderId="0" xfId="3" applyFont="1" applyAlignment="1" applyProtection="1"/>
    <xf numFmtId="165" fontId="1" fillId="14" borderId="16" xfId="10" applyNumberFormat="1" applyFont="1" applyFill="1" applyBorder="1" applyAlignment="1" applyProtection="1">
      <alignment horizontal="center" vertical="center"/>
    </xf>
    <xf numFmtId="0" fontId="10" fillId="6" borderId="16" xfId="11" applyFont="1" applyFill="1" applyBorder="1" applyAlignment="1" applyProtection="1">
      <alignment horizontal="center" vertical="center"/>
    </xf>
    <xf numFmtId="0" fontId="12" fillId="14" borderId="26" xfId="4" applyFont="1" applyFill="1" applyBorder="1" applyProtection="1">
      <alignment horizontal="center" vertical="center"/>
      <protection locked="0"/>
    </xf>
    <xf numFmtId="0" fontId="12" fillId="14" borderId="8" xfId="4" applyFont="1" applyFill="1" applyBorder="1" applyProtection="1">
      <alignment horizontal="center" vertical="center"/>
      <protection locked="0"/>
    </xf>
    <xf numFmtId="14" fontId="12" fillId="14" borderId="11" xfId="9" applyNumberFormat="1" applyFont="1" applyFill="1" applyBorder="1" applyProtection="1">
      <alignment horizontal="center" vertical="center"/>
      <protection locked="0"/>
    </xf>
    <xf numFmtId="14" fontId="12" fillId="14" borderId="8" xfId="9" applyNumberFormat="1" applyFont="1" applyFill="1" applyBorder="1" applyProtection="1">
      <alignment horizontal="center" vertical="center"/>
      <protection locked="0"/>
    </xf>
    <xf numFmtId="0" fontId="12" fillId="14" borderId="11" xfId="4" applyFont="1" applyFill="1" applyBorder="1" applyProtection="1">
      <alignment horizontal="center" vertical="center"/>
      <protection locked="0"/>
    </xf>
    <xf numFmtId="14" fontId="12" fillId="14" borderId="11" xfId="4" applyNumberFormat="1" applyFont="1" applyFill="1" applyBorder="1" applyProtection="1">
      <alignment horizontal="center" vertical="center"/>
      <protection locked="0"/>
    </xf>
    <xf numFmtId="14" fontId="10" fillId="6" borderId="1" xfId="9" applyNumberFormat="1" applyFont="1" applyFill="1" applyProtection="1">
      <alignment horizontal="center" vertical="center"/>
    </xf>
    <xf numFmtId="0" fontId="12" fillId="14" borderId="11" xfId="9" applyFont="1" applyFill="1" applyBorder="1" applyAlignment="1" applyProtection="1">
      <alignment horizontal="left" vertical="center"/>
      <protection locked="0"/>
    </xf>
    <xf numFmtId="14" fontId="12" fillId="14" borderId="1" xfId="9" applyNumberFormat="1" applyFont="1" applyFill="1" applyProtection="1">
      <alignment horizontal="center" vertical="center"/>
      <protection locked="0"/>
    </xf>
    <xf numFmtId="14" fontId="12" fillId="14" borderId="10" xfId="9" applyNumberFormat="1" applyFont="1" applyFill="1" applyBorder="1" applyProtection="1">
      <alignment horizontal="center" vertical="center"/>
      <protection locked="0"/>
    </xf>
    <xf numFmtId="0" fontId="12" fillId="0" borderId="0" xfId="4" applyFont="1" applyFill="1" applyBorder="1" applyProtection="1">
      <alignment horizontal="center" vertical="center"/>
    </xf>
    <xf numFmtId="14" fontId="10" fillId="0" borderId="0" xfId="4" applyNumberFormat="1" applyFont="1" applyFill="1" applyBorder="1" applyProtection="1">
      <alignment horizontal="center" vertical="center"/>
    </xf>
    <xf numFmtId="0" fontId="12" fillId="14" borderId="8" xfId="9" applyFont="1" applyFill="1" applyBorder="1" applyAlignment="1" applyProtection="1">
      <alignment horizontal="left" vertical="center"/>
      <protection locked="0"/>
    </xf>
    <xf numFmtId="14" fontId="12" fillId="14" borderId="1" xfId="4" applyNumberFormat="1" applyFont="1" applyFill="1" applyProtection="1">
      <alignment horizontal="center" vertical="center"/>
      <protection locked="0"/>
    </xf>
    <xf numFmtId="0" fontId="12" fillId="14" borderId="10" xfId="4" applyFont="1" applyFill="1" applyBorder="1" applyProtection="1">
      <alignment horizontal="center" vertical="center"/>
      <protection locked="0"/>
    </xf>
    <xf numFmtId="0" fontId="1" fillId="0" borderId="37" xfId="8" applyFont="1" applyBorder="1" applyAlignment="1">
      <alignment vertical="center"/>
    </xf>
    <xf numFmtId="0" fontId="12" fillId="0" borderId="37" xfId="8" applyFont="1" applyBorder="1" applyAlignment="1">
      <alignment vertical="center"/>
    </xf>
    <xf numFmtId="0" fontId="12" fillId="0" borderId="41" xfId="8" applyFont="1" applyBorder="1" applyAlignment="1">
      <alignment vertical="center"/>
    </xf>
    <xf numFmtId="0" fontId="1" fillId="0" borderId="0" xfId="0" applyFont="1"/>
    <xf numFmtId="0" fontId="1" fillId="3" borderId="0" xfId="0" applyFont="1" applyFill="1"/>
    <xf numFmtId="0" fontId="1" fillId="0" borderId="35" xfId="8" applyFont="1" applyBorder="1"/>
    <xf numFmtId="0" fontId="5" fillId="0" borderId="36" xfId="8" applyFont="1" applyBorder="1" applyAlignment="1">
      <alignment horizontal="left"/>
    </xf>
    <xf numFmtId="0" fontId="1" fillId="0" borderId="37" xfId="8" applyFont="1" applyBorder="1"/>
    <xf numFmtId="0" fontId="5" fillId="0" borderId="38" xfId="8" applyFont="1" applyBorder="1" applyAlignment="1">
      <alignment horizontal="left"/>
    </xf>
    <xf numFmtId="14" fontId="1" fillId="0" borderId="38" xfId="8" applyNumberFormat="1" applyFont="1" applyBorder="1" applyAlignment="1">
      <alignment horizontal="left"/>
    </xf>
    <xf numFmtId="0" fontId="1" fillId="0" borderId="38" xfId="8" applyFont="1" applyBorder="1" applyAlignment="1">
      <alignment horizontal="left"/>
    </xf>
    <xf numFmtId="0" fontId="1" fillId="0" borderId="0" xfId="8" applyFont="1"/>
    <xf numFmtId="14" fontId="1" fillId="0" borderId="0" xfId="8" applyNumberFormat="1" applyFont="1" applyAlignment="1">
      <alignment horizontal="left"/>
    </xf>
    <xf numFmtId="0" fontId="1" fillId="0" borderId="66" xfId="0" applyFont="1" applyBorder="1"/>
    <xf numFmtId="0" fontId="1" fillId="0" borderId="60" xfId="0" applyFont="1" applyBorder="1"/>
    <xf numFmtId="0" fontId="10" fillId="0" borderId="0" xfId="0" applyFont="1" applyAlignment="1">
      <alignment horizontal="center"/>
    </xf>
    <xf numFmtId="2" fontId="10" fillId="0" borderId="0" xfId="0" applyNumberFormat="1" applyFont="1" applyAlignment="1">
      <alignment horizontal="center"/>
    </xf>
    <xf numFmtId="0" fontId="12" fillId="0" borderId="5" xfId="0" applyFont="1" applyBorder="1"/>
    <xf numFmtId="0" fontId="12" fillId="0" borderId="9" xfId="0" applyFont="1" applyBorder="1"/>
    <xf numFmtId="0" fontId="14" fillId="0" borderId="1" xfId="5" applyFont="1" applyBorder="1" applyAlignment="1">
      <alignment horizontal="center"/>
    </xf>
    <xf numFmtId="0" fontId="14" fillId="0" borderId="11" xfId="5" applyFont="1" applyBorder="1" applyAlignment="1">
      <alignment horizontal="center"/>
    </xf>
    <xf numFmtId="14" fontId="10" fillId="6" borderId="25" xfId="4" applyNumberFormat="1" applyFont="1" applyFill="1" applyBorder="1" applyProtection="1">
      <alignment horizontal="center" vertical="center"/>
    </xf>
    <xf numFmtId="0" fontId="10" fillId="6" borderId="26" xfId="4" applyFont="1" applyFill="1" applyBorder="1" applyAlignment="1" applyProtection="1">
      <alignment horizontal="left" vertical="center"/>
    </xf>
    <xf numFmtId="14" fontId="10" fillId="6" borderId="1" xfId="4" applyNumberFormat="1" applyFont="1" applyFill="1" applyProtection="1">
      <alignment horizontal="center" vertical="center"/>
    </xf>
    <xf numFmtId="0" fontId="10" fillId="6" borderId="11" xfId="4" applyFont="1" applyFill="1" applyBorder="1" applyAlignment="1" applyProtection="1">
      <alignment horizontal="left" vertical="center"/>
    </xf>
    <xf numFmtId="0" fontId="12" fillId="0" borderId="7" xfId="0" applyFont="1" applyBorder="1"/>
    <xf numFmtId="14" fontId="10" fillId="6" borderId="10" xfId="4" applyNumberFormat="1" applyFont="1" applyFill="1" applyBorder="1" applyProtection="1">
      <alignment horizontal="center" vertical="center"/>
    </xf>
    <xf numFmtId="0" fontId="10" fillId="6" borderId="8" xfId="4" applyFont="1" applyFill="1" applyBorder="1" applyAlignment="1" applyProtection="1">
      <alignment horizontal="left" vertical="center"/>
    </xf>
    <xf numFmtId="0" fontId="1" fillId="0" borderId="0" xfId="0" applyFont="1" applyAlignment="1">
      <alignment horizontal="left" vertical="center"/>
    </xf>
    <xf numFmtId="0" fontId="10" fillId="0" borderId="0" xfId="5" applyFont="1"/>
    <xf numFmtId="0" fontId="12" fillId="0" borderId="34" xfId="0" applyFont="1" applyBorder="1" applyAlignment="1">
      <alignment vertical="center"/>
    </xf>
    <xf numFmtId="0" fontId="1" fillId="0" borderId="38" xfId="8" applyFont="1" applyBorder="1" applyAlignment="1">
      <alignment horizontal="left" vertical="center" wrapText="1"/>
    </xf>
    <xf numFmtId="0" fontId="1" fillId="0" borderId="39" xfId="8" applyFont="1" applyBorder="1" applyAlignment="1">
      <alignment vertical="center"/>
    </xf>
    <xf numFmtId="14" fontId="1" fillId="0" borderId="40" xfId="8" applyNumberFormat="1" applyFont="1" applyBorder="1" applyAlignment="1">
      <alignment horizontal="left" vertical="center" wrapText="1"/>
    </xf>
    <xf numFmtId="0" fontId="1" fillId="0" borderId="41" xfId="8" applyFont="1" applyBorder="1"/>
    <xf numFmtId="14" fontId="1" fillId="0" borderId="42" xfId="8" applyNumberFormat="1" applyFont="1" applyBorder="1" applyAlignment="1">
      <alignment horizontal="left"/>
    </xf>
    <xf numFmtId="0" fontId="14" fillId="0" borderId="31" xfId="2" applyFont="1" applyBorder="1" applyAlignment="1">
      <alignment horizontal="center"/>
    </xf>
    <xf numFmtId="0" fontId="14" fillId="0" borderId="25" xfId="2" applyFont="1" applyBorder="1" applyAlignment="1">
      <alignment horizontal="center"/>
    </xf>
    <xf numFmtId="0" fontId="14" fillId="0" borderId="26" xfId="2" applyFont="1" applyBorder="1" applyAlignment="1">
      <alignment horizontal="center"/>
    </xf>
    <xf numFmtId="0" fontId="1" fillId="0" borderId="39" xfId="8" applyFont="1" applyBorder="1" applyAlignment="1">
      <alignment horizontal="left" vertical="center"/>
    </xf>
    <xf numFmtId="0" fontId="0" fillId="3" borderId="0" xfId="0" applyFill="1"/>
    <xf numFmtId="0" fontId="0" fillId="0" borderId="16" xfId="0" applyBorder="1"/>
    <xf numFmtId="0" fontId="1" fillId="0" borderId="16" xfId="0" applyFont="1" applyBorder="1"/>
    <xf numFmtId="0" fontId="1" fillId="0" borderId="79" xfId="0" applyFont="1" applyBorder="1" applyAlignment="1">
      <alignment horizontal="center"/>
    </xf>
    <xf numFmtId="0" fontId="1" fillId="0" borderId="80" xfId="0" applyFont="1" applyBorder="1" applyAlignment="1">
      <alignment horizontal="center"/>
    </xf>
    <xf numFmtId="0" fontId="1" fillId="0" borderId="81" xfId="0" applyFont="1" applyBorder="1" applyAlignment="1">
      <alignment horizontal="center"/>
    </xf>
    <xf numFmtId="0" fontId="4" fillId="0" borderId="0" xfId="2"/>
    <xf numFmtId="0" fontId="5" fillId="0" borderId="0" xfId="8" applyFont="1" applyAlignment="1">
      <alignment horizontal="left"/>
    </xf>
    <xf numFmtId="0" fontId="1" fillId="0" borderId="0" xfId="8" applyFont="1" applyAlignment="1">
      <alignment horizontal="left"/>
    </xf>
    <xf numFmtId="0" fontId="1" fillId="0" borderId="0" xfId="8" applyFont="1" applyAlignment="1">
      <alignment horizontal="left" vertical="center" wrapText="1"/>
    </xf>
    <xf numFmtId="0" fontId="1" fillId="0" borderId="56" xfId="8" applyFont="1" applyBorder="1"/>
    <xf numFmtId="0" fontId="1" fillId="0" borderId="57" xfId="8" applyFont="1" applyBorder="1"/>
    <xf numFmtId="0" fontId="1" fillId="0" borderId="25" xfId="8" applyFont="1" applyBorder="1"/>
    <xf numFmtId="0" fontId="1" fillId="0" borderId="56" xfId="0" applyFont="1" applyBorder="1"/>
    <xf numFmtId="0" fontId="1" fillId="0" borderId="25" xfId="0" applyFont="1" applyBorder="1"/>
    <xf numFmtId="0" fontId="1" fillId="0" borderId="57" xfId="0" applyFont="1" applyBorder="1"/>
    <xf numFmtId="14" fontId="1" fillId="0" borderId="0" xfId="8" applyNumberFormat="1" applyFont="1"/>
    <xf numFmtId="0" fontId="1" fillId="3" borderId="0" xfId="8" applyFont="1" applyFill="1"/>
    <xf numFmtId="0" fontId="1" fillId="0" borderId="40" xfId="8" applyFont="1" applyBorder="1" applyAlignment="1">
      <alignment horizontal="left" vertical="center" wrapText="1"/>
    </xf>
    <xf numFmtId="0" fontId="14" fillId="0" borderId="31" xfId="8" applyFont="1" applyBorder="1" applyAlignment="1">
      <alignment horizontal="center"/>
    </xf>
    <xf numFmtId="0" fontId="14" fillId="0" borderId="26" xfId="8" applyFont="1" applyBorder="1" applyAlignment="1">
      <alignment horizontal="center"/>
    </xf>
    <xf numFmtId="0" fontId="1" fillId="0" borderId="43" xfId="8" applyFont="1" applyBorder="1" applyAlignment="1">
      <alignment horizontal="center" wrapText="1"/>
    </xf>
    <xf numFmtId="14" fontId="1" fillId="0" borderId="44" xfId="8" applyNumberFormat="1" applyFont="1" applyBorder="1" applyAlignment="1">
      <alignment horizontal="center" wrapText="1"/>
    </xf>
    <xf numFmtId="0" fontId="1" fillId="0" borderId="45" xfId="8" applyFont="1" applyBorder="1" applyAlignment="1">
      <alignment horizontal="center" wrapText="1"/>
    </xf>
    <xf numFmtId="14" fontId="1" fillId="0" borderId="46" xfId="8" applyNumberFormat="1" applyFont="1" applyBorder="1" applyAlignment="1">
      <alignment horizontal="center" wrapText="1"/>
    </xf>
    <xf numFmtId="0" fontId="12" fillId="0" borderId="47" xfId="8" applyFont="1" applyBorder="1" applyAlignment="1">
      <alignment horizontal="center" wrapText="1"/>
    </xf>
    <xf numFmtId="14" fontId="1" fillId="0" borderId="48" xfId="8" applyNumberFormat="1" applyFont="1" applyBorder="1" applyAlignment="1">
      <alignment horizontal="center" wrapText="1"/>
    </xf>
    <xf numFmtId="0" fontId="1" fillId="0" borderId="49" xfId="8" applyFont="1" applyBorder="1" applyAlignment="1">
      <alignment horizontal="center" wrapText="1"/>
    </xf>
    <xf numFmtId="14" fontId="1" fillId="0" borderId="50" xfId="8" applyNumberFormat="1" applyFont="1" applyBorder="1" applyAlignment="1">
      <alignment horizontal="center" wrapText="1"/>
    </xf>
    <xf numFmtId="14" fontId="1" fillId="3" borderId="0" xfId="8" applyNumberFormat="1" applyFont="1" applyFill="1"/>
    <xf numFmtId="0" fontId="1" fillId="0" borderId="1" xfId="0" applyFont="1" applyBorder="1" applyAlignment="1">
      <alignment horizontal="center" vertical="center"/>
    </xf>
    <xf numFmtId="0" fontId="1" fillId="0" borderId="17" xfId="0" applyFont="1" applyBorder="1" applyAlignment="1">
      <alignment horizontal="center" vertical="center"/>
    </xf>
    <xf numFmtId="0" fontId="1" fillId="0" borderId="19" xfId="0" applyFont="1" applyBorder="1" applyAlignment="1">
      <alignment horizontal="center" vertical="center"/>
    </xf>
    <xf numFmtId="0" fontId="12" fillId="14" borderId="17" xfId="4" applyFont="1" applyFill="1" applyBorder="1" applyAlignment="1" applyProtection="1">
      <alignment horizontal="center" vertical="center" wrapText="1"/>
      <protection locked="0"/>
    </xf>
    <xf numFmtId="0" fontId="12" fillId="14" borderId="1" xfId="4" applyFont="1" applyFill="1" applyAlignment="1" applyProtection="1">
      <alignment horizontal="center" vertical="center" wrapText="1"/>
      <protection locked="0"/>
    </xf>
    <xf numFmtId="0" fontId="12" fillId="14" borderId="19" xfId="4" applyFont="1" applyFill="1" applyBorder="1" applyAlignment="1" applyProtection="1">
      <alignment horizontal="center" vertical="center" wrapText="1"/>
      <protection locked="0"/>
    </xf>
    <xf numFmtId="0" fontId="12" fillId="14" borderId="10" xfId="4" applyFont="1" applyFill="1" applyBorder="1" applyAlignment="1" applyProtection="1">
      <alignment horizontal="center" vertical="center" wrapText="1"/>
      <protection locked="0"/>
    </xf>
    <xf numFmtId="0" fontId="14" fillId="0" borderId="82" xfId="0" applyFont="1" applyBorder="1" applyAlignment="1">
      <alignment horizontal="center" vertical="center"/>
    </xf>
    <xf numFmtId="0" fontId="14" fillId="0" borderId="1" xfId="5" applyFont="1" applyBorder="1" applyAlignment="1">
      <alignment horizontal="center"/>
    </xf>
    <xf numFmtId="0" fontId="12" fillId="0" borderId="0" xfId="8" applyFont="1" applyAlignment="1" applyProtection="1">
      <alignment vertical="center"/>
    </xf>
    <xf numFmtId="0" fontId="12" fillId="3" borderId="0" xfId="8" applyFont="1" applyFill="1" applyAlignment="1" applyProtection="1">
      <alignment vertical="center"/>
    </xf>
    <xf numFmtId="0" fontId="1" fillId="0" borderId="67" xfId="8" applyFont="1" applyBorder="1" applyAlignment="1" applyProtection="1">
      <alignment vertical="center"/>
    </xf>
    <xf numFmtId="0" fontId="5" fillId="0" borderId="68" xfId="8" applyFont="1" applyBorder="1" applyAlignment="1" applyProtection="1">
      <alignment horizontal="left" vertical="center"/>
    </xf>
    <xf numFmtId="0" fontId="1" fillId="0" borderId="0" xfId="8" applyFont="1" applyAlignment="1" applyProtection="1">
      <alignment vertical="center"/>
    </xf>
    <xf numFmtId="0" fontId="1" fillId="3" borderId="0" xfId="8" applyFont="1" applyFill="1" applyAlignment="1" applyProtection="1">
      <alignment vertical="center"/>
    </xf>
    <xf numFmtId="0" fontId="1" fillId="0" borderId="37" xfId="8" applyFont="1" applyBorder="1" applyAlignment="1" applyProtection="1">
      <alignment vertical="center"/>
    </xf>
    <xf numFmtId="0" fontId="5" fillId="0" borderId="38" xfId="8" applyFont="1" applyBorder="1" applyAlignment="1" applyProtection="1">
      <alignment horizontal="left" vertical="center"/>
    </xf>
    <xf numFmtId="14" fontId="1" fillId="0" borderId="38" xfId="8" applyNumberFormat="1" applyFont="1" applyBorder="1" applyAlignment="1" applyProtection="1">
      <alignment horizontal="left" vertical="center"/>
    </xf>
    <xf numFmtId="0" fontId="1" fillId="0" borderId="38" xfId="8" applyFont="1" applyBorder="1" applyAlignment="1" applyProtection="1">
      <alignment horizontal="left" vertical="center"/>
    </xf>
    <xf numFmtId="0" fontId="14" fillId="0" borderId="31" xfId="8" applyFont="1" applyBorder="1" applyAlignment="1" applyProtection="1">
      <alignment horizontal="center" vertical="center"/>
    </xf>
    <xf numFmtId="0" fontId="14" fillId="0" borderId="26" xfId="8" applyFont="1" applyBorder="1" applyAlignment="1" applyProtection="1">
      <alignment horizontal="center" vertical="center"/>
    </xf>
    <xf numFmtId="0" fontId="1" fillId="0" borderId="35" xfId="8" applyFont="1" applyBorder="1" applyAlignment="1" applyProtection="1">
      <alignment vertical="center"/>
    </xf>
    <xf numFmtId="0" fontId="1" fillId="0" borderId="44" xfId="8" applyFont="1" applyBorder="1" applyAlignment="1" applyProtection="1">
      <alignment vertical="center"/>
    </xf>
    <xf numFmtId="0" fontId="1" fillId="0" borderId="46" xfId="8" applyFont="1" applyBorder="1" applyAlignment="1" applyProtection="1">
      <alignment vertical="center"/>
    </xf>
    <xf numFmtId="0" fontId="12" fillId="0" borderId="37" xfId="8" applyFont="1" applyBorder="1" applyAlignment="1" applyProtection="1">
      <alignment vertical="center"/>
    </xf>
    <xf numFmtId="0" fontId="12" fillId="0" borderId="46" xfId="8" applyFont="1" applyBorder="1" applyAlignment="1" applyProtection="1">
      <alignment vertical="center"/>
    </xf>
    <xf numFmtId="0" fontId="12" fillId="0" borderId="41" xfId="8" applyFont="1" applyBorder="1" applyAlignment="1" applyProtection="1">
      <alignment vertical="center"/>
    </xf>
    <xf numFmtId="0" fontId="12" fillId="0" borderId="50" xfId="8" applyFont="1" applyBorder="1" applyAlignment="1" applyProtection="1">
      <alignment vertical="center"/>
    </xf>
    <xf numFmtId="0" fontId="10" fillId="13" borderId="14" xfId="8" applyFont="1" applyFill="1" applyBorder="1" applyAlignment="1" applyProtection="1">
      <alignment horizontal="center" vertical="center"/>
    </xf>
    <xf numFmtId="0" fontId="12" fillId="3" borderId="52" xfId="8" applyFont="1" applyFill="1" applyBorder="1" applyAlignment="1" applyProtection="1">
      <alignment horizontal="center" vertical="center"/>
    </xf>
    <xf numFmtId="0" fontId="12" fillId="0" borderId="16" xfId="8" applyFont="1" applyBorder="1" applyAlignment="1" applyProtection="1">
      <alignment horizontal="center" vertical="center"/>
    </xf>
    <xf numFmtId="0" fontId="14" fillId="15" borderId="20" xfId="0" applyFont="1" applyFill="1" applyBorder="1" applyAlignment="1" applyProtection="1">
      <alignment horizontal="center" vertical="center"/>
    </xf>
    <xf numFmtId="0" fontId="1" fillId="0" borderId="62" xfId="0" applyFont="1" applyBorder="1" applyAlignment="1" applyProtection="1">
      <alignment vertical="center"/>
    </xf>
    <xf numFmtId="0" fontId="12" fillId="0" borderId="73" xfId="8" applyFont="1" applyBorder="1" applyAlignment="1" applyProtection="1">
      <alignment vertical="center"/>
    </xf>
    <xf numFmtId="0" fontId="12" fillId="0" borderId="75" xfId="8" applyFont="1" applyBorder="1" applyAlignment="1" applyProtection="1">
      <alignment vertical="center"/>
    </xf>
    <xf numFmtId="0" fontId="12" fillId="0" borderId="77" xfId="8" applyFont="1" applyBorder="1" applyAlignment="1" applyProtection="1">
      <alignment vertical="center"/>
    </xf>
    <xf numFmtId="0" fontId="7" fillId="0" borderId="74" xfId="12" applyFont="1" applyBorder="1" applyAlignment="1" applyProtection="1">
      <alignment vertical="center"/>
      <protection locked="0"/>
    </xf>
    <xf numFmtId="0" fontId="7" fillId="0" borderId="76" xfId="12" applyFont="1" applyBorder="1" applyAlignment="1" applyProtection="1">
      <alignment vertical="center"/>
      <protection locked="0"/>
    </xf>
    <xf numFmtId="0" fontId="6" fillId="0" borderId="76" xfId="3" quotePrefix="1" applyBorder="1" applyAlignment="1" applyProtection="1">
      <alignment vertical="center"/>
      <protection locked="0"/>
    </xf>
    <xf numFmtId="0" fontId="7" fillId="0" borderId="78" xfId="12" applyFont="1" applyBorder="1" applyAlignment="1" applyProtection="1">
      <alignment vertical="center"/>
      <protection locked="0"/>
    </xf>
    <xf numFmtId="0" fontId="1" fillId="0" borderId="39" xfId="8" applyFont="1" applyBorder="1" applyAlignment="1" applyProtection="1">
      <alignment vertical="center"/>
    </xf>
    <xf numFmtId="0" fontId="1" fillId="0" borderId="40" xfId="8" applyFont="1" applyBorder="1" applyAlignment="1" applyProtection="1">
      <alignment horizontal="left" vertical="center"/>
    </xf>
    <xf numFmtId="0" fontId="1" fillId="0" borderId="61" xfId="8" applyFont="1" applyBorder="1" applyAlignment="1" applyProtection="1">
      <alignment vertical="center"/>
    </xf>
    <xf numFmtId="14" fontId="1" fillId="0" borderId="89" xfId="8" applyNumberFormat="1" applyFont="1" applyBorder="1" applyAlignment="1" applyProtection="1">
      <alignment horizontal="left" vertical="center"/>
    </xf>
    <xf numFmtId="0" fontId="9" fillId="0" borderId="0" xfId="0" applyFont="1" applyBorder="1" applyAlignment="1">
      <alignment horizontal="left"/>
    </xf>
    <xf numFmtId="0" fontId="1" fillId="0" borderId="0" xfId="0" applyFont="1" applyBorder="1"/>
    <xf numFmtId="0" fontId="10" fillId="0" borderId="0" xfId="0" applyFont="1" applyFill="1" applyBorder="1" applyAlignment="1">
      <alignment horizontal="center"/>
    </xf>
    <xf numFmtId="0" fontId="26" fillId="2" borderId="0" xfId="8" applyFont="1" applyFill="1" applyAlignment="1">
      <alignment vertical="center"/>
    </xf>
    <xf numFmtId="14" fontId="10" fillId="6" borderId="56" xfId="4" applyNumberFormat="1" applyFont="1" applyFill="1" applyBorder="1" applyProtection="1">
      <alignment horizontal="center" vertical="center"/>
    </xf>
    <xf numFmtId="0" fontId="10" fillId="6" borderId="86" xfId="4" applyFont="1" applyFill="1" applyBorder="1" applyAlignment="1" applyProtection="1">
      <alignment horizontal="left" vertical="center"/>
    </xf>
    <xf numFmtId="0" fontId="12" fillId="0" borderId="15" xfId="0" applyFont="1" applyBorder="1" applyAlignment="1">
      <alignment vertical="center"/>
    </xf>
    <xf numFmtId="0" fontId="12" fillId="0" borderId="5" xfId="0" applyFont="1" applyBorder="1" applyAlignment="1">
      <alignment vertical="center"/>
    </xf>
    <xf numFmtId="0" fontId="1" fillId="0" borderId="0" xfId="0" applyFont="1" applyProtection="1"/>
    <xf numFmtId="0" fontId="1" fillId="3" borderId="0" xfId="0" applyFont="1" applyFill="1" applyProtection="1"/>
    <xf numFmtId="0" fontId="1" fillId="0" borderId="35" xfId="8" applyFont="1" applyBorder="1" applyProtection="1"/>
    <xf numFmtId="0" fontId="5" fillId="0" borderId="36" xfId="8" applyFont="1" applyBorder="1" applyAlignment="1" applyProtection="1">
      <alignment horizontal="left"/>
    </xf>
    <xf numFmtId="0" fontId="1" fillId="0" borderId="37" xfId="8" applyFont="1" applyBorder="1" applyProtection="1"/>
    <xf numFmtId="0" fontId="5" fillId="0" borderId="38" xfId="8" applyFont="1" applyBorder="1" applyAlignment="1" applyProtection="1">
      <alignment horizontal="left"/>
    </xf>
    <xf numFmtId="14" fontId="1" fillId="0" borderId="38" xfId="8" applyNumberFormat="1" applyFont="1" applyBorder="1" applyAlignment="1" applyProtection="1">
      <alignment horizontal="left"/>
    </xf>
    <xf numFmtId="0" fontId="1" fillId="0" borderId="38" xfId="8" applyFont="1" applyBorder="1" applyAlignment="1" applyProtection="1">
      <alignment horizontal="left"/>
    </xf>
    <xf numFmtId="0" fontId="1" fillId="0" borderId="38" xfId="8" applyFont="1" applyBorder="1" applyAlignment="1" applyProtection="1">
      <alignment horizontal="left" vertical="center" wrapText="1"/>
    </xf>
    <xf numFmtId="0" fontId="1" fillId="0" borderId="39" xfId="8" applyFont="1" applyBorder="1" applyAlignment="1" applyProtection="1">
      <alignment horizontal="left" vertical="center"/>
    </xf>
    <xf numFmtId="14" fontId="1" fillId="0" borderId="40" xfId="8" applyNumberFormat="1" applyFont="1" applyBorder="1" applyAlignment="1" applyProtection="1">
      <alignment horizontal="left" vertical="center" wrapText="1"/>
    </xf>
    <xf numFmtId="0" fontId="1" fillId="0" borderId="41" xfId="8" applyFont="1" applyBorder="1" applyProtection="1"/>
    <xf numFmtId="14" fontId="1" fillId="0" borderId="42" xfId="8" applyNumberFormat="1" applyFont="1" applyBorder="1" applyAlignment="1" applyProtection="1">
      <alignment horizontal="left"/>
    </xf>
    <xf numFmtId="0" fontId="1" fillId="0" borderId="0" xfId="8" applyFont="1" applyProtection="1"/>
    <xf numFmtId="14" fontId="1" fillId="0" borderId="0" xfId="8" applyNumberFormat="1" applyFont="1" applyAlignment="1" applyProtection="1">
      <alignment horizontal="left"/>
    </xf>
    <xf numFmtId="0" fontId="1" fillId="0" borderId="0" xfId="5" applyFont="1" applyProtection="1"/>
    <xf numFmtId="0" fontId="1" fillId="0" borderId="0" xfId="2" applyFont="1" applyProtection="1"/>
    <xf numFmtId="0" fontId="7" fillId="0" borderId="0" xfId="3" applyFont="1" applyAlignment="1" applyProtection="1">
      <protection locked="0"/>
    </xf>
    <xf numFmtId="0" fontId="1" fillId="0" borderId="11" xfId="0" applyFont="1" applyBorder="1"/>
    <xf numFmtId="0" fontId="0" fillId="0" borderId="0" xfId="0" applyBorder="1"/>
    <xf numFmtId="0" fontId="0" fillId="0" borderId="15" xfId="0" applyBorder="1"/>
    <xf numFmtId="0" fontId="14" fillId="0" borderId="15" xfId="0" applyFont="1" applyBorder="1"/>
    <xf numFmtId="0" fontId="3" fillId="0" borderId="61" xfId="0" applyFont="1" applyFill="1" applyBorder="1" applyAlignment="1">
      <alignment vertical="center"/>
    </xf>
    <xf numFmtId="0" fontId="12" fillId="0" borderId="79" xfId="0" applyFont="1" applyFill="1" applyBorder="1" applyAlignment="1">
      <alignment vertical="center"/>
    </xf>
    <xf numFmtId="0" fontId="3" fillId="4" borderId="2" xfId="1" applyFont="1" applyBorder="1" applyAlignment="1" applyProtection="1">
      <alignment vertical="center"/>
    </xf>
    <xf numFmtId="0" fontId="3" fillId="4" borderId="3" xfId="1" applyFont="1" applyBorder="1" applyAlignment="1" applyProtection="1">
      <alignment vertical="center"/>
    </xf>
    <xf numFmtId="0" fontId="12" fillId="0" borderId="79" xfId="0" applyFont="1" applyBorder="1" applyAlignment="1">
      <alignment vertical="center"/>
    </xf>
    <xf numFmtId="0" fontId="1" fillId="0" borderId="11" xfId="0" applyFont="1" applyBorder="1" applyAlignment="1">
      <alignment horizontal="center"/>
    </xf>
    <xf numFmtId="0" fontId="1" fillId="0" borderId="26" xfId="0" applyFont="1" applyBorder="1" applyAlignment="1">
      <alignment horizontal="center"/>
    </xf>
    <xf numFmtId="0" fontId="1" fillId="0" borderId="56" xfId="8" applyFont="1" applyBorder="1" applyAlignment="1">
      <alignment horizontal="left"/>
    </xf>
    <xf numFmtId="0" fontId="1" fillId="0" borderId="57" xfId="8" applyFont="1" applyBorder="1" applyAlignment="1">
      <alignment horizontal="left"/>
    </xf>
    <xf numFmtId="0" fontId="1" fillId="0" borderId="25" xfId="0" applyFont="1" applyBorder="1" applyAlignment="1">
      <alignment horizontal="left"/>
    </xf>
    <xf numFmtId="0" fontId="1" fillId="0" borderId="0" xfId="0" applyFont="1" applyFill="1" applyBorder="1"/>
    <xf numFmtId="0" fontId="3" fillId="0" borderId="61" xfId="0" applyFont="1" applyBorder="1" applyAlignment="1">
      <alignment vertical="center"/>
    </xf>
    <xf numFmtId="0" fontId="12" fillId="0" borderId="79" xfId="0" applyFont="1" applyBorder="1" applyAlignment="1">
      <alignment vertical="center" wrapText="1"/>
    </xf>
    <xf numFmtId="0" fontId="1" fillId="0" borderId="15" xfId="0" applyFont="1" applyBorder="1"/>
    <xf numFmtId="0" fontId="12" fillId="0" borderId="98" xfId="0" applyFont="1" applyBorder="1" applyAlignment="1">
      <alignment vertical="center"/>
    </xf>
    <xf numFmtId="0" fontId="12" fillId="0" borderId="58" xfId="0" applyFont="1" applyBorder="1" applyAlignment="1">
      <alignment vertical="center"/>
    </xf>
    <xf numFmtId="0" fontId="12" fillId="0" borderId="99" xfId="0" applyFont="1" applyBorder="1" applyAlignment="1">
      <alignment vertical="center"/>
    </xf>
    <xf numFmtId="0" fontId="12" fillId="0" borderId="100" xfId="0" applyFont="1" applyBorder="1" applyAlignment="1">
      <alignment vertical="center"/>
    </xf>
    <xf numFmtId="0" fontId="12" fillId="0" borderId="101" xfId="0" applyFont="1" applyBorder="1" applyAlignment="1">
      <alignment vertical="center" wrapText="1"/>
    </xf>
    <xf numFmtId="0" fontId="10" fillId="6" borderId="23" xfId="0" applyFont="1" applyFill="1" applyBorder="1" applyAlignment="1">
      <alignment horizontal="center" vertical="center"/>
    </xf>
    <xf numFmtId="0" fontId="1" fillId="0" borderId="0" xfId="0" applyFont="1" applyFill="1" applyProtection="1"/>
    <xf numFmtId="0" fontId="14" fillId="0" borderId="0" xfId="0" applyFont="1" applyFill="1" applyBorder="1" applyAlignment="1"/>
    <xf numFmtId="0" fontId="1" fillId="0" borderId="0" xfId="0" applyFont="1" applyFill="1" applyBorder="1" applyProtection="1"/>
    <xf numFmtId="0" fontId="1" fillId="0" borderId="0" xfId="0" applyFont="1" applyBorder="1" applyProtection="1"/>
    <xf numFmtId="0" fontId="14" fillId="0" borderId="84" xfId="0" applyFont="1" applyBorder="1" applyAlignment="1">
      <alignment horizontal="center" vertical="center"/>
    </xf>
    <xf numFmtId="0" fontId="14" fillId="0" borderId="0" xfId="0" applyFont="1" applyFill="1" applyBorder="1" applyAlignment="1">
      <alignment horizontal="left"/>
    </xf>
    <xf numFmtId="0" fontId="14" fillId="0" borderId="0" xfId="0" applyFont="1" applyFill="1" applyBorder="1" applyAlignment="1">
      <alignment horizontal="center" vertical="center"/>
    </xf>
    <xf numFmtId="2" fontId="13" fillId="0" borderId="0" xfId="0" applyNumberFormat="1" applyFont="1" applyFill="1" applyBorder="1" applyAlignment="1">
      <alignment horizontal="center" vertical="center"/>
    </xf>
    <xf numFmtId="0" fontId="12" fillId="0" borderId="0" xfId="0" applyFont="1" applyBorder="1" applyProtection="1"/>
    <xf numFmtId="0" fontId="1" fillId="0" borderId="1" xfId="0" applyFont="1" applyBorder="1" applyProtection="1"/>
    <xf numFmtId="0" fontId="1" fillId="0" borderId="1" xfId="0" applyFont="1" applyBorder="1" applyAlignment="1" applyProtection="1">
      <alignment horizontal="center"/>
    </xf>
    <xf numFmtId="0" fontId="12" fillId="0" borderId="1" xfId="0" applyFont="1" applyBorder="1" applyAlignment="1" applyProtection="1">
      <alignment horizontal="center"/>
    </xf>
    <xf numFmtId="0" fontId="1" fillId="0" borderId="16" xfId="0" applyFont="1" applyBorder="1" applyProtection="1"/>
    <xf numFmtId="0" fontId="1" fillId="0" borderId="17" xfId="0" applyFont="1" applyBorder="1" applyAlignment="1">
      <alignment horizontal="right" vertical="center"/>
    </xf>
    <xf numFmtId="0" fontId="1" fillId="0" borderId="17" xfId="0" applyFont="1" applyBorder="1" applyAlignment="1" applyProtection="1">
      <alignment horizontal="right"/>
    </xf>
    <xf numFmtId="0" fontId="1" fillId="0" borderId="15" xfId="0" applyFont="1" applyBorder="1" applyAlignment="1">
      <alignment horizontal="center" vertical="center"/>
    </xf>
    <xf numFmtId="0" fontId="1" fillId="0" borderId="15" xfId="0" applyFont="1" applyBorder="1" applyProtection="1"/>
    <xf numFmtId="0" fontId="1" fillId="0" borderId="17" xfId="0" applyFont="1" applyBorder="1" applyAlignment="1">
      <alignment horizontal="right"/>
    </xf>
    <xf numFmtId="0" fontId="1" fillId="0" borderId="1" xfId="0" applyFont="1" applyBorder="1"/>
    <xf numFmtId="0" fontId="1" fillId="0" borderId="53" xfId="0" applyFont="1" applyBorder="1" applyAlignment="1" applyProtection="1">
      <alignment wrapText="1"/>
    </xf>
    <xf numFmtId="0" fontId="14" fillId="0" borderId="25" xfId="0" applyFont="1" applyBorder="1" applyAlignment="1">
      <alignment horizontal="center" vertical="center"/>
    </xf>
    <xf numFmtId="0" fontId="1" fillId="0" borderId="17" xfId="0" applyFont="1" applyBorder="1" applyAlignment="1">
      <alignment horizontal="center" vertical="center" wrapText="1"/>
    </xf>
    <xf numFmtId="0" fontId="1" fillId="0" borderId="0" xfId="0" applyFont="1" applyBorder="1" applyAlignment="1">
      <alignment horizontal="center" vertical="center"/>
    </xf>
    <xf numFmtId="2" fontId="12" fillId="0" borderId="0" xfId="0" applyNumberFormat="1" applyFont="1" applyBorder="1" applyAlignment="1">
      <alignment horizontal="center"/>
    </xf>
    <xf numFmtId="0" fontId="12" fillId="0" borderId="0" xfId="0" applyFont="1" applyBorder="1" applyAlignment="1">
      <alignment horizontal="center" vertical="center"/>
    </xf>
    <xf numFmtId="0" fontId="29" fillId="0" borderId="0" xfId="0" applyFont="1" applyAlignment="1">
      <alignment horizontal="center"/>
    </xf>
    <xf numFmtId="0" fontId="1" fillId="14" borderId="1" xfId="0" applyFont="1" applyFill="1" applyBorder="1"/>
    <xf numFmtId="0" fontId="1" fillId="0" borderId="0" xfId="0" applyFont="1" applyFill="1"/>
    <xf numFmtId="9" fontId="1" fillId="0" borderId="1" xfId="0" applyNumberFormat="1" applyFont="1" applyBorder="1" applyAlignment="1" applyProtection="1">
      <alignment horizontal="center"/>
    </xf>
    <xf numFmtId="0" fontId="1" fillId="0" borderId="17" xfId="0" applyFont="1" applyBorder="1" applyAlignment="1" applyProtection="1">
      <alignment horizontal="center" vertical="center"/>
    </xf>
    <xf numFmtId="0" fontId="1" fillId="0" borderId="17" xfId="0" applyFont="1" applyBorder="1" applyAlignment="1" applyProtection="1">
      <alignment horizontal="center"/>
    </xf>
    <xf numFmtId="0" fontId="14" fillId="5" borderId="13" xfId="0" applyFont="1" applyFill="1" applyBorder="1" applyAlignment="1"/>
    <xf numFmtId="0" fontId="1" fillId="0" borderId="102" xfId="0" applyFont="1" applyBorder="1" applyProtection="1"/>
    <xf numFmtId="0" fontId="14" fillId="0" borderId="17" xfId="0" applyFont="1" applyBorder="1" applyAlignment="1">
      <alignment horizontal="left"/>
    </xf>
    <xf numFmtId="0" fontId="14" fillId="0" borderId="1" xfId="0" applyFont="1" applyBorder="1" applyAlignment="1">
      <alignment horizontal="left"/>
    </xf>
    <xf numFmtId="0" fontId="14" fillId="0" borderId="17" xfId="0" applyFont="1" applyBorder="1" applyAlignment="1">
      <alignment horizontal="center"/>
    </xf>
    <xf numFmtId="0" fontId="12" fillId="0" borderId="1" xfId="0" applyFont="1" applyBorder="1" applyAlignment="1">
      <alignment horizontal="center"/>
    </xf>
    <xf numFmtId="9" fontId="1" fillId="14" borderId="1" xfId="0" applyNumberFormat="1" applyFont="1" applyFill="1" applyBorder="1" applyAlignment="1" applyProtection="1">
      <alignment horizontal="center"/>
    </xf>
    <xf numFmtId="9" fontId="1" fillId="6" borderId="1" xfId="0" applyNumberFormat="1" applyFont="1" applyFill="1" applyBorder="1" applyAlignment="1" applyProtection="1">
      <alignment horizontal="center"/>
    </xf>
    <xf numFmtId="2" fontId="12" fillId="14" borderId="83" xfId="4" applyNumberFormat="1" applyFont="1" applyFill="1" applyBorder="1" applyProtection="1">
      <alignment horizontal="center" vertical="center"/>
      <protection locked="0"/>
    </xf>
    <xf numFmtId="0" fontId="14" fillId="0" borderId="0" xfId="0" applyFont="1" applyBorder="1" applyAlignment="1">
      <alignment horizontal="center" vertical="center"/>
    </xf>
    <xf numFmtId="0" fontId="14" fillId="0" borderId="13" xfId="0" applyFont="1" applyBorder="1" applyAlignment="1">
      <alignment horizontal="left"/>
    </xf>
    <xf numFmtId="0" fontId="14" fillId="0" borderId="15" xfId="0" applyFont="1" applyBorder="1" applyAlignment="1">
      <alignment horizontal="left"/>
    </xf>
    <xf numFmtId="0" fontId="1" fillId="0" borderId="103" xfId="0" applyFont="1" applyBorder="1" applyAlignment="1">
      <alignment horizontal="right"/>
    </xf>
    <xf numFmtId="0" fontId="1" fillId="0" borderId="31" xfId="0" applyFont="1" applyBorder="1" applyAlignment="1">
      <alignment horizontal="right"/>
    </xf>
    <xf numFmtId="0" fontId="1" fillId="0" borderId="0" xfId="0" applyFont="1" applyBorder="1" applyAlignment="1">
      <alignment horizontal="left"/>
    </xf>
    <xf numFmtId="0" fontId="1" fillId="0" borderId="15" xfId="0" applyFont="1" applyBorder="1" applyAlignment="1">
      <alignment horizontal="right"/>
    </xf>
    <xf numFmtId="0" fontId="1" fillId="0" borderId="0" xfId="0" applyFont="1" applyBorder="1" applyAlignment="1">
      <alignment horizontal="center"/>
    </xf>
    <xf numFmtId="2" fontId="12" fillId="0" borderId="0" xfId="0" applyNumberFormat="1" applyFont="1" applyBorder="1" applyAlignment="1">
      <alignment horizontal="center" vertical="center"/>
    </xf>
    <xf numFmtId="0" fontId="33" fillId="0" borderId="0" xfId="0" applyFont="1" applyBorder="1" applyAlignment="1">
      <alignment horizontal="center"/>
    </xf>
    <xf numFmtId="0" fontId="14" fillId="0" borderId="1" xfId="0" applyFont="1" applyBorder="1" applyAlignment="1">
      <alignment horizontal="center" vertical="center"/>
    </xf>
    <xf numFmtId="0" fontId="14" fillId="0" borderId="0" xfId="0" applyFont="1" applyBorder="1"/>
    <xf numFmtId="0" fontId="24" fillId="0" borderId="0" xfId="0" applyFont="1" applyBorder="1" applyAlignment="1">
      <alignment horizontal="left" vertical="center"/>
    </xf>
    <xf numFmtId="0" fontId="24" fillId="0" borderId="0" xfId="0" applyFont="1" applyBorder="1" applyAlignment="1">
      <alignment horizontal="center" vertical="center"/>
    </xf>
    <xf numFmtId="0" fontId="14" fillId="0" borderId="31" xfId="0" applyFont="1" applyBorder="1" applyAlignment="1">
      <alignment horizontal="center" vertical="center"/>
    </xf>
    <xf numFmtId="0" fontId="14" fillId="0" borderId="15" xfId="0" applyFont="1" applyFill="1" applyBorder="1" applyAlignment="1">
      <alignment horizontal="left"/>
    </xf>
    <xf numFmtId="0" fontId="1" fillId="0" borderId="0" xfId="8" applyFont="1" applyBorder="1"/>
    <xf numFmtId="0" fontId="14" fillId="0" borderId="0" xfId="0" applyFont="1" applyBorder="1" applyAlignment="1">
      <alignment horizontal="center"/>
    </xf>
    <xf numFmtId="0" fontId="1" fillId="0" borderId="0" xfId="0" applyFont="1" applyBorder="1" applyAlignment="1">
      <alignment horizontal="right"/>
    </xf>
    <xf numFmtId="0" fontId="1" fillId="0" borderId="25" xfId="0" applyFont="1" applyBorder="1" applyAlignment="1">
      <alignment horizontal="center"/>
    </xf>
    <xf numFmtId="0" fontId="12" fillId="0" borderId="25" xfId="0" applyFont="1" applyBorder="1" applyAlignment="1">
      <alignment horizontal="center"/>
    </xf>
    <xf numFmtId="0" fontId="1" fillId="0" borderId="1" xfId="0" applyFont="1" applyBorder="1" applyAlignment="1">
      <alignment horizontal="center"/>
    </xf>
    <xf numFmtId="0" fontId="14" fillId="0" borderId="25" xfId="0" applyFont="1" applyFill="1" applyBorder="1" applyAlignment="1">
      <alignment horizontal="center" vertical="center"/>
    </xf>
    <xf numFmtId="0" fontId="14" fillId="0" borderId="25" xfId="0" applyFont="1" applyBorder="1" applyAlignment="1" applyProtection="1">
      <alignment horizontal="center"/>
    </xf>
    <xf numFmtId="0" fontId="12" fillId="0" borderId="62" xfId="0" applyFont="1" applyBorder="1" applyProtection="1"/>
    <xf numFmtId="0" fontId="1" fillId="0" borderId="62" xfId="0" applyFont="1" applyBorder="1" applyProtection="1"/>
    <xf numFmtId="0" fontId="1" fillId="0" borderId="20" xfId="0" applyFont="1" applyBorder="1" applyProtection="1"/>
    <xf numFmtId="0" fontId="1" fillId="0" borderId="16" xfId="0" applyFont="1" applyFill="1" applyBorder="1" applyProtection="1"/>
    <xf numFmtId="0" fontId="12" fillId="0" borderId="62" xfId="0" applyFont="1" applyBorder="1" applyAlignment="1">
      <alignment horizontal="center" vertical="center"/>
    </xf>
    <xf numFmtId="0" fontId="1" fillId="0" borderId="80" xfId="0" applyFont="1" applyBorder="1" applyProtection="1"/>
    <xf numFmtId="0" fontId="1" fillId="0" borderId="79" xfId="0" applyFont="1" applyBorder="1"/>
    <xf numFmtId="0" fontId="14" fillId="0" borderId="87" xfId="0" applyFont="1" applyBorder="1" applyAlignment="1">
      <alignment horizontal="center" vertical="center"/>
    </xf>
    <xf numFmtId="0" fontId="1" fillId="0" borderId="13" xfId="0" applyFont="1" applyBorder="1"/>
    <xf numFmtId="0" fontId="1" fillId="0" borderId="14" xfId="0" applyFont="1" applyBorder="1"/>
    <xf numFmtId="0" fontId="1" fillId="0" borderId="62" xfId="0" applyFont="1" applyBorder="1"/>
    <xf numFmtId="0" fontId="1" fillId="0" borderId="20" xfId="0" applyFont="1" applyBorder="1"/>
    <xf numFmtId="0" fontId="14" fillId="0" borderId="84" xfId="0" applyFont="1" applyBorder="1" applyAlignment="1">
      <alignment horizontal="center"/>
    </xf>
    <xf numFmtId="0" fontId="14" fillId="0" borderId="17" xfId="0" applyFont="1" applyBorder="1" applyAlignment="1" applyProtection="1">
      <alignment horizontal="center"/>
    </xf>
    <xf numFmtId="0" fontId="1" fillId="0" borderId="19" xfId="0" applyFont="1" applyBorder="1" applyAlignment="1" applyProtection="1">
      <alignment horizontal="right"/>
    </xf>
    <xf numFmtId="0" fontId="14" fillId="0" borderId="31" xfId="0" applyFont="1" applyBorder="1" applyAlignment="1" applyProtection="1">
      <alignment horizontal="center"/>
    </xf>
    <xf numFmtId="0" fontId="1" fillId="0" borderId="21" xfId="0" applyFont="1" applyBorder="1" applyAlignment="1" applyProtection="1">
      <alignment horizontal="right"/>
    </xf>
    <xf numFmtId="0" fontId="1" fillId="0" borderId="61" xfId="0" applyFont="1" applyBorder="1"/>
    <xf numFmtId="0" fontId="1" fillId="0" borderId="16" xfId="0" applyFont="1" applyFill="1" applyBorder="1"/>
    <xf numFmtId="0" fontId="14" fillId="0" borderId="0" xfId="0" applyFont="1" applyBorder="1" applyAlignment="1">
      <alignment horizontal="left"/>
    </xf>
    <xf numFmtId="0" fontId="14" fillId="0" borderId="16" xfId="0" applyFont="1" applyBorder="1"/>
    <xf numFmtId="0" fontId="3" fillId="0" borderId="0" xfId="0" applyFont="1" applyBorder="1" applyAlignment="1">
      <alignment horizontal="center" vertical="center"/>
    </xf>
    <xf numFmtId="0" fontId="12" fillId="0" borderId="0" xfId="0" applyFont="1" applyBorder="1"/>
    <xf numFmtId="0" fontId="1" fillId="0" borderId="17" xfId="0" applyFont="1" applyBorder="1" applyAlignment="1">
      <alignment horizontal="right" vertical="center" wrapText="1"/>
    </xf>
    <xf numFmtId="0" fontId="1" fillId="0" borderId="19" xfId="0" applyFont="1" applyBorder="1" applyAlignment="1">
      <alignment horizontal="right" vertical="center" wrapText="1"/>
    </xf>
    <xf numFmtId="0" fontId="14" fillId="0" borderId="13" xfId="0" applyFont="1" applyBorder="1" applyAlignment="1">
      <alignment horizontal="center" vertical="center"/>
    </xf>
    <xf numFmtId="0" fontId="14" fillId="0" borderId="17" xfId="0" applyFont="1" applyBorder="1" applyAlignment="1">
      <alignment horizontal="center" vertical="center"/>
    </xf>
    <xf numFmtId="0" fontId="1" fillId="0" borderId="17" xfId="0" applyFont="1" applyBorder="1" applyAlignment="1">
      <alignment horizontal="center"/>
    </xf>
    <xf numFmtId="0" fontId="1" fillId="0" borderId="62" xfId="0" applyFont="1" applyBorder="1" applyAlignment="1">
      <alignment horizontal="center"/>
    </xf>
    <xf numFmtId="0" fontId="1" fillId="0" borderId="15" xfId="0" applyFont="1" applyBorder="1" applyAlignment="1">
      <alignment horizontal="left"/>
    </xf>
    <xf numFmtId="0" fontId="1" fillId="0" borderId="17" xfId="0" applyFont="1" applyBorder="1" applyAlignment="1">
      <alignment horizontal="right" wrapText="1"/>
    </xf>
    <xf numFmtId="0" fontId="14" fillId="0" borderId="61" xfId="0" applyFont="1" applyBorder="1"/>
    <xf numFmtId="0" fontId="14" fillId="0" borderId="13" xfId="0" applyFont="1" applyBorder="1"/>
    <xf numFmtId="0" fontId="14" fillId="0" borderId="14" xfId="0" applyFont="1" applyBorder="1"/>
    <xf numFmtId="0" fontId="1" fillId="0" borderId="62" xfId="0" applyFont="1" applyBorder="1" applyAlignment="1">
      <alignment horizontal="center" vertical="center"/>
    </xf>
    <xf numFmtId="0" fontId="1" fillId="0" borderId="31" xfId="0" applyFont="1" applyBorder="1"/>
    <xf numFmtId="0" fontId="1" fillId="0" borderId="17" xfId="0" applyFont="1" applyFill="1" applyBorder="1" applyAlignment="1">
      <alignment horizontal="left"/>
    </xf>
    <xf numFmtId="0" fontId="1" fillId="0" borderId="20" xfId="0" applyFont="1" applyFill="1" applyBorder="1"/>
    <xf numFmtId="2" fontId="12" fillId="14" borderId="1" xfId="4" applyNumberFormat="1" applyFont="1" applyFill="1" applyBorder="1" applyProtection="1">
      <alignment horizontal="center" vertical="center"/>
      <protection locked="0"/>
    </xf>
    <xf numFmtId="0" fontId="1" fillId="14" borderId="1" xfId="0" applyFont="1" applyFill="1" applyBorder="1" applyProtection="1"/>
    <xf numFmtId="0" fontId="1" fillId="14" borderId="10" xfId="0" applyFont="1" applyFill="1" applyBorder="1" applyProtection="1"/>
    <xf numFmtId="0" fontId="10" fillId="6" borderId="25" xfId="0" applyFont="1" applyFill="1" applyBorder="1" applyAlignment="1">
      <alignment horizontal="center" vertical="center"/>
    </xf>
    <xf numFmtId="0" fontId="10" fillId="6" borderId="1"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 xfId="0" applyFont="1" applyFill="1" applyBorder="1" applyProtection="1"/>
    <xf numFmtId="0" fontId="10" fillId="6" borderId="1" xfId="0" applyFont="1" applyFill="1" applyBorder="1"/>
    <xf numFmtId="0" fontId="10" fillId="6" borderId="87" xfId="0" applyFont="1" applyFill="1" applyBorder="1" applyAlignment="1">
      <alignment horizontal="center" vertical="center"/>
    </xf>
    <xf numFmtId="0" fontId="10" fillId="6" borderId="88" xfId="0" applyFont="1" applyFill="1" applyBorder="1" applyAlignment="1">
      <alignment horizontal="center" vertical="center"/>
    </xf>
    <xf numFmtId="0" fontId="10" fillId="6" borderId="10" xfId="0" applyFont="1" applyFill="1" applyBorder="1" applyProtection="1"/>
    <xf numFmtId="2" fontId="10" fillId="6" borderId="1" xfId="4" applyNumberFormat="1" applyFont="1" applyFill="1" applyBorder="1" applyProtection="1">
      <alignment horizontal="center" vertical="center"/>
      <protection locked="0"/>
    </xf>
    <xf numFmtId="0" fontId="10" fillId="6" borderId="1" xfId="0" applyFont="1" applyFill="1" applyBorder="1" applyAlignment="1">
      <alignment horizontal="center"/>
    </xf>
    <xf numFmtId="0" fontId="10" fillId="6" borderId="11" xfId="0" applyFont="1" applyFill="1" applyBorder="1" applyAlignment="1">
      <alignment horizontal="center"/>
    </xf>
    <xf numFmtId="0" fontId="10" fillId="6" borderId="11" xfId="0" applyFont="1" applyFill="1" applyBorder="1" applyAlignment="1">
      <alignment horizontal="left"/>
    </xf>
    <xf numFmtId="0" fontId="14" fillId="0" borderId="1" xfId="0" applyFont="1" applyBorder="1" applyAlignment="1">
      <alignment horizontal="left" wrapText="1"/>
    </xf>
    <xf numFmtId="0" fontId="12" fillId="0" borderId="106" xfId="0" applyFont="1" applyBorder="1" applyAlignment="1">
      <alignment vertical="center" wrapText="1"/>
    </xf>
    <xf numFmtId="0" fontId="12" fillId="0" borderId="100" xfId="0" applyFont="1" applyBorder="1" applyAlignment="1">
      <alignment vertical="center" wrapText="1"/>
    </xf>
    <xf numFmtId="0" fontId="12" fillId="0" borderId="106" xfId="0" applyFont="1" applyBorder="1" applyAlignment="1">
      <alignment vertical="center"/>
    </xf>
    <xf numFmtId="0" fontId="10" fillId="6" borderId="1" xfId="0" applyFont="1" applyFill="1" applyBorder="1" applyAlignment="1" applyProtection="1">
      <alignment horizontal="center"/>
    </xf>
    <xf numFmtId="0" fontId="1" fillId="0" borderId="53" xfId="0" applyFont="1" applyBorder="1" applyAlignment="1" applyProtection="1">
      <alignment horizontal="center" vertical="center"/>
    </xf>
    <xf numFmtId="0" fontId="28" fillId="6" borderId="3" xfId="0" applyFont="1" applyFill="1" applyBorder="1" applyAlignment="1" applyProtection="1">
      <alignment horizontal="center" vertical="center"/>
    </xf>
    <xf numFmtId="164" fontId="1" fillId="0" borderId="0" xfId="0" applyNumberFormat="1" applyFont="1" applyBorder="1" applyAlignment="1" applyProtection="1">
      <alignment horizontal="center" vertical="top" wrapText="1"/>
    </xf>
    <xf numFmtId="0" fontId="1" fillId="0" borderId="1" xfId="0" applyNumberFormat="1" applyFont="1" applyBorder="1" applyAlignment="1" applyProtection="1">
      <alignment horizontal="center"/>
    </xf>
    <xf numFmtId="0" fontId="12" fillId="0" borderId="1" xfId="0" applyNumberFormat="1" applyFont="1" applyBorder="1" applyAlignment="1" applyProtection="1">
      <alignment horizontal="center"/>
    </xf>
    <xf numFmtId="0" fontId="14" fillId="0" borderId="31" xfId="0" applyFont="1" applyBorder="1" applyAlignment="1">
      <alignment horizontal="center" vertical="center"/>
    </xf>
    <xf numFmtId="0" fontId="1" fillId="0" borderId="0" xfId="0" applyFont="1" applyBorder="1" applyAlignment="1" applyProtection="1">
      <alignment horizontal="left" vertical="center" wrapText="1"/>
    </xf>
    <xf numFmtId="0" fontId="36" fillId="6" borderId="25" xfId="0" applyFont="1" applyFill="1" applyBorder="1" applyAlignment="1">
      <alignment horizontal="center" vertical="center" wrapText="1"/>
    </xf>
    <xf numFmtId="2" fontId="12" fillId="0" borderId="97" xfId="0" applyNumberFormat="1" applyFont="1" applyBorder="1" applyAlignment="1">
      <alignment horizontal="center" vertical="center"/>
    </xf>
    <xf numFmtId="0" fontId="10" fillId="6" borderId="1" xfId="0" applyFont="1" applyFill="1" applyBorder="1" applyAlignment="1" applyProtection="1">
      <alignment vertical="center"/>
    </xf>
    <xf numFmtId="0" fontId="14" fillId="15" borderId="1" xfId="0" applyFont="1" applyFill="1" applyBorder="1" applyAlignment="1" applyProtection="1">
      <alignment horizontal="center" vertical="center"/>
    </xf>
    <xf numFmtId="0" fontId="1" fillId="0" borderId="16" xfId="0" applyFont="1" applyBorder="1" applyAlignment="1" applyProtection="1">
      <alignment horizontal="left" vertical="center" wrapText="1"/>
    </xf>
    <xf numFmtId="0" fontId="1" fillId="0" borderId="17" xfId="0" applyFont="1" applyBorder="1" applyAlignment="1" applyProtection="1">
      <alignment horizontal="center" wrapText="1"/>
    </xf>
    <xf numFmtId="0" fontId="1" fillId="0" borderId="17" xfId="0" applyFont="1" applyBorder="1" applyAlignment="1" applyProtection="1">
      <alignment horizontal="center" vertical="center" wrapText="1"/>
    </xf>
    <xf numFmtId="0" fontId="1" fillId="0" borderId="19" xfId="0" applyFont="1" applyBorder="1" applyAlignment="1" applyProtection="1">
      <alignment horizontal="center"/>
    </xf>
    <xf numFmtId="0" fontId="1" fillId="0" borderId="31" xfId="0" applyFont="1" applyBorder="1" applyAlignment="1" applyProtection="1">
      <alignment horizontal="center" vertical="center"/>
    </xf>
    <xf numFmtId="0" fontId="1" fillId="0" borderId="19" xfId="0" applyFont="1" applyBorder="1" applyAlignment="1" applyProtection="1">
      <alignment horizontal="center" vertical="center"/>
    </xf>
    <xf numFmtId="0" fontId="1" fillId="14" borderId="25" xfId="0" applyFont="1" applyFill="1" applyBorder="1" applyAlignment="1" applyProtection="1">
      <alignment vertical="center"/>
    </xf>
    <xf numFmtId="0" fontId="10" fillId="6" borderId="10" xfId="0" applyFont="1" applyFill="1" applyBorder="1" applyAlignment="1" applyProtection="1">
      <alignment vertical="center"/>
    </xf>
    <xf numFmtId="0" fontId="1" fillId="0" borderId="13" xfId="0" applyFont="1" applyBorder="1" applyProtection="1"/>
    <xf numFmtId="0" fontId="1" fillId="0" borderId="14" xfId="0" applyFont="1" applyBorder="1" applyProtection="1"/>
    <xf numFmtId="0" fontId="1" fillId="0" borderId="62" xfId="0" applyFont="1" applyFill="1" applyBorder="1" applyProtection="1"/>
    <xf numFmtId="164" fontId="1" fillId="0" borderId="13" xfId="0" applyNumberFormat="1" applyFont="1" applyBorder="1" applyAlignment="1" applyProtection="1">
      <alignment horizontal="center" vertical="top" wrapText="1"/>
    </xf>
    <xf numFmtId="164" fontId="1" fillId="0" borderId="16" xfId="0" applyNumberFormat="1" applyFont="1" applyBorder="1" applyAlignment="1" applyProtection="1">
      <alignment horizontal="center" vertical="top" wrapText="1"/>
    </xf>
    <xf numFmtId="164" fontId="1" fillId="0" borderId="62" xfId="0" applyNumberFormat="1" applyFont="1" applyBorder="1" applyAlignment="1" applyProtection="1">
      <alignment horizontal="center" vertical="top" wrapText="1"/>
    </xf>
    <xf numFmtId="164" fontId="1" fillId="0" borderId="20" xfId="0" applyNumberFormat="1" applyFont="1" applyBorder="1" applyAlignment="1" applyProtection="1">
      <alignment horizontal="center" vertical="top" wrapText="1"/>
    </xf>
    <xf numFmtId="0" fontId="1" fillId="14" borderId="1" xfId="0" applyFont="1" applyFill="1" applyBorder="1" applyAlignment="1" applyProtection="1">
      <alignment horizontal="center" vertical="center"/>
    </xf>
    <xf numFmtId="0" fontId="1" fillId="0" borderId="15" xfId="0" applyFont="1" applyFill="1" applyBorder="1" applyProtection="1"/>
    <xf numFmtId="0" fontId="1" fillId="0" borderId="80" xfId="0" applyFont="1" applyFill="1" applyBorder="1" applyProtection="1"/>
    <xf numFmtId="0" fontId="1" fillId="14" borderId="1" xfId="0" applyFont="1" applyFill="1" applyBorder="1" applyAlignment="1" applyProtection="1">
      <alignment horizontal="center" vertical="center" wrapText="1"/>
    </xf>
    <xf numFmtId="0" fontId="1" fillId="0" borderId="37" xfId="8" applyFont="1" applyBorder="1" applyAlignment="1" applyProtection="1">
      <alignment horizontal="left" vertical="center"/>
    </xf>
    <xf numFmtId="0" fontId="1" fillId="0" borderId="35" xfId="8" applyFont="1" applyBorder="1" applyAlignment="1" applyProtection="1">
      <alignment horizontal="left" vertical="center"/>
    </xf>
    <xf numFmtId="0" fontId="1" fillId="0" borderId="41" xfId="8" applyFont="1" applyBorder="1" applyAlignment="1" applyProtection="1">
      <alignment horizontal="left" vertical="center"/>
    </xf>
    <xf numFmtId="0" fontId="5" fillId="0" borderId="36" xfId="8" applyFont="1" applyBorder="1" applyAlignment="1" applyProtection="1">
      <alignment horizontal="left" vertical="center"/>
    </xf>
    <xf numFmtId="14" fontId="1" fillId="0" borderId="42" xfId="8" applyNumberFormat="1" applyFont="1" applyBorder="1" applyAlignment="1" applyProtection="1">
      <alignment horizontal="left" vertical="center"/>
    </xf>
    <xf numFmtId="0" fontId="1" fillId="0" borderId="25" xfId="0" applyFont="1" applyFill="1" applyBorder="1" applyAlignment="1">
      <alignment horizontal="center"/>
    </xf>
    <xf numFmtId="0" fontId="1" fillId="0" borderId="13" xfId="0" applyFont="1" applyFill="1" applyBorder="1" applyProtection="1"/>
    <xf numFmtId="0" fontId="1" fillId="0" borderId="19" xfId="0" applyFont="1" applyBorder="1" applyAlignment="1">
      <alignment horizontal="right"/>
    </xf>
    <xf numFmtId="0" fontId="10" fillId="6" borderId="83" xfId="0" applyFont="1" applyFill="1" applyBorder="1" applyAlignment="1">
      <alignment horizontal="center"/>
    </xf>
    <xf numFmtId="0" fontId="10" fillId="6" borderId="18" xfId="0" applyFont="1" applyFill="1" applyBorder="1" applyAlignment="1">
      <alignment horizontal="center"/>
    </xf>
    <xf numFmtId="0" fontId="1" fillId="0" borderId="79" xfId="0" applyFont="1" applyBorder="1" applyAlignment="1">
      <alignment horizontal="center" vertical="center"/>
    </xf>
    <xf numFmtId="0" fontId="1" fillId="0" borderId="31" xfId="0" applyFont="1" applyBorder="1" applyProtection="1"/>
    <xf numFmtId="0" fontId="1" fillId="0" borderId="17" xfId="0" applyFont="1" applyBorder="1" applyAlignment="1">
      <alignment horizontal="left" vertical="center" wrapText="1"/>
    </xf>
    <xf numFmtId="0" fontId="10" fillId="6" borderId="10" xfId="0" applyFont="1" applyFill="1" applyBorder="1" applyAlignment="1" applyProtection="1">
      <alignment horizontal="center" vertical="center"/>
    </xf>
    <xf numFmtId="0" fontId="10" fillId="6" borderId="10" xfId="0" applyFont="1" applyFill="1" applyBorder="1" applyAlignment="1" applyProtection="1">
      <alignment horizontal="center"/>
    </xf>
    <xf numFmtId="2" fontId="12" fillId="14" borderId="10" xfId="4" applyNumberFormat="1" applyFont="1" applyFill="1" applyBorder="1" applyProtection="1">
      <alignment horizontal="center" vertical="center"/>
      <protection locked="0"/>
    </xf>
    <xf numFmtId="9" fontId="10" fillId="6" borderId="1" xfId="0" applyNumberFormat="1" applyFont="1" applyFill="1" applyBorder="1" applyAlignment="1" applyProtection="1">
      <alignment horizontal="center"/>
    </xf>
    <xf numFmtId="0" fontId="10" fillId="6" borderId="56" xfId="0" applyNumberFormat="1" applyFont="1" applyFill="1" applyBorder="1" applyAlignment="1" applyProtection="1">
      <alignment horizontal="center"/>
    </xf>
    <xf numFmtId="0" fontId="10" fillId="6" borderId="1" xfId="0" applyNumberFormat="1" applyFont="1" applyFill="1" applyBorder="1" applyAlignment="1" applyProtection="1">
      <alignment horizontal="center"/>
    </xf>
    <xf numFmtId="9" fontId="10" fillId="6" borderId="25" xfId="0" applyNumberFormat="1" applyFont="1" applyFill="1" applyBorder="1" applyAlignment="1" applyProtection="1">
      <alignment horizontal="center"/>
    </xf>
    <xf numFmtId="0" fontId="14" fillId="0" borderId="31" xfId="0" applyFont="1" applyBorder="1" applyAlignment="1">
      <alignment horizontal="center" vertical="center"/>
    </xf>
    <xf numFmtId="0" fontId="14" fillId="0" borderId="61" xfId="0" applyFont="1" applyBorder="1" applyAlignment="1">
      <alignment horizontal="left"/>
    </xf>
    <xf numFmtId="0" fontId="14" fillId="0" borderId="62" xfId="0" applyFont="1" applyBorder="1" applyAlignment="1">
      <alignment horizontal="left"/>
    </xf>
    <xf numFmtId="0" fontId="1" fillId="0" borderId="1" xfId="0" applyFont="1" applyBorder="1" applyAlignment="1">
      <alignment horizontal="center"/>
    </xf>
    <xf numFmtId="0" fontId="14" fillId="0" borderId="82" xfId="0" applyFont="1" applyBorder="1" applyAlignment="1">
      <alignment horizontal="center"/>
    </xf>
    <xf numFmtId="0" fontId="14" fillId="0" borderId="0" xfId="0" applyFont="1" applyBorder="1" applyAlignment="1">
      <alignment horizontal="left"/>
    </xf>
    <xf numFmtId="0" fontId="14" fillId="0" borderId="15" xfId="0" applyFont="1" applyBorder="1" applyAlignment="1">
      <alignment horizontal="left"/>
    </xf>
    <xf numFmtId="0" fontId="0" fillId="0" borderId="1" xfId="0" applyBorder="1"/>
    <xf numFmtId="0" fontId="0" fillId="0" borderId="1" xfId="0" applyNumberFormat="1" applyBorder="1"/>
    <xf numFmtId="0" fontId="14" fillId="0" borderId="23" xfId="0" applyFont="1" applyFill="1" applyBorder="1" applyAlignment="1">
      <alignment horizontal="center" vertical="center"/>
    </xf>
    <xf numFmtId="0" fontId="1" fillId="14" borderId="23" xfId="0" applyFont="1" applyFill="1" applyBorder="1" applyProtection="1"/>
    <xf numFmtId="0" fontId="28" fillId="6" borderId="88" xfId="0" applyFont="1" applyFill="1" applyBorder="1" applyAlignment="1" applyProtection="1">
      <alignment horizontal="center"/>
    </xf>
    <xf numFmtId="0" fontId="3" fillId="0" borderId="97" xfId="0" applyFont="1" applyFill="1" applyBorder="1" applyAlignment="1">
      <alignment horizontal="center" vertical="center"/>
    </xf>
    <xf numFmtId="2" fontId="13" fillId="0" borderId="97" xfId="0" applyNumberFormat="1" applyFont="1" applyFill="1" applyBorder="1" applyAlignment="1">
      <alignment horizontal="center" vertical="center"/>
    </xf>
    <xf numFmtId="2" fontId="13" fillId="0" borderId="108" xfId="0" applyNumberFormat="1" applyFont="1" applyFill="1" applyBorder="1" applyAlignment="1">
      <alignment horizontal="center" vertical="center"/>
    </xf>
    <xf numFmtId="0" fontId="1" fillId="0" borderId="17" xfId="0" applyFont="1" applyBorder="1" applyAlignment="1" applyProtection="1">
      <alignment horizontal="right" vertical="center"/>
    </xf>
    <xf numFmtId="0" fontId="14" fillId="0" borderId="82" xfId="0" applyFont="1" applyBorder="1" applyAlignment="1">
      <alignment horizontal="left" vertical="center"/>
    </xf>
    <xf numFmtId="0" fontId="3" fillId="0" borderId="107" xfId="0" applyFont="1" applyBorder="1" applyAlignment="1">
      <alignment horizontal="center" vertical="center"/>
    </xf>
    <xf numFmtId="2" fontId="12" fillId="0" borderId="97" xfId="0" applyNumberFormat="1" applyFont="1" applyFill="1" applyBorder="1" applyAlignment="1">
      <alignment horizontal="center" vertical="center"/>
    </xf>
    <xf numFmtId="0" fontId="14" fillId="0" borderId="97" xfId="0" applyFont="1" applyFill="1" applyBorder="1" applyAlignment="1" applyProtection="1">
      <alignment horizontal="center" vertical="center"/>
    </xf>
    <xf numFmtId="0" fontId="3" fillId="0" borderId="107" xfId="0" applyFont="1" applyFill="1" applyBorder="1" applyAlignment="1">
      <alignment horizontal="center" vertical="center"/>
    </xf>
    <xf numFmtId="0" fontId="14" fillId="0" borderId="108" xfId="0" applyFont="1" applyFill="1" applyBorder="1" applyAlignment="1" applyProtection="1">
      <alignment horizontal="center" vertical="center"/>
    </xf>
    <xf numFmtId="0" fontId="1" fillId="0" borderId="97" xfId="0" applyFont="1" applyFill="1" applyBorder="1" applyAlignment="1" applyProtection="1">
      <alignment horizontal="center" vertical="center"/>
    </xf>
    <xf numFmtId="0" fontId="3" fillId="0" borderId="97" xfId="0" applyFont="1" applyBorder="1" applyAlignment="1">
      <alignment horizontal="center" vertical="center"/>
    </xf>
    <xf numFmtId="2" fontId="12" fillId="0" borderId="108" xfId="0" applyNumberFormat="1" applyFont="1" applyBorder="1" applyAlignment="1">
      <alignment horizontal="center" vertical="center"/>
    </xf>
    <xf numFmtId="0" fontId="1" fillId="0" borderId="19" xfId="0" applyFont="1" applyBorder="1" applyAlignment="1">
      <alignment horizontal="right" vertical="center"/>
    </xf>
    <xf numFmtId="0" fontId="1" fillId="0" borderId="31" xfId="0" applyFont="1" applyBorder="1" applyAlignment="1">
      <alignment horizontal="right" vertical="center"/>
    </xf>
    <xf numFmtId="0" fontId="1" fillId="0" borderId="31" xfId="0" applyFont="1" applyBorder="1" applyAlignment="1">
      <alignment horizontal="right" vertical="center" wrapText="1"/>
    </xf>
    <xf numFmtId="0" fontId="12" fillId="14" borderId="85" xfId="4" applyNumberFormat="1" applyFont="1" applyFill="1" applyBorder="1" applyProtection="1">
      <alignment horizontal="center" vertical="center"/>
      <protection locked="0"/>
    </xf>
    <xf numFmtId="0" fontId="12" fillId="14" borderId="26" xfId="4" applyNumberFormat="1" applyFont="1" applyFill="1" applyBorder="1" applyProtection="1">
      <alignment horizontal="center" vertical="center"/>
      <protection locked="0"/>
    </xf>
    <xf numFmtId="0" fontId="12" fillId="14" borderId="59" xfId="4" applyNumberFormat="1" applyFont="1" applyFill="1" applyBorder="1" applyProtection="1">
      <alignment horizontal="center" vertical="center"/>
      <protection locked="0"/>
    </xf>
    <xf numFmtId="0" fontId="12" fillId="14" borderId="11" xfId="4" applyNumberFormat="1" applyFont="1" applyFill="1" applyBorder="1" applyProtection="1">
      <alignment horizontal="center" vertical="center"/>
      <protection locked="0"/>
    </xf>
    <xf numFmtId="0" fontId="12" fillId="14" borderId="18" xfId="4" applyNumberFormat="1" applyFont="1" applyFill="1" applyBorder="1" applyProtection="1">
      <alignment horizontal="center" vertical="center"/>
      <protection locked="0"/>
    </xf>
    <xf numFmtId="165" fontId="12" fillId="14" borderId="86" xfId="4" applyNumberFormat="1" applyFont="1" applyFill="1" applyBorder="1" applyProtection="1">
      <alignment horizontal="center" vertical="center"/>
      <protection locked="0"/>
    </xf>
    <xf numFmtId="0" fontId="12" fillId="14" borderId="86" xfId="7" applyNumberFormat="1" applyFont="1" applyFill="1" applyBorder="1" applyAlignment="1" applyProtection="1">
      <alignment horizontal="center" vertical="center"/>
      <protection locked="0"/>
    </xf>
    <xf numFmtId="0" fontId="12" fillId="14" borderId="11" xfId="7" applyNumberFormat="1" applyFont="1" applyFill="1" applyBorder="1" applyAlignment="1" applyProtection="1">
      <alignment horizontal="center" vertical="center"/>
      <protection locked="0"/>
    </xf>
    <xf numFmtId="0" fontId="12" fillId="14" borderId="52" xfId="4" applyFont="1" applyFill="1" applyBorder="1" applyProtection="1">
      <alignment horizontal="center" vertical="center"/>
      <protection locked="0"/>
    </xf>
    <xf numFmtId="165" fontId="12" fillId="14" borderId="81" xfId="4" applyNumberFormat="1" applyFont="1" applyFill="1" applyBorder="1" applyProtection="1">
      <alignment horizontal="center" vertical="center"/>
      <protection locked="0"/>
    </xf>
    <xf numFmtId="0" fontId="12" fillId="14" borderId="8" xfId="7" applyNumberFormat="1" applyFont="1" applyFill="1" applyBorder="1" applyAlignment="1" applyProtection="1">
      <alignment horizontal="center" vertical="center"/>
      <protection locked="0"/>
    </xf>
    <xf numFmtId="0" fontId="12" fillId="0" borderId="15" xfId="0" applyFont="1" applyFill="1" applyBorder="1" applyAlignment="1">
      <alignment vertical="center"/>
    </xf>
    <xf numFmtId="0" fontId="12" fillId="0" borderId="100" xfId="0" applyFont="1" applyFill="1" applyBorder="1" applyAlignment="1">
      <alignment vertical="center"/>
    </xf>
    <xf numFmtId="0" fontId="12" fillId="0" borderId="58" xfId="0" applyFont="1" applyFill="1" applyBorder="1" applyAlignment="1">
      <alignment vertical="center"/>
    </xf>
    <xf numFmtId="0" fontId="1" fillId="0" borderId="103" xfId="0" applyFont="1" applyBorder="1" applyAlignment="1">
      <alignment horizontal="right" vertical="center"/>
    </xf>
    <xf numFmtId="0" fontId="1" fillId="0" borderId="19" xfId="0" applyFont="1" applyBorder="1" applyAlignment="1" applyProtection="1">
      <alignment horizontal="right" vertical="center"/>
    </xf>
    <xf numFmtId="2" fontId="12" fillId="14" borderId="23" xfId="4" applyNumberFormat="1" applyFont="1" applyFill="1" applyBorder="1" applyProtection="1">
      <alignment horizontal="center" vertical="center"/>
      <protection locked="0"/>
    </xf>
    <xf numFmtId="0" fontId="1" fillId="0" borderId="97" xfId="0" applyFont="1" applyBorder="1" applyProtection="1"/>
    <xf numFmtId="0" fontId="14" fillId="0" borderId="31" xfId="0" applyFont="1" applyBorder="1" applyAlignment="1">
      <alignment horizontal="center" vertical="center"/>
    </xf>
    <xf numFmtId="0" fontId="14" fillId="0" borderId="31" xfId="0" applyFont="1" applyBorder="1" applyAlignment="1">
      <alignment horizontal="center" vertical="center"/>
    </xf>
    <xf numFmtId="0" fontId="14" fillId="0" borderId="1"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4" fillId="0" borderId="1" xfId="0" applyFont="1" applyFill="1" applyBorder="1" applyAlignment="1">
      <alignment horizontal="center" vertical="center"/>
    </xf>
    <xf numFmtId="0" fontId="10" fillId="0" borderId="80" xfId="0" applyFont="1" applyFill="1" applyBorder="1"/>
    <xf numFmtId="0" fontId="10" fillId="0" borderId="0" xfId="0" applyFont="1" applyFill="1" applyBorder="1"/>
    <xf numFmtId="0" fontId="1" fillId="0" borderId="103" xfId="0" applyFont="1" applyBorder="1" applyAlignment="1">
      <alignment horizontal="right" vertical="top"/>
    </xf>
    <xf numFmtId="9" fontId="1" fillId="0" borderId="1" xfId="0" applyNumberFormat="1" applyFont="1" applyBorder="1" applyAlignment="1">
      <alignment horizontal="center" vertical="center"/>
    </xf>
    <xf numFmtId="0" fontId="1" fillId="0" borderId="0" xfId="0" applyNumberFormat="1" applyFont="1" applyProtection="1"/>
    <xf numFmtId="0" fontId="1" fillId="0" borderId="31" xfId="0" applyFont="1" applyBorder="1" applyAlignment="1" applyProtection="1">
      <alignment horizontal="right"/>
    </xf>
    <xf numFmtId="0" fontId="1" fillId="0" borderId="17" xfId="0" applyNumberFormat="1" applyFont="1" applyBorder="1" applyAlignment="1">
      <alignment horizontal="right" vertical="center"/>
    </xf>
    <xf numFmtId="0" fontId="1" fillId="0" borderId="17" xfId="0" applyFont="1" applyFill="1" applyBorder="1" applyAlignment="1" applyProtection="1">
      <alignment horizontal="right"/>
    </xf>
    <xf numFmtId="0" fontId="1" fillId="0" borderId="25" xfId="0" applyFont="1" applyBorder="1" applyProtection="1"/>
    <xf numFmtId="0" fontId="14" fillId="0" borderId="24" xfId="0" applyFont="1" applyFill="1" applyBorder="1" applyProtection="1"/>
    <xf numFmtId="0" fontId="1" fillId="0" borderId="17" xfId="0" applyNumberFormat="1" applyFont="1" applyBorder="1" applyAlignment="1" applyProtection="1">
      <alignment horizontal="right"/>
    </xf>
    <xf numFmtId="9" fontId="10" fillId="6" borderId="56" xfId="0" applyNumberFormat="1" applyFont="1" applyFill="1" applyBorder="1" applyAlignment="1" applyProtection="1">
      <alignment horizontal="center"/>
    </xf>
    <xf numFmtId="0" fontId="10" fillId="0" borderId="0" xfId="0" applyFont="1" applyBorder="1" applyProtection="1"/>
    <xf numFmtId="0" fontId="1" fillId="0" borderId="17" xfId="0" applyFont="1" applyBorder="1" applyAlignment="1" applyProtection="1">
      <alignment horizontal="right" wrapText="1"/>
    </xf>
    <xf numFmtId="9" fontId="10" fillId="6" borderId="23" xfId="0" applyNumberFormat="1" applyFont="1" applyFill="1" applyBorder="1" applyAlignment="1" applyProtection="1">
      <alignment horizontal="center"/>
    </xf>
    <xf numFmtId="0" fontId="10" fillId="6" borderId="23" xfId="0" applyFont="1" applyFill="1" applyBorder="1" applyProtection="1"/>
    <xf numFmtId="0" fontId="10" fillId="6" borderId="11" xfId="0" applyNumberFormat="1" applyFont="1" applyFill="1" applyBorder="1" applyAlignment="1" applyProtection="1">
      <alignment horizontal="center"/>
    </xf>
    <xf numFmtId="9" fontId="10" fillId="6" borderId="10" xfId="0" applyNumberFormat="1" applyFont="1" applyFill="1" applyBorder="1" applyAlignment="1" applyProtection="1">
      <alignment horizontal="center"/>
    </xf>
    <xf numFmtId="0" fontId="10" fillId="0" borderId="62" xfId="0" applyFont="1" applyBorder="1" applyProtection="1"/>
    <xf numFmtId="9" fontId="10" fillId="23" borderId="1" xfId="0" applyNumberFormat="1" applyFont="1" applyFill="1" applyBorder="1" applyAlignment="1" applyProtection="1">
      <alignment horizontal="center"/>
    </xf>
    <xf numFmtId="9" fontId="10" fillId="23" borderId="11" xfId="0" applyNumberFormat="1" applyFont="1" applyFill="1" applyBorder="1" applyAlignment="1" applyProtection="1">
      <alignment horizontal="center"/>
    </xf>
    <xf numFmtId="0" fontId="33" fillId="0" borderId="21" xfId="0" applyFont="1" applyBorder="1" applyAlignment="1" applyProtection="1">
      <alignment horizontal="right"/>
    </xf>
    <xf numFmtId="0" fontId="1" fillId="0" borderId="24" xfId="0" applyNumberFormat="1" applyFont="1" applyBorder="1" applyAlignment="1" applyProtection="1">
      <alignment horizontal="center"/>
    </xf>
    <xf numFmtId="0" fontId="1" fillId="0" borderId="24" xfId="0" applyFont="1" applyBorder="1" applyProtection="1"/>
    <xf numFmtId="0" fontId="10" fillId="6" borderId="25" xfId="0" applyNumberFormat="1" applyFont="1" applyFill="1" applyBorder="1" applyAlignment="1" applyProtection="1">
      <alignment horizontal="center"/>
    </xf>
    <xf numFmtId="0" fontId="1" fillId="0" borderId="19" xfId="0" applyFont="1" applyFill="1" applyBorder="1" applyAlignment="1">
      <alignment horizontal="right" vertical="center"/>
    </xf>
    <xf numFmtId="0" fontId="1" fillId="0" borderId="31" xfId="0" applyFont="1" applyFill="1" applyBorder="1" applyAlignment="1">
      <alignment horizontal="right" vertical="center" wrapText="1"/>
    </xf>
    <xf numFmtId="0" fontId="0" fillId="0" borderId="97" xfId="0" applyBorder="1"/>
    <xf numFmtId="0" fontId="1" fillId="0" borderId="17" xfId="0" applyFont="1" applyFill="1" applyBorder="1" applyAlignment="1">
      <alignment horizontal="right" vertical="center" wrapText="1"/>
    </xf>
    <xf numFmtId="0" fontId="1" fillId="0" borderId="17" xfId="0" applyFont="1" applyFill="1" applyBorder="1" applyAlignment="1">
      <alignment horizontal="right" vertical="center"/>
    </xf>
    <xf numFmtId="0" fontId="1" fillId="0" borderId="72" xfId="0" applyFont="1" applyBorder="1" applyAlignment="1">
      <alignment horizontal="right" vertical="center" wrapText="1"/>
    </xf>
    <xf numFmtId="2" fontId="10" fillId="6" borderId="109" xfId="0" applyNumberFormat="1" applyFont="1" applyFill="1" applyBorder="1" applyAlignment="1">
      <alignment horizontal="center" vertical="center"/>
    </xf>
    <xf numFmtId="0" fontId="0" fillId="0" borderId="62" xfId="0" applyBorder="1"/>
    <xf numFmtId="0" fontId="1" fillId="0" borderId="0" xfId="0" applyNumberFormat="1" applyFont="1" applyBorder="1" applyProtection="1"/>
    <xf numFmtId="0" fontId="1" fillId="0" borderId="16" xfId="0" applyNumberFormat="1" applyFont="1" applyBorder="1" applyProtection="1"/>
    <xf numFmtId="0" fontId="14" fillId="0" borderId="15" xfId="0" applyFont="1" applyBorder="1" applyProtection="1"/>
    <xf numFmtId="0" fontId="12" fillId="0" borderId="24" xfId="0" applyNumberFormat="1" applyFont="1" applyBorder="1" applyAlignment="1" applyProtection="1">
      <alignment horizontal="center"/>
    </xf>
    <xf numFmtId="0" fontId="14" fillId="0" borderId="61" xfId="0" applyFont="1" applyFill="1" applyBorder="1"/>
    <xf numFmtId="0" fontId="1" fillId="0" borderId="0" xfId="0" applyFont="1" applyBorder="1" applyAlignment="1">
      <alignment vertical="top"/>
    </xf>
    <xf numFmtId="0" fontId="14" fillId="0" borderId="15" xfId="0" applyFont="1" applyBorder="1" applyAlignment="1">
      <alignment horizontal="left"/>
    </xf>
    <xf numFmtId="0" fontId="14" fillId="0" borderId="0" xfId="0" applyFont="1" applyBorder="1" applyAlignment="1">
      <alignment horizontal="left"/>
    </xf>
    <xf numFmtId="0" fontId="1" fillId="0" borderId="51" xfId="0" applyFont="1" applyBorder="1"/>
    <xf numFmtId="0" fontId="1" fillId="0" borderId="19" xfId="0" applyFont="1" applyFill="1" applyBorder="1" applyAlignment="1" applyProtection="1">
      <alignment horizontal="right"/>
    </xf>
    <xf numFmtId="0" fontId="14" fillId="5" borderId="2" xfId="0" applyFont="1" applyFill="1" applyBorder="1" applyAlignment="1" applyProtection="1"/>
    <xf numFmtId="0" fontId="14" fillId="5" borderId="4" xfId="0" applyFont="1" applyFill="1" applyBorder="1" applyAlignment="1" applyProtection="1"/>
    <xf numFmtId="0" fontId="14" fillId="5" borderId="3" xfId="0" applyFont="1" applyFill="1" applyBorder="1" applyAlignment="1" applyProtection="1"/>
    <xf numFmtId="0" fontId="14" fillId="22" borderId="2" xfId="0" applyFont="1" applyFill="1" applyBorder="1" applyAlignment="1" applyProtection="1"/>
    <xf numFmtId="0" fontId="14" fillId="22" borderId="4" xfId="0" applyFont="1" applyFill="1" applyBorder="1" applyAlignment="1" applyProtection="1"/>
    <xf numFmtId="0" fontId="14" fillId="22" borderId="3" xfId="0" applyFont="1" applyFill="1" applyBorder="1" applyAlignment="1" applyProtection="1"/>
    <xf numFmtId="0" fontId="12" fillId="0" borderId="0" xfId="0" applyFont="1" applyAlignment="1">
      <alignment horizontal="center" vertical="center"/>
    </xf>
    <xf numFmtId="0" fontId="12" fillId="0" borderId="16" xfId="0" applyFont="1" applyBorder="1" applyProtection="1"/>
    <xf numFmtId="0" fontId="1" fillId="0" borderId="11" xfId="0" applyFont="1" applyBorder="1" applyAlignment="1" applyProtection="1">
      <alignment horizontal="center"/>
    </xf>
    <xf numFmtId="0" fontId="10" fillId="0" borderId="16" xfId="0" applyFont="1" applyFill="1" applyBorder="1"/>
    <xf numFmtId="0" fontId="1" fillId="0" borderId="14" xfId="0" applyFont="1" applyFill="1" applyBorder="1" applyProtection="1"/>
    <xf numFmtId="0" fontId="1" fillId="0" borderId="20" xfId="0" applyFont="1" applyFill="1" applyBorder="1" applyProtection="1"/>
    <xf numFmtId="0" fontId="14" fillId="0" borderId="112" xfId="0" applyFont="1" applyBorder="1" applyAlignment="1">
      <alignment horizontal="center" vertical="center"/>
    </xf>
    <xf numFmtId="0" fontId="12" fillId="0" borderId="1" xfId="0" applyFont="1" applyFill="1" applyBorder="1" applyAlignment="1">
      <alignment horizontal="right" vertical="center"/>
    </xf>
    <xf numFmtId="0" fontId="1" fillId="0" borderId="103" xfId="0" applyFont="1" applyBorder="1" applyAlignment="1">
      <alignment horizontal="center" vertical="center"/>
    </xf>
    <xf numFmtId="0" fontId="1" fillId="0" borderId="17" xfId="0" applyFont="1" applyFill="1" applyBorder="1" applyAlignment="1">
      <alignment horizontal="right"/>
    </xf>
    <xf numFmtId="0" fontId="1" fillId="0" borderId="103" xfId="0" applyFont="1" applyBorder="1" applyAlignment="1" applyProtection="1">
      <alignment horizontal="center" vertical="center"/>
    </xf>
    <xf numFmtId="0" fontId="10" fillId="6" borderId="113" xfId="0" applyFont="1" applyFill="1" applyBorder="1" applyAlignment="1" applyProtection="1">
      <alignment horizontal="center" vertical="center"/>
    </xf>
    <xf numFmtId="2" fontId="27" fillId="0" borderId="97" xfId="0" applyNumberFormat="1" applyFont="1" applyBorder="1" applyAlignment="1">
      <alignment horizontal="left" vertical="center"/>
    </xf>
    <xf numFmtId="0" fontId="1" fillId="0" borderId="21" xfId="0" applyFont="1" applyFill="1" applyBorder="1" applyAlignment="1">
      <alignment horizontal="right"/>
    </xf>
    <xf numFmtId="0" fontId="10" fillId="0" borderId="97" xfId="0" applyFont="1" applyFill="1" applyBorder="1"/>
    <xf numFmtId="0" fontId="1" fillId="0" borderId="51" xfId="0" applyFont="1" applyFill="1" applyBorder="1" applyAlignment="1">
      <alignment horizontal="right"/>
    </xf>
    <xf numFmtId="0" fontId="10" fillId="6" borderId="1" xfId="4" applyNumberFormat="1" applyFont="1" applyFill="1" applyBorder="1" applyProtection="1">
      <alignment horizontal="center" vertical="center"/>
      <protection locked="0"/>
    </xf>
    <xf numFmtId="0" fontId="12" fillId="0" borderId="97" xfId="0" applyFont="1" applyBorder="1" applyAlignment="1">
      <alignment horizontal="center" vertical="center"/>
    </xf>
    <xf numFmtId="0" fontId="12" fillId="0" borderId="99" xfId="0" applyFont="1" applyBorder="1" applyAlignment="1">
      <alignment vertical="center" wrapText="1"/>
    </xf>
    <xf numFmtId="0" fontId="1" fillId="0" borderId="0" xfId="0" applyFont="1" applyFill="1" applyBorder="1" applyAlignment="1" applyProtection="1">
      <alignment horizontal="right"/>
    </xf>
    <xf numFmtId="0" fontId="10" fillId="0" borderId="0" xfId="0" applyFont="1" applyFill="1" applyBorder="1" applyAlignment="1">
      <alignment wrapText="1"/>
    </xf>
    <xf numFmtId="0" fontId="1" fillId="0" borderId="103" xfId="0" applyFont="1" applyBorder="1" applyAlignment="1" applyProtection="1">
      <alignment horizontal="right"/>
    </xf>
    <xf numFmtId="0" fontId="10" fillId="6" borderId="56" xfId="0" applyFont="1" applyFill="1" applyBorder="1"/>
    <xf numFmtId="0" fontId="14" fillId="0" borderId="51" xfId="0" applyFont="1" applyBorder="1" applyAlignment="1">
      <alignment horizontal="center" vertical="center"/>
    </xf>
    <xf numFmtId="0" fontId="1" fillId="0" borderId="79" xfId="0" applyFont="1" applyFill="1" applyBorder="1" applyAlignment="1" applyProtection="1">
      <alignment horizontal="right"/>
    </xf>
    <xf numFmtId="0" fontId="10" fillId="0" borderId="81" xfId="0" applyFont="1" applyFill="1" applyBorder="1"/>
    <xf numFmtId="0" fontId="12" fillId="0" borderId="115" xfId="0" applyFont="1" applyBorder="1" applyAlignment="1">
      <alignment vertical="center"/>
    </xf>
    <xf numFmtId="0" fontId="0" fillId="0" borderId="13" xfId="0" applyBorder="1"/>
    <xf numFmtId="0" fontId="1" fillId="0" borderId="0" xfId="8" applyFont="1" applyBorder="1" applyAlignment="1" applyProtection="1">
      <alignment horizontal="left" vertical="center"/>
    </xf>
    <xf numFmtId="14" fontId="1" fillId="0" borderId="0" xfId="8" applyNumberFormat="1" applyFont="1" applyBorder="1" applyAlignment="1" applyProtection="1">
      <alignment horizontal="left" vertical="center"/>
    </xf>
    <xf numFmtId="0" fontId="6" fillId="0" borderId="0" xfId="3" quotePrefix="1" applyAlignment="1" applyProtection="1">
      <alignment horizontal="center"/>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1" xfId="0" applyFont="1" applyBorder="1" applyAlignment="1">
      <alignment horizontal="left" vertical="top" wrapText="1"/>
    </xf>
    <xf numFmtId="0" fontId="14" fillId="0" borderId="15" xfId="0" applyFont="1" applyFill="1" applyBorder="1" applyAlignment="1" applyProtection="1"/>
    <xf numFmtId="0" fontId="14" fillId="0" borderId="0" xfId="0" applyFont="1" applyFill="1" applyBorder="1" applyAlignment="1" applyProtection="1"/>
    <xf numFmtId="0" fontId="7" fillId="0" borderId="0" xfId="3" applyFont="1" applyFill="1" applyBorder="1" applyAlignment="1" applyProtection="1"/>
    <xf numFmtId="0" fontId="14" fillId="0" borderId="0" xfId="0" applyFont="1" applyFill="1" applyBorder="1" applyAlignment="1">
      <alignment horizontal="center"/>
    </xf>
    <xf numFmtId="2" fontId="12" fillId="14" borderId="8" xfId="4" applyNumberFormat="1" applyFont="1" applyFill="1" applyBorder="1" applyAlignment="1" applyProtection="1">
      <alignment horizontal="center" vertical="center"/>
      <protection locked="0"/>
    </xf>
    <xf numFmtId="0" fontId="6" fillId="0" borderId="0" xfId="3" quotePrefix="1" applyAlignment="1" applyProtection="1"/>
    <xf numFmtId="0" fontId="1" fillId="0" borderId="112" xfId="0" applyFont="1" applyBorder="1" applyAlignment="1">
      <alignment horizontal="right" vertical="center"/>
    </xf>
    <xf numFmtId="0" fontId="14" fillId="0" borderId="0" xfId="0" applyFont="1"/>
    <xf numFmtId="0" fontId="1" fillId="0" borderId="0" xfId="5" applyFont="1" applyAlignment="1">
      <alignment horizontal="left"/>
    </xf>
    <xf numFmtId="0" fontId="6" fillId="0" borderId="76" xfId="3" applyBorder="1" applyAlignment="1" applyProtection="1">
      <alignment vertical="center"/>
      <protection locked="0"/>
    </xf>
    <xf numFmtId="0" fontId="12" fillId="0" borderId="0" xfId="8" applyFont="1" applyFill="1" applyAlignment="1" applyProtection="1">
      <alignment vertical="center"/>
    </xf>
    <xf numFmtId="0" fontId="8" fillId="0" borderId="0" xfId="0" applyFont="1" applyFill="1" applyBorder="1" applyAlignment="1"/>
    <xf numFmtId="164" fontId="1" fillId="0" borderId="13" xfId="0" applyNumberFormat="1" applyFont="1" applyBorder="1" applyAlignment="1" applyProtection="1">
      <alignment vertical="center" wrapText="1"/>
    </xf>
    <xf numFmtId="164" fontId="1" fillId="0" borderId="14" xfId="0" applyNumberFormat="1" applyFont="1" applyBorder="1" applyAlignment="1" applyProtection="1">
      <alignment vertical="center" wrapText="1"/>
    </xf>
    <xf numFmtId="164" fontId="1" fillId="0" borderId="15" xfId="0" applyNumberFormat="1" applyFont="1" applyBorder="1" applyAlignment="1" applyProtection="1">
      <alignment vertical="center" wrapText="1"/>
    </xf>
    <xf numFmtId="164" fontId="1" fillId="0" borderId="0" xfId="0" applyNumberFormat="1" applyFont="1" applyBorder="1" applyAlignment="1" applyProtection="1">
      <alignment vertical="center" wrapText="1"/>
    </xf>
    <xf numFmtId="164" fontId="1" fillId="0" borderId="16" xfId="0" applyNumberFormat="1" applyFont="1" applyBorder="1" applyAlignment="1" applyProtection="1">
      <alignment vertical="center" wrapText="1"/>
    </xf>
    <xf numFmtId="0" fontId="1" fillId="0" borderId="19" xfId="0" applyFont="1" applyBorder="1" applyProtection="1"/>
    <xf numFmtId="164" fontId="1" fillId="0" borderId="12" xfId="0" applyNumberFormat="1" applyFont="1" applyBorder="1" applyAlignment="1" applyProtection="1">
      <alignment vertical="center"/>
    </xf>
    <xf numFmtId="0" fontId="12" fillId="0" borderId="0" xfId="4" applyFont="1" applyFill="1" applyBorder="1" applyProtection="1">
      <alignment horizontal="center" vertical="center"/>
      <protection locked="0"/>
    </xf>
    <xf numFmtId="0" fontId="1" fillId="0" borderId="21" xfId="0" applyFont="1" applyBorder="1" applyAlignment="1">
      <alignment horizontal="right"/>
    </xf>
    <xf numFmtId="0" fontId="14" fillId="0" borderId="31" xfId="0" applyFont="1" applyBorder="1" applyAlignment="1">
      <alignment horizontal="center" vertical="center"/>
    </xf>
    <xf numFmtId="0" fontId="9" fillId="0" borderId="17" xfId="0" applyFont="1" applyFill="1" applyBorder="1" applyAlignment="1">
      <alignment horizontal="left"/>
    </xf>
    <xf numFmtId="0" fontId="10" fillId="6" borderId="11" xfId="0" applyNumberFormat="1" applyFont="1" applyFill="1" applyBorder="1" applyAlignment="1">
      <alignment horizontal="left"/>
    </xf>
    <xf numFmtId="0" fontId="9" fillId="0" borderId="21" xfId="0" applyFont="1" applyFill="1" applyBorder="1" applyAlignment="1">
      <alignment horizontal="left"/>
    </xf>
    <xf numFmtId="0" fontId="10" fillId="0" borderId="18" xfId="0" applyNumberFormat="1" applyFont="1" applyFill="1" applyBorder="1" applyAlignment="1">
      <alignment horizontal="left"/>
    </xf>
    <xf numFmtId="0" fontId="8" fillId="0" borderId="17" xfId="0" applyFont="1" applyFill="1" applyBorder="1" applyAlignment="1">
      <alignment horizontal="left"/>
    </xf>
    <xf numFmtId="0" fontId="8" fillId="0" borderId="11" xfId="0" applyFont="1" applyFill="1" applyBorder="1" applyAlignment="1"/>
    <xf numFmtId="0" fontId="10" fillId="6" borderId="17" xfId="0" quotePrefix="1" applyFont="1" applyFill="1" applyBorder="1"/>
    <xf numFmtId="0" fontId="28" fillId="6" borderId="11" xfId="0" applyFont="1" applyFill="1" applyBorder="1" applyAlignment="1">
      <alignment horizontal="left"/>
    </xf>
    <xf numFmtId="0" fontId="10" fillId="6" borderId="17" xfId="0" applyFont="1" applyFill="1" applyBorder="1" applyAlignment="1">
      <alignment horizontal="left"/>
    </xf>
    <xf numFmtId="0" fontId="10" fillId="6" borderId="19" xfId="0" applyFont="1" applyFill="1" applyBorder="1" applyAlignment="1">
      <alignment horizontal="left"/>
    </xf>
    <xf numFmtId="0" fontId="10" fillId="6" borderId="8" xfId="0" applyFont="1" applyFill="1" applyBorder="1" applyAlignment="1">
      <alignment horizontal="left"/>
    </xf>
    <xf numFmtId="0" fontId="1" fillId="3" borderId="0" xfId="0" applyFont="1" applyFill="1" applyBorder="1" applyProtection="1"/>
    <xf numFmtId="0" fontId="29" fillId="3" borderId="0" xfId="0" applyFont="1" applyFill="1" applyAlignment="1">
      <alignment horizontal="center"/>
    </xf>
    <xf numFmtId="0" fontId="1" fillId="3" borderId="0" xfId="0" applyFont="1" applyFill="1" applyBorder="1"/>
    <xf numFmtId="0" fontId="14" fillId="3" borderId="0" xfId="0" applyFont="1" applyFill="1" applyBorder="1" applyAlignment="1" applyProtection="1"/>
    <xf numFmtId="0" fontId="1" fillId="3" borderId="0" xfId="0" applyFont="1" applyFill="1" applyBorder="1" applyAlignment="1">
      <alignment vertical="top"/>
    </xf>
    <xf numFmtId="0" fontId="1" fillId="3" borderId="0" xfId="0" applyFont="1" applyFill="1" applyBorder="1" applyAlignment="1">
      <alignment horizontal="left" vertical="top"/>
    </xf>
    <xf numFmtId="0" fontId="14" fillId="3" borderId="0" xfId="0" applyFont="1" applyFill="1" applyBorder="1" applyAlignment="1"/>
    <xf numFmtId="0" fontId="1" fillId="3" borderId="0" xfId="0" applyNumberFormat="1" applyFont="1" applyFill="1" applyProtection="1"/>
    <xf numFmtId="165" fontId="12" fillId="14" borderId="86" xfId="7" applyNumberFormat="1" applyFont="1" applyFill="1" applyBorder="1" applyAlignment="1" applyProtection="1">
      <alignment horizontal="center" vertical="center"/>
      <protection locked="0"/>
    </xf>
    <xf numFmtId="165" fontId="10" fillId="6" borderId="1" xfId="0" applyNumberFormat="1" applyFont="1" applyFill="1" applyBorder="1" applyAlignment="1" applyProtection="1">
      <alignment horizontal="center"/>
    </xf>
    <xf numFmtId="165" fontId="10" fillId="6" borderId="1" xfId="0" applyNumberFormat="1" applyFont="1" applyFill="1" applyBorder="1" applyAlignment="1">
      <alignment horizontal="center" vertical="center"/>
    </xf>
    <xf numFmtId="165" fontId="10" fillId="6" borderId="10" xfId="0" applyNumberFormat="1" applyFont="1" applyFill="1" applyBorder="1" applyAlignment="1" applyProtection="1">
      <alignment horizontal="center" vertical="center"/>
    </xf>
    <xf numFmtId="0" fontId="1" fillId="0" borderId="0" xfId="8" applyFont="1" applyBorder="1" applyAlignment="1" applyProtection="1">
      <alignment vertical="center"/>
    </xf>
    <xf numFmtId="0" fontId="12" fillId="0" borderId="81" xfId="7" applyNumberFormat="1" applyFont="1" applyFill="1" applyBorder="1" applyAlignment="1" applyProtection="1">
      <alignment horizontal="center" vertical="center"/>
    </xf>
    <xf numFmtId="0" fontId="12" fillId="0" borderId="20" xfId="4" applyFont="1" applyFill="1" applyBorder="1" applyProtection="1">
      <alignment horizontal="center" vertical="center"/>
    </xf>
    <xf numFmtId="0" fontId="12" fillId="0" borderId="16" xfId="4" applyNumberFormat="1" applyFont="1" applyFill="1" applyBorder="1" applyProtection="1">
      <alignment horizontal="center" vertical="center"/>
    </xf>
    <xf numFmtId="0" fontId="12" fillId="0" borderId="20" xfId="4" applyNumberFormat="1" applyFont="1" applyFill="1" applyBorder="1" applyProtection="1">
      <alignment horizontal="center" vertical="center"/>
    </xf>
    <xf numFmtId="0" fontId="12" fillId="0" borderId="81" xfId="4" applyNumberFormat="1" applyFont="1" applyFill="1" applyBorder="1" applyProtection="1">
      <alignment horizontal="center" vertical="center"/>
    </xf>
    <xf numFmtId="0" fontId="1" fillId="0" borderId="15" xfId="0" applyFont="1" applyBorder="1" applyAlignment="1" applyProtection="1">
      <alignment horizontal="right"/>
    </xf>
    <xf numFmtId="0" fontId="10" fillId="0" borderId="0" xfId="0" applyFont="1" applyFill="1" applyBorder="1" applyProtection="1"/>
    <xf numFmtId="0" fontId="14" fillId="0" borderId="21" xfId="0"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0" xfId="0" applyFont="1" applyBorder="1" applyAlignment="1" applyProtection="1">
      <alignment horizontal="left"/>
    </xf>
    <xf numFmtId="0" fontId="14" fillId="0" borderId="0" xfId="0" applyFont="1" applyBorder="1" applyProtection="1"/>
    <xf numFmtId="0" fontId="14" fillId="0" borderId="16" xfId="0" applyFont="1" applyBorder="1" applyProtection="1"/>
    <xf numFmtId="0" fontId="0" fillId="0" borderId="0" xfId="0" applyProtection="1"/>
    <xf numFmtId="0" fontId="0" fillId="0" borderId="15" xfId="0" applyBorder="1" applyProtection="1"/>
    <xf numFmtId="0" fontId="0" fillId="0" borderId="0" xfId="0" applyBorder="1" applyProtection="1"/>
    <xf numFmtId="0" fontId="0" fillId="0" borderId="16" xfId="0" applyBorder="1" applyProtection="1"/>
    <xf numFmtId="0" fontId="0" fillId="3" borderId="0" xfId="0" applyFill="1" applyProtection="1"/>
    <xf numFmtId="0" fontId="14" fillId="0" borderId="17" xfId="0" applyFont="1" applyBorder="1" applyAlignment="1" applyProtection="1">
      <alignment horizontal="left"/>
    </xf>
    <xf numFmtId="0" fontId="14"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 fillId="0" borderId="17" xfId="0" applyFont="1" applyBorder="1" applyAlignment="1" applyProtection="1">
      <alignment wrapText="1"/>
    </xf>
    <xf numFmtId="0" fontId="10" fillId="6" borderId="11" xfId="0" applyFont="1" applyFill="1" applyBorder="1" applyAlignment="1" applyProtection="1">
      <alignment horizontal="center"/>
    </xf>
    <xf numFmtId="0" fontId="10" fillId="6" borderId="1" xfId="0" applyFont="1" applyFill="1" applyBorder="1" applyAlignment="1" applyProtection="1">
      <alignment horizontal="center" vertical="center"/>
    </xf>
    <xf numFmtId="0" fontId="10" fillId="6" borderId="11" xfId="0" applyFont="1" applyFill="1" applyBorder="1" applyAlignment="1" applyProtection="1">
      <alignment horizontal="center" vertical="center"/>
    </xf>
    <xf numFmtId="0" fontId="14" fillId="0" borderId="15" xfId="0" applyFont="1" applyFill="1" applyBorder="1" applyAlignment="1" applyProtection="1">
      <alignment horizontal="left"/>
    </xf>
    <xf numFmtId="0" fontId="14"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17" xfId="0" applyFont="1" applyFill="1" applyBorder="1" applyAlignment="1" applyProtection="1">
      <alignment horizontal="center"/>
    </xf>
    <xf numFmtId="0" fontId="14" fillId="0" borderId="1" xfId="0" applyFont="1" applyFill="1" applyBorder="1" applyAlignment="1" applyProtection="1">
      <alignment horizontal="center"/>
    </xf>
    <xf numFmtId="0" fontId="1" fillId="0" borderId="79" xfId="0" applyFont="1" applyBorder="1" applyProtection="1"/>
    <xf numFmtId="0" fontId="10" fillId="0" borderId="80" xfId="0" applyFont="1" applyFill="1" applyBorder="1" applyProtection="1"/>
    <xf numFmtId="0" fontId="14" fillId="0" borderId="17" xfId="0" applyFont="1" applyBorder="1" applyProtection="1"/>
    <xf numFmtId="0" fontId="1" fillId="0" borderId="1" xfId="0" applyNumberFormat="1" applyFont="1" applyFill="1" applyBorder="1" applyAlignment="1" applyProtection="1">
      <alignment horizontal="center"/>
    </xf>
    <xf numFmtId="0" fontId="1" fillId="0" borderId="11" xfId="0" applyNumberFormat="1" applyFont="1" applyFill="1" applyBorder="1" applyAlignment="1" applyProtection="1">
      <alignment horizontal="center"/>
    </xf>
    <xf numFmtId="0" fontId="10" fillId="6" borderId="16"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0" fillId="0" borderId="62" xfId="0" applyBorder="1" applyProtection="1"/>
    <xf numFmtId="0" fontId="0" fillId="0" borderId="20" xfId="0" applyBorder="1" applyProtection="1"/>
    <xf numFmtId="0" fontId="1" fillId="0" borderId="0" xfId="0" applyFont="1" applyAlignment="1" applyProtection="1">
      <alignment horizontal="center"/>
    </xf>
    <xf numFmtId="0" fontId="1" fillId="3" borderId="0" xfId="0" applyFont="1" applyFill="1" applyAlignment="1" applyProtection="1">
      <alignment horizontal="center"/>
    </xf>
    <xf numFmtId="0" fontId="1" fillId="0" borderId="1" xfId="0" applyFont="1" applyBorder="1" applyAlignment="1" applyProtection="1">
      <alignment horizontal="center" vertical="center"/>
    </xf>
    <xf numFmtId="0" fontId="1" fillId="0" borderId="0" xfId="0" applyFont="1" applyAlignment="1" applyProtection="1">
      <alignment vertical="top"/>
    </xf>
    <xf numFmtId="0" fontId="14" fillId="0" borderId="17" xfId="0" applyFont="1" applyBorder="1" applyAlignment="1" applyProtection="1">
      <alignment horizontal="left" vertical="top"/>
    </xf>
    <xf numFmtId="0" fontId="14" fillId="0" borderId="1" xfId="0" applyFont="1" applyBorder="1" applyAlignment="1" applyProtection="1">
      <alignment horizontal="left" vertical="top" wrapText="1"/>
    </xf>
    <xf numFmtId="0" fontId="1" fillId="0" borderId="0" xfId="0" applyFont="1" applyBorder="1" applyAlignment="1" applyProtection="1">
      <alignment vertical="top"/>
    </xf>
    <xf numFmtId="0" fontId="1" fillId="0" borderId="16" xfId="0" applyFont="1" applyBorder="1" applyAlignment="1" applyProtection="1">
      <alignment vertical="top"/>
    </xf>
    <xf numFmtId="0" fontId="1" fillId="3" borderId="0" xfId="0" applyFont="1" applyFill="1" applyAlignment="1" applyProtection="1">
      <alignment vertical="top"/>
    </xf>
    <xf numFmtId="0" fontId="10" fillId="6" borderId="83" xfId="0" applyFont="1" applyFill="1" applyBorder="1" applyAlignment="1" applyProtection="1">
      <alignment horizontal="center"/>
    </xf>
    <xf numFmtId="0" fontId="10" fillId="6" borderId="83" xfId="0" quotePrefix="1" applyFont="1" applyFill="1" applyBorder="1" applyAlignment="1" applyProtection="1">
      <alignment horizontal="center"/>
    </xf>
    <xf numFmtId="0" fontId="1" fillId="2" borderId="17" xfId="0" applyFont="1" applyFill="1" applyBorder="1" applyAlignment="1" applyProtection="1">
      <alignment horizontal="right"/>
    </xf>
    <xf numFmtId="0" fontId="14" fillId="0" borderId="1" xfId="0" applyFont="1" applyBorder="1" applyAlignment="1" applyProtection="1">
      <alignment horizontal="left" wrapText="1"/>
    </xf>
    <xf numFmtId="0" fontId="14" fillId="0" borderId="1" xfId="0" applyFont="1" applyBorder="1" applyAlignment="1" applyProtection="1">
      <alignment horizontal="left"/>
    </xf>
    <xf numFmtId="0" fontId="1" fillId="0" borderId="17" xfId="0" applyFont="1" applyBorder="1" applyAlignment="1" applyProtection="1">
      <alignment horizontal="right" vertical="center" wrapText="1"/>
    </xf>
    <xf numFmtId="0" fontId="1" fillId="0" borderId="13" xfId="0" applyFont="1" applyBorder="1" applyAlignment="1" applyProtection="1">
      <alignment vertical="top"/>
    </xf>
    <xf numFmtId="0" fontId="1" fillId="0" borderId="14" xfId="0" applyFont="1" applyBorder="1" applyAlignment="1" applyProtection="1">
      <alignment vertical="top"/>
    </xf>
    <xf numFmtId="0" fontId="10" fillId="6" borderId="23" xfId="0" applyFont="1" applyFill="1" applyBorder="1" applyAlignment="1" applyProtection="1">
      <alignment horizontal="center" vertical="center"/>
    </xf>
    <xf numFmtId="0" fontId="29" fillId="0" borderId="0" xfId="0" applyFont="1" applyAlignment="1" applyProtection="1">
      <alignment horizontal="center"/>
    </xf>
    <xf numFmtId="0" fontId="29" fillId="3" borderId="0" xfId="0" applyFont="1" applyFill="1" applyAlignment="1" applyProtection="1">
      <alignment horizontal="center"/>
    </xf>
    <xf numFmtId="0" fontId="14" fillId="0" borderId="1" xfId="0" applyFont="1" applyBorder="1" applyAlignment="1" applyProtection="1">
      <alignment horizontal="center" vertical="center"/>
    </xf>
    <xf numFmtId="165" fontId="10" fillId="6" borderId="1" xfId="0" applyNumberFormat="1" applyFont="1" applyFill="1" applyBorder="1" applyAlignment="1" applyProtection="1">
      <alignment horizontal="center" vertical="center"/>
    </xf>
    <xf numFmtId="0" fontId="10" fillId="6" borderId="109" xfId="0" applyFont="1" applyFill="1" applyBorder="1" applyAlignment="1" applyProtection="1">
      <alignment horizontal="center"/>
    </xf>
    <xf numFmtId="0" fontId="1" fillId="0" borderId="15" xfId="0" applyFont="1" applyFill="1" applyBorder="1" applyAlignment="1" applyProtection="1">
      <alignment horizontal="left"/>
    </xf>
    <xf numFmtId="0" fontId="0" fillId="0" borderId="0" xfId="0" applyFill="1" applyProtection="1"/>
    <xf numFmtId="0" fontId="1" fillId="0" borderId="0" xfId="0" applyFont="1" applyBorder="1" applyAlignment="1" applyProtection="1">
      <alignment horizontal="left" vertical="top"/>
    </xf>
    <xf numFmtId="0" fontId="1" fillId="0" borderId="1" xfId="0" applyFont="1" applyBorder="1" applyAlignment="1" applyProtection="1">
      <alignment horizontal="left" vertical="top" wrapText="1"/>
    </xf>
    <xf numFmtId="0" fontId="29" fillId="0" borderId="0" xfId="0" applyFont="1" applyBorder="1" applyAlignment="1" applyProtection="1">
      <alignment horizontal="center"/>
    </xf>
    <xf numFmtId="0" fontId="1" fillId="0" borderId="0" xfId="0" applyFont="1" applyBorder="1" applyAlignment="1" applyProtection="1">
      <alignment horizontal="left" vertical="top" wrapText="1"/>
    </xf>
    <xf numFmtId="0" fontId="1" fillId="14" borderId="1" xfId="0" applyFont="1" applyFill="1" applyBorder="1" applyAlignment="1" applyProtection="1">
      <alignment horizontal="left" vertical="top"/>
      <protection locked="0"/>
    </xf>
    <xf numFmtId="0" fontId="1" fillId="14" borderId="1" xfId="0" applyFont="1" applyFill="1" applyBorder="1" applyProtection="1">
      <protection locked="0"/>
    </xf>
    <xf numFmtId="0" fontId="1" fillId="14" borderId="10" xfId="0" applyFont="1" applyFill="1" applyBorder="1" applyProtection="1">
      <protection locked="0"/>
    </xf>
    <xf numFmtId="0" fontId="14" fillId="14" borderId="1" xfId="0" applyFont="1" applyFill="1" applyBorder="1" applyAlignment="1" applyProtection="1">
      <alignment horizontal="left"/>
      <protection locked="0"/>
    </xf>
    <xf numFmtId="0" fontId="1" fillId="14" borderId="11" xfId="0" applyFont="1" applyFill="1" applyBorder="1" applyProtection="1">
      <protection locked="0"/>
    </xf>
    <xf numFmtId="0" fontId="12" fillId="14" borderId="10" xfId="0" applyFont="1" applyFill="1" applyBorder="1" applyProtection="1">
      <protection locked="0"/>
    </xf>
    <xf numFmtId="0" fontId="1" fillId="14" borderId="1" xfId="0" quotePrefix="1" applyFont="1" applyFill="1" applyBorder="1" applyProtection="1">
      <protection locked="0"/>
    </xf>
    <xf numFmtId="0" fontId="1" fillId="14" borderId="1" xfId="0" applyFont="1" applyFill="1" applyBorder="1" applyAlignment="1" applyProtection="1">
      <alignment wrapText="1"/>
      <protection locked="0"/>
    </xf>
    <xf numFmtId="0" fontId="14" fillId="14" borderId="1" xfId="0" applyFont="1" applyFill="1" applyBorder="1" applyAlignment="1" applyProtection="1">
      <alignment horizontal="center" vertical="center"/>
      <protection locked="0"/>
    </xf>
    <xf numFmtId="0" fontId="1" fillId="14" borderId="1" xfId="0" applyFont="1" applyFill="1" applyBorder="1" applyAlignment="1" applyProtection="1">
      <alignment horizontal="center"/>
      <protection locked="0"/>
    </xf>
    <xf numFmtId="9" fontId="1" fillId="14" borderId="25" xfId="0" applyNumberFormat="1" applyFont="1" applyFill="1" applyBorder="1" applyAlignment="1" applyProtection="1">
      <alignment horizontal="center"/>
      <protection locked="0"/>
    </xf>
    <xf numFmtId="0" fontId="1" fillId="14" borderId="25" xfId="0" applyFont="1" applyFill="1" applyBorder="1" applyAlignment="1" applyProtection="1">
      <alignment horizontal="center"/>
      <protection locked="0"/>
    </xf>
    <xf numFmtId="0" fontId="12" fillId="14" borderId="25" xfId="0" applyFont="1" applyFill="1" applyBorder="1" applyAlignment="1" applyProtection="1">
      <alignment horizontal="center"/>
      <protection locked="0"/>
    </xf>
    <xf numFmtId="9" fontId="1" fillId="14" borderId="1" xfId="0" applyNumberFormat="1" applyFont="1" applyFill="1" applyBorder="1" applyAlignment="1" applyProtection="1">
      <alignment horizontal="center"/>
      <protection locked="0"/>
    </xf>
    <xf numFmtId="0" fontId="12" fillId="14" borderId="1" xfId="0" applyFont="1" applyFill="1" applyBorder="1" applyAlignment="1" applyProtection="1">
      <alignment horizontal="center"/>
      <protection locked="0"/>
    </xf>
    <xf numFmtId="9" fontId="12" fillId="14" borderId="25" xfId="0" applyNumberFormat="1" applyFont="1" applyFill="1" applyBorder="1" applyAlignment="1" applyProtection="1">
      <alignment horizontal="center"/>
      <protection locked="0"/>
    </xf>
    <xf numFmtId="9" fontId="1" fillId="14" borderId="26" xfId="0" applyNumberFormat="1" applyFont="1" applyFill="1" applyBorder="1" applyAlignment="1" applyProtection="1">
      <alignment horizontal="center"/>
      <protection locked="0"/>
    </xf>
    <xf numFmtId="0" fontId="0" fillId="14" borderId="1" xfId="0" applyFill="1" applyBorder="1" applyProtection="1">
      <protection locked="0"/>
    </xf>
    <xf numFmtId="0" fontId="1" fillId="14" borderId="1" xfId="0" applyFont="1" applyFill="1" applyBorder="1" applyAlignment="1" applyProtection="1">
      <alignment horizontal="center" vertical="center"/>
      <protection locked="0"/>
    </xf>
    <xf numFmtId="0" fontId="1" fillId="14" borderId="10" xfId="0" applyFont="1" applyFill="1" applyBorder="1" applyAlignment="1" applyProtection="1">
      <alignment horizontal="center" vertical="center"/>
      <protection locked="0"/>
    </xf>
    <xf numFmtId="0" fontId="1" fillId="14" borderId="1" xfId="0" applyFont="1" applyFill="1" applyBorder="1" applyAlignment="1" applyProtection="1">
      <alignment horizontal="left"/>
      <protection locked="0"/>
    </xf>
    <xf numFmtId="0" fontId="1" fillId="14" borderId="10" xfId="0" applyFont="1" applyFill="1" applyBorder="1" applyAlignment="1" applyProtection="1">
      <alignment horizontal="center"/>
      <protection locked="0"/>
    </xf>
    <xf numFmtId="0" fontId="1" fillId="14" borderId="1" xfId="0" applyFont="1" applyFill="1" applyBorder="1" applyAlignment="1" applyProtection="1">
      <alignment horizontal="right" vertical="center"/>
      <protection locked="0"/>
    </xf>
    <xf numFmtId="0" fontId="1" fillId="14" borderId="11" xfId="0" applyFont="1" applyFill="1" applyBorder="1" applyAlignment="1" applyProtection="1">
      <alignment horizontal="center"/>
      <protection locked="0"/>
    </xf>
    <xf numFmtId="0" fontId="1" fillId="14" borderId="83" xfId="0" applyFont="1" applyFill="1" applyBorder="1" applyAlignment="1" applyProtection="1">
      <alignment horizontal="center"/>
      <protection locked="0"/>
    </xf>
    <xf numFmtId="0" fontId="1" fillId="14" borderId="1" xfId="0" applyFont="1" applyFill="1" applyBorder="1" applyAlignment="1" applyProtection="1">
      <alignment horizontal="left" vertical="center"/>
      <protection locked="0"/>
    </xf>
    <xf numFmtId="2" fontId="12" fillId="0" borderId="62" xfId="4" applyNumberFormat="1" applyFont="1" applyFill="1" applyBorder="1" applyProtection="1">
      <alignment horizontal="center" vertical="center"/>
    </xf>
    <xf numFmtId="2" fontId="12" fillId="0" borderId="0" xfId="4" applyNumberFormat="1" applyFont="1" applyFill="1" applyBorder="1" applyProtection="1">
      <alignment horizontal="center" vertical="center"/>
    </xf>
    <xf numFmtId="0" fontId="14" fillId="0" borderId="31" xfId="0" applyFont="1" applyBorder="1" applyAlignment="1" applyProtection="1">
      <alignment horizontal="center" vertical="center"/>
    </xf>
    <xf numFmtId="0" fontId="14" fillId="0" borderId="25" xfId="0" applyFont="1" applyBorder="1" applyAlignment="1" applyProtection="1">
      <alignment horizontal="center" vertical="center"/>
    </xf>
    <xf numFmtId="0" fontId="12" fillId="0" borderId="62"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62" xfId="0" applyFont="1" applyBorder="1" applyAlignment="1" applyProtection="1">
      <alignment horizontal="center" vertical="center"/>
    </xf>
    <xf numFmtId="2" fontId="12" fillId="0" borderId="0" xfId="0" applyNumberFormat="1" applyFont="1" applyBorder="1" applyAlignment="1" applyProtection="1">
      <alignment horizontal="center" vertical="center"/>
    </xf>
    <xf numFmtId="0" fontId="1" fillId="0" borderId="17" xfId="0" applyFont="1" applyFill="1" applyBorder="1" applyAlignment="1" applyProtection="1">
      <alignment horizontal="center"/>
    </xf>
    <xf numFmtId="0" fontId="1" fillId="0" borderId="0" xfId="0" applyFont="1" applyBorder="1" applyAlignment="1" applyProtection="1">
      <alignment horizontal="center"/>
    </xf>
    <xf numFmtId="0" fontId="1" fillId="0" borderId="62" xfId="0" applyFont="1" applyBorder="1" applyAlignment="1" applyProtection="1">
      <alignment horizontal="center"/>
    </xf>
    <xf numFmtId="0" fontId="33" fillId="0" borderId="0" xfId="0" applyFont="1" applyBorder="1" applyAlignment="1" applyProtection="1">
      <alignment horizontal="center"/>
    </xf>
    <xf numFmtId="0" fontId="14" fillId="0" borderId="15" xfId="0" applyFont="1" applyBorder="1" applyAlignment="1" applyProtection="1">
      <alignment horizontal="left"/>
    </xf>
    <xf numFmtId="0" fontId="1" fillId="0" borderId="15" xfId="0" applyFont="1" applyBorder="1" applyAlignment="1" applyProtection="1">
      <alignment horizontal="left"/>
    </xf>
    <xf numFmtId="0" fontId="1" fillId="0" borderId="0" xfId="0" applyFont="1" applyBorder="1" applyAlignment="1" applyProtection="1">
      <alignment horizontal="left"/>
    </xf>
    <xf numFmtId="0" fontId="3" fillId="0" borderId="0" xfId="0" applyFont="1" applyBorder="1" applyAlignment="1" applyProtection="1">
      <alignment horizontal="center" vertical="center"/>
    </xf>
    <xf numFmtId="2" fontId="12" fillId="0" borderId="0" xfId="0" applyNumberFormat="1" applyFont="1" applyBorder="1" applyAlignment="1" applyProtection="1">
      <alignment horizontal="center"/>
    </xf>
    <xf numFmtId="0" fontId="1" fillId="0" borderId="79" xfId="0" applyFont="1" applyBorder="1" applyAlignment="1" applyProtection="1">
      <alignment horizontal="center" vertical="center"/>
    </xf>
    <xf numFmtId="0" fontId="24" fillId="0" borderId="0" xfId="0" applyFont="1" applyBorder="1" applyAlignment="1" applyProtection="1">
      <alignment horizontal="center" vertical="center"/>
    </xf>
    <xf numFmtId="0" fontId="10" fillId="0" borderId="81" xfId="0" applyFont="1" applyFill="1" applyBorder="1" applyProtection="1"/>
    <xf numFmtId="0" fontId="10" fillId="0" borderId="16" xfId="0" applyFont="1" applyFill="1" applyBorder="1" applyProtection="1"/>
    <xf numFmtId="0" fontId="14" fillId="0" borderId="51" xfId="0" applyFont="1" applyBorder="1" applyAlignment="1" applyProtection="1">
      <alignment horizontal="center" vertical="center"/>
    </xf>
    <xf numFmtId="0" fontId="14" fillId="0" borderId="61" xfId="0" applyFont="1" applyBorder="1" applyProtection="1"/>
    <xf numFmtId="0" fontId="14" fillId="0" borderId="84" xfId="0" applyFont="1" applyBorder="1" applyProtection="1"/>
    <xf numFmtId="0" fontId="14" fillId="0" borderId="82" xfId="0" applyFont="1" applyBorder="1" applyAlignment="1" applyProtection="1">
      <alignment horizontal="center"/>
    </xf>
    <xf numFmtId="0" fontId="1" fillId="0" borderId="51" xfId="0" applyFont="1" applyFill="1" applyBorder="1" applyAlignment="1" applyProtection="1">
      <alignment horizontal="right"/>
    </xf>
    <xf numFmtId="0" fontId="10" fillId="0" borderId="97" xfId="0" applyFont="1" applyFill="1" applyBorder="1" applyAlignment="1" applyProtection="1">
      <alignment horizontal="center"/>
    </xf>
    <xf numFmtId="0" fontId="10" fillId="0" borderId="0" xfId="0" applyFont="1" applyFill="1" applyBorder="1" applyAlignment="1" applyProtection="1">
      <alignment horizontal="center"/>
    </xf>
    <xf numFmtId="0" fontId="10" fillId="0" borderId="16" xfId="0" applyFont="1" applyFill="1" applyBorder="1" applyAlignment="1" applyProtection="1">
      <alignment horizontal="center"/>
    </xf>
    <xf numFmtId="0" fontId="14" fillId="0" borderId="61" xfId="0" applyFont="1" applyBorder="1" applyAlignment="1" applyProtection="1">
      <alignment horizontal="center" vertical="center"/>
    </xf>
    <xf numFmtId="0" fontId="14" fillId="0" borderId="12" xfId="0" applyFont="1" applyBorder="1" applyAlignment="1" applyProtection="1">
      <alignment horizontal="left"/>
    </xf>
    <xf numFmtId="0" fontId="14" fillId="0" borderId="13" xfId="0" applyFont="1" applyBorder="1" applyAlignment="1" applyProtection="1">
      <alignment horizontal="left"/>
    </xf>
    <xf numFmtId="0" fontId="1" fillId="0" borderId="17" xfId="0" applyFont="1" applyBorder="1" applyAlignment="1" applyProtection="1">
      <alignment horizontal="left" vertical="center" wrapText="1"/>
    </xf>
    <xf numFmtId="0" fontId="14" fillId="0" borderId="84" xfId="0" applyFont="1" applyBorder="1" applyAlignment="1" applyProtection="1">
      <alignment horizontal="center" vertical="center"/>
    </xf>
    <xf numFmtId="0" fontId="14" fillId="0" borderId="82" xfId="0" applyFont="1" applyBorder="1" applyAlignment="1" applyProtection="1">
      <alignment horizontal="center" vertical="center"/>
    </xf>
    <xf numFmtId="0" fontId="14" fillId="0" borderId="13" xfId="0" applyFont="1" applyBorder="1" applyAlignment="1" applyProtection="1">
      <alignment horizontal="center" vertical="center"/>
    </xf>
    <xf numFmtId="0" fontId="1" fillId="0" borderId="31" xfId="0" applyFont="1" applyBorder="1" applyAlignment="1" applyProtection="1">
      <alignment horizontal="right" vertical="center"/>
    </xf>
    <xf numFmtId="0" fontId="10" fillId="6" borderId="25" xfId="0" applyFont="1" applyFill="1" applyBorder="1" applyAlignment="1" applyProtection="1">
      <alignment horizontal="center" vertical="center"/>
    </xf>
    <xf numFmtId="0" fontId="14" fillId="0" borderId="12" xfId="0" applyFont="1" applyFill="1" applyBorder="1" applyAlignment="1" applyProtection="1">
      <alignment horizontal="left"/>
    </xf>
    <xf numFmtId="0" fontId="14" fillId="0" borderId="104" xfId="0" applyFont="1" applyFill="1" applyBorder="1" applyAlignment="1" applyProtection="1">
      <alignment horizontal="left"/>
    </xf>
    <xf numFmtId="0" fontId="14" fillId="0" borderId="105" xfId="0" applyFont="1" applyFill="1" applyBorder="1" applyAlignment="1" applyProtection="1">
      <alignment horizontal="left"/>
    </xf>
    <xf numFmtId="0" fontId="10" fillId="6" borderId="56" xfId="0" applyFont="1" applyFill="1" applyBorder="1" applyAlignment="1" applyProtection="1">
      <alignment horizontal="center"/>
    </xf>
    <xf numFmtId="0" fontId="14" fillId="0" borderId="31" xfId="0" applyFont="1" applyFill="1" applyBorder="1" applyAlignment="1" applyProtection="1">
      <alignment horizontal="left"/>
    </xf>
    <xf numFmtId="0" fontId="14" fillId="0" borderId="17" xfId="0" applyFont="1" applyFill="1" applyBorder="1" applyAlignment="1" applyProtection="1">
      <alignment horizontal="left"/>
    </xf>
    <xf numFmtId="0" fontId="1" fillId="0" borderId="1" xfId="0" applyFont="1" applyFill="1" applyBorder="1" applyAlignment="1" applyProtection="1">
      <alignment horizontal="left"/>
    </xf>
    <xf numFmtId="0" fontId="1" fillId="0" borderId="11" xfId="0" applyFont="1" applyFill="1" applyBorder="1" applyAlignment="1" applyProtection="1">
      <alignment horizontal="left"/>
    </xf>
    <xf numFmtId="0" fontId="1" fillId="0" borderId="17" xfId="0" applyFont="1" applyFill="1" applyBorder="1" applyAlignment="1" applyProtection="1">
      <alignment horizontal="left"/>
    </xf>
    <xf numFmtId="0" fontId="10" fillId="6" borderId="1" xfId="0" applyFont="1" applyFill="1" applyBorder="1" applyAlignment="1" applyProtection="1">
      <alignment horizontal="left"/>
    </xf>
    <xf numFmtId="0" fontId="10" fillId="6" borderId="11" xfId="0" applyFont="1" applyFill="1" applyBorder="1" applyAlignment="1" applyProtection="1">
      <alignment horizontal="left"/>
    </xf>
    <xf numFmtId="0" fontId="1" fillId="0" borderId="0" xfId="0" applyFont="1" applyFill="1" applyBorder="1" applyAlignment="1" applyProtection="1">
      <alignment horizontal="left"/>
    </xf>
    <xf numFmtId="0" fontId="1" fillId="0" borderId="19" xfId="0" applyFont="1" applyFill="1" applyBorder="1" applyAlignment="1" applyProtection="1">
      <alignment horizontal="left"/>
    </xf>
    <xf numFmtId="0" fontId="1" fillId="0" borderId="62" xfId="0" applyFont="1" applyFill="1" applyBorder="1" applyAlignment="1" applyProtection="1">
      <alignment horizontal="left"/>
    </xf>
    <xf numFmtId="0" fontId="12" fillId="14" borderId="1" xfId="0" applyFont="1" applyFill="1" applyBorder="1" applyProtection="1">
      <protection locked="0"/>
    </xf>
    <xf numFmtId="0" fontId="1" fillId="14" borderId="26" xfId="0" applyFont="1" applyFill="1" applyBorder="1" applyAlignment="1" applyProtection="1">
      <alignment horizontal="center"/>
      <protection locked="0"/>
    </xf>
    <xf numFmtId="0" fontId="1" fillId="14" borderId="10" xfId="0" applyFont="1" applyFill="1" applyBorder="1" applyAlignment="1" applyProtection="1">
      <alignment horizontal="left"/>
      <protection locked="0"/>
    </xf>
    <xf numFmtId="0" fontId="1" fillId="0" borderId="15" xfId="0" applyFont="1" applyBorder="1" applyAlignment="1" applyProtection="1">
      <alignment vertical="top"/>
    </xf>
    <xf numFmtId="0" fontId="14" fillId="0" borderId="25" xfId="0" applyFont="1" applyFill="1" applyBorder="1" applyAlignment="1" applyProtection="1">
      <alignment horizontal="center" vertical="center"/>
    </xf>
    <xf numFmtId="0" fontId="1" fillId="0" borderId="31" xfId="0" applyFont="1" applyBorder="1" applyAlignment="1" applyProtection="1">
      <alignment horizontal="center" vertical="center" wrapText="1"/>
    </xf>
    <xf numFmtId="0" fontId="14" fillId="0" borderId="8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 fillId="0" borderId="15" xfId="0" applyFont="1" applyBorder="1" applyAlignment="1" applyProtection="1">
      <alignment horizontal="center" vertical="center" wrapText="1"/>
    </xf>
    <xf numFmtId="0" fontId="1" fillId="0" borderId="0" xfId="0" applyFont="1" applyFill="1" applyBorder="1" applyAlignment="1" applyProtection="1">
      <alignment horizontal="center" vertical="center"/>
    </xf>
    <xf numFmtId="2" fontId="13" fillId="0" borderId="0" xfId="0" applyNumberFormat="1" applyFont="1" applyFill="1" applyBorder="1" applyAlignment="1" applyProtection="1">
      <alignment horizontal="center" vertical="center"/>
    </xf>
    <xf numFmtId="0" fontId="14" fillId="0" borderId="84" xfId="0" applyFont="1" applyBorder="1" applyAlignment="1" applyProtection="1">
      <alignment horizontal="center"/>
    </xf>
    <xf numFmtId="0" fontId="14" fillId="0" borderId="13" xfId="0" applyFont="1" applyBorder="1" applyAlignment="1" applyProtection="1">
      <alignment horizontal="center"/>
    </xf>
    <xf numFmtId="0" fontId="27" fillId="0" borderId="0" xfId="0" applyFont="1" applyFill="1" applyBorder="1" applyAlignment="1" applyProtection="1">
      <alignment horizontal="left" vertical="center"/>
    </xf>
    <xf numFmtId="2" fontId="12" fillId="0" borderId="0" xfId="0" applyNumberFormat="1" applyFont="1" applyFill="1" applyBorder="1" applyAlignment="1" applyProtection="1">
      <alignment horizontal="center"/>
    </xf>
    <xf numFmtId="0" fontId="14" fillId="0" borderId="1" xfId="0" applyFont="1" applyFill="1" applyBorder="1" applyAlignment="1" applyProtection="1">
      <alignment horizontal="left"/>
    </xf>
    <xf numFmtId="0" fontId="14" fillId="0" borderId="16" xfId="0" applyFont="1" applyFill="1" applyBorder="1" applyAlignment="1" applyProtection="1"/>
    <xf numFmtId="0" fontId="1"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2" fontId="12" fillId="0" borderId="0" xfId="0" applyNumberFormat="1" applyFont="1" applyFill="1" applyBorder="1" applyAlignment="1" applyProtection="1">
      <alignment horizontal="center" vertical="center"/>
    </xf>
    <xf numFmtId="0" fontId="1" fillId="0" borderId="15" xfId="0" applyFont="1" applyBorder="1" applyAlignment="1" applyProtection="1">
      <alignment horizontal="center" vertical="center"/>
    </xf>
    <xf numFmtId="0" fontId="24" fillId="0" borderId="0" xfId="0" applyFont="1" applyFill="1" applyBorder="1" applyAlignment="1" applyProtection="1">
      <alignment horizontal="center" vertical="center"/>
    </xf>
    <xf numFmtId="0" fontId="1" fillId="0" borderId="12" xfId="0" applyFont="1" applyBorder="1" applyAlignment="1" applyProtection="1">
      <alignment horizontal="left"/>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6" xfId="0" applyFont="1" applyFill="1" applyBorder="1" applyAlignment="1" applyProtection="1">
      <alignment horizontal="center" vertical="center"/>
    </xf>
    <xf numFmtId="0" fontId="1" fillId="0" borderId="21"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14" fillId="0" borderId="0" xfId="0" applyFont="1" applyFill="1" applyBorder="1" applyAlignment="1" applyProtection="1">
      <alignment horizontal="left" vertical="center"/>
    </xf>
    <xf numFmtId="0" fontId="14" fillId="0" borderId="79" xfId="0" applyFont="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1" fillId="0" borderId="31" xfId="0" applyFont="1" applyBorder="1" applyAlignment="1" applyProtection="1">
      <alignment horizontal="right" vertical="center" wrapText="1"/>
    </xf>
    <xf numFmtId="0" fontId="1" fillId="14" borderId="56" xfId="0" applyFont="1" applyFill="1" applyBorder="1" applyProtection="1">
      <protection locked="0"/>
    </xf>
    <xf numFmtId="0" fontId="1" fillId="14" borderId="86" xfId="0" applyFont="1" applyFill="1" applyBorder="1" applyProtection="1">
      <protection locked="0"/>
    </xf>
    <xf numFmtId="0" fontId="1" fillId="14" borderId="55" xfId="0" applyFont="1" applyFill="1" applyBorder="1" applyProtection="1">
      <protection locked="0"/>
    </xf>
    <xf numFmtId="0" fontId="14" fillId="14" borderId="1" xfId="0" applyFont="1" applyFill="1" applyBorder="1" applyAlignment="1" applyProtection="1">
      <alignment horizontal="center"/>
      <protection locked="0"/>
    </xf>
    <xf numFmtId="0" fontId="1" fillId="14" borderId="83" xfId="0" applyFont="1" applyFill="1" applyBorder="1" applyAlignment="1" applyProtection="1">
      <alignment horizontal="left"/>
      <protection locked="0"/>
    </xf>
    <xf numFmtId="0" fontId="12" fillId="14" borderId="83" xfId="0" applyFont="1" applyFill="1" applyBorder="1" applyAlignment="1" applyProtection="1">
      <alignment horizontal="center"/>
      <protection locked="0"/>
    </xf>
    <xf numFmtId="0" fontId="1" fillId="14" borderId="18" xfId="0" applyFont="1" applyFill="1" applyBorder="1" applyAlignment="1" applyProtection="1">
      <alignment horizontal="center"/>
      <protection locked="0"/>
    </xf>
    <xf numFmtId="165" fontId="10" fillId="6" borderId="25" xfId="0" applyNumberFormat="1" applyFont="1" applyFill="1" applyBorder="1" applyAlignment="1">
      <alignment horizontal="center" vertical="center"/>
    </xf>
    <xf numFmtId="0" fontId="0" fillId="0" borderId="0" xfId="0" applyFill="1" applyAlignment="1" applyProtection="1">
      <alignment vertical="center" wrapText="1"/>
    </xf>
    <xf numFmtId="0" fontId="0" fillId="0" borderId="0" xfId="0" applyAlignment="1" applyProtection="1">
      <alignment vertical="center" wrapText="1"/>
    </xf>
    <xf numFmtId="0" fontId="0" fillId="3" borderId="0" xfId="0" applyFill="1" applyAlignment="1" applyProtection="1">
      <alignment vertical="center" wrapText="1"/>
    </xf>
    <xf numFmtId="0" fontId="1" fillId="0" borderId="31" xfId="0" applyFont="1" applyBorder="1" applyAlignment="1" applyProtection="1">
      <alignment vertical="center"/>
    </xf>
    <xf numFmtId="0" fontId="10" fillId="6" borderId="87" xfId="0" applyFont="1" applyFill="1" applyBorder="1" applyAlignment="1" applyProtection="1">
      <alignment horizontal="center" vertical="center"/>
    </xf>
    <xf numFmtId="0" fontId="0" fillId="0" borderId="16" xfId="0" applyFill="1" applyBorder="1" applyProtection="1"/>
    <xf numFmtId="0" fontId="1" fillId="0" borderId="17" xfId="0" applyFont="1" applyBorder="1" applyAlignment="1" applyProtection="1">
      <alignment vertical="center" wrapText="1"/>
    </xf>
    <xf numFmtId="2" fontId="10" fillId="6" borderId="23" xfId="4" applyNumberFormat="1" applyFont="1" applyFill="1" applyBorder="1" applyProtection="1">
      <alignment horizontal="center" vertical="center"/>
    </xf>
    <xf numFmtId="2" fontId="10"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xf>
    <xf numFmtId="0" fontId="0" fillId="0" borderId="0" xfId="0" applyFill="1" applyBorder="1" applyAlignment="1" applyProtection="1">
      <alignment vertical="center" wrapText="1"/>
    </xf>
    <xf numFmtId="0" fontId="1" fillId="0" borderId="31" xfId="0" applyFont="1" applyBorder="1" applyAlignment="1" applyProtection="1">
      <alignment horizontal="left" vertical="center" wrapText="1"/>
    </xf>
    <xf numFmtId="0" fontId="10" fillId="6" borderId="87"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0" fillId="6" borderId="1" xfId="0" applyFont="1" applyFill="1" applyBorder="1" applyAlignment="1" applyProtection="1">
      <alignment horizontal="center" vertical="center" wrapText="1"/>
    </xf>
    <xf numFmtId="0" fontId="27" fillId="2" borderId="0" xfId="8" applyFont="1" applyFill="1" applyAlignment="1" applyProtection="1">
      <alignment vertical="center"/>
    </xf>
    <xf numFmtId="0" fontId="1" fillId="0" borderId="17" xfId="0" applyFont="1" applyBorder="1" applyAlignment="1" applyProtection="1">
      <alignment horizontal="left" vertical="center"/>
    </xf>
    <xf numFmtId="2" fontId="10" fillId="0" borderId="0" xfId="0" applyNumberFormat="1" applyFont="1" applyFill="1" applyBorder="1" applyAlignment="1" applyProtection="1">
      <alignment horizontal="center"/>
    </xf>
    <xf numFmtId="0" fontId="1" fillId="0" borderId="19" xfId="0" applyFont="1" applyBorder="1" applyAlignment="1" applyProtection="1">
      <alignment horizontal="left" vertical="center"/>
    </xf>
    <xf numFmtId="2" fontId="10" fillId="6" borderId="88" xfId="4" applyNumberFormat="1" applyFont="1" applyFill="1" applyBorder="1" applyProtection="1">
      <alignment horizontal="center" vertical="center"/>
    </xf>
    <xf numFmtId="0" fontId="1" fillId="0" borderId="108" xfId="0" applyFont="1" applyFill="1" applyBorder="1" applyAlignment="1" applyProtection="1">
      <alignment horizontal="center" vertical="center"/>
    </xf>
    <xf numFmtId="2" fontId="10" fillId="0" borderId="62" xfId="0" applyNumberFormat="1" applyFont="1" applyFill="1" applyBorder="1" applyAlignment="1" applyProtection="1">
      <alignment horizontal="center"/>
    </xf>
    <xf numFmtId="0" fontId="1" fillId="0" borderId="62" xfId="0" applyFont="1" applyFill="1" applyBorder="1" applyAlignment="1" applyProtection="1">
      <alignment horizontal="center" vertical="center"/>
    </xf>
    <xf numFmtId="0" fontId="1" fillId="0" borderId="62" xfId="0" applyFont="1" applyFill="1" applyBorder="1" applyAlignment="1" applyProtection="1">
      <alignment horizontal="center"/>
    </xf>
    <xf numFmtId="0" fontId="0" fillId="0" borderId="20" xfId="0" applyFill="1" applyBorder="1" applyProtection="1"/>
    <xf numFmtId="0" fontId="0" fillId="0" borderId="0" xfId="0" applyFill="1" applyBorder="1" applyProtection="1"/>
    <xf numFmtId="0" fontId="1" fillId="0" borderId="19" xfId="0" applyFont="1" applyFill="1" applyBorder="1" applyAlignment="1" applyProtection="1">
      <alignment horizontal="center" vertical="center"/>
    </xf>
    <xf numFmtId="0" fontId="3" fillId="4" borderId="2" xfId="1" applyFont="1" applyBorder="1" applyAlignment="1" applyProtection="1">
      <alignment horizontal="left" vertical="center"/>
    </xf>
    <xf numFmtId="0" fontId="3" fillId="4" borderId="3" xfId="1" applyFont="1" applyBorder="1" applyAlignment="1" applyProtection="1">
      <alignment horizontal="left" vertical="center"/>
    </xf>
    <xf numFmtId="0" fontId="12" fillId="16" borderId="12" xfId="1" applyFont="1" applyFill="1" applyBorder="1" applyAlignment="1" applyProtection="1">
      <alignment horizontal="left" vertical="center" wrapText="1"/>
    </xf>
    <xf numFmtId="0" fontId="12" fillId="16" borderId="14" xfId="1" applyFont="1" applyFill="1" applyBorder="1" applyAlignment="1" applyProtection="1">
      <alignment horizontal="left" vertical="center" wrapText="1"/>
    </xf>
    <xf numFmtId="0" fontId="12" fillId="16" borderId="15" xfId="1" applyFont="1" applyFill="1" applyBorder="1" applyAlignment="1" applyProtection="1">
      <alignment horizontal="left" vertical="center" wrapText="1"/>
    </xf>
    <xf numFmtId="0" fontId="12" fillId="16" borderId="16" xfId="1" applyFont="1" applyFill="1" applyBorder="1" applyAlignment="1" applyProtection="1">
      <alignment horizontal="left" vertical="center" wrapText="1"/>
    </xf>
    <xf numFmtId="0" fontId="12" fillId="16" borderId="61" xfId="1" applyFont="1" applyFill="1" applyBorder="1" applyAlignment="1" applyProtection="1">
      <alignment horizontal="left" vertical="center" wrapText="1"/>
    </xf>
    <xf numFmtId="0" fontId="12" fillId="16" borderId="20" xfId="1" applyFont="1" applyFill="1" applyBorder="1" applyAlignment="1" applyProtection="1">
      <alignment horizontal="left" vertical="center" wrapText="1"/>
    </xf>
    <xf numFmtId="0" fontId="3" fillId="2" borderId="64" xfId="1" applyFont="1" applyFill="1" applyBorder="1" applyAlignment="1" applyProtection="1">
      <alignment horizontal="center" vertical="center"/>
    </xf>
    <xf numFmtId="0" fontId="3" fillId="2" borderId="58" xfId="1" applyFont="1" applyFill="1" applyBorder="1" applyAlignment="1" applyProtection="1">
      <alignment horizontal="center" vertical="center"/>
    </xf>
    <xf numFmtId="0" fontId="3" fillId="2" borderId="72" xfId="1" applyFont="1" applyFill="1" applyBorder="1" applyAlignment="1" applyProtection="1">
      <alignment horizontal="center" vertical="center"/>
    </xf>
    <xf numFmtId="0" fontId="3" fillId="2" borderId="65" xfId="1" applyFont="1" applyFill="1" applyBorder="1" applyAlignment="1" applyProtection="1">
      <alignment horizontal="center" vertical="center"/>
    </xf>
    <xf numFmtId="0" fontId="3" fillId="2" borderId="59" xfId="1" applyFont="1" applyFill="1" applyBorder="1" applyAlignment="1" applyProtection="1">
      <alignment horizontal="center" vertical="center"/>
    </xf>
    <xf numFmtId="0" fontId="3" fillId="2" borderId="63" xfId="1" applyFont="1" applyFill="1" applyBorder="1" applyAlignment="1" applyProtection="1">
      <alignment horizontal="center" vertical="center"/>
    </xf>
    <xf numFmtId="0" fontId="14" fillId="5" borderId="69" xfId="0" applyFont="1" applyFill="1" applyBorder="1" applyAlignment="1" applyProtection="1">
      <alignment horizontal="center" vertical="center"/>
    </xf>
    <xf numFmtId="0" fontId="14" fillId="5" borderId="70" xfId="0" applyFont="1" applyFill="1" applyBorder="1" applyAlignment="1" applyProtection="1">
      <alignment horizontal="center" vertical="center"/>
    </xf>
    <xf numFmtId="0" fontId="14" fillId="5" borderId="2" xfId="0" applyFont="1" applyFill="1" applyBorder="1" applyAlignment="1" applyProtection="1">
      <alignment horizontal="center"/>
    </xf>
    <xf numFmtId="0" fontId="14" fillId="5" borderId="3" xfId="0" applyFont="1" applyFill="1" applyBorder="1" applyAlignment="1" applyProtection="1">
      <alignment horizontal="center"/>
    </xf>
    <xf numFmtId="0" fontId="14" fillId="5" borderId="71" xfId="0" applyFont="1" applyFill="1" applyBorder="1" applyAlignment="1" applyProtection="1">
      <alignment horizontal="center" vertical="center"/>
    </xf>
    <xf numFmtId="0" fontId="6" fillId="0" borderId="2" xfId="3" applyNumberFormat="1" applyBorder="1" applyAlignment="1" applyProtection="1">
      <alignment horizontal="left" vertical="center"/>
      <protection locked="0"/>
    </xf>
    <xf numFmtId="0" fontId="6" fillId="0" borderId="3" xfId="3" applyNumberFormat="1" applyBorder="1" applyAlignment="1" applyProtection="1">
      <alignment horizontal="left" vertical="center"/>
      <protection locked="0"/>
    </xf>
    <xf numFmtId="0" fontId="27" fillId="0" borderId="0" xfId="0" applyFont="1" applyBorder="1" applyAlignment="1">
      <alignment horizontal="left" wrapText="1"/>
    </xf>
    <xf numFmtId="0" fontId="1" fillId="0" borderId="94" xfId="5" applyFont="1" applyBorder="1" applyAlignment="1">
      <alignment horizontal="left"/>
    </xf>
    <xf numFmtId="0" fontId="1" fillId="0" borderId="95" xfId="5" applyFont="1" applyBorder="1" applyAlignment="1">
      <alignment horizontal="left"/>
    </xf>
    <xf numFmtId="0" fontId="8" fillId="5" borderId="53" xfId="0" applyFont="1" applyFill="1" applyBorder="1" applyAlignment="1">
      <alignment horizontal="left"/>
    </xf>
    <xf numFmtId="0" fontId="8" fillId="5" borderId="55" xfId="0" applyFont="1" applyFill="1" applyBorder="1" applyAlignment="1">
      <alignment horizontal="left"/>
    </xf>
    <xf numFmtId="0" fontId="14" fillId="0" borderId="21" xfId="5" applyFont="1" applyBorder="1" applyAlignment="1">
      <alignment horizontal="center"/>
    </xf>
    <xf numFmtId="0" fontId="14" fillId="0" borderId="83" xfId="5" applyFont="1" applyBorder="1" applyAlignment="1">
      <alignment horizontal="center"/>
    </xf>
    <xf numFmtId="0" fontId="1" fillId="0" borderId="92" xfId="5" applyFont="1" applyBorder="1" applyAlignment="1">
      <alignment horizontal="left"/>
    </xf>
    <xf numFmtId="0" fontId="1" fillId="0" borderId="93" xfId="5" applyFont="1" applyBorder="1" applyAlignment="1">
      <alignment horizontal="left"/>
    </xf>
    <xf numFmtId="0" fontId="1" fillId="0" borderId="90" xfId="5" applyFont="1" applyBorder="1" applyAlignment="1">
      <alignment horizontal="left"/>
    </xf>
    <xf numFmtId="0" fontId="1" fillId="0" borderId="91" xfId="5" applyFont="1" applyBorder="1" applyAlignment="1">
      <alignment horizontal="left"/>
    </xf>
    <xf numFmtId="0" fontId="3" fillId="8" borderId="12" xfId="1" applyFont="1" applyFill="1" applyBorder="1" applyAlignment="1" applyProtection="1">
      <alignment horizontal="left" vertical="center" wrapText="1"/>
    </xf>
    <xf numFmtId="0" fontId="3" fillId="8" borderId="13" xfId="1" applyFont="1" applyFill="1" applyBorder="1" applyAlignment="1" applyProtection="1">
      <alignment horizontal="left" vertical="center" wrapText="1"/>
    </xf>
    <xf numFmtId="0" fontId="3" fillId="8" borderId="14" xfId="1" applyFont="1" applyFill="1" applyBorder="1" applyAlignment="1" applyProtection="1">
      <alignment horizontal="left" vertical="center" wrapText="1"/>
    </xf>
    <xf numFmtId="0" fontId="3" fillId="8" borderId="15" xfId="1" applyFont="1" applyFill="1" applyBorder="1" applyAlignment="1" applyProtection="1">
      <alignment horizontal="left" vertical="center" wrapText="1"/>
    </xf>
    <xf numFmtId="0" fontId="3" fillId="8" borderId="0" xfId="1" applyFont="1" applyFill="1" applyBorder="1" applyAlignment="1" applyProtection="1">
      <alignment horizontal="left" vertical="center" wrapText="1"/>
    </xf>
    <xf numFmtId="0" fontId="3" fillId="8" borderId="16" xfId="1" applyFont="1" applyFill="1" applyBorder="1" applyAlignment="1" applyProtection="1">
      <alignment horizontal="left" vertical="center" wrapText="1"/>
    </xf>
    <xf numFmtId="0" fontId="3" fillId="8" borderId="51" xfId="1" applyFont="1" applyFill="1" applyBorder="1" applyAlignment="1" applyProtection="1">
      <alignment horizontal="left" vertical="center" wrapText="1"/>
    </xf>
    <xf numFmtId="0" fontId="3" fillId="8" borderId="24" xfId="1" applyFont="1" applyFill="1" applyBorder="1" applyAlignment="1" applyProtection="1">
      <alignment horizontal="left" vertical="center" wrapText="1"/>
    </xf>
    <xf numFmtId="0" fontId="3" fillId="8" borderId="52" xfId="1" applyFont="1" applyFill="1" applyBorder="1" applyAlignment="1" applyProtection="1">
      <alignment horizontal="left" vertical="center" wrapText="1"/>
    </xf>
    <xf numFmtId="0" fontId="3" fillId="4" borderId="4" xfId="1" applyFont="1" applyBorder="1" applyAlignment="1" applyProtection="1">
      <alignment horizontal="left" vertical="center"/>
    </xf>
    <xf numFmtId="0" fontId="1" fillId="0" borderId="41" xfId="5" applyFont="1" applyBorder="1" applyAlignment="1">
      <alignment horizontal="left"/>
    </xf>
    <xf numFmtId="0" fontId="1" fillId="0" borderId="96" xfId="5" applyFont="1" applyBorder="1" applyAlignment="1">
      <alignment horizontal="left"/>
    </xf>
    <xf numFmtId="0" fontId="8" fillId="5" borderId="116" xfId="0" applyFont="1" applyFill="1" applyBorder="1" applyAlignment="1">
      <alignment horizontal="left"/>
    </xf>
    <xf numFmtId="0" fontId="8" fillId="5" borderId="105" xfId="0" applyFont="1" applyFill="1" applyBorder="1" applyAlignment="1">
      <alignment horizontal="left"/>
    </xf>
    <xf numFmtId="0" fontId="1" fillId="0" borderId="17" xfId="0" applyFont="1" applyFill="1" applyBorder="1" applyAlignment="1" applyProtection="1">
      <alignment horizontal="center" vertical="center"/>
    </xf>
    <xf numFmtId="0" fontId="1" fillId="0" borderId="103" xfId="0" applyFont="1" applyFill="1" applyBorder="1" applyAlignment="1" applyProtection="1">
      <alignment horizontal="center" vertical="center"/>
    </xf>
    <xf numFmtId="2" fontId="10" fillId="6" borderId="11" xfId="4" applyNumberFormat="1" applyFont="1" applyFill="1" applyBorder="1" applyAlignment="1" applyProtection="1">
      <alignment horizontal="center" vertical="center"/>
    </xf>
    <xf numFmtId="2" fontId="10" fillId="6" borderId="86" xfId="4" applyNumberFormat="1" applyFont="1" applyFill="1" applyBorder="1" applyAlignment="1" applyProtection="1">
      <alignment horizontal="center" vertical="center"/>
    </xf>
    <xf numFmtId="0" fontId="14" fillId="0" borderId="64" xfId="0" applyFont="1" applyBorder="1" applyAlignment="1" applyProtection="1">
      <alignment horizontal="center" vertical="center"/>
    </xf>
    <xf numFmtId="0" fontId="14" fillId="0" borderId="58" xfId="0" applyFont="1" applyBorder="1" applyAlignment="1" applyProtection="1">
      <alignment horizontal="center" vertical="center"/>
    </xf>
    <xf numFmtId="0" fontId="14" fillId="0" borderId="31" xfId="0" applyFont="1" applyBorder="1" applyAlignment="1" applyProtection="1">
      <alignment horizontal="center" vertical="center"/>
    </xf>
    <xf numFmtId="2" fontId="28" fillId="6" borderId="65" xfId="4" applyNumberFormat="1" applyFont="1" applyFill="1" applyBorder="1" applyAlignment="1" applyProtection="1">
      <alignment horizontal="center" vertical="center"/>
    </xf>
    <xf numFmtId="2" fontId="28" fillId="6" borderId="59" xfId="4" applyNumberFormat="1" applyFont="1" applyFill="1" applyBorder="1" applyAlignment="1" applyProtection="1">
      <alignment horizontal="center" vertical="center"/>
    </xf>
    <xf numFmtId="2" fontId="28" fillId="6" borderId="26" xfId="4" applyNumberFormat="1" applyFont="1" applyFill="1" applyBorder="1" applyAlignment="1" applyProtection="1">
      <alignment horizontal="center" vertical="center"/>
    </xf>
    <xf numFmtId="0" fontId="14" fillId="5" borderId="2" xfId="0" applyFont="1" applyFill="1" applyBorder="1" applyAlignment="1" applyProtection="1">
      <alignment horizontal="left"/>
    </xf>
    <xf numFmtId="0" fontId="14" fillId="5" borderId="4" xfId="0" applyFont="1" applyFill="1" applyBorder="1" applyAlignment="1" applyProtection="1">
      <alignment horizontal="left"/>
    </xf>
    <xf numFmtId="0" fontId="14" fillId="5" borderId="3" xfId="0" applyFont="1" applyFill="1" applyBorder="1" applyAlignment="1" applyProtection="1">
      <alignment horizontal="left"/>
    </xf>
    <xf numFmtId="164" fontId="1" fillId="0" borderId="2" xfId="0" applyNumberFormat="1" applyFont="1" applyBorder="1" applyAlignment="1" applyProtection="1">
      <alignment horizontal="left" vertical="top" wrapText="1"/>
    </xf>
    <xf numFmtId="164" fontId="1" fillId="0" borderId="4" xfId="0" applyNumberFormat="1" applyFont="1" applyBorder="1" applyAlignment="1" applyProtection="1">
      <alignment horizontal="left" vertical="top" wrapText="1"/>
    </xf>
    <xf numFmtId="164" fontId="1" fillId="0" borderId="3" xfId="0" applyNumberFormat="1" applyFont="1" applyBorder="1" applyAlignment="1" applyProtection="1">
      <alignment horizontal="left" vertical="top" wrapText="1"/>
    </xf>
    <xf numFmtId="0" fontId="14" fillId="5" borderId="2" xfId="0" applyFont="1" applyFill="1" applyBorder="1" applyAlignment="1" applyProtection="1">
      <alignment horizontal="left" vertical="center" wrapText="1"/>
    </xf>
    <xf numFmtId="0" fontId="14" fillId="5" borderId="4" xfId="0" applyFont="1" applyFill="1" applyBorder="1" applyAlignment="1" applyProtection="1">
      <alignment horizontal="left" vertical="center" wrapText="1"/>
    </xf>
    <xf numFmtId="0" fontId="14" fillId="5" borderId="3" xfId="0" applyFont="1" applyFill="1" applyBorder="1" applyAlignment="1" applyProtection="1">
      <alignment horizontal="left" vertical="center" wrapText="1"/>
    </xf>
    <xf numFmtId="0" fontId="3" fillId="4" borderId="2" xfId="1" applyFont="1" applyBorder="1" applyAlignment="1" applyProtection="1">
      <alignment horizontal="left" vertical="center" wrapText="1"/>
    </xf>
    <xf numFmtId="0" fontId="14" fillId="5" borderId="2" xfId="0" applyFont="1" applyFill="1" applyBorder="1" applyAlignment="1">
      <alignment horizontal="left"/>
    </xf>
    <xf numFmtId="0" fontId="14" fillId="5" borderId="4" xfId="0" applyFont="1" applyFill="1" applyBorder="1" applyAlignment="1">
      <alignment horizontal="left"/>
    </xf>
    <xf numFmtId="0" fontId="14" fillId="5" borderId="3" xfId="0" applyFont="1" applyFill="1" applyBorder="1" applyAlignment="1">
      <alignment horizontal="left"/>
    </xf>
    <xf numFmtId="0" fontId="14" fillId="0" borderId="61" xfId="0" applyFont="1" applyBorder="1" applyAlignment="1">
      <alignment horizontal="left"/>
    </xf>
    <xf numFmtId="0" fontId="14" fillId="0" borderId="62" xfId="0" applyFont="1" applyBorder="1" applyAlignment="1">
      <alignment horizontal="left"/>
    </xf>
    <xf numFmtId="0" fontId="14" fillId="0" borderId="20" xfId="0" applyFont="1" applyBorder="1" applyAlignment="1">
      <alignment horizontal="left"/>
    </xf>
    <xf numFmtId="0" fontId="3" fillId="0" borderId="61" xfId="0" applyFont="1" applyFill="1" applyBorder="1" applyAlignment="1" applyProtection="1">
      <alignment horizontal="left" vertical="center" wrapText="1"/>
    </xf>
    <xf numFmtId="0" fontId="3" fillId="0" borderId="62" xfId="0" applyFont="1" applyFill="1" applyBorder="1" applyAlignment="1" applyProtection="1">
      <alignment horizontal="left" vertical="center" wrapText="1"/>
    </xf>
    <xf numFmtId="0" fontId="3" fillId="0" borderId="20" xfId="0" applyFont="1" applyFill="1" applyBorder="1" applyAlignment="1" applyProtection="1">
      <alignment horizontal="left" vertical="center" wrapText="1"/>
    </xf>
    <xf numFmtId="0" fontId="14" fillId="0" borderId="61" xfId="0" applyFont="1" applyFill="1" applyBorder="1" applyAlignment="1" applyProtection="1">
      <alignment horizontal="left"/>
    </xf>
    <xf numFmtId="0" fontId="14" fillId="0" borderId="62" xfId="0" applyFont="1" applyFill="1" applyBorder="1" applyAlignment="1" applyProtection="1">
      <alignment horizontal="left"/>
    </xf>
    <xf numFmtId="0" fontId="14" fillId="0" borderId="110" xfId="0" applyFont="1" applyFill="1" applyBorder="1" applyAlignment="1" applyProtection="1">
      <alignment horizontal="left"/>
    </xf>
    <xf numFmtId="0" fontId="14" fillId="5" borderId="12" xfId="0" applyFont="1" applyFill="1" applyBorder="1" applyAlignment="1" applyProtection="1">
      <alignment horizontal="left"/>
    </xf>
    <xf numFmtId="0" fontId="14" fillId="5" borderId="111" xfId="0" applyFont="1" applyFill="1" applyBorder="1" applyAlignment="1" applyProtection="1">
      <alignment horizontal="left"/>
    </xf>
    <xf numFmtId="0" fontId="1" fillId="0" borderId="53" xfId="0" applyFont="1" applyBorder="1" applyAlignment="1" applyProtection="1">
      <alignment horizontal="left" vertical="top" wrapText="1"/>
    </xf>
    <xf numFmtId="0" fontId="1" fillId="0" borderId="54" xfId="0" applyFont="1" applyBorder="1" applyAlignment="1" applyProtection="1">
      <alignment horizontal="left" vertical="top"/>
    </xf>
    <xf numFmtId="0" fontId="1" fillId="0" borderId="55" xfId="0" applyFont="1" applyBorder="1" applyAlignment="1" applyProtection="1">
      <alignment horizontal="left" vertical="top"/>
    </xf>
    <xf numFmtId="0" fontId="14" fillId="0" borderId="25" xfId="0" applyFont="1" applyBorder="1" applyAlignment="1" applyProtection="1">
      <alignment horizontal="center"/>
    </xf>
    <xf numFmtId="0" fontId="14" fillId="0" borderId="26" xfId="0" applyFont="1" applyBorder="1" applyAlignment="1" applyProtection="1">
      <alignment horizontal="center"/>
    </xf>
    <xf numFmtId="0" fontId="14" fillId="0" borderId="1" xfId="0" applyFont="1" applyBorder="1" applyAlignment="1" applyProtection="1">
      <alignment horizontal="center"/>
    </xf>
    <xf numFmtId="0" fontId="1" fillId="0" borderId="1" xfId="0" applyFont="1" applyBorder="1" applyAlignment="1" applyProtection="1">
      <alignment horizontal="left" vertical="center" wrapText="1"/>
    </xf>
    <xf numFmtId="2" fontId="12" fillId="0" borderId="1" xfId="4" applyNumberFormat="1" applyFont="1" applyFill="1" applyBorder="1" applyAlignment="1" applyProtection="1">
      <alignment horizontal="left" vertical="center"/>
    </xf>
    <xf numFmtId="0" fontId="14" fillId="0" borderId="23" xfId="0" applyFont="1" applyBorder="1" applyAlignment="1" applyProtection="1">
      <alignment horizontal="center"/>
    </xf>
    <xf numFmtId="0" fontId="14" fillId="0" borderId="83" xfId="0" applyFont="1" applyBorder="1" applyAlignment="1" applyProtection="1">
      <alignment horizontal="center"/>
    </xf>
    <xf numFmtId="0" fontId="28" fillId="6" borderId="97" xfId="0"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14" fillId="5" borderId="6" xfId="0" applyFont="1" applyFill="1" applyBorder="1" applyAlignment="1" applyProtection="1">
      <alignment horizontal="left"/>
    </xf>
    <xf numFmtId="164" fontId="1" fillId="0" borderId="6" xfId="0" applyNumberFormat="1" applyFont="1" applyBorder="1" applyAlignment="1" applyProtection="1">
      <alignment horizontal="left" vertical="top" wrapText="1"/>
    </xf>
    <xf numFmtId="0" fontId="14" fillId="0" borderId="20" xfId="0" applyFont="1" applyFill="1" applyBorder="1" applyAlignment="1" applyProtection="1">
      <alignment horizontal="left"/>
    </xf>
    <xf numFmtId="0" fontId="14" fillId="0" borderId="11" xfId="0" applyFont="1" applyBorder="1" applyAlignment="1" applyProtection="1">
      <alignment horizontal="center"/>
    </xf>
    <xf numFmtId="0" fontId="1" fillId="0" borderId="12" xfId="0" applyFont="1" applyBorder="1" applyAlignment="1" applyProtection="1">
      <alignment horizontal="left" wrapText="1"/>
    </xf>
    <xf numFmtId="0" fontId="1" fillId="0" borderId="13" xfId="0" applyFont="1" applyBorder="1" applyAlignment="1" applyProtection="1">
      <alignment horizontal="left" wrapText="1"/>
    </xf>
    <xf numFmtId="0" fontId="1" fillId="0" borderId="15" xfId="0" applyFont="1" applyBorder="1" applyAlignment="1" applyProtection="1">
      <alignment horizontal="left" wrapText="1"/>
    </xf>
    <xf numFmtId="0" fontId="1" fillId="0" borderId="0" xfId="0" applyFont="1" applyBorder="1" applyAlignment="1" applyProtection="1">
      <alignment horizontal="left" wrapText="1"/>
    </xf>
    <xf numFmtId="164" fontId="1" fillId="0" borderId="2" xfId="0" applyNumberFormat="1" applyFont="1" applyBorder="1" applyAlignment="1" applyProtection="1">
      <alignment horizontal="left" vertical="center" wrapText="1"/>
    </xf>
    <xf numFmtId="164" fontId="1" fillId="0" borderId="4" xfId="0" applyNumberFormat="1" applyFont="1" applyBorder="1" applyAlignment="1" applyProtection="1">
      <alignment horizontal="left" vertical="center" wrapText="1"/>
    </xf>
    <xf numFmtId="164" fontId="1" fillId="0" borderId="3" xfId="0" applyNumberFormat="1" applyFont="1" applyBorder="1" applyAlignment="1" applyProtection="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4" fillId="0" borderId="87" xfId="0" applyFont="1" applyBorder="1" applyAlignment="1">
      <alignment horizontal="center"/>
    </xf>
    <xf numFmtId="0" fontId="14" fillId="0" borderId="24" xfId="0" applyFont="1" applyBorder="1" applyAlignment="1">
      <alignment horizontal="center"/>
    </xf>
    <xf numFmtId="0" fontId="14" fillId="0" borderId="0" xfId="0" applyFont="1" applyBorder="1" applyAlignment="1">
      <alignment horizontal="center"/>
    </xf>
    <xf numFmtId="0" fontId="14" fillId="0" borderId="16" xfId="0" applyFont="1" applyBorder="1" applyAlignment="1">
      <alignment horizontal="center"/>
    </xf>
    <xf numFmtId="0" fontId="14" fillId="5" borderId="6" xfId="0" applyFont="1" applyFill="1" applyBorder="1" applyAlignment="1">
      <alignment horizontal="left"/>
    </xf>
    <xf numFmtId="0" fontId="14" fillId="0" borderId="23" xfId="0" applyFont="1" applyBorder="1" applyAlignment="1">
      <alignment horizontal="center"/>
    </xf>
    <xf numFmtId="0" fontId="14" fillId="0" borderId="22" xfId="0" applyFont="1" applyBorder="1" applyAlignment="1">
      <alignment horizontal="center"/>
    </xf>
    <xf numFmtId="0" fontId="14" fillId="0" borderId="18" xfId="0" applyFont="1" applyBorder="1" applyAlignment="1">
      <alignment horizontal="center"/>
    </xf>
    <xf numFmtId="0" fontId="14" fillId="0" borderId="80" xfId="0" applyFont="1" applyBorder="1" applyAlignment="1">
      <alignment horizontal="center"/>
    </xf>
    <xf numFmtId="0" fontId="14" fillId="0" borderId="81" xfId="0" applyFont="1" applyBorder="1" applyAlignment="1">
      <alignment horizontal="center"/>
    </xf>
    <xf numFmtId="0" fontId="28" fillId="6" borderId="108" xfId="0" quotePrefix="1" applyFont="1" applyFill="1" applyBorder="1" applyAlignment="1">
      <alignment horizontal="center" vertical="center"/>
    </xf>
    <xf numFmtId="0" fontId="28" fillId="6" borderId="62" xfId="0" quotePrefix="1" applyFont="1" applyFill="1" applyBorder="1" applyAlignment="1">
      <alignment horizontal="center" vertical="center"/>
    </xf>
    <xf numFmtId="0" fontId="1" fillId="0" borderId="4" xfId="0" applyFont="1" applyBorder="1" applyAlignment="1">
      <alignment horizontal="left" vertical="top"/>
    </xf>
    <xf numFmtId="0" fontId="1" fillId="0" borderId="3" xfId="0" applyFont="1" applyBorder="1" applyAlignment="1">
      <alignment horizontal="left" vertical="top"/>
    </xf>
    <xf numFmtId="0" fontId="3" fillId="4" borderId="2" xfId="1" applyFont="1" applyBorder="1">
      <alignment horizontal="left" vertical="center"/>
    </xf>
    <xf numFmtId="0" fontId="3" fillId="4" borderId="3" xfId="1" applyFont="1" applyBorder="1">
      <alignment horizontal="left" vertical="center"/>
    </xf>
    <xf numFmtId="0" fontId="1" fillId="0" borderId="1" xfId="0" applyFont="1" applyBorder="1" applyAlignment="1">
      <alignment horizontal="left" vertical="center" wrapText="1"/>
    </xf>
    <xf numFmtId="0" fontId="14" fillId="5" borderId="12" xfId="0" applyFont="1" applyFill="1" applyBorder="1" applyAlignment="1">
      <alignment horizontal="left"/>
    </xf>
    <xf numFmtId="0" fontId="14" fillId="5" borderId="13" xfId="0" applyFont="1" applyFill="1" applyBorder="1" applyAlignment="1">
      <alignment horizontal="left"/>
    </xf>
    <xf numFmtId="0" fontId="14" fillId="5" borderId="14" xfId="0" applyFont="1" applyFill="1" applyBorder="1" applyAlignment="1">
      <alignment horizontal="left"/>
    </xf>
    <xf numFmtId="164" fontId="1" fillId="0" borderId="2" xfId="0" applyNumberFormat="1" applyFont="1" applyBorder="1" applyAlignment="1">
      <alignment horizontal="left" vertical="center" wrapText="1"/>
    </xf>
    <xf numFmtId="164" fontId="1" fillId="0" borderId="4" xfId="0" applyNumberFormat="1" applyFont="1" applyBorder="1" applyAlignment="1">
      <alignment horizontal="left" vertical="center" wrapText="1"/>
    </xf>
    <xf numFmtId="164" fontId="1" fillId="0" borderId="3" xfId="0" applyNumberFormat="1" applyFont="1" applyBorder="1" applyAlignment="1">
      <alignment horizontal="left" vertical="center" wrapText="1"/>
    </xf>
    <xf numFmtId="2" fontId="12" fillId="0" borderId="1" xfId="4" applyNumberFormat="1" applyFont="1" applyFill="1" applyBorder="1" applyAlignment="1" applyProtection="1">
      <alignment horizontal="left" vertical="center"/>
      <protection locked="0"/>
    </xf>
    <xf numFmtId="0" fontId="14" fillId="0" borderId="83" xfId="0" applyFont="1" applyBorder="1" applyAlignment="1">
      <alignment horizontal="center"/>
    </xf>
    <xf numFmtId="0" fontId="14" fillId="0" borderId="1" xfId="0" applyFont="1" applyBorder="1" applyAlignment="1">
      <alignment horizontal="center"/>
    </xf>
    <xf numFmtId="0" fontId="14" fillId="0" borderId="11" xfId="0" applyFont="1" applyBorder="1" applyAlignment="1">
      <alignment horizontal="center"/>
    </xf>
    <xf numFmtId="0" fontId="14" fillId="0" borderId="82" xfId="0" applyFont="1" applyBorder="1" applyAlignment="1">
      <alignment horizontal="center"/>
    </xf>
    <xf numFmtId="0" fontId="14" fillId="0" borderId="61" xfId="0" applyFont="1" applyFill="1" applyBorder="1" applyAlignment="1">
      <alignment horizontal="left"/>
    </xf>
    <xf numFmtId="0" fontId="14" fillId="0" borderId="62" xfId="0" applyFont="1" applyFill="1" applyBorder="1" applyAlignment="1">
      <alignment horizontal="left"/>
    </xf>
    <xf numFmtId="0" fontId="28" fillId="6" borderId="108" xfId="0" applyFont="1" applyFill="1" applyBorder="1" applyAlignment="1">
      <alignment horizontal="center" vertical="center"/>
    </xf>
    <xf numFmtId="0" fontId="28" fillId="6" borderId="62" xfId="0" applyFont="1" applyFill="1" applyBorder="1" applyAlignment="1">
      <alignment horizontal="center" vertical="center"/>
    </xf>
    <xf numFmtId="0" fontId="28" fillId="6" borderId="97" xfId="0" applyFont="1" applyFill="1" applyBorder="1" applyAlignment="1">
      <alignment horizontal="center" vertical="center"/>
    </xf>
    <xf numFmtId="0" fontId="28" fillId="6" borderId="0" xfId="0" applyFont="1" applyFill="1" applyBorder="1" applyAlignment="1">
      <alignment horizontal="center" vertical="center"/>
    </xf>
    <xf numFmtId="0" fontId="14" fillId="0" borderId="1" xfId="0" applyFont="1" applyFill="1" applyBorder="1" applyAlignment="1" applyProtection="1">
      <alignment horizontal="left"/>
    </xf>
    <xf numFmtId="0" fontId="14" fillId="0" borderId="11" xfId="0" applyFont="1" applyFill="1" applyBorder="1" applyAlignment="1" applyProtection="1">
      <alignment horizontal="left"/>
    </xf>
    <xf numFmtId="0" fontId="14" fillId="21" borderId="2" xfId="0" applyFont="1" applyFill="1" applyBorder="1" applyAlignment="1" applyProtection="1">
      <alignment horizontal="left"/>
    </xf>
    <xf numFmtId="0" fontId="14" fillId="21" borderId="4" xfId="0" applyFont="1" applyFill="1" applyBorder="1" applyAlignment="1" applyProtection="1">
      <alignment horizontal="left"/>
    </xf>
    <xf numFmtId="0" fontId="14" fillId="21" borderId="3" xfId="0" applyFont="1" applyFill="1" applyBorder="1" applyAlignment="1" applyProtection="1">
      <alignment horizontal="left"/>
    </xf>
    <xf numFmtId="0" fontId="28" fillId="6" borderId="108" xfId="0" applyFont="1" applyFill="1" applyBorder="1" applyAlignment="1" applyProtection="1">
      <alignment horizontal="center" vertical="center"/>
    </xf>
    <xf numFmtId="0" fontId="28" fillId="6" borderId="62" xfId="0" applyFont="1" applyFill="1" applyBorder="1" applyAlignment="1" applyProtection="1">
      <alignment horizontal="center" vertical="center"/>
    </xf>
    <xf numFmtId="0" fontId="3" fillId="4" borderId="2" xfId="1" applyFont="1" applyBorder="1" applyProtection="1">
      <alignment horizontal="left" vertical="center"/>
    </xf>
    <xf numFmtId="0" fontId="3" fillId="4" borderId="3" xfId="1" applyFont="1" applyBorder="1" applyProtection="1">
      <alignment horizontal="left" vertical="center"/>
    </xf>
    <xf numFmtId="0" fontId="14" fillId="5" borderId="13" xfId="0" applyFont="1" applyFill="1" applyBorder="1" applyAlignment="1" applyProtection="1">
      <alignment horizontal="left"/>
    </xf>
    <xf numFmtId="0" fontId="14" fillId="5" borderId="14" xfId="0" applyFont="1" applyFill="1" applyBorder="1" applyAlignment="1" applyProtection="1">
      <alignment horizontal="left"/>
    </xf>
    <xf numFmtId="0" fontId="1" fillId="0" borderId="2" xfId="0" applyFont="1" applyBorder="1" applyAlignment="1" applyProtection="1">
      <alignment horizontal="left" vertical="top" wrapText="1"/>
    </xf>
    <xf numFmtId="0" fontId="1" fillId="0" borderId="4" xfId="0" applyFont="1" applyBorder="1" applyAlignment="1" applyProtection="1">
      <alignment horizontal="left" vertical="top"/>
    </xf>
    <xf numFmtId="0" fontId="1" fillId="0" borderId="3" xfId="0" applyFont="1" applyBorder="1" applyAlignment="1" applyProtection="1">
      <alignment horizontal="left" vertical="top"/>
    </xf>
    <xf numFmtId="0" fontId="14" fillId="5" borderId="111" xfId="0" applyFont="1" applyFill="1" applyBorder="1" applyAlignment="1">
      <alignment horizontal="left"/>
    </xf>
    <xf numFmtId="164" fontId="1" fillId="0" borderId="2" xfId="0" applyNumberFormat="1" applyFont="1" applyBorder="1" applyAlignment="1">
      <alignment horizontal="left" vertical="top" wrapText="1"/>
    </xf>
    <xf numFmtId="164" fontId="1" fillId="0" borderId="6" xfId="0" applyNumberFormat="1" applyFont="1" applyBorder="1" applyAlignment="1">
      <alignment horizontal="left" vertical="top" wrapText="1"/>
    </xf>
    <xf numFmtId="0" fontId="14" fillId="3" borderId="0" xfId="0" applyFont="1" applyFill="1" applyBorder="1" applyAlignment="1">
      <alignment horizontal="center"/>
    </xf>
    <xf numFmtId="2" fontId="12" fillId="0" borderId="23" xfId="4" applyNumberFormat="1" applyFont="1" applyFill="1" applyBorder="1" applyAlignment="1" applyProtection="1">
      <alignment horizontal="left" vertical="center"/>
      <protection locked="0"/>
    </xf>
    <xf numFmtId="2" fontId="12" fillId="0" borderId="22" xfId="4" applyNumberFormat="1" applyFont="1" applyFill="1" applyBorder="1" applyAlignment="1" applyProtection="1">
      <alignment horizontal="left" vertical="center"/>
      <protection locked="0"/>
    </xf>
    <xf numFmtId="2" fontId="12" fillId="0" borderId="83" xfId="4" applyNumberFormat="1" applyFont="1" applyFill="1" applyBorder="1" applyAlignment="1" applyProtection="1">
      <alignment horizontal="left" vertical="center"/>
      <protection locked="0"/>
    </xf>
    <xf numFmtId="0" fontId="14" fillId="0" borderId="61" xfId="0" applyFont="1" applyBorder="1" applyAlignment="1" applyProtection="1">
      <alignment horizontal="left"/>
    </xf>
    <xf numFmtId="0" fontId="14" fillId="0" borderId="62" xfId="0" applyFont="1" applyBorder="1" applyAlignment="1" applyProtection="1">
      <alignment horizontal="left"/>
    </xf>
    <xf numFmtId="0" fontId="14" fillId="0" borderId="20" xfId="0" applyFont="1" applyBorder="1" applyAlignment="1" applyProtection="1">
      <alignment horizontal="left"/>
    </xf>
    <xf numFmtId="0" fontId="14" fillId="0" borderId="15" xfId="0" applyFont="1" applyBorder="1" applyAlignment="1" applyProtection="1">
      <alignment horizontal="left"/>
    </xf>
    <xf numFmtId="0" fontId="14" fillId="0" borderId="114" xfId="0" applyFont="1" applyBorder="1" applyAlignment="1" applyProtection="1">
      <alignment horizontal="left"/>
    </xf>
    <xf numFmtId="0" fontId="14" fillId="5" borderId="2" xfId="0" applyFont="1" applyFill="1" applyBorder="1" applyAlignment="1" applyProtection="1">
      <alignment horizontal="left" wrapText="1"/>
    </xf>
    <xf numFmtId="0" fontId="14" fillId="5" borderId="6" xfId="0" applyFont="1" applyFill="1" applyBorder="1" applyAlignment="1" applyProtection="1">
      <alignment horizontal="left" wrapText="1"/>
    </xf>
    <xf numFmtId="0" fontId="1" fillId="0" borderId="4" xfId="0" applyFont="1" applyBorder="1" applyAlignment="1" applyProtection="1">
      <alignment horizontal="left" vertical="top" wrapText="1"/>
    </xf>
    <xf numFmtId="0" fontId="1" fillId="0" borderId="3" xfId="0" applyFont="1" applyBorder="1" applyAlignment="1" applyProtection="1">
      <alignment horizontal="left" vertical="top" wrapText="1"/>
    </xf>
    <xf numFmtId="0" fontId="1" fillId="0" borderId="12" xfId="0" applyFont="1" applyBorder="1" applyAlignment="1" applyProtection="1">
      <alignment horizontal="left" vertical="top" wrapText="1"/>
    </xf>
    <xf numFmtId="0" fontId="1" fillId="0" borderId="111" xfId="0" applyFont="1" applyBorder="1" applyAlignment="1" applyProtection="1">
      <alignment horizontal="left" vertical="top" wrapText="1"/>
    </xf>
    <xf numFmtId="0" fontId="14" fillId="0" borderId="22" xfId="0" applyFont="1" applyBorder="1" applyAlignment="1" applyProtection="1">
      <alignment horizontal="center"/>
    </xf>
    <xf numFmtId="0" fontId="14" fillId="0" borderId="18" xfId="0" applyFont="1" applyBorder="1" applyAlignment="1" applyProtection="1">
      <alignment horizontal="center"/>
    </xf>
    <xf numFmtId="0" fontId="10" fillId="6" borderId="97" xfId="0" applyFont="1" applyFill="1" applyBorder="1" applyAlignment="1" applyProtection="1">
      <alignment horizontal="left" vertical="center"/>
    </xf>
    <xf numFmtId="0" fontId="10" fillId="6" borderId="0" xfId="0" applyFont="1" applyFill="1" applyBorder="1" applyAlignment="1" applyProtection="1">
      <alignment horizontal="left" vertical="center"/>
    </xf>
    <xf numFmtId="0" fontId="14" fillId="0" borderId="0" xfId="0" applyFont="1" applyBorder="1" applyAlignment="1" applyProtection="1">
      <alignment horizontal="left"/>
    </xf>
    <xf numFmtId="0" fontId="14" fillId="0" borderId="0" xfId="0" applyFont="1" applyFill="1" applyBorder="1" applyAlignment="1" applyProtection="1">
      <alignment horizontal="left"/>
    </xf>
    <xf numFmtId="0" fontId="14" fillId="0" borderId="16" xfId="0" applyFont="1" applyBorder="1" applyAlignment="1" applyProtection="1">
      <alignment horizontal="left"/>
    </xf>
    <xf numFmtId="0" fontId="28" fillId="6" borderId="108" xfId="0" applyFont="1" applyFill="1" applyBorder="1" applyAlignment="1">
      <alignment horizontal="left" vertical="center" wrapText="1"/>
    </xf>
    <xf numFmtId="0" fontId="28" fillId="6" borderId="62" xfId="0" applyFont="1" applyFill="1" applyBorder="1" applyAlignment="1">
      <alignment horizontal="left" vertical="center" wrapText="1"/>
    </xf>
    <xf numFmtId="0" fontId="14" fillId="0" borderId="52" xfId="0" applyFont="1" applyBorder="1" applyAlignment="1">
      <alignment horizont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3" fillId="4" borderId="6" xfId="1" applyFont="1" applyBorder="1" applyAlignment="1" applyProtection="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2" fillId="14" borderId="31" xfId="4" applyFont="1" applyFill="1" applyBorder="1" applyAlignment="1" applyProtection="1">
      <alignment horizontal="center" vertical="center"/>
      <protection locked="0"/>
    </xf>
    <xf numFmtId="0" fontId="12" fillId="14" borderId="25" xfId="4" applyFont="1" applyFill="1" applyBorder="1" applyAlignment="1" applyProtection="1">
      <alignment horizontal="center" vertical="center"/>
      <protection locked="0"/>
    </xf>
    <xf numFmtId="0" fontId="12" fillId="14" borderId="26" xfId="4" applyFont="1" applyFill="1" applyBorder="1" applyAlignment="1" applyProtection="1">
      <alignment horizontal="center" vertical="center"/>
      <protection locked="0"/>
    </xf>
    <xf numFmtId="0" fontId="12" fillId="14" borderId="17" xfId="4" applyFont="1" applyFill="1" applyBorder="1" applyAlignment="1" applyProtection="1">
      <alignment horizontal="center" vertical="center"/>
      <protection locked="0"/>
    </xf>
    <xf numFmtId="0" fontId="12" fillId="14" borderId="1" xfId="4" applyFont="1" applyFill="1" applyAlignment="1" applyProtection="1">
      <alignment horizontal="center" vertical="center"/>
      <protection locked="0"/>
    </xf>
    <xf numFmtId="0" fontId="12" fillId="14" borderId="11" xfId="4" applyFont="1" applyFill="1" applyBorder="1" applyAlignment="1" applyProtection="1">
      <alignment horizontal="center" vertical="center"/>
      <protection locked="0"/>
    </xf>
    <xf numFmtId="0" fontId="12" fillId="14" borderId="19" xfId="4" applyFont="1" applyFill="1" applyBorder="1" applyAlignment="1" applyProtection="1">
      <alignment horizontal="center" vertical="center"/>
      <protection locked="0"/>
    </xf>
    <xf numFmtId="0" fontId="12" fillId="14" borderId="10" xfId="4" applyFont="1" applyFill="1" applyBorder="1" applyAlignment="1" applyProtection="1">
      <alignment horizontal="center" vertical="center"/>
      <protection locked="0"/>
    </xf>
    <xf numFmtId="0" fontId="12" fillId="14" borderId="8" xfId="4" applyFont="1" applyFill="1" applyBorder="1" applyAlignment="1" applyProtection="1">
      <alignment horizontal="center" vertical="center"/>
      <protection locked="0"/>
    </xf>
    <xf numFmtId="0" fontId="3" fillId="4" borderId="53" xfId="1" applyFont="1" applyBorder="1" applyAlignment="1" applyProtection="1">
      <alignment horizontal="left" vertical="center"/>
    </xf>
    <xf numFmtId="0" fontId="3" fillId="4" borderId="54" xfId="1" applyFont="1" applyBorder="1" applyAlignment="1" applyProtection="1">
      <alignment horizontal="left" vertical="center"/>
    </xf>
    <xf numFmtId="0" fontId="3" fillId="4" borderId="55" xfId="1" applyFont="1" applyBorder="1" applyAlignment="1" applyProtection="1">
      <alignment horizontal="left" vertical="center"/>
    </xf>
    <xf numFmtId="0" fontId="12" fillId="14" borderId="79" xfId="4" applyFont="1" applyFill="1" applyBorder="1" applyAlignment="1" applyProtection="1">
      <alignment horizontal="left" vertical="top" wrapText="1"/>
      <protection locked="0"/>
    </xf>
    <xf numFmtId="0" fontId="12" fillId="14" borderId="80" xfId="4" applyFont="1" applyFill="1" applyBorder="1" applyAlignment="1" applyProtection="1">
      <alignment horizontal="left" vertical="top" wrapText="1"/>
      <protection locked="0"/>
    </xf>
    <xf numFmtId="0" fontId="12" fillId="14" borderId="81" xfId="4" applyFont="1" applyFill="1" applyBorder="1" applyAlignment="1" applyProtection="1">
      <alignment horizontal="left" vertical="top" wrapText="1"/>
      <protection locked="0"/>
    </xf>
    <xf numFmtId="0" fontId="12" fillId="14" borderId="15" xfId="4" applyFont="1" applyFill="1" applyBorder="1" applyAlignment="1" applyProtection="1">
      <alignment horizontal="left" vertical="top" wrapText="1"/>
      <protection locked="0"/>
    </xf>
    <xf numFmtId="0" fontId="12" fillId="14" borderId="0" xfId="4" applyFont="1" applyFill="1" applyBorder="1" applyAlignment="1" applyProtection="1">
      <alignment horizontal="left" vertical="top" wrapText="1"/>
      <protection locked="0"/>
    </xf>
    <xf numFmtId="0" fontId="12" fillId="14" borderId="16" xfId="4" applyFont="1" applyFill="1" applyBorder="1" applyAlignment="1" applyProtection="1">
      <alignment horizontal="left" vertical="top" wrapText="1"/>
      <protection locked="0"/>
    </xf>
    <xf numFmtId="0" fontId="12" fillId="14" borderId="51" xfId="4" applyFont="1" applyFill="1" applyBorder="1" applyAlignment="1" applyProtection="1">
      <alignment horizontal="left" vertical="top" wrapText="1"/>
      <protection locked="0"/>
    </xf>
    <xf numFmtId="0" fontId="12" fillId="14" borderId="24" xfId="4" applyFont="1" applyFill="1" applyBorder="1" applyAlignment="1" applyProtection="1">
      <alignment horizontal="left" vertical="top" wrapText="1"/>
      <protection locked="0"/>
    </xf>
    <xf numFmtId="0" fontId="12" fillId="14" borderId="52" xfId="4" applyFont="1" applyFill="1" applyBorder="1" applyAlignment="1" applyProtection="1">
      <alignment horizontal="left" vertical="top" wrapText="1"/>
      <protection locked="0"/>
    </xf>
    <xf numFmtId="0" fontId="12" fillId="14" borderId="61" xfId="4" applyFont="1" applyFill="1" applyBorder="1" applyAlignment="1" applyProtection="1">
      <alignment horizontal="left" vertical="top" wrapText="1"/>
      <protection locked="0"/>
    </xf>
    <xf numFmtId="0" fontId="12" fillId="14" borderId="62" xfId="4" applyFont="1" applyFill="1" applyBorder="1" applyAlignment="1" applyProtection="1">
      <alignment horizontal="left" vertical="top" wrapText="1"/>
      <protection locked="0"/>
    </xf>
    <xf numFmtId="0" fontId="12" fillId="14" borderId="20" xfId="4" applyFont="1" applyFill="1" applyBorder="1" applyAlignment="1" applyProtection="1">
      <alignment horizontal="left" vertical="top" wrapText="1"/>
      <protection locked="0"/>
    </xf>
    <xf numFmtId="0" fontId="12" fillId="14" borderId="12" xfId="4" applyFont="1" applyFill="1" applyBorder="1" applyAlignment="1" applyProtection="1">
      <alignment horizontal="left" vertical="top" wrapText="1"/>
      <protection locked="0"/>
    </xf>
    <xf numFmtId="0" fontId="12" fillId="14" borderId="13" xfId="4" applyFont="1" applyFill="1" applyBorder="1" applyAlignment="1" applyProtection="1">
      <alignment horizontal="left" vertical="top" wrapText="1"/>
      <protection locked="0"/>
    </xf>
    <xf numFmtId="0" fontId="12" fillId="14" borderId="14" xfId="4" applyFont="1" applyFill="1" applyBorder="1" applyAlignment="1" applyProtection="1">
      <alignment horizontal="left" vertical="top" wrapText="1"/>
      <protection locked="0"/>
    </xf>
    <xf numFmtId="0" fontId="1" fillId="0" borderId="21" xfId="0" applyFont="1" applyBorder="1" applyAlignment="1">
      <alignment horizontal="center"/>
    </xf>
    <xf numFmtId="0" fontId="1" fillId="0" borderId="22" xfId="0" applyFont="1" applyBorder="1" applyAlignment="1">
      <alignment horizontal="center"/>
    </xf>
    <xf numFmtId="0" fontId="1" fillId="0" borderId="18" xfId="0" applyFont="1" applyBorder="1" applyAlignment="1">
      <alignment horizontal="center"/>
    </xf>
    <xf numFmtId="0" fontId="1" fillId="0" borderId="29" xfId="5" applyFont="1" applyBorder="1" applyAlignment="1">
      <alignment horizontal="left"/>
    </xf>
    <xf numFmtId="0" fontId="1" fillId="0" borderId="30" xfId="5" applyFont="1" applyBorder="1" applyAlignment="1">
      <alignment horizontal="left"/>
    </xf>
    <xf numFmtId="0" fontId="12" fillId="8" borderId="31" xfId="1" applyFont="1" applyFill="1" applyBorder="1" applyAlignment="1" applyProtection="1">
      <alignment horizontal="left" vertical="center" wrapText="1"/>
    </xf>
    <xf numFmtId="0" fontId="12" fillId="8" borderId="25" xfId="1" applyFont="1" applyFill="1" applyBorder="1" applyAlignment="1" applyProtection="1">
      <alignment horizontal="left" vertical="center" wrapText="1"/>
    </xf>
    <xf numFmtId="0" fontId="12" fillId="8" borderId="26" xfId="1" applyFont="1" applyFill="1" applyBorder="1" applyAlignment="1" applyProtection="1">
      <alignment horizontal="left" vertical="center" wrapText="1"/>
    </xf>
    <xf numFmtId="0" fontId="12" fillId="8" borderId="17" xfId="1" applyFont="1" applyFill="1" applyBorder="1" applyAlignment="1" applyProtection="1">
      <alignment horizontal="left" vertical="center" wrapText="1"/>
    </xf>
    <xf numFmtId="0" fontId="12" fillId="8" borderId="1" xfId="1" applyFont="1" applyFill="1" applyBorder="1" applyAlignment="1" applyProtection="1">
      <alignment horizontal="left" vertical="center" wrapText="1"/>
    </xf>
    <xf numFmtId="0" fontId="12" fillId="8" borderId="11" xfId="1" applyFont="1" applyFill="1" applyBorder="1" applyAlignment="1" applyProtection="1">
      <alignment horizontal="left" vertical="center" wrapText="1"/>
    </xf>
    <xf numFmtId="0" fontId="14" fillId="0" borderId="17" xfId="5" applyFont="1" applyBorder="1" applyAlignment="1">
      <alignment horizontal="center"/>
    </xf>
    <xf numFmtId="0" fontId="14" fillId="0" borderId="1" xfId="5" applyFont="1" applyBorder="1" applyAlignment="1">
      <alignment horizontal="center"/>
    </xf>
    <xf numFmtId="0" fontId="1" fillId="0" borderId="32" xfId="5" applyFont="1" applyBorder="1" applyAlignment="1">
      <alignment horizontal="left"/>
    </xf>
    <xf numFmtId="0" fontId="1" fillId="0" borderId="33" xfId="5" applyFont="1" applyBorder="1" applyAlignment="1">
      <alignment horizontal="left"/>
    </xf>
    <xf numFmtId="0" fontId="1" fillId="0" borderId="27" xfId="5" applyFont="1" applyBorder="1" applyAlignment="1">
      <alignment horizontal="left"/>
    </xf>
    <xf numFmtId="0" fontId="1" fillId="0" borderId="28" xfId="5" applyFont="1" applyBorder="1" applyAlignment="1">
      <alignment horizontal="left"/>
    </xf>
  </cellXfs>
  <cellStyles count="28">
    <cellStyle name="40% - Accent1" xfId="10" builtinId="31"/>
    <cellStyle name="60% - Accent1 2" xfId="13" xr:uid="{00000000-0005-0000-0000-000001000000}"/>
    <cellStyle name="60% - Accent2" xfId="11" builtinId="36"/>
    <cellStyle name="Auto Populated Cells" xfId="14" xr:uid="{00000000-0005-0000-0000-000003000000}"/>
    <cellStyle name="Calculation 2" xfId="15" xr:uid="{00000000-0005-0000-0000-000004000000}"/>
    <cellStyle name="Conditional Cell" xfId="16" xr:uid="{00000000-0005-0000-0000-000006000000}"/>
    <cellStyle name="Explanatory Text 2" xfId="17" xr:uid="{00000000-0005-0000-0000-000007000000}"/>
    <cellStyle name="Explanatory Text 3" xfId="18" xr:uid="{00000000-0005-0000-0000-000008000000}"/>
    <cellStyle name="Fixed Values" xfId="19" xr:uid="{00000000-0005-0000-0000-000009000000}"/>
    <cellStyle name="Heading 4 2" xfId="1" xr:uid="{00000000-0005-0000-0000-00000A000000}"/>
    <cellStyle name="Hyperlink" xfId="3" builtinId="8"/>
    <cellStyle name="Hyperlink 2" xfId="12" xr:uid="{00000000-0005-0000-0000-00000C000000}"/>
    <cellStyle name="Input 2" xfId="9" xr:uid="{00000000-0005-0000-0000-00000D000000}"/>
    <cellStyle name="Input 3" xfId="4" xr:uid="{00000000-0005-0000-0000-00000E000000}"/>
    <cellStyle name="Neutral 2" xfId="20" xr:uid="{00000000-0005-0000-0000-00000F000000}"/>
    <cellStyle name="Normal" xfId="0" builtinId="0"/>
    <cellStyle name="Normal 2" xfId="2" xr:uid="{00000000-0005-0000-0000-000011000000}"/>
    <cellStyle name="Normal 2 2" xfId="5" xr:uid="{00000000-0005-0000-0000-000012000000}"/>
    <cellStyle name="Normal 3" xfId="21" xr:uid="{00000000-0005-0000-0000-000013000000}"/>
    <cellStyle name="Normal 3 2" xfId="22" xr:uid="{00000000-0005-0000-0000-000014000000}"/>
    <cellStyle name="Normal 3 3" xfId="23" xr:uid="{00000000-0005-0000-0000-000015000000}"/>
    <cellStyle name="Normal 4" xfId="8" xr:uid="{00000000-0005-0000-0000-000016000000}"/>
    <cellStyle name="Output 2" xfId="24" xr:uid="{00000000-0005-0000-0000-000018000000}"/>
    <cellStyle name="Output Cell" xfId="6" xr:uid="{00000000-0005-0000-0000-000019000000}"/>
    <cellStyle name="Percent" xfId="7" builtinId="5"/>
    <cellStyle name="Revision Needed" xfId="25" xr:uid="{00000000-0005-0000-0000-00001B000000}"/>
    <cellStyle name="Tab Header" xfId="26" xr:uid="{00000000-0005-0000-0000-00001C000000}"/>
    <cellStyle name="Table Header" xfId="27" xr:uid="{00000000-0005-0000-0000-00001D000000}"/>
  </cellStyles>
  <dxfs count="14">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ont>
        <color theme="0"/>
      </font>
      <fill>
        <patternFill>
          <bgColor theme="0"/>
        </patternFill>
      </fill>
      <border>
        <left/>
        <right/>
        <top/>
        <bottom/>
      </border>
    </dxf>
    <dxf>
      <font>
        <color rgb="FFFF0000"/>
      </font>
    </dxf>
    <dxf>
      <font>
        <color rgb="FFFF0000"/>
      </font>
    </dxf>
    <dxf>
      <font>
        <color auto="1"/>
      </font>
    </dxf>
    <dxf>
      <font>
        <color auto="1"/>
      </font>
    </dxf>
    <dxf>
      <font>
        <color rgb="FFFF0000"/>
      </font>
    </dxf>
    <dxf>
      <font>
        <strike val="0"/>
        <color rgb="FFFF0000"/>
      </font>
    </dxf>
  </dxfs>
  <tableStyles count="0" defaultTableStyle="TableStyleMedium2" defaultPivotStyle="PivotStyleLight16"/>
  <colors>
    <mruColors>
      <color rgb="FF800000"/>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ser777" id="{1FD2AD02-4BCF-4F49-B285-AF5F1F63E613}" userId="User777" providerId="None"/>
  <person displayName="Brian Glasser" id="{0C5BE637-4A7B-47E7-899A-3E5F3A5554C0}" userId="bglasser@guidehouse.com" providerId="PeoplePicker"/>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51" dT="2024-09-19T20:27:33.75" personId="{1FD2AD02-4BCF-4F49-B285-AF5F1F63E613}" id="{06640363-0E1B-4F8A-8564-C9FB745ADCEE}">
    <text>@Brian Glasser I added this to put in the summary of test results section, but does it make sense to you?</text>
    <mentions>
      <mention mentionpersonId="{0C5BE637-4A7B-47E7-899A-3E5F3A5554C0}" mentionId="{9A753ADC-0003-4DAE-B3BF-7D121519E186}" startIndex="0" length="14"/>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urrent/title-10/chapter-II/subchapter-D/part-431"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9"/>
  <sheetViews>
    <sheetView showGridLines="0" tabSelected="1" zoomScale="80" zoomScaleNormal="80" workbookViewId="0">
      <selection activeCell="C64" sqref="C64"/>
    </sheetView>
  </sheetViews>
  <sheetFormatPr defaultColWidth="9.140625" defaultRowHeight="18" customHeight="1" x14ac:dyDescent="0.25"/>
  <cols>
    <col min="1" max="1" width="2.7109375" style="98" customWidth="1"/>
    <col min="2" max="2" width="37.7109375" style="98" customWidth="1"/>
    <col min="3" max="3" width="109.5703125" style="98" customWidth="1"/>
    <col min="4" max="4" width="5.85546875" style="98" customWidth="1"/>
    <col min="5" max="5" width="4.140625" style="98" customWidth="1"/>
    <col min="6" max="16384" width="9.140625" style="98"/>
  </cols>
  <sheetData>
    <row r="1" spans="2:5" ht="18" customHeight="1" thickBot="1" x14ac:dyDescent="0.3">
      <c r="E1" s="99"/>
    </row>
    <row r="2" spans="2:5" ht="18" customHeight="1" thickBot="1" x14ac:dyDescent="0.3">
      <c r="B2" s="752" t="str">
        <f>'Version Control'!$B$2</f>
        <v>Title Block</v>
      </c>
      <c r="C2" s="753"/>
      <c r="E2" s="99"/>
    </row>
    <row r="3" spans="2:5" s="102" customFormat="1" ht="18" customHeight="1" x14ac:dyDescent="0.25">
      <c r="B3" s="100" t="str">
        <f>'Version Control'!$B$3</f>
        <v>Test Report Template Name:</v>
      </c>
      <c r="C3" s="101" t="str">
        <f>'Version Control'!$C$3</f>
        <v>Electric Motors</v>
      </c>
      <c r="E3" s="103"/>
    </row>
    <row r="4" spans="2:5" s="102" customFormat="1" ht="18" customHeight="1" x14ac:dyDescent="0.25">
      <c r="B4" s="104" t="str">
        <f>'Version Control'!$B$4</f>
        <v>Version Number:</v>
      </c>
      <c r="C4" s="105" t="str">
        <f>'Version Control'!$C$4</f>
        <v>v1.0</v>
      </c>
      <c r="E4" s="103"/>
    </row>
    <row r="5" spans="2:5" s="102" customFormat="1" ht="18" customHeight="1" x14ac:dyDescent="0.25">
      <c r="B5" s="104" t="str">
        <f>'Version Control'!$B$5</f>
        <v xml:space="preserve">Latest Template Revision: </v>
      </c>
      <c r="C5" s="106">
        <f>'Version Control'!$C$5</f>
        <v>45567</v>
      </c>
      <c r="E5" s="103"/>
    </row>
    <row r="6" spans="2:5" s="102" customFormat="1" ht="18" customHeight="1" x14ac:dyDescent="0.25">
      <c r="B6" s="104" t="str">
        <f>'Version Control'!$B$6</f>
        <v>Tab Name:</v>
      </c>
      <c r="C6" s="107" t="str">
        <f ca="1">MID(CELL("filename",A1), FIND("]", CELL("filename", A1))+ 1, 255)</f>
        <v>Instructions</v>
      </c>
      <c r="E6" s="103"/>
    </row>
    <row r="7" spans="2:5" s="102" customFormat="1" ht="18" customHeight="1" x14ac:dyDescent="0.25">
      <c r="B7" s="129" t="str">
        <f>'Version Control'!$B$7</f>
        <v>File Name:</v>
      </c>
      <c r="C7" s="130" t="str">
        <f ca="1">'Version Control'!$C$7</f>
        <v>Electric Motors -  v1.0.xlsx</v>
      </c>
      <c r="E7" s="103"/>
    </row>
    <row r="8" spans="2:5" s="102" customFormat="1" ht="18" customHeight="1" x14ac:dyDescent="0.25">
      <c r="B8" s="104" t="s">
        <v>85</v>
      </c>
      <c r="C8" s="106" t="str">
        <f>'Version Control'!$C$8</f>
        <v>[MM/DD/YYYY]</v>
      </c>
      <c r="E8" s="103"/>
    </row>
    <row r="9" spans="2:5" s="102" customFormat="1" ht="18" customHeight="1" thickBot="1" x14ac:dyDescent="0.3">
      <c r="B9" s="131" t="s">
        <v>86</v>
      </c>
      <c r="C9" s="132" t="str">
        <f>'Version Control'!$C$9</f>
        <v>[MM/DD/YYYY]</v>
      </c>
      <c r="E9" s="103"/>
    </row>
    <row r="10" spans="2:5" s="102" customFormat="1" ht="18" customHeight="1" thickBot="1" x14ac:dyDescent="0.3">
      <c r="B10" s="535"/>
      <c r="C10" s="485"/>
      <c r="E10" s="103"/>
    </row>
    <row r="11" spans="2:5" s="102" customFormat="1" ht="18" customHeight="1" thickBot="1" x14ac:dyDescent="0.3">
      <c r="B11" s="752" t="s">
        <v>649</v>
      </c>
      <c r="C11" s="753"/>
      <c r="E11" s="103"/>
    </row>
    <row r="12" spans="2:5" s="102" customFormat="1" ht="18" customHeight="1" thickBot="1" x14ac:dyDescent="0.3">
      <c r="B12" s="771" t="s">
        <v>650</v>
      </c>
      <c r="C12" s="772"/>
      <c r="E12" s="103"/>
    </row>
    <row r="13" spans="2:5" ht="18" customHeight="1" thickBot="1" x14ac:dyDescent="0.3">
      <c r="E13" s="99"/>
    </row>
    <row r="14" spans="2:5" ht="18" customHeight="1" thickBot="1" x14ac:dyDescent="0.3">
      <c r="B14" s="752" t="s">
        <v>0</v>
      </c>
      <c r="C14" s="753"/>
      <c r="E14" s="99"/>
    </row>
    <row r="15" spans="2:5" ht="18" customHeight="1" x14ac:dyDescent="0.25">
      <c r="B15" s="108" t="s">
        <v>1</v>
      </c>
      <c r="C15" s="109" t="s">
        <v>2</v>
      </c>
      <c r="E15" s="99"/>
    </row>
    <row r="16" spans="2:5" ht="18" customHeight="1" x14ac:dyDescent="0.25">
      <c r="B16" s="110" t="s">
        <v>3</v>
      </c>
      <c r="C16" s="111" t="s">
        <v>4</v>
      </c>
      <c r="E16" s="99"/>
    </row>
    <row r="17" spans="2:5" ht="18" customHeight="1" x14ac:dyDescent="0.25">
      <c r="B17" s="104" t="str">
        <f>C52</f>
        <v>General Info &amp; Test Results</v>
      </c>
      <c r="C17" s="112" t="s">
        <v>5</v>
      </c>
      <c r="E17" s="99"/>
    </row>
    <row r="18" spans="2:5" ht="18" customHeight="1" x14ac:dyDescent="0.25">
      <c r="B18" s="104" t="str">
        <f>C53</f>
        <v>Determination of Test Method</v>
      </c>
      <c r="C18" s="112" t="s">
        <v>621</v>
      </c>
      <c r="E18" s="99"/>
    </row>
    <row r="19" spans="2:5" ht="18" customHeight="1" x14ac:dyDescent="0.25">
      <c r="B19" s="104" t="str">
        <f>C54</f>
        <v>Setup &amp; Instrumentation</v>
      </c>
      <c r="C19" s="112" t="s">
        <v>619</v>
      </c>
      <c r="E19" s="99"/>
    </row>
    <row r="20" spans="2:5" ht="18" customHeight="1" x14ac:dyDescent="0.25">
      <c r="B20" s="104" t="str">
        <f t="shared" ref="B20:B31" si="0">C55</f>
        <v>NEMA MG 1-2016</v>
      </c>
      <c r="C20" s="112" t="s">
        <v>622</v>
      </c>
      <c r="E20" s="99"/>
    </row>
    <row r="21" spans="2:5" ht="18" customHeight="1" x14ac:dyDescent="0.25">
      <c r="B21" s="104" t="str">
        <f t="shared" si="0"/>
        <v>CSA C390-10</v>
      </c>
      <c r="C21" s="112" t="s">
        <v>623</v>
      </c>
      <c r="E21" s="99"/>
    </row>
    <row r="22" spans="2:5" ht="18" customHeight="1" x14ac:dyDescent="0.25">
      <c r="B22" s="104" t="str">
        <f t="shared" si="0"/>
        <v>IEC 60034-2-1 Method 2-1-1A</v>
      </c>
      <c r="C22" s="112" t="s">
        <v>624</v>
      </c>
      <c r="E22" s="99"/>
    </row>
    <row r="23" spans="2:5" ht="18" customHeight="1" x14ac:dyDescent="0.25">
      <c r="B23" s="104" t="str">
        <f t="shared" si="0"/>
        <v>IEC 60034-2-1 Method 2-1-1B</v>
      </c>
      <c r="C23" s="112" t="s">
        <v>625</v>
      </c>
      <c r="E23" s="99"/>
    </row>
    <row r="24" spans="2:5" ht="18" customHeight="1" x14ac:dyDescent="0.25">
      <c r="B24" s="104" t="str">
        <f t="shared" si="0"/>
        <v>IEEE 112-2017 Method A</v>
      </c>
      <c r="C24" s="112" t="s">
        <v>626</v>
      </c>
      <c r="E24" s="99"/>
    </row>
    <row r="25" spans="2:5" ht="18" customHeight="1" x14ac:dyDescent="0.25">
      <c r="B25" s="104" t="str">
        <f t="shared" si="0"/>
        <v>IEEE 112-2017 Method B</v>
      </c>
      <c r="C25" s="112" t="s">
        <v>627</v>
      </c>
      <c r="E25" s="99"/>
    </row>
    <row r="26" spans="2:5" ht="18" customHeight="1" x14ac:dyDescent="0.25">
      <c r="B26" s="104" t="str">
        <f t="shared" si="0"/>
        <v>IEEE 114-2010</v>
      </c>
      <c r="C26" s="112" t="s">
        <v>628</v>
      </c>
      <c r="E26" s="99"/>
    </row>
    <row r="27" spans="2:5" ht="18" customHeight="1" x14ac:dyDescent="0.25">
      <c r="B27" s="104" t="str">
        <f t="shared" si="0"/>
        <v>CSA C747-09</v>
      </c>
      <c r="C27" s="112" t="s">
        <v>629</v>
      </c>
      <c r="E27" s="99"/>
    </row>
    <row r="28" spans="2:5" ht="18" customHeight="1" x14ac:dyDescent="0.25">
      <c r="B28" s="104" t="str">
        <f t="shared" si="0"/>
        <v>IEC 61800-9-2</v>
      </c>
      <c r="C28" s="112" t="s">
        <v>630</v>
      </c>
      <c r="E28" s="99"/>
    </row>
    <row r="29" spans="2:5" ht="18" customHeight="1" x14ac:dyDescent="0.25">
      <c r="B29" s="104" t="str">
        <f t="shared" si="0"/>
        <v>Photos</v>
      </c>
      <c r="C29" s="112" t="s">
        <v>6</v>
      </c>
      <c r="E29" s="99"/>
    </row>
    <row r="30" spans="2:5" ht="18" customHeight="1" x14ac:dyDescent="0.25">
      <c r="B30" s="104" t="str">
        <f t="shared" si="0"/>
        <v>Comments</v>
      </c>
      <c r="C30" s="112" t="s">
        <v>7</v>
      </c>
      <c r="E30" s="99"/>
    </row>
    <row r="31" spans="2:5" ht="18" customHeight="1" x14ac:dyDescent="0.25">
      <c r="B31" s="104" t="str">
        <f t="shared" si="0"/>
        <v>Report Sign-off Block</v>
      </c>
      <c r="C31" s="112" t="s">
        <v>631</v>
      </c>
      <c r="E31" s="99"/>
    </row>
    <row r="32" spans="2:5" ht="18" customHeight="1" x14ac:dyDescent="0.25">
      <c r="B32" s="113" t="s">
        <v>8</v>
      </c>
      <c r="C32" s="114" t="s">
        <v>9</v>
      </c>
      <c r="E32" s="99"/>
    </row>
    <row r="33" spans="2:5" ht="18" customHeight="1" thickBot="1" x14ac:dyDescent="0.3">
      <c r="B33" s="115" t="s">
        <v>10</v>
      </c>
      <c r="C33" s="116" t="s">
        <v>11</v>
      </c>
      <c r="E33" s="99"/>
    </row>
    <row r="34" spans="2:5" ht="18" customHeight="1" thickBot="1" x14ac:dyDescent="0.3">
      <c r="E34" s="99"/>
    </row>
    <row r="35" spans="2:5" ht="18" customHeight="1" thickBot="1" x14ac:dyDescent="0.4">
      <c r="B35" s="768" t="s">
        <v>12</v>
      </c>
      <c r="C35" s="769"/>
      <c r="E35" s="99"/>
    </row>
    <row r="36" spans="2:5" ht="18" customHeight="1" x14ac:dyDescent="0.25">
      <c r="B36" s="766" t="s">
        <v>13</v>
      </c>
      <c r="C36" s="117" t="s">
        <v>14</v>
      </c>
      <c r="E36" s="99"/>
    </row>
    <row r="37" spans="2:5" ht="18" customHeight="1" x14ac:dyDescent="0.25">
      <c r="B37" s="767"/>
      <c r="C37" s="118" t="s">
        <v>15</v>
      </c>
      <c r="E37" s="99"/>
    </row>
    <row r="38" spans="2:5" ht="18" customHeight="1" x14ac:dyDescent="0.25">
      <c r="B38" s="767" t="s">
        <v>16</v>
      </c>
      <c r="C38" s="2" t="s">
        <v>17</v>
      </c>
      <c r="E38" s="99"/>
    </row>
    <row r="39" spans="2:5" ht="18" customHeight="1" x14ac:dyDescent="0.25">
      <c r="B39" s="767"/>
      <c r="C39" s="3" t="s">
        <v>18</v>
      </c>
      <c r="E39" s="99"/>
    </row>
    <row r="40" spans="2:5" ht="18" customHeight="1" x14ac:dyDescent="0.25">
      <c r="B40" s="767"/>
      <c r="C40" s="119" t="s">
        <v>19</v>
      </c>
      <c r="E40" s="99"/>
    </row>
    <row r="41" spans="2:5" ht="18" customHeight="1" thickBot="1" x14ac:dyDescent="0.3">
      <c r="B41" s="770"/>
      <c r="C41" s="120" t="s">
        <v>20</v>
      </c>
      <c r="E41" s="99"/>
    </row>
    <row r="42" spans="2:5" ht="18" customHeight="1" thickBot="1" x14ac:dyDescent="0.3">
      <c r="C42" s="121"/>
      <c r="E42" s="99"/>
    </row>
    <row r="43" spans="2:5" ht="18" customHeight="1" thickBot="1" x14ac:dyDescent="0.3">
      <c r="B43" s="752" t="s">
        <v>21</v>
      </c>
      <c r="C43" s="753"/>
      <c r="E43" s="99"/>
    </row>
    <row r="44" spans="2:5" ht="18" customHeight="1" x14ac:dyDescent="0.25">
      <c r="B44" s="754" t="s">
        <v>22</v>
      </c>
      <c r="C44" s="755"/>
      <c r="E44" s="99"/>
    </row>
    <row r="45" spans="2:5" ht="18" customHeight="1" x14ac:dyDescent="0.25">
      <c r="B45" s="756"/>
      <c r="C45" s="757"/>
      <c r="E45" s="99"/>
    </row>
    <row r="46" spans="2:5" ht="18" customHeight="1" thickBot="1" x14ac:dyDescent="0.3">
      <c r="B46" s="758"/>
      <c r="C46" s="759"/>
      <c r="E46" s="99"/>
    </row>
    <row r="47" spans="2:5" ht="18" customHeight="1" x14ac:dyDescent="0.25">
      <c r="B47" s="754" t="s">
        <v>23</v>
      </c>
      <c r="C47" s="755"/>
      <c r="E47" s="99"/>
    </row>
    <row r="48" spans="2:5" ht="18" customHeight="1" thickBot="1" x14ac:dyDescent="0.3">
      <c r="B48" s="758"/>
      <c r="C48" s="759"/>
      <c r="E48" s="99"/>
    </row>
    <row r="49" spans="2:5" ht="18" customHeight="1" x14ac:dyDescent="0.25">
      <c r="B49" s="760" t="s">
        <v>24</v>
      </c>
      <c r="C49" s="763" t="s">
        <v>25</v>
      </c>
      <c r="E49" s="99"/>
    </row>
    <row r="50" spans="2:5" ht="18" customHeight="1" x14ac:dyDescent="0.25">
      <c r="B50" s="761"/>
      <c r="C50" s="764"/>
      <c r="E50" s="99"/>
    </row>
    <row r="51" spans="2:5" ht="18" customHeight="1" thickBot="1" x14ac:dyDescent="0.3">
      <c r="B51" s="762"/>
      <c r="C51" s="765"/>
      <c r="E51" s="99"/>
    </row>
    <row r="52" spans="2:5" ht="18" customHeight="1" x14ac:dyDescent="0.25">
      <c r="B52" s="122" t="s">
        <v>26</v>
      </c>
      <c r="C52" s="125" t="s">
        <v>27</v>
      </c>
      <c r="E52" s="99"/>
    </row>
    <row r="53" spans="2:5" ht="18" customHeight="1" x14ac:dyDescent="0.25">
      <c r="B53" s="123" t="s">
        <v>28</v>
      </c>
      <c r="C53" s="499" t="s">
        <v>620</v>
      </c>
      <c r="E53" s="99"/>
    </row>
    <row r="54" spans="2:5" s="102" customFormat="1" ht="18" customHeight="1" x14ac:dyDescent="0.25">
      <c r="B54" s="123" t="s">
        <v>30</v>
      </c>
      <c r="C54" s="499" t="s">
        <v>29</v>
      </c>
      <c r="E54" s="103"/>
    </row>
    <row r="55" spans="2:5" ht="18" customHeight="1" x14ac:dyDescent="0.25">
      <c r="B55" s="123" t="s">
        <v>653</v>
      </c>
      <c r="C55" s="127" t="s">
        <v>600</v>
      </c>
      <c r="E55" s="99"/>
    </row>
    <row r="56" spans="2:5" ht="18" customHeight="1" x14ac:dyDescent="0.25">
      <c r="B56" s="123" t="s">
        <v>654</v>
      </c>
      <c r="C56" s="127" t="s">
        <v>601</v>
      </c>
      <c r="E56" s="99"/>
    </row>
    <row r="57" spans="2:5" ht="18" customHeight="1" x14ac:dyDescent="0.25">
      <c r="B57" s="123" t="s">
        <v>655</v>
      </c>
      <c r="C57" s="127" t="s">
        <v>602</v>
      </c>
      <c r="E57" s="99"/>
    </row>
    <row r="58" spans="2:5" ht="18" customHeight="1" x14ac:dyDescent="0.25">
      <c r="B58" s="123" t="s">
        <v>656</v>
      </c>
      <c r="C58" s="127" t="s">
        <v>603</v>
      </c>
      <c r="E58" s="99"/>
    </row>
    <row r="59" spans="2:5" ht="18" customHeight="1" x14ac:dyDescent="0.25">
      <c r="B59" s="123" t="s">
        <v>657</v>
      </c>
      <c r="C59" s="127" t="s">
        <v>604</v>
      </c>
      <c r="E59" s="99"/>
    </row>
    <row r="60" spans="2:5" ht="18" customHeight="1" x14ac:dyDescent="0.25">
      <c r="B60" s="123" t="s">
        <v>658</v>
      </c>
      <c r="C60" s="127" t="s">
        <v>605</v>
      </c>
      <c r="E60" s="99"/>
    </row>
    <row r="61" spans="2:5" ht="18" customHeight="1" x14ac:dyDescent="0.25">
      <c r="B61" s="123" t="s">
        <v>659</v>
      </c>
      <c r="C61" s="127" t="s">
        <v>570</v>
      </c>
      <c r="E61" s="99"/>
    </row>
    <row r="62" spans="2:5" ht="18" customHeight="1" x14ac:dyDescent="0.25">
      <c r="B62" s="123" t="s">
        <v>660</v>
      </c>
      <c r="C62" s="127" t="s">
        <v>571</v>
      </c>
      <c r="E62" s="99"/>
    </row>
    <row r="63" spans="2:5" ht="18.95" customHeight="1" x14ac:dyDescent="0.25">
      <c r="B63" s="123" t="s">
        <v>661</v>
      </c>
      <c r="C63" s="127" t="s">
        <v>572</v>
      </c>
      <c r="E63" s="99"/>
    </row>
    <row r="64" spans="2:5" ht="18" customHeight="1" x14ac:dyDescent="0.25">
      <c r="B64" s="123" t="s">
        <v>31</v>
      </c>
      <c r="C64" s="126" t="s">
        <v>34</v>
      </c>
      <c r="E64" s="99"/>
    </row>
    <row r="65" spans="1:5" ht="18" customHeight="1" x14ac:dyDescent="0.25">
      <c r="B65" s="123" t="s">
        <v>32</v>
      </c>
      <c r="C65" s="126" t="s">
        <v>35</v>
      </c>
      <c r="E65" s="99"/>
    </row>
    <row r="66" spans="1:5" ht="18" customHeight="1" thickBot="1" x14ac:dyDescent="0.3">
      <c r="B66" s="124" t="s">
        <v>33</v>
      </c>
      <c r="C66" s="128" t="s">
        <v>36</v>
      </c>
      <c r="E66" s="99"/>
    </row>
    <row r="67" spans="1:5" ht="18" customHeight="1" x14ac:dyDescent="0.25">
      <c r="B67" s="102"/>
      <c r="E67" s="99"/>
    </row>
    <row r="68" spans="1:5" ht="18" customHeight="1" x14ac:dyDescent="0.25">
      <c r="A68" s="99"/>
      <c r="B68" s="99"/>
      <c r="C68" s="99"/>
      <c r="D68" s="99"/>
      <c r="E68" s="99"/>
    </row>
    <row r="69" spans="1:5" ht="18" customHeight="1" x14ac:dyDescent="0.25">
      <c r="E69" s="500"/>
    </row>
  </sheetData>
  <sheetProtection algorithmName="SHA-512" hashValue="QeTVan9uTw+qoq0iowmYU5AcHAtOVFRohaU4JzuvBjv4ZRZPMR4pcV+Ag2IerpHg/aF641KfcMRc++Hd+cuQ7Q==" saltValue="bWZIVC/wm6WTbG4qocRg/w==" spinCount="100000" sheet="1" selectLockedCells="1"/>
  <mergeCells count="12">
    <mergeCell ref="B36:B37"/>
    <mergeCell ref="B2:C2"/>
    <mergeCell ref="B14:C14"/>
    <mergeCell ref="B35:C35"/>
    <mergeCell ref="B38:B41"/>
    <mergeCell ref="B11:C11"/>
    <mergeCell ref="B12:C12"/>
    <mergeCell ref="B43:C43"/>
    <mergeCell ref="B44:C46"/>
    <mergeCell ref="B47:C48"/>
    <mergeCell ref="B49:B51"/>
    <mergeCell ref="C49:C51"/>
  </mergeCells>
  <hyperlinks>
    <hyperlink ref="C64" location="Photos!A1" display="Fill in Input Cells on &quot;Photos&quot; tab, if applicable" xr:uid="{00000000-0004-0000-0000-000001000000}"/>
    <hyperlink ref="C65" location="Comments!A1" display="Fill in Input Cells on &quot;Comments&quot; tab" xr:uid="{00000000-0004-0000-0000-000002000000}"/>
    <hyperlink ref="C66" location="'Report Sign-Off Block'!A1" display="Fill in Input Cells on &quot;Report Sign-off Block&quot; tab" xr:uid="{00000000-0004-0000-0000-000003000000}"/>
    <hyperlink ref="C52" location="'General Info &amp; Test Results'!A1" display="Fill in Input Cells on &quot;General Info &amp; Test Results&quot; tab" xr:uid="{00000000-0004-0000-0000-000006000000}"/>
    <hyperlink ref="C53" location="'Determination of Test Method'!A1" display="Determination of Test Method" xr:uid="{CE974394-BDB0-4DB4-B728-0DE168283B85}"/>
    <hyperlink ref="C54" location="'Setup &amp; Instrumentation'!A1" display="Setup &amp; Instrumentation" xr:uid="{3CE4A4CD-35B0-40EE-927B-F84C95A4AF3A}"/>
    <hyperlink ref="C55" location="'NEMA MG 1-2016'!A1" display="NEMA MG 1-2016" xr:uid="{EB8C23CF-3F18-4CD1-945E-D4A819ABB667}"/>
    <hyperlink ref="C56" location="'CSA C390-10'!A1" display="CSA C390-10" xr:uid="{EFCBE487-0272-4F46-B028-13F00A2E88D8}"/>
    <hyperlink ref="C57" location="'IEC 60034-2-1 Method 2-1-1A'!A1" display="IEC 60034-2-1 Method 2-1-1A" xr:uid="{1AA448A4-3BBD-40FC-A8E8-8B1EB43ACCEE}"/>
    <hyperlink ref="C58" location="'IEC 60034-2-1 Method 2-1-1B'!A1" display="IEC 60034-2-1 Method 2-1-1B" xr:uid="{1DC0A85C-A97C-48FA-A5E5-ADC6578B013E}"/>
    <hyperlink ref="C59" location="'IEEE 112-2017 Method A'!A1" display="IEEE 112-2017 Method A" xr:uid="{4442ADBC-CD52-46DA-BF55-F95927DB5401}"/>
    <hyperlink ref="C60" location="'IEEE 112-2017 Method B'!A1" display="IEEE 112-2017 Method B" xr:uid="{C78D59D4-940B-4D57-A2F0-3AF3FE45ED82}"/>
    <hyperlink ref="C61" location="'IEEE 114-2010'!A1" display="IEEE 114-2010" xr:uid="{6CE09190-6E60-4C07-B6DC-D7FA0793EE68}"/>
    <hyperlink ref="C62" location="'CSA C747-09'!A1" display="CSA C747-09" xr:uid="{B89BD6CB-E215-40CA-8F32-C44D48C02EE0}"/>
    <hyperlink ref="C63" location="'IEC 61800-9-2'!A1" display="IEC 61800-9-2" xr:uid="{AA55D30D-758D-45A0-8851-9544C4E37473}"/>
    <hyperlink ref="B12" r:id="rId1" display="10 CFR 430 Subpart B Appendix N:  Uniform Test Method for Measuring the Energy Consumption of Furnaces and Boilers [62 FR 26157, May 12, 1997]" xr:uid="{52686F79-86E0-4246-B39A-A5A79D2BD154}"/>
    <hyperlink ref="B12:C12" r:id="rId2" display="10 CFR 431 Subpart B Appendix B: Uniform Test Method for Measuring the Efficiency of Electric Motors" xr:uid="{25C9B652-76FD-498F-8D23-8612688BD0FC}"/>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94741-44D5-4FB3-8622-20E5B83728CB}">
  <sheetPr>
    <tabColor rgb="FF0070C0"/>
  </sheetPr>
  <dimension ref="A1:O183"/>
  <sheetViews>
    <sheetView showGridLines="0" zoomScale="80" zoomScaleNormal="80" workbookViewId="0">
      <selection activeCell="C14" sqref="C14"/>
    </sheetView>
  </sheetViews>
  <sheetFormatPr defaultColWidth="9.140625" defaultRowHeight="18" customHeight="1" x14ac:dyDescent="0.3"/>
  <cols>
    <col min="1" max="1" width="9.140625" style="141"/>
    <col min="2" max="2" width="46.85546875" style="141" customWidth="1"/>
    <col min="3" max="3" width="34.5703125" style="141" customWidth="1"/>
    <col min="4" max="4" width="28.5703125" style="141" customWidth="1"/>
    <col min="5" max="5" width="25.140625" style="141" bestFit="1" customWidth="1"/>
    <col min="6" max="6" width="22.85546875" style="141" customWidth="1"/>
    <col min="7" max="8" width="22.28515625" style="141" customWidth="1"/>
    <col min="9" max="9" width="11.28515625" style="141" customWidth="1"/>
    <col min="10" max="10" width="4.28515625" style="141" customWidth="1"/>
    <col min="11" max="16384" width="9.140625" style="141"/>
  </cols>
  <sheetData>
    <row r="1" spans="2:10" ht="18" customHeight="1" thickBot="1" x14ac:dyDescent="0.35">
      <c r="J1" s="142"/>
    </row>
    <row r="2" spans="2:10" ht="18" customHeight="1" thickBot="1" x14ac:dyDescent="0.35">
      <c r="B2" s="899" t="str">
        <f>'Version Control'!$B$2</f>
        <v>Title Block</v>
      </c>
      <c r="C2" s="900"/>
      <c r="G2" s="1" t="s">
        <v>37</v>
      </c>
      <c r="J2" s="142"/>
    </row>
    <row r="3" spans="2:10" ht="18" customHeight="1" x14ac:dyDescent="0.3">
      <c r="B3" s="143" t="str">
        <f>'Version Control'!$B$3</f>
        <v>Test Report Template Name:</v>
      </c>
      <c r="C3" s="144" t="str">
        <f>'Version Control'!C3</f>
        <v>Electric Motors</v>
      </c>
      <c r="J3" s="142"/>
    </row>
    <row r="4" spans="2:10" ht="18" customHeight="1" x14ac:dyDescent="0.3">
      <c r="B4" s="145" t="str">
        <f>'Version Control'!$B$4</f>
        <v>Version Number:</v>
      </c>
      <c r="C4" s="146" t="str">
        <f>'Version Control'!C4</f>
        <v>v1.0</v>
      </c>
      <c r="J4" s="142"/>
    </row>
    <row r="5" spans="2:10" ht="18" customHeight="1" x14ac:dyDescent="0.3">
      <c r="B5" s="145" t="str">
        <f>'Version Control'!$B$5</f>
        <v xml:space="preserve">Latest Template Revision: </v>
      </c>
      <c r="C5" s="147">
        <f>'Version Control'!C5</f>
        <v>45567</v>
      </c>
      <c r="J5" s="142"/>
    </row>
    <row r="6" spans="2:10" ht="18" customHeight="1" x14ac:dyDescent="0.3">
      <c r="B6" s="145" t="str">
        <f>'Version Control'!$B$6</f>
        <v>Tab Name:</v>
      </c>
      <c r="C6" s="148" t="str">
        <f ca="1">MID(CELL("filename",A1), FIND("]", CELL("filename", A1))+ 1, 255)</f>
        <v>IEEE 112-2017 Method B</v>
      </c>
      <c r="J6" s="142"/>
    </row>
    <row r="7" spans="2:10" ht="36" customHeight="1" x14ac:dyDescent="0.3">
      <c r="B7" s="104" t="str">
        <f>'Version Control'!$B$7</f>
        <v>File Name:</v>
      </c>
      <c r="C7" s="149" t="str">
        <f ca="1">'Version Control'!C7</f>
        <v>Electric Motors -  v1.0.xlsx</v>
      </c>
      <c r="J7" s="142"/>
    </row>
    <row r="8" spans="2:10" ht="16.5" x14ac:dyDescent="0.3">
      <c r="B8" s="150" t="s">
        <v>42</v>
      </c>
      <c r="C8" s="151" t="str">
        <f>'General Info &amp; Test Results'!C17</f>
        <v>[MM/DD/YYYY]</v>
      </c>
      <c r="J8" s="142"/>
    </row>
    <row r="9" spans="2:10" ht="18" customHeight="1" thickBot="1" x14ac:dyDescent="0.35">
      <c r="B9" s="152" t="str">
        <f>'Version Control'!$B$9</f>
        <v>Date Test Finished:</v>
      </c>
      <c r="C9" s="153" t="str">
        <f>'Version Control'!C9</f>
        <v>[MM/DD/YYYY]</v>
      </c>
      <c r="J9" s="142"/>
    </row>
    <row r="10" spans="2:10" ht="18" customHeight="1" thickBot="1" x14ac:dyDescent="0.35">
      <c r="B10" s="154"/>
      <c r="C10" s="155"/>
      <c r="J10" s="142"/>
    </row>
    <row r="11" spans="2:10" thickBot="1" x14ac:dyDescent="0.4">
      <c r="B11" s="808" t="s">
        <v>586</v>
      </c>
      <c r="C11" s="808"/>
      <c r="D11" s="808"/>
      <c r="E11" s="808"/>
      <c r="F11" s="808"/>
      <c r="G11" s="808"/>
      <c r="H11" s="844"/>
      <c r="J11" s="142"/>
    </row>
    <row r="12" spans="2:10" ht="231" customHeight="1" thickBot="1" x14ac:dyDescent="0.35">
      <c r="B12" s="903" t="s">
        <v>593</v>
      </c>
      <c r="C12" s="904"/>
      <c r="D12" s="904"/>
      <c r="E12" s="904"/>
      <c r="F12" s="904"/>
      <c r="G12" s="904"/>
      <c r="H12" s="905"/>
      <c r="J12" s="142"/>
    </row>
    <row r="13" spans="2:10" ht="18.95" customHeight="1" x14ac:dyDescent="0.3">
      <c r="B13" s="604"/>
      <c r="C13" s="601"/>
      <c r="D13" s="601"/>
      <c r="E13" s="601"/>
      <c r="F13" s="601"/>
      <c r="G13" s="601"/>
      <c r="H13" s="601"/>
      <c r="J13" s="142"/>
    </row>
    <row r="14" spans="2:10" ht="31.5" customHeight="1" x14ac:dyDescent="0.3">
      <c r="B14" s="602" t="s">
        <v>587</v>
      </c>
      <c r="C14" s="605"/>
      <c r="D14" s="601"/>
      <c r="E14" s="601"/>
      <c r="F14" s="601"/>
      <c r="G14" s="601"/>
      <c r="H14" s="601"/>
      <c r="J14" s="142"/>
    </row>
    <row r="15" spans="2:10" ht="21.6" customHeight="1" thickBot="1" x14ac:dyDescent="0.7">
      <c r="B15" s="484"/>
      <c r="C15" s="485"/>
      <c r="D15" s="594"/>
      <c r="E15" s="594"/>
      <c r="F15" s="594"/>
      <c r="G15" s="594"/>
      <c r="H15" s="594"/>
      <c r="I15" s="594"/>
      <c r="J15" s="595"/>
    </row>
    <row r="16" spans="2:10" ht="18" customHeight="1" thickBot="1" x14ac:dyDescent="0.4">
      <c r="B16" s="830" t="s">
        <v>181</v>
      </c>
      <c r="C16" s="901"/>
      <c r="D16" s="901"/>
      <c r="E16" s="901"/>
      <c r="F16" s="901"/>
      <c r="G16" s="901"/>
      <c r="H16" s="902"/>
      <c r="J16" s="142"/>
    </row>
    <row r="17" spans="2:10" ht="57.75" customHeight="1" thickBot="1" x14ac:dyDescent="0.35">
      <c r="B17" s="852" t="s">
        <v>615</v>
      </c>
      <c r="C17" s="853"/>
      <c r="D17" s="853"/>
      <c r="E17" s="853"/>
      <c r="F17" s="853"/>
      <c r="G17" s="853"/>
      <c r="H17" s="854"/>
      <c r="J17" s="142"/>
    </row>
    <row r="18" spans="2:10" ht="18" customHeight="1" thickBot="1" x14ac:dyDescent="0.35">
      <c r="B18" s="154"/>
      <c r="C18" s="155"/>
      <c r="J18" s="142"/>
    </row>
    <row r="19" spans="2:10" ht="18" customHeight="1" thickBot="1" x14ac:dyDescent="0.4">
      <c r="B19" s="808" t="s">
        <v>183</v>
      </c>
      <c r="C19" s="809"/>
      <c r="D19" s="809"/>
      <c r="E19" s="809"/>
      <c r="F19" s="809"/>
      <c r="G19" s="809"/>
      <c r="H19" s="810"/>
      <c r="J19" s="142"/>
    </row>
    <row r="20" spans="2:10" ht="18" customHeight="1" x14ac:dyDescent="0.3">
      <c r="B20" s="633" t="s">
        <v>69</v>
      </c>
      <c r="C20" s="634" t="s">
        <v>70</v>
      </c>
      <c r="D20" s="186"/>
      <c r="E20" s="186"/>
      <c r="F20" s="186"/>
      <c r="G20" s="186"/>
      <c r="H20" s="195"/>
      <c r="J20" s="142"/>
    </row>
    <row r="21" spans="2:10" ht="18" customHeight="1" x14ac:dyDescent="0.3">
      <c r="B21" s="212" t="s">
        <v>362</v>
      </c>
      <c r="C21" s="559">
        <f>'General Info &amp; Test Results'!C52</f>
        <v>0</v>
      </c>
      <c r="D21" s="186"/>
      <c r="E21" s="186"/>
      <c r="F21" s="186"/>
      <c r="G21" s="186"/>
      <c r="H21" s="195"/>
      <c r="J21" s="142"/>
    </row>
    <row r="22" spans="2:10" ht="18" customHeight="1" x14ac:dyDescent="0.3">
      <c r="B22" s="212" t="s">
        <v>360</v>
      </c>
      <c r="C22" s="597">
        <f>'General Info &amp; Test Results'!C50*745.7</f>
        <v>0</v>
      </c>
      <c r="D22" s="186"/>
      <c r="E22" s="186"/>
      <c r="F22" s="186"/>
      <c r="G22" s="186"/>
      <c r="H22" s="195"/>
      <c r="J22" s="142"/>
    </row>
    <row r="23" spans="2:10" ht="18" customHeight="1" x14ac:dyDescent="0.3">
      <c r="B23" s="212" t="s">
        <v>225</v>
      </c>
      <c r="C23" s="559">
        <f>'General Info &amp; Test Results'!C55</f>
        <v>0</v>
      </c>
      <c r="D23" s="186"/>
      <c r="E23" s="186"/>
      <c r="F23" s="186"/>
      <c r="G23" s="186"/>
      <c r="H23" s="195"/>
      <c r="J23" s="142"/>
    </row>
    <row r="24" spans="2:10" ht="18" customHeight="1" x14ac:dyDescent="0.3">
      <c r="B24" s="212" t="s">
        <v>241</v>
      </c>
      <c r="C24" s="559">
        <f>'General Info &amp; Test Results'!C40</f>
        <v>0</v>
      </c>
      <c r="D24" s="186"/>
      <c r="E24" s="186"/>
      <c r="F24" s="186"/>
      <c r="G24" s="186"/>
      <c r="H24" s="195"/>
      <c r="J24" s="142"/>
    </row>
    <row r="25" spans="2:10" ht="18" customHeight="1" thickBot="1" x14ac:dyDescent="0.35">
      <c r="B25" s="321" t="s">
        <v>585</v>
      </c>
      <c r="C25" s="348" t="str">
        <f>IF(C24="Aluminum",225,IF(C24="Copper",234.5,"Winding material needed"))</f>
        <v>Winding material needed</v>
      </c>
      <c r="D25" s="248"/>
      <c r="E25" s="248"/>
      <c r="F25" s="248"/>
      <c r="G25" s="248"/>
      <c r="H25" s="249"/>
      <c r="J25" s="142"/>
    </row>
    <row r="26" spans="2:10" ht="18" customHeight="1" thickBot="1" x14ac:dyDescent="0.35">
      <c r="J26" s="142"/>
    </row>
    <row r="27" spans="2:10" ht="18" customHeight="1" thickBot="1" x14ac:dyDescent="0.4">
      <c r="B27" s="808" t="s">
        <v>240</v>
      </c>
      <c r="C27" s="809"/>
      <c r="D27" s="809"/>
      <c r="E27" s="809"/>
      <c r="F27" s="809"/>
      <c r="G27" s="809"/>
      <c r="H27" s="810"/>
      <c r="J27" s="142"/>
    </row>
    <row r="28" spans="2:10" ht="18" customHeight="1" x14ac:dyDescent="0.3">
      <c r="B28" s="633" t="s">
        <v>69</v>
      </c>
      <c r="C28" s="634" t="s">
        <v>70</v>
      </c>
      <c r="D28" s="555"/>
      <c r="E28" s="186"/>
      <c r="F28" s="324"/>
      <c r="G28" s="186"/>
      <c r="H28" s="195"/>
      <c r="J28" s="142"/>
    </row>
    <row r="29" spans="2:10" ht="18" customHeight="1" x14ac:dyDescent="0.3">
      <c r="B29" s="318" t="s">
        <v>202</v>
      </c>
      <c r="C29" s="623"/>
      <c r="D29" s="556"/>
      <c r="E29" s="186"/>
      <c r="F29" s="186"/>
      <c r="G29" s="186"/>
      <c r="H29" s="195"/>
      <c r="J29" s="142"/>
    </row>
    <row r="30" spans="2:10" ht="18" customHeight="1" thickBot="1" x14ac:dyDescent="0.35">
      <c r="B30" s="321" t="s">
        <v>374</v>
      </c>
      <c r="C30" s="624"/>
      <c r="D30" s="635"/>
      <c r="E30" s="248"/>
      <c r="F30" s="248"/>
      <c r="G30" s="248"/>
      <c r="H30" s="249"/>
      <c r="J30" s="142"/>
    </row>
    <row r="31" spans="2:10" ht="18" customHeight="1" thickBot="1" x14ac:dyDescent="0.35">
      <c r="B31" s="636"/>
      <c r="C31" s="631"/>
      <c r="D31" s="637"/>
      <c r="E31" s="638"/>
      <c r="F31" s="556"/>
      <c r="J31" s="142"/>
    </row>
    <row r="32" spans="2:10" ht="18" customHeight="1" thickBot="1" x14ac:dyDescent="0.4">
      <c r="B32" s="808" t="s">
        <v>239</v>
      </c>
      <c r="C32" s="809"/>
      <c r="D32" s="809"/>
      <c r="E32" s="809"/>
      <c r="F32" s="809"/>
      <c r="G32" s="809"/>
      <c r="H32" s="810"/>
      <c r="J32" s="142"/>
    </row>
    <row r="33" spans="2:15" ht="18" customHeight="1" x14ac:dyDescent="0.35">
      <c r="B33" s="561"/>
      <c r="C33" s="562"/>
      <c r="D33" s="562"/>
      <c r="E33" s="562"/>
      <c r="F33" s="562"/>
      <c r="G33" s="186"/>
      <c r="H33" s="195"/>
      <c r="J33" s="142"/>
    </row>
    <row r="34" spans="2:15" ht="18" customHeight="1" x14ac:dyDescent="0.35">
      <c r="B34" s="639" t="s">
        <v>242</v>
      </c>
      <c r="C34" s="608"/>
      <c r="D34" s="562"/>
      <c r="E34" s="562"/>
      <c r="F34" s="562"/>
      <c r="G34" s="186"/>
      <c r="H34" s="195"/>
      <c r="J34" s="142"/>
    </row>
    <row r="35" spans="2:15" ht="18" customHeight="1" x14ac:dyDescent="0.35">
      <c r="B35" s="561"/>
      <c r="C35" s="562"/>
      <c r="D35" s="562"/>
      <c r="E35" s="562"/>
      <c r="F35" s="562"/>
      <c r="G35" s="186"/>
      <c r="H35" s="195"/>
      <c r="J35" s="142"/>
    </row>
    <row r="36" spans="2:15" ht="18" customHeight="1" x14ac:dyDescent="0.3">
      <c r="B36" s="544" t="s">
        <v>69</v>
      </c>
      <c r="C36" s="596" t="s">
        <v>70</v>
      </c>
      <c r="D36" s="555"/>
      <c r="E36" s="186"/>
      <c r="F36" s="186"/>
      <c r="G36" s="186"/>
      <c r="H36" s="195"/>
      <c r="J36" s="142"/>
    </row>
    <row r="37" spans="2:15" ht="18" customHeight="1" x14ac:dyDescent="0.3">
      <c r="B37" s="370" t="s">
        <v>375</v>
      </c>
      <c r="C37" s="623"/>
      <c r="D37" s="556"/>
      <c r="E37" s="186"/>
      <c r="F37" s="186"/>
      <c r="G37" s="186"/>
      <c r="H37" s="195"/>
      <c r="J37" s="142"/>
    </row>
    <row r="38" spans="2:15" ht="18" customHeight="1" x14ac:dyDescent="0.3">
      <c r="B38" s="370" t="s">
        <v>202</v>
      </c>
      <c r="C38" s="623"/>
      <c r="D38" s="556"/>
      <c r="E38" s="186"/>
      <c r="F38" s="186"/>
      <c r="G38" s="186"/>
      <c r="H38" s="195"/>
      <c r="J38" s="142"/>
    </row>
    <row r="39" spans="2:15" ht="18" customHeight="1" x14ac:dyDescent="0.3">
      <c r="B39" s="370" t="s">
        <v>357</v>
      </c>
      <c r="C39" s="559" t="str">
        <f>IFERROR(((C37/C30)*(C25+C29))-C25, " ")</f>
        <v xml:space="preserve"> </v>
      </c>
      <c r="D39" s="556"/>
      <c r="E39" s="186"/>
      <c r="F39" s="186"/>
      <c r="G39" s="186"/>
      <c r="H39" s="195"/>
      <c r="J39" s="142"/>
    </row>
    <row r="40" spans="2:15" ht="18" customHeight="1" x14ac:dyDescent="0.3">
      <c r="B40" s="370" t="s">
        <v>344</v>
      </c>
      <c r="C40" s="559" t="str">
        <f>IFERROR(C39-C38, " ")</f>
        <v xml:space="preserve"> </v>
      </c>
      <c r="D40" s="556"/>
      <c r="E40" s="186"/>
      <c r="F40" s="186"/>
      <c r="G40" s="186"/>
      <c r="H40" s="195"/>
      <c r="J40" s="142"/>
    </row>
    <row r="41" spans="2:15" ht="18" customHeight="1" x14ac:dyDescent="0.35">
      <c r="B41" s="197" t="s">
        <v>358</v>
      </c>
      <c r="C41" s="304">
        <f>IFERROR((C40-C39)+25, 0)</f>
        <v>0</v>
      </c>
      <c r="D41" s="556"/>
      <c r="E41" s="640"/>
      <c r="F41" s="640"/>
      <c r="G41" s="186"/>
      <c r="H41" s="195"/>
      <c r="I41" s="186"/>
      <c r="J41" s="523"/>
      <c r="K41" s="186"/>
      <c r="L41" s="186"/>
      <c r="M41" s="186"/>
    </row>
    <row r="42" spans="2:15" ht="18" customHeight="1" thickBot="1" x14ac:dyDescent="0.4">
      <c r="B42" s="261" t="s">
        <v>359</v>
      </c>
      <c r="C42" s="626"/>
      <c r="D42" s="641"/>
      <c r="E42" s="641"/>
      <c r="F42" s="641"/>
      <c r="G42" s="248"/>
      <c r="H42" s="249"/>
      <c r="I42" s="186"/>
      <c r="J42" s="523"/>
      <c r="K42" s="186"/>
      <c r="L42" s="186"/>
      <c r="M42" s="186"/>
    </row>
    <row r="43" spans="2:15" ht="18" customHeight="1" thickBot="1" x14ac:dyDescent="0.4">
      <c r="B43" s="640"/>
      <c r="C43" s="642"/>
      <c r="D43" s="640"/>
      <c r="E43" s="638"/>
      <c r="F43" s="640"/>
      <c r="G43" s="640"/>
      <c r="H43" s="640"/>
      <c r="I43" s="186"/>
      <c r="J43" s="523"/>
      <c r="K43" s="186"/>
      <c r="L43" s="186"/>
      <c r="M43" s="186"/>
      <c r="N43" s="186"/>
      <c r="O43" s="186"/>
    </row>
    <row r="44" spans="2:15" ht="18" customHeight="1" thickBot="1" x14ac:dyDescent="0.4">
      <c r="B44" s="808" t="s">
        <v>252</v>
      </c>
      <c r="C44" s="809"/>
      <c r="D44" s="809"/>
      <c r="E44" s="809"/>
      <c r="F44" s="809"/>
      <c r="G44" s="809"/>
      <c r="H44" s="810"/>
      <c r="J44" s="142"/>
    </row>
    <row r="45" spans="2:15" ht="18" customHeight="1" x14ac:dyDescent="0.35">
      <c r="B45" s="643"/>
      <c r="C45" s="546"/>
      <c r="D45" s="546"/>
      <c r="E45" s="546"/>
      <c r="F45" s="546"/>
      <c r="G45" s="547"/>
      <c r="H45" s="548"/>
      <c r="J45" s="142"/>
      <c r="L45" s="186"/>
      <c r="M45" s="186"/>
    </row>
    <row r="46" spans="2:15" ht="18" customHeight="1" x14ac:dyDescent="0.3">
      <c r="B46" s="644" t="s">
        <v>245</v>
      </c>
      <c r="C46" s="645"/>
      <c r="D46" s="645"/>
      <c r="E46" s="645"/>
      <c r="F46" s="645"/>
      <c r="G46" s="186"/>
      <c r="H46" s="195"/>
      <c r="J46" s="142"/>
    </row>
    <row r="47" spans="2:15" ht="18" customHeight="1" x14ac:dyDescent="0.3">
      <c r="B47" s="544" t="s">
        <v>69</v>
      </c>
      <c r="C47" s="596" t="s">
        <v>70</v>
      </c>
      <c r="D47" s="555"/>
      <c r="E47" s="186"/>
      <c r="F47" s="186"/>
      <c r="G47" s="186"/>
      <c r="H47" s="195"/>
      <c r="J47" s="142"/>
    </row>
    <row r="48" spans="2:15" ht="18" customHeight="1" x14ac:dyDescent="0.3">
      <c r="B48" s="370" t="s">
        <v>363</v>
      </c>
      <c r="C48" s="623"/>
      <c r="D48" s="556"/>
      <c r="E48" s="186"/>
      <c r="F48" s="186"/>
      <c r="G48" s="186"/>
      <c r="H48" s="195"/>
      <c r="J48" s="142"/>
    </row>
    <row r="49" spans="2:12" ht="18" customHeight="1" x14ac:dyDescent="0.3">
      <c r="B49" s="197" t="s">
        <v>415</v>
      </c>
      <c r="C49" s="606"/>
      <c r="D49" s="186"/>
      <c r="E49" s="186"/>
      <c r="F49" s="186"/>
      <c r="G49" s="186"/>
      <c r="H49" s="195"/>
      <c r="J49" s="142"/>
    </row>
    <row r="50" spans="2:12" ht="18" customHeight="1" x14ac:dyDescent="0.3">
      <c r="B50" s="197" t="s">
        <v>259</v>
      </c>
      <c r="C50" s="606"/>
      <c r="D50" s="186"/>
      <c r="E50" s="186"/>
      <c r="F50" s="186"/>
      <c r="G50" s="186"/>
      <c r="H50" s="195"/>
      <c r="J50" s="142"/>
    </row>
    <row r="51" spans="2:12" ht="18" customHeight="1" x14ac:dyDescent="0.3">
      <c r="B51" s="199"/>
      <c r="C51" s="186"/>
      <c r="D51" s="186"/>
      <c r="E51" s="186"/>
      <c r="F51" s="186"/>
      <c r="G51" s="186"/>
      <c r="H51" s="195"/>
      <c r="J51" s="142"/>
    </row>
    <row r="52" spans="2:12" ht="18" customHeight="1" x14ac:dyDescent="0.3">
      <c r="B52" s="199" t="s">
        <v>411</v>
      </c>
      <c r="C52" s="186"/>
      <c r="D52" s="186"/>
      <c r="E52" s="186"/>
      <c r="F52" s="186"/>
      <c r="G52" s="186"/>
      <c r="H52" s="195"/>
      <c r="J52" s="142"/>
    </row>
    <row r="53" spans="2:12" ht="18" customHeight="1" x14ac:dyDescent="0.35">
      <c r="B53" s="554" t="s">
        <v>244</v>
      </c>
      <c r="C53" s="589" t="s">
        <v>243</v>
      </c>
      <c r="D53" s="589" t="s">
        <v>409</v>
      </c>
      <c r="E53" s="546"/>
      <c r="F53" s="546"/>
      <c r="G53" s="547"/>
      <c r="H53" s="548"/>
      <c r="J53" s="142"/>
      <c r="L53" s="186"/>
    </row>
    <row r="54" spans="2:12" ht="18" customHeight="1" x14ac:dyDescent="0.3">
      <c r="B54" s="370">
        <v>1</v>
      </c>
      <c r="C54" s="627"/>
      <c r="D54" s="578" t="s">
        <v>405</v>
      </c>
      <c r="E54" s="646"/>
      <c r="F54" s="555"/>
      <c r="G54" s="186"/>
      <c r="H54" s="195"/>
      <c r="J54" s="142"/>
      <c r="L54" s="186"/>
    </row>
    <row r="55" spans="2:12" ht="18" customHeight="1" x14ac:dyDescent="0.3">
      <c r="B55" s="370">
        <v>2</v>
      </c>
      <c r="C55" s="606"/>
      <c r="D55" s="578">
        <v>100</v>
      </c>
      <c r="E55" s="638"/>
      <c r="F55" s="556"/>
      <c r="G55" s="186"/>
      <c r="H55" s="195"/>
      <c r="J55" s="142"/>
      <c r="L55" s="186"/>
    </row>
    <row r="56" spans="2:12" ht="18" customHeight="1" x14ac:dyDescent="0.3">
      <c r="B56" s="197">
        <v>3</v>
      </c>
      <c r="C56" s="285"/>
      <c r="D56" s="578" t="s">
        <v>406</v>
      </c>
      <c r="E56" s="638"/>
      <c r="F56" s="556"/>
      <c r="G56" s="186"/>
      <c r="H56" s="195"/>
      <c r="J56" s="142"/>
      <c r="L56" s="186"/>
    </row>
    <row r="57" spans="2:12" ht="18" customHeight="1" x14ac:dyDescent="0.3">
      <c r="B57" s="370">
        <v>4</v>
      </c>
      <c r="C57" s="285"/>
      <c r="D57" s="578" t="s">
        <v>407</v>
      </c>
      <c r="E57" s="647"/>
      <c r="F57" s="556"/>
      <c r="G57" s="186"/>
      <c r="H57" s="195"/>
      <c r="J57" s="142"/>
      <c r="L57" s="186"/>
    </row>
    <row r="58" spans="2:12" ht="18" customHeight="1" x14ac:dyDescent="0.3">
      <c r="B58" s="370">
        <v>5</v>
      </c>
      <c r="C58" s="285"/>
      <c r="D58" s="578" t="s">
        <v>407</v>
      </c>
      <c r="E58" s="638"/>
      <c r="F58" s="556"/>
      <c r="G58" s="186"/>
      <c r="H58" s="195"/>
      <c r="J58" s="142"/>
      <c r="L58" s="186"/>
    </row>
    <row r="59" spans="2:12" ht="18" customHeight="1" x14ac:dyDescent="0.3">
      <c r="B59" s="370">
        <v>6</v>
      </c>
      <c r="C59" s="285"/>
      <c r="D59" s="578" t="s">
        <v>407</v>
      </c>
      <c r="E59" s="638"/>
      <c r="F59" s="556"/>
      <c r="G59" s="186"/>
      <c r="H59" s="195"/>
      <c r="J59" s="142"/>
      <c r="L59" s="186"/>
    </row>
    <row r="60" spans="2:12" ht="18" customHeight="1" x14ac:dyDescent="0.3">
      <c r="B60" s="648"/>
      <c r="C60" s="632"/>
      <c r="D60" s="649"/>
      <c r="E60" s="647"/>
      <c r="F60" s="556"/>
      <c r="G60" s="191"/>
      <c r="H60" s="195"/>
      <c r="J60" s="142"/>
      <c r="L60" s="186"/>
    </row>
    <row r="61" spans="2:12" ht="18" customHeight="1" x14ac:dyDescent="0.35">
      <c r="B61" s="346"/>
      <c r="C61" s="837" t="s">
        <v>244</v>
      </c>
      <c r="D61" s="837"/>
      <c r="E61" s="837"/>
      <c r="F61" s="837"/>
      <c r="G61" s="837"/>
      <c r="H61" s="847"/>
      <c r="J61" s="142"/>
      <c r="L61" s="186"/>
    </row>
    <row r="62" spans="2:12" ht="18" customHeight="1" x14ac:dyDescent="0.35">
      <c r="B62" s="260" t="s">
        <v>203</v>
      </c>
      <c r="C62" s="193">
        <v>1</v>
      </c>
      <c r="D62" s="193">
        <v>2</v>
      </c>
      <c r="E62" s="194">
        <v>3</v>
      </c>
      <c r="F62" s="193">
        <v>4</v>
      </c>
      <c r="G62" s="193">
        <v>5</v>
      </c>
      <c r="H62" s="458">
        <v>6</v>
      </c>
      <c r="J62" s="142"/>
      <c r="L62" s="186"/>
    </row>
    <row r="63" spans="2:12" ht="18" customHeight="1" x14ac:dyDescent="0.3">
      <c r="B63" s="197" t="s">
        <v>363</v>
      </c>
      <c r="C63" s="614"/>
      <c r="D63" s="614"/>
      <c r="E63" s="619"/>
      <c r="F63" s="614"/>
      <c r="G63" s="614"/>
      <c r="H63" s="628"/>
      <c r="J63" s="142"/>
      <c r="L63" s="186"/>
    </row>
    <row r="64" spans="2:12" ht="18" customHeight="1" x14ac:dyDescent="0.3">
      <c r="B64" s="197" t="s">
        <v>414</v>
      </c>
      <c r="C64" s="614"/>
      <c r="D64" s="614"/>
      <c r="E64" s="619"/>
      <c r="F64" s="614"/>
      <c r="G64" s="614"/>
      <c r="H64" s="628"/>
      <c r="J64" s="142"/>
      <c r="L64" s="186"/>
    </row>
    <row r="65" spans="2:13" ht="18" customHeight="1" x14ac:dyDescent="0.3">
      <c r="B65" s="477" t="s">
        <v>415</v>
      </c>
      <c r="C65" s="614"/>
      <c r="D65" s="614"/>
      <c r="E65" s="619"/>
      <c r="F65" s="614"/>
      <c r="G65" s="614"/>
      <c r="H65" s="628"/>
      <c r="J65" s="142"/>
      <c r="L65" s="186"/>
    </row>
    <row r="66" spans="2:13" ht="18" customHeight="1" x14ac:dyDescent="0.3">
      <c r="B66" s="197" t="s">
        <v>377</v>
      </c>
      <c r="C66" s="629"/>
      <c r="D66" s="614"/>
      <c r="E66" s="619"/>
      <c r="F66" s="614"/>
      <c r="G66" s="614"/>
      <c r="H66" s="628"/>
      <c r="J66" s="142"/>
      <c r="L66" s="186"/>
    </row>
    <row r="67" spans="2:13" ht="18" customHeight="1" x14ac:dyDescent="0.3">
      <c r="B67" s="197" t="s">
        <v>201</v>
      </c>
      <c r="C67" s="606"/>
      <c r="D67" s="606"/>
      <c r="E67" s="606"/>
      <c r="F67" s="606"/>
      <c r="G67" s="606"/>
      <c r="H67" s="609"/>
      <c r="J67" s="142"/>
      <c r="L67" s="186"/>
    </row>
    <row r="68" spans="2:13" ht="18" customHeight="1" x14ac:dyDescent="0.3">
      <c r="B68" s="197" t="s">
        <v>282</v>
      </c>
      <c r="C68" s="614"/>
      <c r="D68" s="614"/>
      <c r="E68" s="619"/>
      <c r="F68" s="614"/>
      <c r="G68" s="614"/>
      <c r="H68" s="628"/>
      <c r="J68" s="142"/>
      <c r="L68" s="186"/>
      <c r="M68" s="186"/>
    </row>
    <row r="69" spans="2:13" ht="18" customHeight="1" x14ac:dyDescent="0.3">
      <c r="B69" s="197" t="s">
        <v>516</v>
      </c>
      <c r="C69" s="614"/>
      <c r="D69" s="614"/>
      <c r="E69" s="619"/>
      <c r="F69" s="614"/>
      <c r="G69" s="614"/>
      <c r="H69" s="628"/>
      <c r="J69" s="142"/>
      <c r="L69" s="186"/>
      <c r="M69" s="186"/>
    </row>
    <row r="70" spans="2:13" ht="18" customHeight="1" x14ac:dyDescent="0.3">
      <c r="B70" s="197" t="s">
        <v>373</v>
      </c>
      <c r="C70" s="291" t="str">
        <f>IFERROR(($C$30*(C63+$C$25))/($C$29+$C$25), " ")</f>
        <v xml:space="preserve"> </v>
      </c>
      <c r="D70" s="291" t="str">
        <f t="shared" ref="D70:H70" si="0">IFERROR(($C$30*(D63+$C$25))/($C$29+$C$25), " ")</f>
        <v xml:space="preserve"> </v>
      </c>
      <c r="E70" s="291" t="str">
        <f t="shared" si="0"/>
        <v xml:space="preserve"> </v>
      </c>
      <c r="F70" s="291" t="str">
        <f t="shared" si="0"/>
        <v xml:space="preserve"> </v>
      </c>
      <c r="G70" s="291" t="str">
        <f t="shared" si="0"/>
        <v xml:space="preserve"> </v>
      </c>
      <c r="H70" s="291" t="str">
        <f t="shared" si="0"/>
        <v xml:space="preserve"> </v>
      </c>
      <c r="J70" s="142"/>
      <c r="L70" s="186"/>
    </row>
    <row r="71" spans="2:13" s="186" customFormat="1" ht="18" customHeight="1" x14ac:dyDescent="0.3">
      <c r="B71" s="197" t="s">
        <v>378</v>
      </c>
      <c r="C71" s="291" t="str">
        <f>IFERROR(1.5*(C65)^2*C70, " ")</f>
        <v xml:space="preserve"> </v>
      </c>
      <c r="D71" s="291" t="str">
        <f t="shared" ref="D71:H71" si="1">IFERROR(1.5*(D65)^2*D70, " ")</f>
        <v xml:space="preserve"> </v>
      </c>
      <c r="E71" s="291" t="str">
        <f t="shared" si="1"/>
        <v xml:space="preserve"> </v>
      </c>
      <c r="F71" s="291" t="str">
        <f t="shared" si="1"/>
        <v xml:space="preserve"> </v>
      </c>
      <c r="G71" s="291" t="str">
        <f t="shared" si="1"/>
        <v xml:space="preserve"> </v>
      </c>
      <c r="H71" s="291" t="str">
        <f t="shared" si="1"/>
        <v xml:space="preserve"> </v>
      </c>
      <c r="J71" s="523"/>
    </row>
    <row r="72" spans="2:13" ht="38.450000000000003" customHeight="1" x14ac:dyDescent="0.3">
      <c r="B72" s="420" t="s">
        <v>379</v>
      </c>
      <c r="C72" s="304" t="str">
        <f>IFERROR(C66-C71, " ")</f>
        <v xml:space="preserve"> </v>
      </c>
      <c r="D72" s="304" t="str">
        <f t="shared" ref="D72:H72" si="2">IFERROR(D66-D71, " ")</f>
        <v xml:space="preserve"> </v>
      </c>
      <c r="E72" s="304" t="str">
        <f t="shared" si="2"/>
        <v xml:space="preserve"> </v>
      </c>
      <c r="F72" s="304" t="str">
        <f t="shared" si="2"/>
        <v xml:space="preserve"> </v>
      </c>
      <c r="G72" s="304" t="str">
        <f t="shared" si="2"/>
        <v xml:space="preserve"> </v>
      </c>
      <c r="H72" s="304" t="str">
        <f t="shared" si="2"/>
        <v xml:space="preserve"> </v>
      </c>
      <c r="J72" s="142"/>
    </row>
    <row r="73" spans="2:13" ht="38.450000000000003" customHeight="1" x14ac:dyDescent="0.3">
      <c r="B73" s="420" t="s">
        <v>229</v>
      </c>
      <c r="C73" s="304" t="str">
        <f>IFERROR(C72-$C$83, " ")</f>
        <v xml:space="preserve"> </v>
      </c>
      <c r="D73" s="304" t="str">
        <f t="shared" ref="D73:H73" si="3">IFERROR(D72-$C$83, " ")</f>
        <v xml:space="preserve"> </v>
      </c>
      <c r="E73" s="304" t="str">
        <f t="shared" si="3"/>
        <v xml:space="preserve"> </v>
      </c>
      <c r="F73" s="304" t="str">
        <f t="shared" si="3"/>
        <v xml:space="preserve"> </v>
      </c>
      <c r="G73" s="304" t="str">
        <f t="shared" si="3"/>
        <v xml:space="preserve"> </v>
      </c>
      <c r="H73" s="304" t="str">
        <f t="shared" si="3"/>
        <v xml:space="preserve"> </v>
      </c>
      <c r="J73" s="142"/>
    </row>
    <row r="74" spans="2:13" ht="18" customHeight="1" x14ac:dyDescent="0.3">
      <c r="B74" s="197" t="s">
        <v>580</v>
      </c>
      <c r="C74" s="304" t="str">
        <f>IFERROR(ABS(100*(($C$76-C67)/$C$76)), " ")</f>
        <v xml:space="preserve"> </v>
      </c>
      <c r="D74" s="304" t="str">
        <f t="shared" ref="D74:H74" si="4">IFERROR(ABS(100*(($C$76-D67)/$C$76)), " ")</f>
        <v xml:space="preserve"> </v>
      </c>
      <c r="E74" s="304" t="str">
        <f t="shared" si="4"/>
        <v xml:space="preserve"> </v>
      </c>
      <c r="F74" s="304" t="str">
        <f t="shared" si="4"/>
        <v xml:space="preserve"> </v>
      </c>
      <c r="G74" s="304" t="str">
        <f t="shared" si="4"/>
        <v xml:space="preserve"> </v>
      </c>
      <c r="H74" s="304" t="str">
        <f t="shared" si="4"/>
        <v xml:space="preserve"> </v>
      </c>
      <c r="J74" s="142"/>
      <c r="L74" s="186"/>
      <c r="M74" s="186"/>
    </row>
    <row r="75" spans="2:13" s="183" customFormat="1" ht="18" customHeight="1" x14ac:dyDescent="0.3">
      <c r="B75" s="480"/>
      <c r="C75" s="567"/>
      <c r="D75" s="567"/>
      <c r="E75" s="567"/>
      <c r="F75" s="567"/>
      <c r="G75" s="567"/>
      <c r="H75" s="650"/>
      <c r="J75" s="142"/>
    </row>
    <row r="76" spans="2:13" s="183" customFormat="1" ht="18" customHeight="1" x14ac:dyDescent="0.3">
      <c r="B76" s="414" t="s">
        <v>581</v>
      </c>
      <c r="C76" s="291" t="str">
        <f>IFERROR(AVERAGE(C67:H67), " ")</f>
        <v xml:space="preserve"> </v>
      </c>
      <c r="D76" s="542"/>
      <c r="E76" s="542"/>
      <c r="F76" s="542"/>
      <c r="G76" s="542"/>
      <c r="H76" s="651"/>
      <c r="J76" s="142"/>
    </row>
    <row r="77" spans="2:13" s="183" customFormat="1" ht="18" customHeight="1" x14ac:dyDescent="0.3">
      <c r="B77" s="414" t="s">
        <v>582</v>
      </c>
      <c r="C77" s="291" t="str">
        <f>IFERROR(100*(ABS(C76-C21)/C21), " ")</f>
        <v xml:space="preserve"> </v>
      </c>
      <c r="D77" s="542"/>
      <c r="E77" s="542"/>
      <c r="F77" s="542"/>
      <c r="G77" s="542"/>
      <c r="H77" s="651"/>
      <c r="J77" s="142"/>
    </row>
    <row r="78" spans="2:13" ht="42.6" customHeight="1" x14ac:dyDescent="0.3">
      <c r="B78" s="652" t="s">
        <v>583</v>
      </c>
      <c r="C78" s="842" t="str">
        <f>IF((COUNTIF(C69:H69, "&gt;0.5")+COUNTIF(C68:H68, "&gt;0.05")+COUNTIF(C74:H74, "&gt;0.33")+COUNTIF(C77, "&gt;0.1"))&gt;=1, "Supply requirements unmet - ensure that THD does not exceed .05%, voltage unbalance is below 0.5%, variation from average frequency remains within 0.33%, and average test frequency is within 0.1% of rated value", "Data is permissible - may proceed with testing")</f>
        <v>Data is permissible - may proceed with testing</v>
      </c>
      <c r="D78" s="843"/>
      <c r="E78" s="843"/>
      <c r="F78" s="843"/>
      <c r="G78" s="186"/>
      <c r="H78" s="195"/>
      <c r="J78" s="142"/>
    </row>
    <row r="79" spans="2:13" ht="16.5" x14ac:dyDescent="0.3">
      <c r="B79" s="199"/>
      <c r="C79" s="186"/>
      <c r="D79" s="186"/>
      <c r="E79" s="186"/>
      <c r="F79" s="186"/>
      <c r="G79" s="186"/>
      <c r="H79" s="195"/>
      <c r="J79" s="142"/>
    </row>
    <row r="80" spans="2:13" ht="18" customHeight="1" x14ac:dyDescent="0.3">
      <c r="B80" s="199"/>
      <c r="C80" s="186"/>
      <c r="D80" s="186"/>
      <c r="E80" s="186"/>
      <c r="F80" s="186"/>
      <c r="G80" s="186"/>
      <c r="H80" s="195"/>
      <c r="J80" s="142"/>
    </row>
    <row r="81" spans="2:13" ht="18" customHeight="1" thickBot="1" x14ac:dyDescent="0.4">
      <c r="B81" s="653" t="s">
        <v>246</v>
      </c>
      <c r="C81" s="248"/>
      <c r="D81" s="248"/>
      <c r="E81" s="248"/>
      <c r="F81" s="248"/>
      <c r="G81" s="248"/>
      <c r="H81" s="249"/>
      <c r="I81" s="186"/>
      <c r="J81" s="142"/>
    </row>
    <row r="82" spans="2:13" ht="18" customHeight="1" x14ac:dyDescent="0.35">
      <c r="B82" s="654" t="s">
        <v>69</v>
      </c>
      <c r="C82" s="655" t="s">
        <v>70</v>
      </c>
      <c r="D82" s="324"/>
      <c r="E82" s="324"/>
      <c r="F82" s="324"/>
      <c r="G82" s="324"/>
      <c r="H82" s="325"/>
      <c r="J82" s="142"/>
    </row>
    <row r="83" spans="2:13" ht="18" customHeight="1" x14ac:dyDescent="0.3">
      <c r="B83" s="197" t="s">
        <v>366</v>
      </c>
      <c r="C83" s="291" t="str">
        <f>IFERROR(INTERCEPT(C71:H71,C64:H64), " ")</f>
        <v xml:space="preserve"> </v>
      </c>
      <c r="D83" s="186"/>
      <c r="E83" s="186"/>
      <c r="F83" s="186"/>
      <c r="G83" s="186"/>
      <c r="H83" s="195"/>
      <c r="J83" s="142"/>
    </row>
    <row r="84" spans="2:13" ht="18" customHeight="1" thickBot="1" x14ac:dyDescent="0.4">
      <c r="B84" s="261" t="s">
        <v>365</v>
      </c>
      <c r="C84" s="295" t="str">
        <f>IFERROR(FORECAST(C21,C73:H73,C64:H64), " ")</f>
        <v xml:space="preserve"> </v>
      </c>
      <c r="D84" s="248"/>
      <c r="E84" s="248"/>
      <c r="F84" s="248"/>
      <c r="G84" s="248"/>
      <c r="H84" s="249"/>
      <c r="J84" s="142"/>
    </row>
    <row r="85" spans="2:13" ht="18" customHeight="1" thickBot="1" x14ac:dyDescent="0.35">
      <c r="B85" s="186"/>
      <c r="G85" s="186"/>
      <c r="H85" s="186"/>
      <c r="I85" s="186"/>
      <c r="J85" s="142"/>
    </row>
    <row r="86" spans="2:13" ht="18" customHeight="1" thickBot="1" x14ac:dyDescent="0.4">
      <c r="B86" s="808" t="s">
        <v>412</v>
      </c>
      <c r="C86" s="809"/>
      <c r="D86" s="809"/>
      <c r="E86" s="809"/>
      <c r="F86" s="809"/>
      <c r="G86" s="809"/>
      <c r="H86" s="810"/>
      <c r="I86" s="186"/>
      <c r="J86" s="523"/>
      <c r="K86" s="186"/>
      <c r="L86" s="186"/>
    </row>
    <row r="87" spans="2:13" ht="18" customHeight="1" x14ac:dyDescent="0.35">
      <c r="B87" s="643"/>
      <c r="C87" s="546"/>
      <c r="D87" s="546"/>
      <c r="E87" s="546"/>
      <c r="F87" s="546"/>
      <c r="G87" s="547"/>
      <c r="H87" s="548"/>
      <c r="I87" s="186"/>
      <c r="J87" s="523"/>
      <c r="K87" s="186"/>
      <c r="L87" s="186"/>
    </row>
    <row r="88" spans="2:13" ht="18" customHeight="1" x14ac:dyDescent="0.35">
      <c r="B88" s="554" t="s">
        <v>185</v>
      </c>
      <c r="C88" s="589" t="s">
        <v>186</v>
      </c>
      <c r="D88" s="589" t="s">
        <v>408</v>
      </c>
      <c r="E88" s="546"/>
      <c r="F88" s="546"/>
      <c r="G88" s="547"/>
      <c r="H88" s="548"/>
      <c r="I88" s="186"/>
      <c r="J88" s="523"/>
      <c r="K88" s="186"/>
      <c r="L88" s="186"/>
    </row>
    <row r="89" spans="2:13" ht="18" customHeight="1" x14ac:dyDescent="0.3">
      <c r="B89" s="370">
        <v>1</v>
      </c>
      <c r="C89" s="627"/>
      <c r="D89" s="578" t="s">
        <v>402</v>
      </c>
      <c r="E89" s="646"/>
      <c r="F89" s="555"/>
      <c r="G89" s="186"/>
      <c r="H89" s="195"/>
      <c r="I89" s="186"/>
      <c r="J89" s="523"/>
      <c r="K89" s="186"/>
      <c r="L89" s="186"/>
    </row>
    <row r="90" spans="2:13" ht="18" customHeight="1" x14ac:dyDescent="0.3">
      <c r="B90" s="370">
        <v>2</v>
      </c>
      <c r="C90" s="606"/>
      <c r="D90" s="578" t="s">
        <v>402</v>
      </c>
      <c r="E90" s="638"/>
      <c r="F90" s="556"/>
      <c r="G90" s="186"/>
      <c r="H90" s="195"/>
      <c r="I90" s="186"/>
      <c r="J90" s="523"/>
      <c r="K90" s="186"/>
      <c r="L90" s="186"/>
    </row>
    <row r="91" spans="2:13" ht="18" customHeight="1" x14ac:dyDescent="0.3">
      <c r="B91" s="197">
        <v>3</v>
      </c>
      <c r="C91" s="285"/>
      <c r="D91" s="578" t="s">
        <v>403</v>
      </c>
      <c r="E91" s="638"/>
      <c r="F91" s="556"/>
      <c r="G91" s="186"/>
      <c r="H91" s="195"/>
      <c r="I91" s="186"/>
      <c r="J91" s="523"/>
      <c r="K91" s="186"/>
      <c r="L91" s="186"/>
    </row>
    <row r="92" spans="2:13" ht="18" customHeight="1" x14ac:dyDescent="0.3">
      <c r="B92" s="370">
        <v>4</v>
      </c>
      <c r="C92" s="285"/>
      <c r="D92" s="578" t="s">
        <v>403</v>
      </c>
      <c r="E92" s="647"/>
      <c r="F92" s="556"/>
      <c r="G92" s="186"/>
      <c r="H92" s="195"/>
      <c r="I92" s="186"/>
      <c r="J92" s="523"/>
      <c r="K92" s="186"/>
      <c r="L92" s="186"/>
    </row>
    <row r="93" spans="2:13" ht="18" customHeight="1" x14ac:dyDescent="0.3">
      <c r="B93" s="370">
        <v>5</v>
      </c>
      <c r="C93" s="285"/>
      <c r="D93" s="578" t="s">
        <v>403</v>
      </c>
      <c r="E93" s="638"/>
      <c r="F93" s="556"/>
      <c r="G93" s="186"/>
      <c r="H93" s="195"/>
      <c r="I93" s="186"/>
      <c r="J93" s="523"/>
      <c r="K93" s="186"/>
      <c r="L93" s="186"/>
      <c r="M93" s="186"/>
    </row>
    <row r="94" spans="2:13" ht="18" customHeight="1" x14ac:dyDescent="0.3">
      <c r="B94" s="370">
        <v>6</v>
      </c>
      <c r="C94" s="285"/>
      <c r="D94" s="578" t="s">
        <v>403</v>
      </c>
      <c r="E94" s="638"/>
      <c r="F94" s="556"/>
      <c r="G94" s="186"/>
      <c r="H94" s="195"/>
      <c r="I94" s="186"/>
      <c r="J94" s="523"/>
      <c r="K94" s="186"/>
      <c r="L94" s="186"/>
      <c r="M94" s="186"/>
    </row>
    <row r="95" spans="2:13" ht="18" customHeight="1" x14ac:dyDescent="0.3">
      <c r="B95" s="648"/>
      <c r="C95" s="632"/>
      <c r="D95" s="649"/>
      <c r="E95" s="647"/>
      <c r="F95" s="556"/>
      <c r="G95" s="191"/>
      <c r="H95" s="195"/>
      <c r="J95" s="142"/>
      <c r="L95" s="186"/>
      <c r="M95" s="186"/>
    </row>
    <row r="96" spans="2:13" ht="18" customHeight="1" x14ac:dyDescent="0.35">
      <c r="B96" s="346"/>
      <c r="C96" s="837" t="s">
        <v>185</v>
      </c>
      <c r="D96" s="837"/>
      <c r="E96" s="837"/>
      <c r="F96" s="837"/>
      <c r="G96" s="837"/>
      <c r="H96" s="847"/>
      <c r="J96" s="142"/>
      <c r="L96" s="186"/>
      <c r="M96" s="186"/>
    </row>
    <row r="97" spans="2:13" ht="18" customHeight="1" x14ac:dyDescent="0.35">
      <c r="B97" s="260" t="s">
        <v>203</v>
      </c>
      <c r="C97" s="193">
        <v>1</v>
      </c>
      <c r="D97" s="193">
        <v>2</v>
      </c>
      <c r="E97" s="194">
        <v>3</v>
      </c>
      <c r="F97" s="193">
        <v>4</v>
      </c>
      <c r="G97" s="193">
        <v>5</v>
      </c>
      <c r="H97" s="458">
        <v>6</v>
      </c>
      <c r="J97" s="142"/>
      <c r="L97" s="186"/>
      <c r="M97" s="186"/>
    </row>
    <row r="98" spans="2:13" ht="18" customHeight="1" x14ac:dyDescent="0.35">
      <c r="B98" s="197" t="s">
        <v>224</v>
      </c>
      <c r="C98" s="614"/>
      <c r="D98" s="614"/>
      <c r="E98" s="619"/>
      <c r="F98" s="614"/>
      <c r="G98" s="614"/>
      <c r="H98" s="628"/>
      <c r="J98" s="142"/>
      <c r="L98" s="186"/>
      <c r="M98" s="186"/>
    </row>
    <row r="99" spans="2:13" ht="18" customHeight="1" x14ac:dyDescent="0.3">
      <c r="B99" s="197" t="s">
        <v>202</v>
      </c>
      <c r="C99" s="614"/>
      <c r="D99" s="614"/>
      <c r="E99" s="619"/>
      <c r="F99" s="614"/>
      <c r="G99" s="614"/>
      <c r="H99" s="628"/>
      <c r="J99" s="142"/>
      <c r="L99" s="186"/>
      <c r="M99" s="186"/>
    </row>
    <row r="100" spans="2:13" ht="18" customHeight="1" x14ac:dyDescent="0.3">
      <c r="B100" s="477" t="s">
        <v>201</v>
      </c>
      <c r="C100" s="614"/>
      <c r="D100" s="614"/>
      <c r="E100" s="619"/>
      <c r="F100" s="614"/>
      <c r="G100" s="614"/>
      <c r="H100" s="628"/>
      <c r="J100" s="142"/>
      <c r="L100" s="186"/>
      <c r="M100" s="186"/>
    </row>
    <row r="101" spans="2:13" ht="18" customHeight="1" x14ac:dyDescent="0.3">
      <c r="B101" s="197" t="s">
        <v>414</v>
      </c>
      <c r="C101" s="614"/>
      <c r="D101" s="614"/>
      <c r="E101" s="619"/>
      <c r="F101" s="614"/>
      <c r="G101" s="614"/>
      <c r="H101" s="628"/>
      <c r="J101" s="142"/>
      <c r="L101" s="186"/>
      <c r="M101" s="186"/>
    </row>
    <row r="102" spans="2:13" ht="18" customHeight="1" x14ac:dyDescent="0.3">
      <c r="B102" s="412" t="s">
        <v>346</v>
      </c>
      <c r="C102" s="606"/>
      <c r="D102" s="606"/>
      <c r="E102" s="606"/>
      <c r="F102" s="606"/>
      <c r="G102" s="606"/>
      <c r="H102" s="609"/>
      <c r="J102" s="142"/>
      <c r="L102" s="186"/>
      <c r="M102" s="186"/>
    </row>
    <row r="103" spans="2:13" ht="18" customHeight="1" x14ac:dyDescent="0.3">
      <c r="B103" s="197" t="s">
        <v>415</v>
      </c>
      <c r="C103" s="606"/>
      <c r="D103" s="606"/>
      <c r="E103" s="606"/>
      <c r="F103" s="606"/>
      <c r="G103" s="606"/>
      <c r="H103" s="609"/>
      <c r="J103" s="142"/>
      <c r="L103" s="186"/>
      <c r="M103" s="186"/>
    </row>
    <row r="104" spans="2:13" ht="18" customHeight="1" x14ac:dyDescent="0.3">
      <c r="B104" s="477" t="s">
        <v>199</v>
      </c>
      <c r="C104" s="606"/>
      <c r="D104" s="606"/>
      <c r="E104" s="606"/>
      <c r="F104" s="606"/>
      <c r="G104" s="606"/>
      <c r="H104" s="609"/>
      <c r="J104" s="142"/>
      <c r="L104" s="186"/>
      <c r="M104" s="186"/>
    </row>
    <row r="105" spans="2:13" ht="18" customHeight="1" x14ac:dyDescent="0.3">
      <c r="B105" s="197" t="s">
        <v>187</v>
      </c>
      <c r="C105" s="614"/>
      <c r="D105" s="614"/>
      <c r="E105" s="619"/>
      <c r="F105" s="614"/>
      <c r="G105" s="614"/>
      <c r="H105" s="628"/>
      <c r="J105" s="142"/>
      <c r="L105" s="186"/>
      <c r="M105" s="186"/>
    </row>
    <row r="106" spans="2:13" ht="18" customHeight="1" x14ac:dyDescent="0.3">
      <c r="B106" s="197" t="s">
        <v>394</v>
      </c>
      <c r="C106" s="606"/>
      <c r="D106" s="606"/>
      <c r="E106" s="683"/>
      <c r="F106" s="606"/>
      <c r="G106" s="606"/>
      <c r="H106" s="609"/>
      <c r="J106" s="142"/>
      <c r="L106" s="186"/>
      <c r="M106" s="186"/>
    </row>
    <row r="107" spans="2:13" ht="18" customHeight="1" x14ac:dyDescent="0.3">
      <c r="B107" s="412" t="s">
        <v>282</v>
      </c>
      <c r="C107" s="616"/>
      <c r="D107" s="616"/>
      <c r="E107" s="617"/>
      <c r="F107" s="616"/>
      <c r="G107" s="616"/>
      <c r="H107" s="684"/>
      <c r="J107" s="142"/>
      <c r="L107" s="186"/>
      <c r="M107" s="186"/>
    </row>
    <row r="108" spans="2:13" ht="18" customHeight="1" x14ac:dyDescent="0.3">
      <c r="B108" s="197" t="s">
        <v>516</v>
      </c>
      <c r="C108" s="614"/>
      <c r="D108" s="614"/>
      <c r="E108" s="619"/>
      <c r="F108" s="614"/>
      <c r="G108" s="614"/>
      <c r="H108" s="628"/>
      <c r="J108" s="142"/>
      <c r="L108" s="186"/>
      <c r="M108" s="186"/>
    </row>
    <row r="109" spans="2:13" ht="18" customHeight="1" x14ac:dyDescent="0.3">
      <c r="B109" s="197" t="s">
        <v>580</v>
      </c>
      <c r="C109" s="304" t="str">
        <f>IFERROR(ABS(100*((AVERAGE(C100:H100)-C100)/AVERAGE(C100:H100))), " ")</f>
        <v xml:space="preserve"> </v>
      </c>
      <c r="D109" s="304" t="str">
        <f>IFERROR(ABS(100*((AVERAGE(C100:H100)-D100)/AVERAGE(C100:H100))), " ")</f>
        <v xml:space="preserve"> </v>
      </c>
      <c r="E109" s="304" t="str">
        <f>IFERROR(ABS(100*((AVERAGE(C100:H100)-E100)/AVERAGE(C100:H100))), " ")</f>
        <v xml:space="preserve"> </v>
      </c>
      <c r="F109" s="304" t="str">
        <f>IFERROR(ABS(100*((AVERAGE(C100:H100)-F100)/AVERAGE(C100:H100))), " ")</f>
        <v xml:space="preserve"> </v>
      </c>
      <c r="G109" s="304" t="str">
        <f>IFERROR(ABS(100*((AVERAGE(C100:H100)-G100)/AVERAGE(C100:H100))), " ")</f>
        <v xml:space="preserve"> </v>
      </c>
      <c r="H109" s="558" t="str">
        <f>IFERROR(ABS(100*((AVERAGE(C100:H100)-H100)/AVERAGE(C100:H100))), " ")</f>
        <v xml:space="preserve"> </v>
      </c>
      <c r="J109" s="142"/>
      <c r="L109" s="186"/>
      <c r="M109" s="186"/>
    </row>
    <row r="110" spans="2:13" ht="18" customHeight="1" x14ac:dyDescent="0.3">
      <c r="B110" s="656"/>
      <c r="C110" s="657"/>
      <c r="D110" s="658"/>
      <c r="E110" s="658"/>
      <c r="F110" s="658"/>
      <c r="G110" s="658"/>
      <c r="H110" s="659"/>
      <c r="J110" s="142"/>
      <c r="L110" s="186"/>
      <c r="M110" s="186"/>
    </row>
    <row r="111" spans="2:13" ht="42.6" customHeight="1" thickBot="1" x14ac:dyDescent="0.35">
      <c r="B111" s="660" t="s">
        <v>583</v>
      </c>
      <c r="C111" s="897" t="str">
        <f>IF((COUNTIF(C108:H108, "&gt;0.5")+COUNTIF(C107:H107, "&gt;0.05")+COUNTIF(C109:H109, "&gt;0.33"))&gt;=1, "Supply requirements unmet - ensure that THD does not exceed .05%, voltage unbalance is below 0.5%, and variation from average frequency remains within 0.33%", "Data is permissible - may proceed with testing")</f>
        <v>Data is permissible - may proceed with testing</v>
      </c>
      <c r="D111" s="898"/>
      <c r="E111" s="898"/>
      <c r="F111" s="898"/>
      <c r="G111" s="248"/>
      <c r="H111" s="249"/>
      <c r="J111" s="142"/>
    </row>
    <row r="112" spans="2:13" ht="18" customHeight="1" thickBot="1" x14ac:dyDescent="0.35">
      <c r="B112" s="248"/>
      <c r="J112" s="142"/>
      <c r="L112" s="186"/>
      <c r="M112" s="186"/>
    </row>
    <row r="113" spans="2:13" ht="18" customHeight="1" thickBot="1" x14ac:dyDescent="0.4">
      <c r="B113" s="808" t="s">
        <v>188</v>
      </c>
      <c r="C113" s="809"/>
      <c r="D113" s="809"/>
      <c r="E113" s="809"/>
      <c r="F113" s="809"/>
      <c r="G113" s="809"/>
      <c r="H113" s="810"/>
      <c r="J113" s="142"/>
    </row>
    <row r="114" spans="2:13" ht="18" customHeight="1" x14ac:dyDescent="0.35">
      <c r="B114" s="661"/>
      <c r="C114" s="662"/>
      <c r="D114" s="662"/>
      <c r="E114" s="662"/>
      <c r="F114" s="662"/>
      <c r="G114" s="324"/>
      <c r="H114" s="325"/>
      <c r="J114" s="142"/>
    </row>
    <row r="115" spans="2:13" ht="38.450000000000003" customHeight="1" x14ac:dyDescent="0.35">
      <c r="B115" s="663" t="s">
        <v>208</v>
      </c>
      <c r="C115" s="630"/>
      <c r="D115" s="546"/>
      <c r="E115" s="546"/>
      <c r="F115" s="546"/>
      <c r="G115" s="186"/>
      <c r="H115" s="195"/>
      <c r="J115" s="142"/>
    </row>
    <row r="116" spans="2:13" ht="18" customHeight="1" x14ac:dyDescent="0.35">
      <c r="B116" s="643"/>
      <c r="C116" s="546"/>
      <c r="D116" s="546"/>
      <c r="E116" s="546"/>
      <c r="F116" s="546"/>
      <c r="G116" s="186"/>
      <c r="H116" s="195"/>
      <c r="J116" s="142"/>
    </row>
    <row r="117" spans="2:13" ht="18" customHeight="1" x14ac:dyDescent="0.35">
      <c r="B117" s="554" t="s">
        <v>205</v>
      </c>
      <c r="C117" s="837" t="s">
        <v>210</v>
      </c>
      <c r="D117" s="837"/>
      <c r="E117" s="837"/>
      <c r="F117" s="546"/>
      <c r="G117" s="547"/>
      <c r="H117" s="548"/>
      <c r="J117" s="142"/>
      <c r="L117" s="186"/>
      <c r="M117" s="186"/>
    </row>
    <row r="118" spans="2:13" ht="35.450000000000003" customHeight="1" x14ac:dyDescent="0.3">
      <c r="B118" s="212" t="s">
        <v>175</v>
      </c>
      <c r="C118" s="838" t="s">
        <v>206</v>
      </c>
      <c r="D118" s="838"/>
      <c r="E118" s="838"/>
      <c r="F118" s="555"/>
      <c r="G118" s="186"/>
      <c r="H118" s="195"/>
      <c r="J118" s="142"/>
      <c r="L118" s="186"/>
      <c r="M118" s="186"/>
    </row>
    <row r="119" spans="2:13" ht="18" customHeight="1" x14ac:dyDescent="0.3">
      <c r="B119" s="212" t="s">
        <v>209</v>
      </c>
      <c r="C119" s="839" t="s">
        <v>207</v>
      </c>
      <c r="D119" s="839"/>
      <c r="E119" s="839"/>
      <c r="F119" s="556"/>
      <c r="G119" s="186"/>
      <c r="H119" s="195"/>
      <c r="J119" s="142"/>
      <c r="L119" s="186"/>
      <c r="M119" s="186"/>
    </row>
    <row r="120" spans="2:13" ht="18" customHeight="1" x14ac:dyDescent="0.3">
      <c r="B120" s="199"/>
      <c r="C120" s="186"/>
      <c r="D120" s="186"/>
      <c r="E120" s="186"/>
      <c r="F120" s="186"/>
      <c r="G120" s="186"/>
      <c r="H120" s="195"/>
      <c r="J120" s="142"/>
    </row>
    <row r="121" spans="2:13" ht="18" customHeight="1" x14ac:dyDescent="0.35">
      <c r="B121" s="346"/>
      <c r="C121" s="840" t="s">
        <v>205</v>
      </c>
      <c r="D121" s="841"/>
      <c r="E121" s="186"/>
      <c r="F121" s="186"/>
      <c r="G121" s="186"/>
      <c r="H121" s="195"/>
      <c r="J121" s="142"/>
    </row>
    <row r="122" spans="2:13" ht="18" customHeight="1" x14ac:dyDescent="0.35">
      <c r="B122" s="260" t="s">
        <v>203</v>
      </c>
      <c r="C122" s="193" t="s">
        <v>175</v>
      </c>
      <c r="D122" s="193" t="s">
        <v>209</v>
      </c>
      <c r="E122" s="186"/>
      <c r="F122" s="186"/>
      <c r="G122" s="186"/>
      <c r="H122" s="195"/>
      <c r="J122" s="142"/>
    </row>
    <row r="123" spans="2:13" ht="18" customHeight="1" x14ac:dyDescent="0.3">
      <c r="B123" s="197" t="s">
        <v>211</v>
      </c>
      <c r="C123" s="614"/>
      <c r="D123" s="614"/>
      <c r="E123" s="186"/>
      <c r="F123" s="186"/>
      <c r="G123" s="186"/>
      <c r="H123" s="195"/>
      <c r="J123" s="142"/>
    </row>
    <row r="124" spans="2:13" ht="18" customHeight="1" x14ac:dyDescent="0.3">
      <c r="B124" s="197" t="s">
        <v>200</v>
      </c>
      <c r="C124" s="606"/>
      <c r="D124" s="606"/>
      <c r="E124" s="186"/>
      <c r="F124" s="186"/>
      <c r="G124" s="186"/>
      <c r="H124" s="195"/>
      <c r="J124" s="142"/>
    </row>
    <row r="125" spans="2:13" ht="18" customHeight="1" x14ac:dyDescent="0.3">
      <c r="B125" s="197" t="s">
        <v>198</v>
      </c>
      <c r="C125" s="606"/>
      <c r="D125" s="606"/>
      <c r="E125" s="186"/>
      <c r="F125" s="186"/>
      <c r="G125" s="186"/>
      <c r="H125" s="195"/>
      <c r="J125" s="142"/>
    </row>
    <row r="126" spans="2:13" ht="18" customHeight="1" x14ac:dyDescent="0.3">
      <c r="B126" s="197" t="s">
        <v>354</v>
      </c>
      <c r="C126" s="606"/>
      <c r="D126" s="606"/>
      <c r="E126" s="186"/>
      <c r="F126" s="186"/>
      <c r="G126" s="186"/>
      <c r="H126" s="195"/>
      <c r="J126" s="523"/>
    </row>
    <row r="127" spans="2:13" ht="18" customHeight="1" x14ac:dyDescent="0.3">
      <c r="B127" s="197" t="s">
        <v>212</v>
      </c>
      <c r="C127" s="606"/>
      <c r="D127" s="315"/>
      <c r="E127" s="186"/>
      <c r="F127" s="186"/>
      <c r="G127" s="186"/>
      <c r="H127" s="195"/>
      <c r="J127" s="142"/>
    </row>
    <row r="128" spans="2:13" ht="18" customHeight="1" x14ac:dyDescent="0.3">
      <c r="B128" s="197" t="s">
        <v>187</v>
      </c>
      <c r="C128" s="606"/>
      <c r="D128" s="315"/>
      <c r="E128" s="186"/>
      <c r="F128" s="186"/>
      <c r="G128" s="186"/>
      <c r="H128" s="195"/>
      <c r="J128" s="142"/>
    </row>
    <row r="129" spans="2:13" ht="18" customHeight="1" x14ac:dyDescent="0.3">
      <c r="B129" s="197" t="s">
        <v>346</v>
      </c>
      <c r="C129" s="606"/>
      <c r="D129" s="606"/>
      <c r="E129" s="186"/>
      <c r="F129" s="186"/>
      <c r="G129" s="186"/>
      <c r="H129" s="195"/>
      <c r="J129" s="142"/>
    </row>
    <row r="130" spans="2:13" ht="18" customHeight="1" x14ac:dyDescent="0.3">
      <c r="B130" s="541"/>
      <c r="C130" s="186"/>
      <c r="D130" s="186"/>
      <c r="E130" s="186"/>
      <c r="F130" s="186"/>
      <c r="G130" s="186"/>
      <c r="H130" s="195"/>
      <c r="J130" s="142"/>
    </row>
    <row r="131" spans="2:13" ht="18" customHeight="1" thickBot="1" x14ac:dyDescent="0.4">
      <c r="B131" s="653" t="s">
        <v>191</v>
      </c>
      <c r="C131" s="248"/>
      <c r="D131" s="248"/>
      <c r="E131" s="248"/>
      <c r="F131" s="248"/>
      <c r="G131" s="248"/>
      <c r="H131" s="249"/>
      <c r="J131" s="142"/>
    </row>
    <row r="132" spans="2:13" ht="18" customHeight="1" x14ac:dyDescent="0.3">
      <c r="B132" s="664" t="s">
        <v>69</v>
      </c>
      <c r="C132" s="665" t="s">
        <v>70</v>
      </c>
      <c r="D132" s="666"/>
      <c r="E132" s="324"/>
      <c r="F132" s="324"/>
      <c r="G132" s="324"/>
      <c r="H132" s="325"/>
      <c r="J132" s="142"/>
    </row>
    <row r="133" spans="2:13" ht="18" customHeight="1" x14ac:dyDescent="0.3">
      <c r="B133" s="667" t="s">
        <v>367</v>
      </c>
      <c r="C133" s="668">
        <f>1.5*(C125)^2*C126</f>
        <v>0</v>
      </c>
      <c r="D133" s="636"/>
      <c r="E133" s="186"/>
      <c r="F133" s="186"/>
      <c r="G133" s="186"/>
      <c r="H133" s="195"/>
      <c r="J133" s="142"/>
    </row>
    <row r="134" spans="2:13" ht="18" customHeight="1" x14ac:dyDescent="0.3">
      <c r="B134" s="667" t="s">
        <v>368</v>
      </c>
      <c r="C134" s="668">
        <f>1.5*(D125)^2*D126</f>
        <v>0</v>
      </c>
      <c r="D134" s="636"/>
      <c r="E134" s="186"/>
      <c r="F134" s="186"/>
      <c r="G134" s="186"/>
      <c r="H134" s="195"/>
      <c r="J134" s="142"/>
    </row>
    <row r="135" spans="2:13" ht="18" customHeight="1" x14ac:dyDescent="0.3">
      <c r="B135" s="667" t="s">
        <v>380</v>
      </c>
      <c r="C135" s="668" t="str">
        <f>C84</f>
        <v xml:space="preserve"> </v>
      </c>
      <c r="D135" s="636"/>
      <c r="E135" s="186"/>
      <c r="F135" s="186"/>
      <c r="G135" s="186"/>
      <c r="H135" s="195"/>
      <c r="J135" s="142"/>
    </row>
    <row r="136" spans="2:13" ht="18" customHeight="1" x14ac:dyDescent="0.3">
      <c r="B136" s="590" t="s">
        <v>369</v>
      </c>
      <c r="C136" s="559" t="str">
        <f>IFERROR((C123-C133-C135)*(1-C127), " ")</f>
        <v xml:space="preserve"> </v>
      </c>
      <c r="D136" s="556"/>
      <c r="E136" s="186"/>
      <c r="F136" s="186"/>
      <c r="G136" s="186"/>
      <c r="H136" s="195"/>
      <c r="J136" s="142"/>
    </row>
    <row r="137" spans="2:13" ht="18" customHeight="1" x14ac:dyDescent="0.3">
      <c r="B137" s="370" t="s">
        <v>370</v>
      </c>
      <c r="C137" s="559" t="str">
        <f>IFERROR(D123-C134-C135, " ")</f>
        <v xml:space="preserve"> </v>
      </c>
      <c r="D137" s="636"/>
      <c r="E137" s="186"/>
      <c r="F137" s="186"/>
      <c r="G137" s="186"/>
      <c r="H137" s="195"/>
      <c r="J137" s="142"/>
    </row>
    <row r="138" spans="2:13" ht="18" customHeight="1" thickBot="1" x14ac:dyDescent="0.35">
      <c r="B138" s="398" t="s">
        <v>371</v>
      </c>
      <c r="C138" s="348">
        <f>IF(C115="Yes", 9.549*((C136-C137)/C128)-C129, 0)</f>
        <v>0</v>
      </c>
      <c r="D138" s="637"/>
      <c r="E138" s="248"/>
      <c r="F138" s="248"/>
      <c r="G138" s="248"/>
      <c r="H138" s="249"/>
      <c r="J138" s="142"/>
    </row>
    <row r="139" spans="2:13" ht="18" customHeight="1" thickBot="1" x14ac:dyDescent="0.35">
      <c r="G139" s="186"/>
      <c r="H139" s="186"/>
      <c r="J139" s="142"/>
    </row>
    <row r="140" spans="2:13" ht="18" customHeight="1" thickBot="1" x14ac:dyDescent="0.4">
      <c r="B140" s="894" t="s">
        <v>247</v>
      </c>
      <c r="C140" s="895"/>
      <c r="D140" s="895"/>
      <c r="E140" s="895"/>
      <c r="F140" s="895"/>
      <c r="G140" s="895"/>
      <c r="H140" s="896"/>
      <c r="J140" s="142"/>
      <c r="L140" s="186"/>
      <c r="M140" s="186"/>
    </row>
    <row r="141" spans="2:13" ht="18" customHeight="1" x14ac:dyDescent="0.35">
      <c r="B141" s="669"/>
      <c r="C141" s="670"/>
      <c r="D141" s="670"/>
      <c r="E141" s="670"/>
      <c r="F141" s="670"/>
      <c r="G141" s="670"/>
      <c r="H141" s="671"/>
      <c r="J141" s="142"/>
      <c r="L141" s="186"/>
      <c r="M141" s="186"/>
    </row>
    <row r="142" spans="2:13" ht="18" customHeight="1" x14ac:dyDescent="0.35">
      <c r="B142" s="346"/>
      <c r="C142" s="835" t="s">
        <v>185</v>
      </c>
      <c r="D142" s="835"/>
      <c r="E142" s="835"/>
      <c r="F142" s="835"/>
      <c r="G142" s="835"/>
      <c r="H142" s="836"/>
      <c r="I142" s="186"/>
      <c r="J142" s="142"/>
      <c r="L142" s="186"/>
      <c r="M142" s="186"/>
    </row>
    <row r="143" spans="2:13" ht="18" customHeight="1" x14ac:dyDescent="0.35">
      <c r="B143" s="260" t="s">
        <v>69</v>
      </c>
      <c r="C143" s="193">
        <v>1</v>
      </c>
      <c r="D143" s="193">
        <v>2</v>
      </c>
      <c r="E143" s="194">
        <v>3</v>
      </c>
      <c r="F143" s="193">
        <v>4</v>
      </c>
      <c r="G143" s="193">
        <v>5</v>
      </c>
      <c r="H143" s="458">
        <v>6</v>
      </c>
      <c r="J143" s="142"/>
      <c r="L143" s="186"/>
      <c r="M143" s="186"/>
    </row>
    <row r="144" spans="2:13" ht="18" customHeight="1" x14ac:dyDescent="0.3">
      <c r="B144" s="197" t="s">
        <v>226</v>
      </c>
      <c r="C144" s="304" t="str">
        <f>IFERROR(120/(C100/$C$23), " ")</f>
        <v xml:space="preserve"> </v>
      </c>
      <c r="D144" s="304" t="str">
        <f t="shared" ref="D144:H144" si="5">IFERROR(120/(D100/$C$23), " ")</f>
        <v xml:space="preserve"> </v>
      </c>
      <c r="E144" s="304" t="str">
        <f t="shared" si="5"/>
        <v xml:space="preserve"> </v>
      </c>
      <c r="F144" s="304" t="str">
        <f t="shared" si="5"/>
        <v xml:space="preserve"> </v>
      </c>
      <c r="G144" s="304" t="str">
        <f t="shared" si="5"/>
        <v xml:space="preserve"> </v>
      </c>
      <c r="H144" s="304" t="str">
        <f t="shared" si="5"/>
        <v xml:space="preserve"> </v>
      </c>
      <c r="J144" s="142"/>
      <c r="L144" s="186"/>
      <c r="M144" s="186"/>
    </row>
    <row r="145" spans="2:13" ht="18" customHeight="1" x14ac:dyDescent="0.3">
      <c r="B145" s="197" t="s">
        <v>227</v>
      </c>
      <c r="C145" s="304" t="str">
        <f>IFERROR(C144-C105, " ")</f>
        <v xml:space="preserve"> </v>
      </c>
      <c r="D145" s="304" t="str">
        <f t="shared" ref="D145:H145" si="6">IFERROR(D144-D105, " ")</f>
        <v xml:space="preserve"> </v>
      </c>
      <c r="E145" s="304" t="str">
        <f t="shared" si="6"/>
        <v xml:space="preserve"> </v>
      </c>
      <c r="F145" s="304" t="str">
        <f t="shared" si="6"/>
        <v xml:space="preserve"> </v>
      </c>
      <c r="G145" s="304" t="str">
        <f t="shared" si="6"/>
        <v xml:space="preserve"> </v>
      </c>
      <c r="H145" s="304" t="str">
        <f t="shared" si="6"/>
        <v xml:space="preserve"> </v>
      </c>
      <c r="J145" s="142"/>
      <c r="L145" s="186"/>
      <c r="M145" s="186"/>
    </row>
    <row r="146" spans="2:13" ht="18" customHeight="1" x14ac:dyDescent="0.3">
      <c r="B146" s="197" t="s">
        <v>212</v>
      </c>
      <c r="C146" s="304" t="str">
        <f>IFERROR(C145/C144, " ")</f>
        <v xml:space="preserve"> </v>
      </c>
      <c r="D146" s="304" t="str">
        <f t="shared" ref="D146:H146" si="7">IFERROR(D145/D144, " ")</f>
        <v xml:space="preserve"> </v>
      </c>
      <c r="E146" s="304" t="str">
        <f t="shared" si="7"/>
        <v xml:space="preserve"> </v>
      </c>
      <c r="F146" s="304" t="str">
        <f t="shared" si="7"/>
        <v xml:space="preserve"> </v>
      </c>
      <c r="G146" s="304" t="str">
        <f t="shared" si="7"/>
        <v xml:space="preserve"> </v>
      </c>
      <c r="H146" s="304" t="str">
        <f t="shared" si="7"/>
        <v xml:space="preserve"> </v>
      </c>
      <c r="J146" s="142"/>
      <c r="L146" s="186"/>
      <c r="M146" s="186"/>
    </row>
    <row r="147" spans="2:13" ht="18" customHeight="1" x14ac:dyDescent="0.3">
      <c r="B147" s="197" t="s">
        <v>228</v>
      </c>
      <c r="C147" s="304" t="str">
        <f>IFERROR(SQRT((C101-(SQRT(3)/2)*C103*C106*(C167/100))^2+((SQRT(3)/2)+C103*C106*SQRT(1-(C167/100)^2))^2), " ")</f>
        <v xml:space="preserve"> </v>
      </c>
      <c r="D147" s="304" t="str">
        <f t="shared" ref="D147:H147" si="8">IFERROR(SQRT((D101-(SQRT(3)/2)*D103*D106*(D167/100))^2+((SQRT(3)/2)+D103*D106*SQRT(1-(D167/100)^2))^2), " ")</f>
        <v xml:space="preserve"> </v>
      </c>
      <c r="E147" s="304" t="str">
        <f t="shared" si="8"/>
        <v xml:space="preserve"> </v>
      </c>
      <c r="F147" s="304" t="str">
        <f t="shared" si="8"/>
        <v xml:space="preserve"> </v>
      </c>
      <c r="G147" s="304" t="str">
        <f t="shared" si="8"/>
        <v xml:space="preserve"> </v>
      </c>
      <c r="H147" s="304" t="str">
        <f t="shared" si="8"/>
        <v xml:space="preserve"> </v>
      </c>
      <c r="J147" s="142"/>
      <c r="L147" s="186"/>
      <c r="M147" s="186"/>
    </row>
    <row r="148" spans="2:13" ht="18" customHeight="1" x14ac:dyDescent="0.3">
      <c r="B148" s="197" t="s">
        <v>229</v>
      </c>
      <c r="C148" s="304" t="str">
        <f>IFERROR(FORECAST(C147,C73:H73,C64:H64), " ")</f>
        <v xml:space="preserve"> </v>
      </c>
      <c r="D148" s="304" t="str">
        <f>IFERROR(FORECAST(D147,C73:H73,C64:H64), " ")</f>
        <v xml:space="preserve"> </v>
      </c>
      <c r="E148" s="304" t="str">
        <f>IFERROR(FORECAST(E147,C73:H73,C64:H64), " ")</f>
        <v xml:space="preserve"> </v>
      </c>
      <c r="F148" s="304" t="str">
        <f>IFERROR(FORECAST(F147,C73:H73,C64:H64), " ")</f>
        <v xml:space="preserve"> </v>
      </c>
      <c r="G148" s="304" t="str">
        <f>IFERROR(FORECAST(G147,C73:H73,C64:H64), " ")</f>
        <v xml:space="preserve"> </v>
      </c>
      <c r="H148" s="304" t="str">
        <f>IFERROR(FORECAST(H147,C73:H73,C64:H64), " ")</f>
        <v xml:space="preserve"> </v>
      </c>
      <c r="J148" s="142"/>
      <c r="L148" s="186"/>
      <c r="M148" s="186"/>
    </row>
    <row r="149" spans="2:13" ht="18" customHeight="1" x14ac:dyDescent="0.3">
      <c r="B149" s="197" t="s">
        <v>213</v>
      </c>
      <c r="C149" s="304">
        <f t="shared" ref="C149:H149" si="9">1.5*C103^2*C106</f>
        <v>0</v>
      </c>
      <c r="D149" s="304">
        <f t="shared" si="9"/>
        <v>0</v>
      </c>
      <c r="E149" s="304">
        <f t="shared" si="9"/>
        <v>0</v>
      </c>
      <c r="F149" s="304">
        <f t="shared" si="9"/>
        <v>0</v>
      </c>
      <c r="G149" s="304">
        <f t="shared" si="9"/>
        <v>0</v>
      </c>
      <c r="H149" s="304">
        <f t="shared" si="9"/>
        <v>0</v>
      </c>
      <c r="J149" s="142"/>
      <c r="L149" s="186"/>
      <c r="M149" s="186"/>
    </row>
    <row r="150" spans="2:13" ht="18" customHeight="1" x14ac:dyDescent="0.3">
      <c r="B150" s="197" t="s">
        <v>230</v>
      </c>
      <c r="C150" s="304" t="str">
        <f>IFERROR(C104-C148-C149, " ")</f>
        <v xml:space="preserve"> </v>
      </c>
      <c r="D150" s="304" t="str">
        <f t="shared" ref="D150:H150" si="10">IFERROR(D104-D148-D149, " ")</f>
        <v xml:space="preserve"> </v>
      </c>
      <c r="E150" s="304" t="str">
        <f t="shared" si="10"/>
        <v xml:space="preserve"> </v>
      </c>
      <c r="F150" s="304" t="str">
        <f t="shared" si="10"/>
        <v xml:space="preserve"> </v>
      </c>
      <c r="G150" s="304" t="str">
        <f t="shared" si="10"/>
        <v xml:space="preserve"> </v>
      </c>
      <c r="H150" s="304" t="str">
        <f t="shared" si="10"/>
        <v xml:space="preserve"> </v>
      </c>
      <c r="J150" s="142"/>
      <c r="L150" s="186"/>
      <c r="M150" s="186"/>
    </row>
    <row r="151" spans="2:13" ht="18" customHeight="1" x14ac:dyDescent="0.3">
      <c r="B151" s="197" t="s">
        <v>231</v>
      </c>
      <c r="C151" s="304" t="str">
        <f>IFERROR(C150*C146, " ")</f>
        <v xml:space="preserve"> </v>
      </c>
      <c r="D151" s="304" t="str">
        <f t="shared" ref="D151:H151" si="11">IFERROR(D150*D146, " ")</f>
        <v xml:space="preserve"> </v>
      </c>
      <c r="E151" s="304" t="str">
        <f t="shared" si="11"/>
        <v xml:space="preserve"> </v>
      </c>
      <c r="F151" s="304" t="str">
        <f t="shared" si="11"/>
        <v xml:space="preserve"> </v>
      </c>
      <c r="G151" s="304" t="str">
        <f t="shared" si="11"/>
        <v xml:space="preserve"> </v>
      </c>
      <c r="H151" s="304" t="str">
        <f t="shared" si="11"/>
        <v xml:space="preserve"> </v>
      </c>
      <c r="J151" s="142"/>
      <c r="L151" s="186"/>
      <c r="M151" s="186"/>
    </row>
    <row r="152" spans="2:13" ht="18" customHeight="1" x14ac:dyDescent="0.3">
      <c r="B152" s="197" t="s">
        <v>381</v>
      </c>
      <c r="C152" s="304">
        <f>C156-C149</f>
        <v>0</v>
      </c>
      <c r="D152" s="304">
        <f t="shared" ref="D152:H152" si="12">D156-D149</f>
        <v>0</v>
      </c>
      <c r="E152" s="304">
        <f t="shared" si="12"/>
        <v>0</v>
      </c>
      <c r="F152" s="304">
        <f t="shared" si="12"/>
        <v>0</v>
      </c>
      <c r="G152" s="304">
        <f t="shared" si="12"/>
        <v>0</v>
      </c>
      <c r="H152" s="304">
        <f t="shared" si="12"/>
        <v>0</v>
      </c>
      <c r="J152" s="142"/>
      <c r="L152" s="186"/>
      <c r="M152" s="186"/>
    </row>
    <row r="153" spans="2:13" ht="18" customHeight="1" x14ac:dyDescent="0.3">
      <c r="B153" s="197" t="s">
        <v>232</v>
      </c>
      <c r="C153" s="304" t="str">
        <f>IFERROR(C148+C149+C151+C152, " ")</f>
        <v xml:space="preserve"> </v>
      </c>
      <c r="D153" s="304" t="str">
        <f t="shared" ref="D153:H153" si="13">IFERROR(D148+D149+D151+D152, " ")</f>
        <v xml:space="preserve"> </v>
      </c>
      <c r="E153" s="304" t="str">
        <f t="shared" si="13"/>
        <v xml:space="preserve"> </v>
      </c>
      <c r="F153" s="304" t="str">
        <f t="shared" si="13"/>
        <v xml:space="preserve"> </v>
      </c>
      <c r="G153" s="304" t="str">
        <f t="shared" si="13"/>
        <v xml:space="preserve"> </v>
      </c>
      <c r="H153" s="304" t="str">
        <f t="shared" si="13"/>
        <v xml:space="preserve"> </v>
      </c>
      <c r="J153" s="142"/>
      <c r="L153" s="186"/>
      <c r="M153" s="186"/>
    </row>
    <row r="154" spans="2:13" ht="18" customHeight="1" x14ac:dyDescent="0.3">
      <c r="B154" s="197" t="s">
        <v>349</v>
      </c>
      <c r="C154" s="304">
        <f t="shared" ref="C154:H154" si="14">C102+$C$138</f>
        <v>0</v>
      </c>
      <c r="D154" s="304">
        <f t="shared" si="14"/>
        <v>0</v>
      </c>
      <c r="E154" s="304">
        <f t="shared" si="14"/>
        <v>0</v>
      </c>
      <c r="F154" s="304">
        <f t="shared" si="14"/>
        <v>0</v>
      </c>
      <c r="G154" s="304">
        <f t="shared" si="14"/>
        <v>0</v>
      </c>
      <c r="H154" s="304">
        <f t="shared" si="14"/>
        <v>0</v>
      </c>
      <c r="J154" s="142"/>
      <c r="L154" s="186"/>
      <c r="M154" s="186"/>
    </row>
    <row r="155" spans="2:13" ht="18" customHeight="1" x14ac:dyDescent="0.3">
      <c r="B155" s="197" t="s">
        <v>220</v>
      </c>
      <c r="C155" s="304">
        <f t="shared" ref="C155:H155" si="15">C154*C105/9.549</f>
        <v>0</v>
      </c>
      <c r="D155" s="304">
        <f t="shared" si="15"/>
        <v>0</v>
      </c>
      <c r="E155" s="304">
        <f t="shared" si="15"/>
        <v>0</v>
      </c>
      <c r="F155" s="304">
        <f t="shared" si="15"/>
        <v>0</v>
      </c>
      <c r="G155" s="304">
        <f t="shared" si="15"/>
        <v>0</v>
      </c>
      <c r="H155" s="304">
        <f t="shared" si="15"/>
        <v>0</v>
      </c>
      <c r="J155" s="142"/>
      <c r="L155" s="186"/>
      <c r="M155" s="186"/>
    </row>
    <row r="156" spans="2:13" ht="18" customHeight="1" x14ac:dyDescent="0.3">
      <c r="B156" s="197" t="s">
        <v>233</v>
      </c>
      <c r="C156" s="304">
        <f t="shared" ref="C156:H156" si="16">C104-C155</f>
        <v>0</v>
      </c>
      <c r="D156" s="304">
        <f t="shared" si="16"/>
        <v>0</v>
      </c>
      <c r="E156" s="304">
        <f t="shared" si="16"/>
        <v>0</v>
      </c>
      <c r="F156" s="304">
        <f t="shared" si="16"/>
        <v>0</v>
      </c>
      <c r="G156" s="304">
        <f t="shared" si="16"/>
        <v>0</v>
      </c>
      <c r="H156" s="304">
        <f t="shared" si="16"/>
        <v>0</v>
      </c>
      <c r="J156" s="142"/>
    </row>
    <row r="157" spans="2:13" ht="18" customHeight="1" x14ac:dyDescent="0.3">
      <c r="B157" s="197" t="s">
        <v>234</v>
      </c>
      <c r="C157" s="304" t="str">
        <f>IFERROR(C156-C153, " ")</f>
        <v xml:space="preserve"> </v>
      </c>
      <c r="D157" s="304" t="str">
        <f t="shared" ref="D157:H157" si="17">IFERROR(D156-D153, " ")</f>
        <v xml:space="preserve"> </v>
      </c>
      <c r="E157" s="304" t="str">
        <f t="shared" si="17"/>
        <v xml:space="preserve"> </v>
      </c>
      <c r="F157" s="304" t="str">
        <f t="shared" si="17"/>
        <v xml:space="preserve"> </v>
      </c>
      <c r="G157" s="304" t="str">
        <f t="shared" si="17"/>
        <v xml:space="preserve"> </v>
      </c>
      <c r="H157" s="304" t="str">
        <f t="shared" si="17"/>
        <v xml:space="preserve"> </v>
      </c>
      <c r="J157" s="142"/>
    </row>
    <row r="158" spans="2:13" ht="18" customHeight="1" x14ac:dyDescent="0.35">
      <c r="B158" s="197" t="s">
        <v>395</v>
      </c>
      <c r="C158" s="304" t="str">
        <f>IFERROR(IF($C$34="No", 1.5*C103^2*$C$37*(($C$25+$C$41)/($C$25+$C$39)), 1.5*C103^2*$C$30*(($C$25+$C$42)/($C$25+$C$29))), " ")</f>
        <v xml:space="preserve"> </v>
      </c>
      <c r="D158" s="304" t="str">
        <f t="shared" ref="D158:H158" si="18">IFERROR(IF($C$34="No", 1.5*D103^2*$C$37*(($C$25+$C$41)/($C$25+$C$39)), 1.5*D103^2*$C$30*(($C$25+$C$42)/($C$25+$C$29))), " ")</f>
        <v xml:space="preserve"> </v>
      </c>
      <c r="E158" s="304" t="str">
        <f t="shared" si="18"/>
        <v xml:space="preserve"> </v>
      </c>
      <c r="F158" s="304" t="str">
        <f t="shared" si="18"/>
        <v xml:space="preserve"> </v>
      </c>
      <c r="G158" s="304" t="str">
        <f t="shared" si="18"/>
        <v xml:space="preserve"> </v>
      </c>
      <c r="H158" s="304" t="str">
        <f t="shared" si="18"/>
        <v xml:space="preserve"> </v>
      </c>
      <c r="J158" s="142"/>
    </row>
    <row r="159" spans="2:13" ht="18" customHeight="1" x14ac:dyDescent="0.3">
      <c r="B159" s="197" t="s">
        <v>235</v>
      </c>
      <c r="C159" s="304" t="str">
        <f>IFERROR(C104-C148-C158, " ")</f>
        <v xml:space="preserve"> </v>
      </c>
      <c r="D159" s="304" t="str">
        <f t="shared" ref="D159:H159" si="19">IFERROR(D104-D148-D158, " ")</f>
        <v xml:space="preserve"> </v>
      </c>
      <c r="E159" s="304" t="str">
        <f t="shared" si="19"/>
        <v xml:space="preserve"> </v>
      </c>
      <c r="F159" s="304" t="str">
        <f t="shared" si="19"/>
        <v xml:space="preserve"> </v>
      </c>
      <c r="G159" s="304" t="str">
        <f t="shared" si="19"/>
        <v xml:space="preserve"> </v>
      </c>
      <c r="H159" s="304" t="str">
        <f t="shared" si="19"/>
        <v xml:space="preserve"> </v>
      </c>
      <c r="J159" s="142"/>
    </row>
    <row r="160" spans="2:13" ht="18" customHeight="1" x14ac:dyDescent="0.3">
      <c r="B160" s="197" t="s">
        <v>214</v>
      </c>
      <c r="C160" s="304" t="str">
        <f>IFERROR(C146*($C$25+($C$41+$C$42))/(C98+$C$25), " ")</f>
        <v xml:space="preserve"> </v>
      </c>
      <c r="D160" s="304" t="str">
        <f t="shared" ref="D160:H160" si="20">IFERROR(D146*($C$25+($C$41+$C$42))/(D98+$C$25), " ")</f>
        <v xml:space="preserve"> </v>
      </c>
      <c r="E160" s="304" t="str">
        <f t="shared" si="20"/>
        <v xml:space="preserve"> </v>
      </c>
      <c r="F160" s="304" t="str">
        <f t="shared" si="20"/>
        <v xml:space="preserve"> </v>
      </c>
      <c r="G160" s="304" t="str">
        <f t="shared" si="20"/>
        <v xml:space="preserve"> </v>
      </c>
      <c r="H160" s="304" t="str">
        <f t="shared" si="20"/>
        <v xml:space="preserve"> </v>
      </c>
      <c r="J160" s="142"/>
    </row>
    <row r="161" spans="2:10" ht="18" customHeight="1" x14ac:dyDescent="0.3">
      <c r="B161" s="197" t="s">
        <v>219</v>
      </c>
      <c r="C161" s="304" t="str">
        <f>IFERROR(C144*(1-C160), " ")</f>
        <v xml:space="preserve"> </v>
      </c>
      <c r="D161" s="304" t="str">
        <f t="shared" ref="D161:H161" si="21">IFERROR(D144*(1-D160), " ")</f>
        <v xml:space="preserve"> </v>
      </c>
      <c r="E161" s="304" t="str">
        <f t="shared" si="21"/>
        <v xml:space="preserve"> </v>
      </c>
      <c r="F161" s="304" t="str">
        <f t="shared" si="21"/>
        <v xml:space="preserve"> </v>
      </c>
      <c r="G161" s="304" t="str">
        <f t="shared" si="21"/>
        <v xml:space="preserve"> </v>
      </c>
      <c r="H161" s="304" t="str">
        <f t="shared" si="21"/>
        <v xml:space="preserve"> </v>
      </c>
      <c r="J161" s="142"/>
    </row>
    <row r="162" spans="2:10" ht="18" customHeight="1" x14ac:dyDescent="0.35">
      <c r="B162" s="197" t="s">
        <v>397</v>
      </c>
      <c r="C162" s="304" t="str">
        <f>IFERROR(C160*C159, " ")</f>
        <v xml:space="preserve"> </v>
      </c>
      <c r="D162" s="304" t="str">
        <f t="shared" ref="D162:H162" si="22">IFERROR(D160*D159, " ")</f>
        <v xml:space="preserve"> </v>
      </c>
      <c r="E162" s="304" t="str">
        <f t="shared" si="22"/>
        <v xml:space="preserve"> </v>
      </c>
      <c r="F162" s="304" t="str">
        <f t="shared" si="22"/>
        <v xml:space="preserve"> </v>
      </c>
      <c r="G162" s="304" t="str">
        <f t="shared" si="22"/>
        <v xml:space="preserve"> </v>
      </c>
      <c r="H162" s="304" t="str">
        <f t="shared" si="22"/>
        <v xml:space="preserve"> </v>
      </c>
      <c r="J162" s="142"/>
    </row>
    <row r="163" spans="2:10" ht="18" customHeight="1" x14ac:dyDescent="0.3">
      <c r="B163" s="197" t="s">
        <v>236</v>
      </c>
      <c r="C163" s="304" t="str">
        <f>IFERROR($C$177*C154^2, " ")</f>
        <v xml:space="preserve"> </v>
      </c>
      <c r="D163" s="304" t="str">
        <f t="shared" ref="D163:H163" si="23">IFERROR($C$177*D154^2, " ")</f>
        <v xml:space="preserve"> </v>
      </c>
      <c r="E163" s="304" t="str">
        <f t="shared" si="23"/>
        <v xml:space="preserve"> </v>
      </c>
      <c r="F163" s="304" t="str">
        <f t="shared" si="23"/>
        <v xml:space="preserve"> </v>
      </c>
      <c r="G163" s="304" t="str">
        <f t="shared" si="23"/>
        <v xml:space="preserve"> </v>
      </c>
      <c r="H163" s="304" t="str">
        <f t="shared" si="23"/>
        <v xml:space="preserve"> </v>
      </c>
      <c r="J163" s="142"/>
    </row>
    <row r="164" spans="2:10" ht="18" customHeight="1" x14ac:dyDescent="0.3">
      <c r="B164" s="197" t="s">
        <v>396</v>
      </c>
      <c r="C164" s="304" t="str">
        <f>IFERROR(C148+C152+C158+C162+C163, " ")</f>
        <v xml:space="preserve"> </v>
      </c>
      <c r="D164" s="304" t="str">
        <f t="shared" ref="D164:H164" si="24">IFERROR(D148+D152+D158+D162+D163, " ")</f>
        <v xml:space="preserve"> </v>
      </c>
      <c r="E164" s="304" t="str">
        <f t="shared" si="24"/>
        <v xml:space="preserve"> </v>
      </c>
      <c r="F164" s="304" t="str">
        <f t="shared" si="24"/>
        <v xml:space="preserve"> </v>
      </c>
      <c r="G164" s="304" t="str">
        <f t="shared" si="24"/>
        <v xml:space="preserve"> </v>
      </c>
      <c r="H164" s="304" t="str">
        <f t="shared" si="24"/>
        <v xml:space="preserve"> </v>
      </c>
      <c r="J164" s="142"/>
    </row>
    <row r="165" spans="2:10" ht="18" customHeight="1" x14ac:dyDescent="0.3">
      <c r="B165" s="197" t="s">
        <v>237</v>
      </c>
      <c r="C165" s="304" t="str">
        <f>IFERROR(C104-C164, " ")</f>
        <v xml:space="preserve"> </v>
      </c>
      <c r="D165" s="304" t="str">
        <f t="shared" ref="D165:H165" si="25">IFERROR(D104-D164, " ")</f>
        <v xml:space="preserve"> </v>
      </c>
      <c r="E165" s="304" t="str">
        <f t="shared" si="25"/>
        <v xml:space="preserve"> </v>
      </c>
      <c r="F165" s="304" t="str">
        <f t="shared" si="25"/>
        <v xml:space="preserve"> </v>
      </c>
      <c r="G165" s="304" t="str">
        <f t="shared" si="25"/>
        <v xml:space="preserve"> </v>
      </c>
      <c r="H165" s="304" t="str">
        <f t="shared" si="25"/>
        <v xml:space="preserve"> </v>
      </c>
      <c r="J165" s="142"/>
    </row>
    <row r="166" spans="2:10" ht="18" customHeight="1" x14ac:dyDescent="0.3">
      <c r="B166" s="477" t="s">
        <v>222</v>
      </c>
      <c r="C166" s="672" t="str">
        <f>IFERROR(100*(C165/C104), " ")</f>
        <v xml:space="preserve"> </v>
      </c>
      <c r="D166" s="672" t="str">
        <f t="shared" ref="D166:H166" si="26">IFERROR(100*(D165/D104), " ")</f>
        <v xml:space="preserve"> </v>
      </c>
      <c r="E166" s="672" t="str">
        <f t="shared" si="26"/>
        <v xml:space="preserve"> </v>
      </c>
      <c r="F166" s="672" t="str">
        <f t="shared" si="26"/>
        <v xml:space="preserve"> </v>
      </c>
      <c r="G166" s="672" t="str">
        <f t="shared" si="26"/>
        <v xml:space="preserve"> </v>
      </c>
      <c r="H166" s="672" t="str">
        <f t="shared" si="26"/>
        <v xml:space="preserve"> </v>
      </c>
      <c r="J166" s="142"/>
    </row>
    <row r="167" spans="2:10" ht="18" customHeight="1" x14ac:dyDescent="0.3">
      <c r="B167" s="197" t="s">
        <v>223</v>
      </c>
      <c r="C167" s="304" t="str">
        <f>IFERROR(100*(C104/(1.732*C101*C103)), " ")</f>
        <v xml:space="preserve"> </v>
      </c>
      <c r="D167" s="304" t="str">
        <f t="shared" ref="D167:H167" si="27">IFERROR(100*(D104/(1.732*D101*D103)), " ")</f>
        <v xml:space="preserve"> </v>
      </c>
      <c r="E167" s="304" t="str">
        <f t="shared" si="27"/>
        <v xml:space="preserve"> </v>
      </c>
      <c r="F167" s="304" t="str">
        <f t="shared" si="27"/>
        <v xml:space="preserve"> </v>
      </c>
      <c r="G167" s="304" t="str">
        <f t="shared" si="27"/>
        <v xml:space="preserve"> </v>
      </c>
      <c r="H167" s="304" t="str">
        <f t="shared" si="27"/>
        <v xml:space="preserve"> </v>
      </c>
      <c r="J167" s="142"/>
    </row>
    <row r="168" spans="2:10" ht="20.100000000000001" customHeight="1" x14ac:dyDescent="0.3">
      <c r="B168" s="199"/>
      <c r="C168" s="186"/>
      <c r="D168" s="186"/>
      <c r="E168" s="186"/>
      <c r="F168" s="186"/>
      <c r="G168" s="186"/>
      <c r="H168" s="195"/>
      <c r="J168" s="142"/>
    </row>
    <row r="169" spans="2:10" ht="18" customHeight="1" thickBot="1" x14ac:dyDescent="0.4">
      <c r="B169" s="827" t="s">
        <v>238</v>
      </c>
      <c r="C169" s="828"/>
      <c r="D169" s="828"/>
      <c r="E169" s="828"/>
      <c r="F169" s="828"/>
      <c r="G169" s="828"/>
      <c r="H169" s="846"/>
      <c r="J169" s="142"/>
    </row>
    <row r="170" spans="2:10" s="183" customFormat="1" ht="18" customHeight="1" x14ac:dyDescent="0.35">
      <c r="B170" s="561"/>
      <c r="C170" s="562"/>
      <c r="D170" s="562"/>
      <c r="E170" s="562"/>
      <c r="F170" s="562"/>
      <c r="G170" s="185"/>
      <c r="H170" s="250"/>
      <c r="J170" s="142"/>
    </row>
    <row r="171" spans="2:10" s="183" customFormat="1" ht="18" customHeight="1" x14ac:dyDescent="0.35">
      <c r="B171" s="673"/>
      <c r="C171" s="892" t="s">
        <v>185</v>
      </c>
      <c r="D171" s="892"/>
      <c r="E171" s="892"/>
      <c r="F171" s="892"/>
      <c r="G171" s="892"/>
      <c r="H171" s="893"/>
      <c r="J171" s="142"/>
    </row>
    <row r="172" spans="2:10" s="183" customFormat="1" ht="18" customHeight="1" x14ac:dyDescent="0.35">
      <c r="B172" s="674" t="s">
        <v>190</v>
      </c>
      <c r="C172" s="675">
        <v>1</v>
      </c>
      <c r="D172" s="675">
        <v>2</v>
      </c>
      <c r="E172" s="675">
        <v>3</v>
      </c>
      <c r="F172" s="675">
        <v>4</v>
      </c>
      <c r="G172" s="675">
        <v>5</v>
      </c>
      <c r="H172" s="676">
        <v>6</v>
      </c>
      <c r="J172" s="142"/>
    </row>
    <row r="173" spans="2:10" s="183" customFormat="1" ht="18" customHeight="1" x14ac:dyDescent="0.3">
      <c r="B173" s="677" t="s">
        <v>250</v>
      </c>
      <c r="C173" s="678" t="str">
        <f>C157</f>
        <v xml:space="preserve"> </v>
      </c>
      <c r="D173" s="678" t="str">
        <f t="shared" ref="D173:H173" si="28">D157</f>
        <v xml:space="preserve"> </v>
      </c>
      <c r="E173" s="678" t="str">
        <f t="shared" si="28"/>
        <v xml:space="preserve"> </v>
      </c>
      <c r="F173" s="678" t="str">
        <f t="shared" si="28"/>
        <v xml:space="preserve"> </v>
      </c>
      <c r="G173" s="678" t="str">
        <f t="shared" si="28"/>
        <v xml:space="preserve"> </v>
      </c>
      <c r="H173" s="679" t="str">
        <f t="shared" si="28"/>
        <v xml:space="preserve"> </v>
      </c>
      <c r="J173" s="142"/>
    </row>
    <row r="174" spans="2:10" s="183" customFormat="1" ht="18" customHeight="1" x14ac:dyDescent="0.3">
      <c r="B174" s="677" t="s">
        <v>248</v>
      </c>
      <c r="C174" s="678">
        <f>(C102)^2</f>
        <v>0</v>
      </c>
      <c r="D174" s="678">
        <f t="shared" ref="D174:H174" si="29">(D102)^2</f>
        <v>0</v>
      </c>
      <c r="E174" s="678">
        <f t="shared" si="29"/>
        <v>0</v>
      </c>
      <c r="F174" s="678">
        <f t="shared" si="29"/>
        <v>0</v>
      </c>
      <c r="G174" s="678">
        <f t="shared" si="29"/>
        <v>0</v>
      </c>
      <c r="H174" s="679">
        <f t="shared" si="29"/>
        <v>0</v>
      </c>
      <c r="J174" s="142"/>
    </row>
    <row r="175" spans="2:10" s="183" customFormat="1" ht="18" customHeight="1" x14ac:dyDescent="0.3">
      <c r="B175" s="599"/>
      <c r="C175" s="680"/>
      <c r="D175" s="680"/>
      <c r="E175" s="680"/>
      <c r="F175" s="680"/>
      <c r="G175" s="185"/>
      <c r="H175" s="250"/>
      <c r="J175" s="142"/>
    </row>
    <row r="176" spans="2:10" s="183" customFormat="1" ht="18" customHeight="1" x14ac:dyDescent="0.3">
      <c r="B176" s="677" t="s">
        <v>196</v>
      </c>
      <c r="C176" s="678" t="str">
        <f>IFERROR(INTERCEPT(C173:H173,C174:H174), " ")</f>
        <v xml:space="preserve"> </v>
      </c>
      <c r="D176" s="680"/>
      <c r="E176" s="680"/>
      <c r="F176" s="680"/>
      <c r="G176" s="185"/>
      <c r="H176" s="250"/>
      <c r="J176" s="142"/>
    </row>
    <row r="177" spans="1:10" s="185" customFormat="1" ht="18" customHeight="1" x14ac:dyDescent="0.3">
      <c r="B177" s="677" t="s">
        <v>192</v>
      </c>
      <c r="C177" s="678" t="str">
        <f>IFERROR(SLOPE(C173:H173,C174:H174), " ")</f>
        <v xml:space="preserve"> </v>
      </c>
      <c r="D177" s="680"/>
      <c r="E177" s="680"/>
      <c r="F177" s="680"/>
      <c r="H177" s="250"/>
      <c r="J177" s="523"/>
    </row>
    <row r="178" spans="1:10" s="185" customFormat="1" ht="18" customHeight="1" x14ac:dyDescent="0.3">
      <c r="B178" s="677" t="s">
        <v>249</v>
      </c>
      <c r="C178" s="678" t="str">
        <f>IFERROR(CORREL(C174:H174,C173:H173), " ")</f>
        <v xml:space="preserve"> </v>
      </c>
      <c r="D178" s="680"/>
      <c r="E178" s="680"/>
      <c r="F178" s="680"/>
      <c r="H178" s="250"/>
      <c r="J178" s="523"/>
    </row>
    <row r="179" spans="1:10" s="183" customFormat="1" ht="18" customHeight="1" x14ac:dyDescent="0.3">
      <c r="B179" s="677" t="s">
        <v>251</v>
      </c>
      <c r="C179" s="678" t="str">
        <f>IF(OR(C177&lt;0,C178&lt;0.9),"Yes, if one point has already been deleted, the test is unsatisfactory","No")</f>
        <v>No</v>
      </c>
      <c r="D179" s="680"/>
      <c r="E179" s="680"/>
      <c r="F179" s="680"/>
      <c r="G179" s="185"/>
      <c r="H179" s="250"/>
      <c r="J179" s="142"/>
    </row>
    <row r="180" spans="1:10" s="185" customFormat="1" ht="18" customHeight="1" thickBot="1" x14ac:dyDescent="0.35">
      <c r="B180" s="681" t="s">
        <v>478</v>
      </c>
      <c r="C180" s="685"/>
      <c r="D180" s="682"/>
      <c r="E180" s="682"/>
      <c r="F180" s="682"/>
      <c r="G180" s="326"/>
      <c r="H180" s="461"/>
      <c r="J180" s="523"/>
    </row>
    <row r="181" spans="1:10" ht="18" customHeight="1" x14ac:dyDescent="0.3">
      <c r="B181" s="645"/>
      <c r="C181" s="645"/>
      <c r="D181" s="645"/>
      <c r="E181" s="680"/>
      <c r="F181" s="680"/>
      <c r="G181" s="186"/>
      <c r="J181" s="142"/>
    </row>
    <row r="182" spans="1:10" ht="18" customHeight="1" x14ac:dyDescent="0.3">
      <c r="E182" s="645"/>
      <c r="F182" s="645"/>
      <c r="J182" s="142"/>
    </row>
    <row r="183" spans="1:10" ht="18" customHeight="1" x14ac:dyDescent="0.3">
      <c r="A183" s="142"/>
      <c r="B183" s="142"/>
      <c r="C183" s="142"/>
      <c r="D183" s="142"/>
      <c r="E183" s="142"/>
      <c r="F183" s="142"/>
      <c r="G183" s="142"/>
      <c r="H183" s="142"/>
      <c r="I183" s="142"/>
      <c r="J183" s="142"/>
    </row>
  </sheetData>
  <sheetProtection algorithmName="SHA-512" hashValue="MOBCVUfVVFy5MNHDzvcSqSNI/dStBDwwVE6NPbvwpE0uu3G872cmUavw4qED0ipPUyK1srvAenLOFaY0AcsUPw==" saltValue="3QWuNZi9ngTDOMPZGWC+5Q==" spinCount="100000" sheet="1" selectLockedCells="1"/>
  <mergeCells count="23">
    <mergeCell ref="B86:H86"/>
    <mergeCell ref="B2:C2"/>
    <mergeCell ref="C61:H61"/>
    <mergeCell ref="B16:H16"/>
    <mergeCell ref="B17:H17"/>
    <mergeCell ref="B19:H19"/>
    <mergeCell ref="B27:H27"/>
    <mergeCell ref="B32:H32"/>
    <mergeCell ref="B44:H44"/>
    <mergeCell ref="B11:H11"/>
    <mergeCell ref="B12:H12"/>
    <mergeCell ref="C78:F78"/>
    <mergeCell ref="C171:H171"/>
    <mergeCell ref="C96:H96"/>
    <mergeCell ref="C117:E117"/>
    <mergeCell ref="C118:E118"/>
    <mergeCell ref="C119:E119"/>
    <mergeCell ref="C121:D121"/>
    <mergeCell ref="C142:H142"/>
    <mergeCell ref="B113:H113"/>
    <mergeCell ref="B140:H140"/>
    <mergeCell ref="B169:H169"/>
    <mergeCell ref="C111:F111"/>
  </mergeCells>
  <conditionalFormatting sqref="B37:C41">
    <cfRule type="expression" dxfId="4" priority="3">
      <formula>$C$34="Yes"</formula>
    </cfRule>
  </conditionalFormatting>
  <conditionalFormatting sqref="B42:C42">
    <cfRule type="expression" dxfId="3" priority="2">
      <formula>$C$34="No"</formula>
    </cfRule>
  </conditionalFormatting>
  <conditionalFormatting sqref="B117:H138">
    <cfRule type="expression" dxfId="2" priority="1">
      <formula>$C$115="No"</formula>
    </cfRule>
  </conditionalFormatting>
  <hyperlinks>
    <hyperlink ref="G2" location="Instructions!B37" display="Back to Instructions tab" xr:uid="{05B01860-87FE-476F-BB61-B9AB8CBCC045}"/>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A591F14-FC2B-4877-A304-3ECC23ACDB4E}">
          <x14:formula1>
            <xm:f>'Drop-downs'!$B$33:$B$34</xm:f>
          </x14:formula1>
          <xm:sqref>C115 C34 C14</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CE699-ACD8-4669-A92E-A8344EBC02F0}">
  <sheetPr>
    <tabColor rgb="FF0070C0"/>
  </sheetPr>
  <dimension ref="A1:M111"/>
  <sheetViews>
    <sheetView showGridLines="0" zoomScale="80" zoomScaleNormal="80" workbookViewId="0">
      <selection activeCell="C14" sqref="C14"/>
    </sheetView>
  </sheetViews>
  <sheetFormatPr defaultColWidth="9.140625" defaultRowHeight="18" customHeight="1" x14ac:dyDescent="0.3"/>
  <cols>
    <col min="1" max="1" width="9.140625" style="141"/>
    <col min="2" max="2" width="50.5703125" style="141" customWidth="1"/>
    <col min="3" max="3" width="34" style="141" customWidth="1"/>
    <col min="4" max="4" width="28.140625" style="141" customWidth="1"/>
    <col min="5" max="5" width="20.5703125" style="141" customWidth="1"/>
    <col min="6" max="6" width="19" style="141" customWidth="1"/>
    <col min="7" max="7" width="18.5703125" style="141" customWidth="1"/>
    <col min="8" max="8" width="17.140625" style="141" customWidth="1"/>
    <col min="9" max="9" width="10.5703125" style="183" customWidth="1"/>
    <col min="10" max="10" width="3.85546875" style="141" customWidth="1"/>
    <col min="11" max="16384" width="9.140625" style="141"/>
  </cols>
  <sheetData>
    <row r="1" spans="2:10" ht="18" customHeight="1" thickBot="1" x14ac:dyDescent="0.35">
      <c r="J1" s="142"/>
    </row>
    <row r="2" spans="2:10" ht="18" customHeight="1" thickBot="1" x14ac:dyDescent="0.35">
      <c r="B2" s="752" t="str">
        <f>'Version Control'!$B$2</f>
        <v>Title Block</v>
      </c>
      <c r="C2" s="752"/>
      <c r="E2" s="158" t="s">
        <v>37</v>
      </c>
      <c r="J2" s="142"/>
    </row>
    <row r="3" spans="2:10" ht="18" customHeight="1" x14ac:dyDescent="0.3">
      <c r="B3" s="143" t="str">
        <f>'Version Control'!$B$3</f>
        <v>Test Report Template Name:</v>
      </c>
      <c r="C3" s="144" t="str">
        <f>'Version Control'!C3</f>
        <v>Electric Motors</v>
      </c>
      <c r="J3" s="142"/>
    </row>
    <row r="4" spans="2:10" ht="18" customHeight="1" x14ac:dyDescent="0.3">
      <c r="B4" s="145" t="str">
        <f>'Version Control'!$B$4</f>
        <v>Version Number:</v>
      </c>
      <c r="C4" s="146" t="str">
        <f>'Version Control'!C4</f>
        <v>v1.0</v>
      </c>
      <c r="J4" s="142"/>
    </row>
    <row r="5" spans="2:10" ht="18" customHeight="1" x14ac:dyDescent="0.3">
      <c r="B5" s="145" t="str">
        <f>'Version Control'!$B$5</f>
        <v xml:space="preserve">Latest Template Revision: </v>
      </c>
      <c r="C5" s="147">
        <f>'Version Control'!C5</f>
        <v>45567</v>
      </c>
      <c r="J5" s="142"/>
    </row>
    <row r="6" spans="2:10" ht="18" customHeight="1" x14ac:dyDescent="0.3">
      <c r="B6" s="145" t="str">
        <f>'Version Control'!$B$6</f>
        <v>Tab Name:</v>
      </c>
      <c r="C6" s="148" t="str">
        <f ca="1">MID(CELL("filename",A1), FIND("]", CELL("filename", A1))+ 1, 255)</f>
        <v>IEEE 114-2010</v>
      </c>
      <c r="J6" s="142"/>
    </row>
    <row r="7" spans="2:10" ht="36" customHeight="1" x14ac:dyDescent="0.3">
      <c r="B7" s="104" t="str">
        <f>'Version Control'!$B$7</f>
        <v>File Name:</v>
      </c>
      <c r="C7" s="149" t="str">
        <f ca="1">'Version Control'!C7</f>
        <v>Electric Motors -  v1.0.xlsx</v>
      </c>
      <c r="J7" s="142"/>
    </row>
    <row r="8" spans="2:10" ht="16.5" x14ac:dyDescent="0.3">
      <c r="B8" s="150" t="s">
        <v>42</v>
      </c>
      <c r="C8" s="151" t="str">
        <f>'General Info &amp; Test Results'!C17</f>
        <v>[MM/DD/YYYY]</v>
      </c>
      <c r="J8" s="142"/>
    </row>
    <row r="9" spans="2:10" ht="18" customHeight="1" thickBot="1" x14ac:dyDescent="0.35">
      <c r="B9" s="152" t="str">
        <f>'Version Control'!$B$9</f>
        <v>Date Test Finished:</v>
      </c>
      <c r="C9" s="153" t="str">
        <f>'Version Control'!C9</f>
        <v>[MM/DD/YYYY]</v>
      </c>
      <c r="J9" s="142"/>
    </row>
    <row r="10" spans="2:10" ht="18" customHeight="1" thickBot="1" x14ac:dyDescent="0.35">
      <c r="B10" s="154"/>
      <c r="C10" s="155"/>
      <c r="J10" s="142"/>
    </row>
    <row r="11" spans="2:10" s="22" customFormat="1" thickBot="1" x14ac:dyDescent="0.4">
      <c r="B11" s="808" t="s">
        <v>586</v>
      </c>
      <c r="C11" s="808"/>
      <c r="D11" s="808"/>
      <c r="E11" s="808"/>
      <c r="F11" s="808"/>
      <c r="G11" s="808"/>
      <c r="H11" s="844"/>
      <c r="J11" s="23"/>
    </row>
    <row r="12" spans="2:10" s="22" customFormat="1" ht="75.95" customHeight="1" thickBot="1" x14ac:dyDescent="0.35">
      <c r="B12" s="855" t="s">
        <v>594</v>
      </c>
      <c r="C12" s="870"/>
      <c r="D12" s="870"/>
      <c r="E12" s="870"/>
      <c r="F12" s="870"/>
      <c r="G12" s="870"/>
      <c r="H12" s="871"/>
      <c r="J12" s="23"/>
    </row>
    <row r="13" spans="2:10" s="22" customFormat="1" ht="18.95" customHeight="1" x14ac:dyDescent="0.3">
      <c r="B13" s="487"/>
      <c r="C13" s="488"/>
      <c r="D13" s="488"/>
      <c r="E13" s="488"/>
      <c r="F13" s="488"/>
      <c r="G13" s="488"/>
      <c r="H13" s="488"/>
      <c r="J13" s="23"/>
    </row>
    <row r="14" spans="2:10" s="22" customFormat="1" ht="31.5" customHeight="1" x14ac:dyDescent="0.3">
      <c r="B14" s="489" t="s">
        <v>587</v>
      </c>
      <c r="C14" s="605"/>
      <c r="D14" s="488"/>
      <c r="E14" s="488"/>
      <c r="F14" s="488"/>
      <c r="G14" s="488"/>
      <c r="H14" s="488"/>
      <c r="J14" s="23"/>
    </row>
    <row r="15" spans="2:10" s="22" customFormat="1" ht="21.6" customHeight="1" thickBot="1" x14ac:dyDescent="0.7">
      <c r="B15" s="484"/>
      <c r="C15" s="485"/>
      <c r="D15" s="208"/>
      <c r="E15" s="208"/>
      <c r="F15" s="208"/>
      <c r="G15" s="208"/>
      <c r="H15" s="208"/>
      <c r="I15" s="208"/>
      <c r="J15" s="524"/>
    </row>
    <row r="16" spans="2:10" ht="18" customHeight="1" thickBot="1" x14ac:dyDescent="0.4">
      <c r="B16" s="875" t="s">
        <v>181</v>
      </c>
      <c r="C16" s="875"/>
      <c r="D16" s="875"/>
      <c r="E16" s="875"/>
      <c r="F16" s="875"/>
      <c r="G16" s="875"/>
      <c r="H16" s="906"/>
      <c r="J16" s="142"/>
    </row>
    <row r="17" spans="2:10" ht="38.450000000000003" customHeight="1" thickBot="1" x14ac:dyDescent="0.35">
      <c r="B17" s="907" t="s">
        <v>616</v>
      </c>
      <c r="C17" s="907"/>
      <c r="D17" s="907"/>
      <c r="E17" s="907"/>
      <c r="F17" s="907"/>
      <c r="G17" s="907"/>
      <c r="H17" s="908"/>
      <c r="J17" s="142"/>
    </row>
    <row r="18" spans="2:10" ht="18" customHeight="1" thickBot="1" x14ac:dyDescent="0.35">
      <c r="B18" s="154"/>
      <c r="C18" s="155"/>
      <c r="J18" s="142"/>
    </row>
    <row r="19" spans="2:10" s="22" customFormat="1" ht="18" customHeight="1" thickBot="1" x14ac:dyDescent="0.4">
      <c r="B19" s="818" t="s">
        <v>183</v>
      </c>
      <c r="C19" s="818"/>
      <c r="D19" s="818"/>
      <c r="E19" s="818"/>
      <c r="F19" s="818"/>
      <c r="G19" s="818"/>
      <c r="H19" s="862"/>
      <c r="I19" s="210"/>
      <c r="J19" s="23"/>
    </row>
    <row r="20" spans="2:10" s="22" customFormat="1" ht="18" customHeight="1" x14ac:dyDescent="0.3">
      <c r="B20" s="237" t="s">
        <v>69</v>
      </c>
      <c r="C20" s="203" t="s">
        <v>70</v>
      </c>
      <c r="D20" s="134"/>
      <c r="E20" s="134"/>
      <c r="F20" s="255"/>
      <c r="G20" s="134"/>
      <c r="H20" s="61"/>
      <c r="I20" s="210"/>
      <c r="J20" s="23"/>
    </row>
    <row r="21" spans="2:10" s="22" customFormat="1" ht="18" customHeight="1" x14ac:dyDescent="0.3">
      <c r="B21" s="90" t="s">
        <v>280</v>
      </c>
      <c r="C21" s="289">
        <f>'General Info &amp; Test Results'!C53</f>
        <v>0</v>
      </c>
      <c r="D21" s="134"/>
      <c r="E21" s="134"/>
      <c r="F21" s="134"/>
      <c r="G21" s="134"/>
      <c r="H21" s="61"/>
      <c r="I21" s="210"/>
      <c r="J21" s="23"/>
    </row>
    <row r="22" spans="2:10" s="22" customFormat="1" ht="18" customHeight="1" x14ac:dyDescent="0.3">
      <c r="B22" s="90" t="s">
        <v>360</v>
      </c>
      <c r="C22" s="533">
        <f>'General Info &amp; Test Results'!C50*745.7</f>
        <v>0</v>
      </c>
      <c r="H22" s="61"/>
      <c r="J22" s="23"/>
    </row>
    <row r="23" spans="2:10" s="22" customFormat="1" ht="18" customHeight="1" x14ac:dyDescent="0.3">
      <c r="B23" s="90" t="s">
        <v>225</v>
      </c>
      <c r="C23" s="289">
        <f>'General Info &amp; Test Results'!C55</f>
        <v>0</v>
      </c>
      <c r="D23" s="134"/>
      <c r="E23" s="134"/>
      <c r="F23" s="134"/>
      <c r="G23" s="134"/>
      <c r="H23" s="61"/>
      <c r="I23" s="210"/>
      <c r="J23" s="23"/>
    </row>
    <row r="24" spans="2:10" s="22" customFormat="1" ht="18" customHeight="1" x14ac:dyDescent="0.3">
      <c r="B24" s="90" t="s">
        <v>226</v>
      </c>
      <c r="C24" s="289">
        <f>'General Info &amp; Test Results'!C58</f>
        <v>0</v>
      </c>
      <c r="D24" s="134"/>
      <c r="E24" s="134"/>
      <c r="F24" s="134"/>
      <c r="G24" s="134"/>
      <c r="H24" s="61"/>
      <c r="I24" s="210"/>
      <c r="J24" s="23"/>
    </row>
    <row r="25" spans="2:10" s="22" customFormat="1" ht="18" customHeight="1" x14ac:dyDescent="0.3">
      <c r="B25" s="90" t="s">
        <v>642</v>
      </c>
      <c r="C25" s="289" t="str">
        <f>IFERROR(9.549*C22/C21, " ")</f>
        <v xml:space="preserve"> </v>
      </c>
      <c r="D25" s="134"/>
      <c r="E25" s="134"/>
      <c r="F25" s="134"/>
      <c r="G25" s="134"/>
      <c r="H25" s="61"/>
      <c r="I25" s="210"/>
      <c r="J25" s="23"/>
    </row>
    <row r="26" spans="2:10" s="22" customFormat="1" ht="18" customHeight="1" x14ac:dyDescent="0.3">
      <c r="B26" s="90" t="s">
        <v>241</v>
      </c>
      <c r="C26" s="289">
        <f>'General Info &amp; Test Results'!C40</f>
        <v>0</v>
      </c>
      <c r="D26" s="134"/>
      <c r="E26" s="134"/>
      <c r="F26" s="134"/>
      <c r="G26" s="134"/>
      <c r="H26" s="61"/>
      <c r="I26" s="210"/>
      <c r="J26" s="23"/>
    </row>
    <row r="27" spans="2:10" s="22" customFormat="1" ht="18" customHeight="1" thickBot="1" x14ac:dyDescent="0.35">
      <c r="B27" s="91" t="s">
        <v>265</v>
      </c>
      <c r="C27" s="290" t="str">
        <f>IF(C24="Aluminum",224.8,IF(C24="Copper",234.5,"Winding material needed"))</f>
        <v>Winding material needed</v>
      </c>
      <c r="D27" s="257"/>
      <c r="E27" s="257"/>
      <c r="F27" s="257"/>
      <c r="G27" s="257"/>
      <c r="H27" s="258"/>
      <c r="I27" s="210"/>
      <c r="J27" s="23"/>
    </row>
    <row r="28" spans="2:10" ht="18" customHeight="1" thickBot="1" x14ac:dyDescent="0.35">
      <c r="J28" s="142"/>
    </row>
    <row r="29" spans="2:10" s="22" customFormat="1" ht="18" customHeight="1" thickBot="1" x14ac:dyDescent="0.4">
      <c r="B29" s="818" t="s">
        <v>262</v>
      </c>
      <c r="C29" s="819"/>
      <c r="D29" s="819"/>
      <c r="E29" s="819"/>
      <c r="F29" s="819"/>
      <c r="G29" s="819"/>
      <c r="H29" s="820"/>
      <c r="I29" s="210"/>
      <c r="J29" s="23"/>
    </row>
    <row r="30" spans="2:10" s="22" customFormat="1" ht="18" customHeight="1" x14ac:dyDescent="0.3">
      <c r="B30" s="229"/>
      <c r="C30" s="134"/>
      <c r="D30" s="134"/>
      <c r="E30" s="134"/>
      <c r="F30" s="134"/>
      <c r="G30" s="134"/>
      <c r="H30" s="61"/>
      <c r="J30" s="23"/>
    </row>
    <row r="31" spans="2:10" s="22" customFormat="1" ht="18" customHeight="1" thickBot="1" x14ac:dyDescent="0.4">
      <c r="B31" s="264" t="s">
        <v>568</v>
      </c>
      <c r="C31" s="257"/>
      <c r="D31" s="257"/>
      <c r="E31" s="257"/>
      <c r="F31" s="257"/>
      <c r="G31" s="257"/>
      <c r="H31" s="258"/>
      <c r="J31" s="23"/>
    </row>
    <row r="32" spans="2:10" s="22" customFormat="1" ht="18" customHeight="1" x14ac:dyDescent="0.3">
      <c r="B32" s="355" t="s">
        <v>69</v>
      </c>
      <c r="C32" s="254" t="s">
        <v>70</v>
      </c>
      <c r="D32" s="378"/>
      <c r="E32" s="272"/>
      <c r="F32" s="134"/>
      <c r="G32" s="255"/>
      <c r="H32" s="61"/>
      <c r="J32" s="23"/>
    </row>
    <row r="33" spans="2:10" s="22" customFormat="1" ht="18" customHeight="1" x14ac:dyDescent="0.3">
      <c r="B33" s="270" t="s">
        <v>340</v>
      </c>
      <c r="C33" s="623"/>
      <c r="D33" s="313"/>
      <c r="E33" s="236"/>
      <c r="F33" s="134"/>
      <c r="G33" s="134"/>
      <c r="H33" s="265"/>
      <c r="J33" s="23"/>
    </row>
    <row r="34" spans="2:10" s="22" customFormat="1" ht="18" customHeight="1" x14ac:dyDescent="0.3">
      <c r="B34" s="270" t="s">
        <v>337</v>
      </c>
      <c r="C34" s="623"/>
      <c r="D34" s="313"/>
      <c r="E34" s="207"/>
      <c r="F34" s="134"/>
      <c r="G34" s="134"/>
      <c r="H34" s="265"/>
      <c r="J34" s="23"/>
    </row>
    <row r="35" spans="2:10" s="22" customFormat="1" ht="18" customHeight="1" x14ac:dyDescent="0.3">
      <c r="B35" s="196" t="s">
        <v>202</v>
      </c>
      <c r="C35" s="623"/>
      <c r="D35" s="468" t="str">
        <f>IF(OR(C35&lt;10,C35&gt;40), "Ambient Temperature of test shall not be less than 10°C or greater than 40°C", " ")</f>
        <v>Ambient Temperature of test shall not be less than 10°C or greater than 40°C</v>
      </c>
      <c r="E35" s="236"/>
      <c r="F35" s="134"/>
      <c r="G35" s="134"/>
      <c r="H35" s="265"/>
      <c r="J35" s="23"/>
    </row>
    <row r="36" spans="2:10" s="210" customFormat="1" ht="18" customHeight="1" x14ac:dyDescent="0.35">
      <c r="B36" s="238"/>
      <c r="C36" s="188"/>
      <c r="D36" s="188"/>
      <c r="E36" s="188"/>
      <c r="F36" s="188"/>
      <c r="G36" s="173"/>
      <c r="H36" s="265"/>
      <c r="J36" s="23"/>
    </row>
    <row r="37" spans="2:10" s="22" customFormat="1" ht="18" customHeight="1" thickBot="1" x14ac:dyDescent="0.4">
      <c r="B37" s="264" t="s">
        <v>330</v>
      </c>
      <c r="C37" s="257"/>
      <c r="D37" s="257"/>
      <c r="E37" s="257"/>
      <c r="F37" s="257"/>
      <c r="G37" s="257"/>
      <c r="H37" s="258"/>
      <c r="J37" s="23"/>
    </row>
    <row r="38" spans="2:10" s="22" customFormat="1" ht="18" customHeight="1" x14ac:dyDescent="0.3">
      <c r="B38" s="355" t="s">
        <v>69</v>
      </c>
      <c r="C38" s="254" t="s">
        <v>70</v>
      </c>
      <c r="D38" s="372"/>
      <c r="E38" s="223"/>
      <c r="F38" s="134"/>
      <c r="G38" s="255"/>
      <c r="H38" s="61"/>
      <c r="J38" s="23"/>
    </row>
    <row r="39" spans="2:10" s="22" customFormat="1" ht="18" customHeight="1" x14ac:dyDescent="0.3">
      <c r="B39" s="270" t="s">
        <v>341</v>
      </c>
      <c r="C39" s="623"/>
      <c r="D39" s="313"/>
      <c r="E39" s="236"/>
      <c r="F39" s="134"/>
      <c r="G39" s="134"/>
      <c r="H39" s="265"/>
      <c r="J39" s="23"/>
    </row>
    <row r="40" spans="2:10" s="22" customFormat="1" ht="18" customHeight="1" x14ac:dyDescent="0.3">
      <c r="B40" s="270" t="s">
        <v>337</v>
      </c>
      <c r="C40" s="623"/>
      <c r="D40" s="313"/>
      <c r="E40" s="207"/>
      <c r="F40" s="134"/>
      <c r="G40" s="134"/>
      <c r="H40" s="265"/>
      <c r="J40" s="23"/>
    </row>
    <row r="41" spans="2:10" s="22" customFormat="1" ht="18" customHeight="1" x14ac:dyDescent="0.3">
      <c r="B41" s="196" t="s">
        <v>202</v>
      </c>
      <c r="C41" s="623"/>
      <c r="D41" s="468" t="str">
        <f>IF(OR(C41&lt;10,C41&gt;40), "Ambient Temperature of test shall not be less than 10°C or greater than 40°C", " ")</f>
        <v>Ambient Temperature of test shall not be less than 10°C or greater than 40°C</v>
      </c>
      <c r="E41" s="207"/>
      <c r="F41" s="134"/>
      <c r="G41" s="134"/>
      <c r="H41" s="265"/>
      <c r="J41" s="23"/>
    </row>
    <row r="42" spans="2:10" ht="18" customHeight="1" x14ac:dyDescent="0.3">
      <c r="B42" s="199"/>
      <c r="C42" s="186"/>
      <c r="D42" s="186"/>
      <c r="E42" s="186"/>
      <c r="F42" s="186"/>
      <c r="G42" s="186"/>
      <c r="H42" s="195"/>
      <c r="J42" s="142"/>
    </row>
    <row r="43" spans="2:10" s="22" customFormat="1" ht="18" customHeight="1" thickBot="1" x14ac:dyDescent="0.4">
      <c r="B43" s="278" t="s">
        <v>191</v>
      </c>
      <c r="C43" s="257"/>
      <c r="D43" s="257"/>
      <c r="E43" s="257"/>
      <c r="F43" s="257"/>
      <c r="G43" s="257"/>
      <c r="H43" s="258"/>
      <c r="J43" s="23"/>
    </row>
    <row r="44" spans="2:10" s="22" customFormat="1" ht="18" customHeight="1" x14ac:dyDescent="0.3">
      <c r="B44" s="355" t="s">
        <v>69</v>
      </c>
      <c r="C44" s="254" t="s">
        <v>70</v>
      </c>
      <c r="D44" s="372"/>
      <c r="E44" s="223"/>
      <c r="F44" s="134"/>
      <c r="G44" s="255"/>
      <c r="H44" s="61"/>
      <c r="J44" s="23"/>
    </row>
    <row r="45" spans="2:10" s="22" customFormat="1" ht="18" customHeight="1" x14ac:dyDescent="0.3">
      <c r="B45" s="270" t="s">
        <v>342</v>
      </c>
      <c r="C45" s="289" t="str">
        <f>IFERROR(C47+25, " ")</f>
        <v xml:space="preserve"> </v>
      </c>
      <c r="D45" s="313"/>
      <c r="E45" s="236"/>
      <c r="F45" s="134"/>
      <c r="G45" s="134"/>
      <c r="H45" s="265"/>
      <c r="J45" s="23"/>
    </row>
    <row r="46" spans="2:10" s="22" customFormat="1" ht="18" customHeight="1" x14ac:dyDescent="0.3">
      <c r="B46" s="270" t="s">
        <v>343</v>
      </c>
      <c r="C46" s="289">
        <f>C39-C41</f>
        <v>0</v>
      </c>
      <c r="D46" s="313"/>
      <c r="E46" s="207"/>
      <c r="F46" s="134"/>
      <c r="G46" s="134"/>
      <c r="H46" s="265"/>
      <c r="J46" s="23"/>
    </row>
    <row r="47" spans="2:10" s="22" customFormat="1" ht="18" customHeight="1" thickBot="1" x14ac:dyDescent="0.35">
      <c r="B47" s="271" t="s">
        <v>344</v>
      </c>
      <c r="C47" s="290" t="str">
        <f>IFERROR(((C40/C34)*(C27+C35))-C27-C41, " ")</f>
        <v xml:space="preserve"> </v>
      </c>
      <c r="D47" s="379"/>
      <c r="E47" s="251"/>
      <c r="F47" s="257"/>
      <c r="G47" s="257"/>
      <c r="H47" s="284"/>
      <c r="J47" s="23"/>
    </row>
    <row r="48" spans="2:10" ht="18" customHeight="1" x14ac:dyDescent="0.3">
      <c r="J48" s="142"/>
    </row>
    <row r="49" spans="2:13" ht="18" customHeight="1" thickBot="1" x14ac:dyDescent="0.35">
      <c r="J49" s="142"/>
    </row>
    <row r="50" spans="2:13" s="22" customFormat="1" ht="18" customHeight="1" thickBot="1" x14ac:dyDescent="0.4">
      <c r="B50" s="818" t="s">
        <v>255</v>
      </c>
      <c r="C50" s="819"/>
      <c r="D50" s="819"/>
      <c r="E50" s="819"/>
      <c r="F50" s="819"/>
      <c r="G50" s="819"/>
      <c r="H50" s="820"/>
      <c r="I50" s="173"/>
      <c r="J50" s="525"/>
      <c r="K50" s="134"/>
      <c r="L50" s="134"/>
    </row>
    <row r="51" spans="2:13" s="22" customFormat="1" ht="18" customHeight="1" x14ac:dyDescent="0.35">
      <c r="B51" s="225"/>
      <c r="C51" s="266"/>
      <c r="D51" s="266"/>
      <c r="E51" s="266"/>
      <c r="F51" s="266"/>
      <c r="G51" s="234"/>
      <c r="H51" s="267"/>
      <c r="I51" s="173"/>
      <c r="J51" s="525"/>
      <c r="K51" s="134"/>
      <c r="L51" s="134"/>
    </row>
    <row r="52" spans="2:13" s="22" customFormat="1" ht="18" customHeight="1" x14ac:dyDescent="0.35">
      <c r="B52" s="216" t="s">
        <v>185</v>
      </c>
      <c r="C52" s="217" t="s">
        <v>286</v>
      </c>
      <c r="D52" s="217" t="s">
        <v>408</v>
      </c>
      <c r="E52" s="266"/>
      <c r="F52" s="266"/>
      <c r="G52" s="234"/>
      <c r="H52" s="267"/>
      <c r="I52" s="173"/>
      <c r="J52" s="525"/>
      <c r="K52" s="134"/>
      <c r="L52" s="134"/>
    </row>
    <row r="53" spans="2:13" s="22" customFormat="1" ht="18" customHeight="1" x14ac:dyDescent="0.3">
      <c r="B53" s="196">
        <v>1</v>
      </c>
      <c r="C53" s="627"/>
      <c r="D53" s="89" t="s">
        <v>289</v>
      </c>
      <c r="E53" s="268"/>
      <c r="F53" s="223"/>
      <c r="G53" s="134"/>
      <c r="H53" s="61"/>
      <c r="I53" s="173"/>
      <c r="J53" s="525"/>
      <c r="K53" s="134"/>
      <c r="L53" s="134"/>
    </row>
    <row r="54" spans="2:13" s="22" customFormat="1" ht="18" customHeight="1" x14ac:dyDescent="0.3">
      <c r="B54" s="196">
        <v>2</v>
      </c>
      <c r="C54" s="606"/>
      <c r="D54" s="89">
        <v>115</v>
      </c>
      <c r="E54" s="231"/>
      <c r="F54" s="207"/>
      <c r="G54" s="134"/>
      <c r="H54" s="61"/>
      <c r="I54" s="173"/>
      <c r="J54" s="525"/>
      <c r="K54" s="134"/>
      <c r="L54" s="134"/>
    </row>
    <row r="55" spans="2:13" s="22" customFormat="1" ht="18" customHeight="1" x14ac:dyDescent="0.3">
      <c r="B55" s="200">
        <v>3</v>
      </c>
      <c r="C55" s="285"/>
      <c r="D55" s="89">
        <v>100</v>
      </c>
      <c r="E55" s="231"/>
      <c r="F55" s="207"/>
      <c r="G55" s="134"/>
      <c r="H55" s="61"/>
      <c r="I55" s="173"/>
      <c r="J55" s="525"/>
      <c r="K55" s="134"/>
      <c r="L55" s="134"/>
    </row>
    <row r="56" spans="2:13" s="22" customFormat="1" ht="18" customHeight="1" x14ac:dyDescent="0.3">
      <c r="B56" s="196">
        <v>4</v>
      </c>
      <c r="C56" s="285"/>
      <c r="D56" s="89">
        <v>75</v>
      </c>
      <c r="E56" s="206"/>
      <c r="F56" s="207"/>
      <c r="G56" s="134"/>
      <c r="H56" s="61"/>
      <c r="I56" s="173"/>
      <c r="J56" s="525"/>
      <c r="K56" s="134"/>
      <c r="L56" s="134"/>
    </row>
    <row r="57" spans="2:13" s="22" customFormat="1" ht="18" customHeight="1" x14ac:dyDescent="0.3">
      <c r="B57" s="196">
        <v>5</v>
      </c>
      <c r="C57" s="285"/>
      <c r="D57" s="89">
        <v>50</v>
      </c>
      <c r="E57" s="231"/>
      <c r="F57" s="207"/>
      <c r="G57" s="134"/>
      <c r="H57" s="61"/>
      <c r="I57" s="173"/>
      <c r="J57" s="525"/>
      <c r="K57" s="134"/>
      <c r="L57" s="134"/>
      <c r="M57" s="134"/>
    </row>
    <row r="58" spans="2:13" s="22" customFormat="1" ht="18" customHeight="1" x14ac:dyDescent="0.3">
      <c r="B58" s="196">
        <v>6</v>
      </c>
      <c r="C58" s="285"/>
      <c r="D58" s="89">
        <v>25</v>
      </c>
      <c r="E58" s="231"/>
      <c r="F58" s="207"/>
      <c r="G58" s="134"/>
      <c r="H58" s="61"/>
      <c r="I58" s="173"/>
      <c r="J58" s="525"/>
      <c r="K58" s="134"/>
      <c r="L58" s="134"/>
      <c r="M58" s="134"/>
    </row>
    <row r="59" spans="2:13" s="22" customFormat="1" ht="18" customHeight="1" x14ac:dyDescent="0.3">
      <c r="B59" s="345"/>
      <c r="C59" s="632"/>
      <c r="D59" s="236"/>
      <c r="E59" s="206"/>
      <c r="F59" s="207"/>
      <c r="G59" s="269"/>
      <c r="H59" s="61"/>
      <c r="I59" s="210"/>
      <c r="J59" s="23"/>
      <c r="L59" s="134"/>
      <c r="M59" s="134"/>
    </row>
    <row r="60" spans="2:13" s="22" customFormat="1" ht="18" customHeight="1" x14ac:dyDescent="0.35">
      <c r="B60" s="282"/>
      <c r="C60" s="883" t="s">
        <v>185</v>
      </c>
      <c r="D60" s="883"/>
      <c r="E60" s="883"/>
      <c r="F60" s="883"/>
      <c r="G60" s="883"/>
      <c r="H60" s="884"/>
      <c r="I60" s="210"/>
      <c r="J60" s="23"/>
      <c r="L60" s="134"/>
      <c r="M60" s="134"/>
    </row>
    <row r="61" spans="2:13" s="22" customFormat="1" ht="18" customHeight="1" x14ac:dyDescent="0.35">
      <c r="B61" s="218" t="s">
        <v>203</v>
      </c>
      <c r="C61" s="244">
        <v>1</v>
      </c>
      <c r="D61" s="244">
        <v>2</v>
      </c>
      <c r="E61" s="219">
        <v>3</v>
      </c>
      <c r="F61" s="244">
        <v>4</v>
      </c>
      <c r="G61" s="244">
        <v>5</v>
      </c>
      <c r="H61" s="168">
        <v>6</v>
      </c>
      <c r="I61" s="210"/>
      <c r="J61" s="23"/>
      <c r="L61" s="134"/>
      <c r="M61" s="134"/>
    </row>
    <row r="62" spans="2:13" s="22" customFormat="1" ht="18" customHeight="1" x14ac:dyDescent="0.3">
      <c r="B62" s="200" t="s">
        <v>202</v>
      </c>
      <c r="C62" s="614"/>
      <c r="D62" s="614"/>
      <c r="E62" s="619"/>
      <c r="F62" s="614"/>
      <c r="G62" s="614"/>
      <c r="H62" s="628"/>
      <c r="I62" s="210"/>
      <c r="J62" s="23"/>
      <c r="L62" s="134"/>
      <c r="M62" s="134"/>
    </row>
    <row r="63" spans="2:13" s="22" customFormat="1" ht="18" customHeight="1" x14ac:dyDescent="0.3">
      <c r="B63" s="200" t="s">
        <v>263</v>
      </c>
      <c r="C63" s="614"/>
      <c r="D63" s="614"/>
      <c r="E63" s="619"/>
      <c r="F63" s="614"/>
      <c r="G63" s="614"/>
      <c r="H63" s="628"/>
      <c r="I63" s="210"/>
      <c r="J63" s="23"/>
      <c r="L63" s="134"/>
      <c r="M63" s="134"/>
    </row>
    <row r="64" spans="2:13" s="22" customFormat="1" ht="18" customHeight="1" x14ac:dyDescent="0.3">
      <c r="B64" s="226" t="s">
        <v>201</v>
      </c>
      <c r="C64" s="614"/>
      <c r="D64" s="614"/>
      <c r="E64" s="619"/>
      <c r="F64" s="614"/>
      <c r="G64" s="614"/>
      <c r="H64" s="628"/>
      <c r="I64" s="210"/>
      <c r="J64" s="23"/>
      <c r="L64" s="134"/>
      <c r="M64" s="134"/>
    </row>
    <row r="65" spans="2:13" s="22" customFormat="1" ht="18" customHeight="1" x14ac:dyDescent="0.3">
      <c r="B65" s="200" t="s">
        <v>227</v>
      </c>
      <c r="C65" s="629"/>
      <c r="D65" s="614"/>
      <c r="E65" s="619"/>
      <c r="F65" s="614"/>
      <c r="G65" s="614"/>
      <c r="H65" s="628"/>
      <c r="I65" s="210"/>
      <c r="J65" s="23"/>
      <c r="L65" s="134"/>
      <c r="M65" s="134"/>
    </row>
    <row r="66" spans="2:13" s="22" customFormat="1" ht="18" customHeight="1" x14ac:dyDescent="0.3">
      <c r="B66" s="227" t="s">
        <v>256</v>
      </c>
      <c r="C66" s="292" t="str">
        <f>IFERROR((C65*($C$45+$C$27))/(C63+$C$27), " ")</f>
        <v xml:space="preserve"> </v>
      </c>
      <c r="D66" s="292" t="str">
        <f t="shared" ref="D66:H66" si="0">IFERROR((D65*($C$45+$C$27))/(D63+$C$27), " ")</f>
        <v xml:space="preserve"> </v>
      </c>
      <c r="E66" s="292" t="str">
        <f t="shared" si="0"/>
        <v xml:space="preserve"> </v>
      </c>
      <c r="F66" s="292" t="str">
        <f t="shared" si="0"/>
        <v xml:space="preserve"> </v>
      </c>
      <c r="G66" s="292" t="str">
        <f t="shared" si="0"/>
        <v xml:space="preserve"> </v>
      </c>
      <c r="H66" s="292" t="str">
        <f t="shared" si="0"/>
        <v xml:space="preserve"> </v>
      </c>
      <c r="I66" s="210"/>
      <c r="J66" s="23"/>
      <c r="L66" s="134"/>
      <c r="M66" s="134"/>
    </row>
    <row r="67" spans="2:13" s="22" customFormat="1" ht="18" customHeight="1" x14ac:dyDescent="0.3">
      <c r="B67" s="200" t="s">
        <v>187</v>
      </c>
      <c r="C67" s="292" t="str">
        <f>IFERROR($C$24-C66, " ")</f>
        <v xml:space="preserve"> </v>
      </c>
      <c r="D67" s="292" t="str">
        <f t="shared" ref="D67:H67" si="1">IFERROR($C$24-D66, " ")</f>
        <v xml:space="preserve"> </v>
      </c>
      <c r="E67" s="292" t="str">
        <f t="shared" si="1"/>
        <v xml:space="preserve"> </v>
      </c>
      <c r="F67" s="292" t="str">
        <f t="shared" si="1"/>
        <v xml:space="preserve"> </v>
      </c>
      <c r="G67" s="292" t="str">
        <f t="shared" si="1"/>
        <v xml:space="preserve"> </v>
      </c>
      <c r="H67" s="292" t="str">
        <f t="shared" si="1"/>
        <v xml:space="preserve"> </v>
      </c>
      <c r="I67" s="210"/>
      <c r="J67" s="23"/>
      <c r="L67" s="134"/>
      <c r="M67" s="134"/>
    </row>
    <row r="68" spans="2:13" s="22" customFormat="1" ht="18" customHeight="1" x14ac:dyDescent="0.3">
      <c r="B68" s="200" t="s">
        <v>346</v>
      </c>
      <c r="C68" s="606"/>
      <c r="D68" s="606"/>
      <c r="E68" s="606"/>
      <c r="F68" s="606"/>
      <c r="G68" s="606"/>
      <c r="H68" s="609"/>
      <c r="I68" s="210"/>
      <c r="J68" s="23"/>
      <c r="L68" s="134"/>
      <c r="M68" s="134"/>
    </row>
    <row r="69" spans="2:13" ht="18" customHeight="1" x14ac:dyDescent="0.3">
      <c r="B69" s="197" t="s">
        <v>349</v>
      </c>
      <c r="C69" s="353">
        <f>C68+$C$102</f>
        <v>0</v>
      </c>
      <c r="D69" s="353">
        <f t="shared" ref="D69:H69" si="2">D68+$C$102</f>
        <v>0</v>
      </c>
      <c r="E69" s="353">
        <f t="shared" si="2"/>
        <v>0</v>
      </c>
      <c r="F69" s="353">
        <f t="shared" si="2"/>
        <v>0</v>
      </c>
      <c r="G69" s="353">
        <f t="shared" si="2"/>
        <v>0</v>
      </c>
      <c r="H69" s="423">
        <f t="shared" si="2"/>
        <v>0</v>
      </c>
      <c r="J69" s="142"/>
    </row>
    <row r="70" spans="2:13" ht="18" customHeight="1" x14ac:dyDescent="0.3">
      <c r="B70" s="197" t="s">
        <v>257</v>
      </c>
      <c r="C70" s="291" t="str">
        <f>IFERROR((C67*C69)/9.549, " ")</f>
        <v xml:space="preserve"> </v>
      </c>
      <c r="D70" s="291" t="str">
        <f t="shared" ref="D70:H70" si="3">IFERROR((D67*D69)/9.549, " ")</f>
        <v xml:space="preserve"> </v>
      </c>
      <c r="E70" s="291" t="str">
        <f t="shared" si="3"/>
        <v xml:space="preserve"> </v>
      </c>
      <c r="F70" s="291" t="str">
        <f t="shared" si="3"/>
        <v xml:space="preserve"> </v>
      </c>
      <c r="G70" s="291" t="str">
        <f t="shared" si="3"/>
        <v xml:space="preserve"> </v>
      </c>
      <c r="H70" s="291" t="str">
        <f t="shared" si="3"/>
        <v xml:space="preserve"> </v>
      </c>
      <c r="J70" s="142"/>
    </row>
    <row r="71" spans="2:13" ht="18" customHeight="1" x14ac:dyDescent="0.3">
      <c r="B71" s="197" t="s">
        <v>258</v>
      </c>
      <c r="C71" s="606"/>
      <c r="D71" s="606"/>
      <c r="E71" s="606"/>
      <c r="F71" s="606"/>
      <c r="G71" s="606"/>
      <c r="H71" s="609"/>
      <c r="J71" s="142"/>
    </row>
    <row r="72" spans="2:13" ht="18" customHeight="1" x14ac:dyDescent="0.3">
      <c r="B72" s="197" t="s">
        <v>276</v>
      </c>
      <c r="C72" s="606"/>
      <c r="D72" s="606"/>
      <c r="E72" s="606"/>
      <c r="F72" s="606"/>
      <c r="G72" s="606"/>
      <c r="H72" s="609"/>
      <c r="J72" s="142"/>
    </row>
    <row r="73" spans="2:13" ht="18" customHeight="1" x14ac:dyDescent="0.3">
      <c r="B73" s="197" t="s">
        <v>259</v>
      </c>
      <c r="C73" s="606"/>
      <c r="D73" s="606"/>
      <c r="E73" s="606"/>
      <c r="F73" s="606"/>
      <c r="G73" s="606"/>
      <c r="H73" s="609"/>
      <c r="J73" s="142"/>
    </row>
    <row r="74" spans="2:13" ht="18" customHeight="1" x14ac:dyDescent="0.3">
      <c r="B74" s="197" t="s">
        <v>347</v>
      </c>
      <c r="C74" s="291" t="str">
        <f>IFERROR(($C$34*(C63+$C$27))/($C$35+$C$27), " ")</f>
        <v xml:space="preserve"> </v>
      </c>
      <c r="D74" s="291" t="str">
        <f t="shared" ref="D74:H74" si="4">IFERROR(($C$34*(D63+$C$27))/($C$35+$C$27), " ")</f>
        <v xml:space="preserve"> </v>
      </c>
      <c r="E74" s="291" t="str">
        <f t="shared" si="4"/>
        <v xml:space="preserve"> </v>
      </c>
      <c r="F74" s="291" t="str">
        <f t="shared" si="4"/>
        <v xml:space="preserve"> </v>
      </c>
      <c r="G74" s="291" t="str">
        <f t="shared" si="4"/>
        <v xml:space="preserve"> </v>
      </c>
      <c r="H74" s="291" t="str">
        <f t="shared" si="4"/>
        <v xml:space="preserve"> </v>
      </c>
      <c r="J74" s="142"/>
    </row>
    <row r="75" spans="2:13" ht="18" customHeight="1" x14ac:dyDescent="0.3">
      <c r="B75" s="197" t="s">
        <v>277</v>
      </c>
      <c r="C75" s="291" t="str">
        <f>IFERROR((C72)^2*C74, " ")</f>
        <v xml:space="preserve"> </v>
      </c>
      <c r="D75" s="291" t="str">
        <f t="shared" ref="D75:H75" si="5">IFERROR((D72)^2*D74, " ")</f>
        <v xml:space="preserve"> </v>
      </c>
      <c r="E75" s="291" t="str">
        <f t="shared" si="5"/>
        <v xml:space="preserve"> </v>
      </c>
      <c r="F75" s="291" t="str">
        <f t="shared" si="5"/>
        <v xml:space="preserve"> </v>
      </c>
      <c r="G75" s="291" t="str">
        <f t="shared" si="5"/>
        <v xml:space="preserve"> </v>
      </c>
      <c r="H75" s="291" t="str">
        <f t="shared" si="5"/>
        <v xml:space="preserve"> </v>
      </c>
      <c r="J75" s="142"/>
    </row>
    <row r="76" spans="2:13" ht="18" customHeight="1" x14ac:dyDescent="0.3">
      <c r="B76" s="197" t="s">
        <v>348</v>
      </c>
      <c r="C76" s="291" t="str">
        <f>IFERROR(($C$34*($C$45+$C$27))/($C$35+$C$27), " ")</f>
        <v xml:space="preserve"> </v>
      </c>
      <c r="D76" s="291" t="str">
        <f t="shared" ref="D76:H76" si="6">IFERROR(($C$34*($C$45+$C$27))/($C$35+$C$27), " ")</f>
        <v xml:space="preserve"> </v>
      </c>
      <c r="E76" s="291" t="str">
        <f t="shared" si="6"/>
        <v xml:space="preserve"> </v>
      </c>
      <c r="F76" s="291" t="str">
        <f t="shared" si="6"/>
        <v xml:space="preserve"> </v>
      </c>
      <c r="G76" s="291" t="str">
        <f t="shared" si="6"/>
        <v xml:space="preserve"> </v>
      </c>
      <c r="H76" s="291" t="str">
        <f t="shared" si="6"/>
        <v xml:space="preserve"> </v>
      </c>
      <c r="J76" s="142"/>
    </row>
    <row r="77" spans="2:13" ht="18" customHeight="1" x14ac:dyDescent="0.3">
      <c r="B77" s="197" t="s">
        <v>278</v>
      </c>
      <c r="C77" s="291" t="str">
        <f>IFERROR((C72)^2*C76, " ")</f>
        <v xml:space="preserve"> </v>
      </c>
      <c r="D77" s="291" t="str">
        <f t="shared" ref="D77:H77" si="7">IFERROR((D72)^2*D76, " ")</f>
        <v xml:space="preserve"> </v>
      </c>
      <c r="E77" s="291" t="str">
        <f t="shared" si="7"/>
        <v xml:space="preserve"> </v>
      </c>
      <c r="F77" s="291" t="str">
        <f t="shared" si="7"/>
        <v xml:space="preserve"> </v>
      </c>
      <c r="G77" s="291" t="str">
        <f t="shared" si="7"/>
        <v xml:space="preserve"> </v>
      </c>
      <c r="H77" s="291" t="str">
        <f t="shared" si="7"/>
        <v xml:space="preserve"> </v>
      </c>
      <c r="J77" s="142"/>
    </row>
    <row r="78" spans="2:13" ht="18" customHeight="1" x14ac:dyDescent="0.3">
      <c r="B78" s="197" t="s">
        <v>260</v>
      </c>
      <c r="C78" s="291" t="str">
        <f>IFERROR(C77-C75, " ")</f>
        <v xml:space="preserve"> </v>
      </c>
      <c r="D78" s="291" t="str">
        <f t="shared" ref="D78:H78" si="8">IFERROR(D77-D75, " ")</f>
        <v xml:space="preserve"> </v>
      </c>
      <c r="E78" s="291" t="str">
        <f t="shared" si="8"/>
        <v xml:space="preserve"> </v>
      </c>
      <c r="F78" s="291" t="str">
        <f t="shared" si="8"/>
        <v xml:space="preserve"> </v>
      </c>
      <c r="G78" s="291" t="str">
        <f t="shared" si="8"/>
        <v xml:space="preserve"> </v>
      </c>
      <c r="H78" s="291" t="str">
        <f t="shared" si="8"/>
        <v xml:space="preserve"> </v>
      </c>
      <c r="J78" s="142"/>
    </row>
    <row r="79" spans="2:13" ht="18" customHeight="1" x14ac:dyDescent="0.3">
      <c r="B79" s="197" t="s">
        <v>261</v>
      </c>
      <c r="C79" s="291" t="str">
        <f>IFERROR(C73+C78, " ")</f>
        <v xml:space="preserve"> </v>
      </c>
      <c r="D79" s="291" t="str">
        <f t="shared" ref="D79:H79" si="9">IFERROR(D73+D78, " ")</f>
        <v xml:space="preserve"> </v>
      </c>
      <c r="E79" s="291" t="str">
        <f t="shared" si="9"/>
        <v xml:space="preserve"> </v>
      </c>
      <c r="F79" s="291" t="str">
        <f t="shared" si="9"/>
        <v xml:space="preserve"> </v>
      </c>
      <c r="G79" s="291" t="str">
        <f t="shared" si="9"/>
        <v xml:space="preserve"> </v>
      </c>
      <c r="H79" s="291" t="str">
        <f t="shared" si="9"/>
        <v xml:space="preserve"> </v>
      </c>
      <c r="J79" s="142"/>
    </row>
    <row r="80" spans="2:13" ht="18" customHeight="1" x14ac:dyDescent="0.3">
      <c r="B80" s="197" t="s">
        <v>223</v>
      </c>
      <c r="C80" s="291" t="str">
        <f>IFERROR((100*C73)/(C71*C72), " ")</f>
        <v xml:space="preserve"> </v>
      </c>
      <c r="D80" s="291" t="str">
        <f t="shared" ref="D80:H80" si="10">IFERROR((100*D73)/(D71*D72), " ")</f>
        <v xml:space="preserve"> </v>
      </c>
      <c r="E80" s="291" t="str">
        <f t="shared" si="10"/>
        <v xml:space="preserve"> </v>
      </c>
      <c r="F80" s="291" t="str">
        <f t="shared" si="10"/>
        <v xml:space="preserve"> </v>
      </c>
      <c r="G80" s="291" t="str">
        <f t="shared" si="10"/>
        <v xml:space="preserve"> </v>
      </c>
      <c r="H80" s="291" t="str">
        <f t="shared" si="10"/>
        <v xml:space="preserve"> </v>
      </c>
      <c r="J80" s="142"/>
    </row>
    <row r="81" spans="2:13" ht="18" customHeight="1" x14ac:dyDescent="0.3">
      <c r="B81" s="197" t="s">
        <v>222</v>
      </c>
      <c r="C81" s="291" t="str">
        <f>IFERROR((100*C70/C79), " ")</f>
        <v xml:space="preserve"> </v>
      </c>
      <c r="D81" s="291" t="str">
        <f t="shared" ref="D81:H81" si="11">IFERROR((100*D70/D79), " ")</f>
        <v xml:space="preserve"> </v>
      </c>
      <c r="E81" s="291" t="str">
        <f t="shared" si="11"/>
        <v xml:space="preserve"> </v>
      </c>
      <c r="F81" s="291" t="str">
        <f t="shared" si="11"/>
        <v xml:space="preserve"> </v>
      </c>
      <c r="G81" s="291" t="str">
        <f t="shared" si="11"/>
        <v xml:space="preserve"> </v>
      </c>
      <c r="H81" s="291" t="str">
        <f t="shared" si="11"/>
        <v xml:space="preserve"> </v>
      </c>
      <c r="J81" s="142"/>
    </row>
    <row r="82" spans="2:13" ht="18" customHeight="1" thickBot="1" x14ac:dyDescent="0.35">
      <c r="B82" s="261" t="s">
        <v>279</v>
      </c>
      <c r="C82" s="295" t="str">
        <f>IFERROR(C65/$C$25, " ")</f>
        <v xml:space="preserve"> </v>
      </c>
      <c r="D82" s="295" t="str">
        <f t="shared" ref="D82:H82" si="12">IFERROR(D65/$C$25, " ")</f>
        <v xml:space="preserve"> </v>
      </c>
      <c r="E82" s="295" t="str">
        <f t="shared" si="12"/>
        <v xml:space="preserve"> </v>
      </c>
      <c r="F82" s="295" t="str">
        <f t="shared" si="12"/>
        <v xml:space="preserve"> </v>
      </c>
      <c r="G82" s="295" t="str">
        <f t="shared" si="12"/>
        <v xml:space="preserve"> </v>
      </c>
      <c r="H82" s="295" t="str">
        <f t="shared" si="12"/>
        <v xml:space="preserve"> </v>
      </c>
      <c r="J82" s="142"/>
    </row>
    <row r="83" spans="2:13" ht="18" customHeight="1" x14ac:dyDescent="0.3">
      <c r="J83" s="142"/>
    </row>
    <row r="84" spans="2:13" ht="18" customHeight="1" thickBot="1" x14ac:dyDescent="0.35">
      <c r="J84" s="142"/>
    </row>
    <row r="85" spans="2:13" s="22" customFormat="1" ht="18" customHeight="1" thickBot="1" x14ac:dyDescent="0.4">
      <c r="B85" s="818" t="s">
        <v>188</v>
      </c>
      <c r="C85" s="819"/>
      <c r="D85" s="819"/>
      <c r="E85" s="819"/>
      <c r="F85" s="819"/>
      <c r="G85" s="819"/>
      <c r="H85" s="820"/>
      <c r="J85" s="23"/>
    </row>
    <row r="86" spans="2:13" s="22" customFormat="1" ht="18" customHeight="1" x14ac:dyDescent="0.35">
      <c r="B86" s="225"/>
      <c r="C86" s="266"/>
      <c r="D86" s="266"/>
      <c r="E86" s="266"/>
      <c r="F86" s="266"/>
      <c r="G86" s="134"/>
      <c r="H86" s="61"/>
      <c r="J86" s="23"/>
    </row>
    <row r="87" spans="2:13" s="22" customFormat="1" ht="30.6" customHeight="1" x14ac:dyDescent="0.35">
      <c r="B87" s="347" t="s">
        <v>208</v>
      </c>
      <c r="C87" s="630"/>
      <c r="D87" s="266"/>
      <c r="E87" s="266"/>
      <c r="F87" s="266"/>
      <c r="G87" s="134"/>
      <c r="H87" s="61"/>
      <c r="J87" s="23"/>
    </row>
    <row r="88" spans="2:13" s="22" customFormat="1" ht="25.5" customHeight="1" x14ac:dyDescent="0.35">
      <c r="B88" s="225"/>
      <c r="C88" s="266"/>
      <c r="D88" s="266"/>
      <c r="E88" s="266"/>
      <c r="F88" s="266"/>
      <c r="G88" s="134"/>
      <c r="H88" s="61"/>
      <c r="J88" s="23"/>
    </row>
    <row r="89" spans="2:13" s="22" customFormat="1" ht="18" customHeight="1" x14ac:dyDescent="0.35">
      <c r="B89" s="216" t="s">
        <v>205</v>
      </c>
      <c r="C89" s="883" t="s">
        <v>210</v>
      </c>
      <c r="D89" s="883"/>
      <c r="E89" s="883"/>
      <c r="F89" s="266"/>
      <c r="G89" s="234"/>
      <c r="H89" s="267"/>
      <c r="J89" s="23"/>
      <c r="L89" s="134"/>
    </row>
    <row r="90" spans="2:13" s="22" customFormat="1" ht="27.6" customHeight="1" x14ac:dyDescent="0.3">
      <c r="B90" s="90" t="s">
        <v>175</v>
      </c>
      <c r="C90" s="874" t="s">
        <v>269</v>
      </c>
      <c r="D90" s="874"/>
      <c r="E90" s="874"/>
      <c r="F90" s="223"/>
      <c r="G90" s="134"/>
      <c r="H90" s="61"/>
      <c r="J90" s="23"/>
      <c r="L90" s="134"/>
    </row>
    <row r="91" spans="2:13" s="22" customFormat="1" ht="23.45" customHeight="1" x14ac:dyDescent="0.3">
      <c r="B91" s="90" t="s">
        <v>209</v>
      </c>
      <c r="C91" s="881" t="s">
        <v>270</v>
      </c>
      <c r="D91" s="881"/>
      <c r="E91" s="881"/>
      <c r="F91" s="207"/>
      <c r="G91" s="134"/>
      <c r="H91" s="61"/>
      <c r="J91" s="23"/>
      <c r="L91" s="134"/>
      <c r="M91" s="134"/>
    </row>
    <row r="92" spans="2:13" s="22" customFormat="1" ht="23.45" customHeight="1" x14ac:dyDescent="0.3">
      <c r="B92" s="90" t="s">
        <v>271</v>
      </c>
      <c r="C92" s="910" t="s">
        <v>272</v>
      </c>
      <c r="D92" s="911"/>
      <c r="E92" s="912"/>
      <c r="F92" s="207"/>
      <c r="G92" s="134"/>
      <c r="H92" s="61"/>
      <c r="J92" s="23"/>
      <c r="L92" s="134"/>
    </row>
    <row r="93" spans="2:13" s="22" customFormat="1" ht="26.45" customHeight="1" x14ac:dyDescent="0.3">
      <c r="B93" s="176"/>
      <c r="C93" s="134"/>
      <c r="D93" s="134"/>
      <c r="E93" s="134"/>
      <c r="F93" s="134"/>
      <c r="G93" s="134"/>
      <c r="H93" s="61"/>
      <c r="J93" s="23"/>
    </row>
    <row r="94" spans="2:13" s="22" customFormat="1" ht="18" customHeight="1" x14ac:dyDescent="0.35">
      <c r="B94" s="282"/>
      <c r="C94" s="883" t="s">
        <v>205</v>
      </c>
      <c r="D94" s="883"/>
      <c r="E94" s="883"/>
      <c r="F94" s="134"/>
      <c r="G94" s="134"/>
      <c r="H94" s="61"/>
      <c r="J94" s="23"/>
    </row>
    <row r="95" spans="2:13" s="22" customFormat="1" ht="18" customHeight="1" x14ac:dyDescent="0.35">
      <c r="B95" s="218" t="s">
        <v>203</v>
      </c>
      <c r="C95" s="244" t="s">
        <v>175</v>
      </c>
      <c r="D95" s="244" t="s">
        <v>209</v>
      </c>
      <c r="E95" s="244" t="s">
        <v>271</v>
      </c>
      <c r="F95" s="134"/>
      <c r="G95" s="134"/>
      <c r="H95" s="61"/>
      <c r="J95" s="23"/>
    </row>
    <row r="96" spans="2:13" s="22" customFormat="1" ht="18" customHeight="1" x14ac:dyDescent="0.3">
      <c r="B96" s="200" t="s">
        <v>345</v>
      </c>
      <c r="C96" s="614"/>
      <c r="D96" s="315"/>
      <c r="E96" s="606"/>
      <c r="F96" s="134"/>
      <c r="G96" s="134"/>
      <c r="H96" s="61"/>
      <c r="J96" s="23"/>
    </row>
    <row r="97" spans="1:10" s="22" customFormat="1" ht="18" customHeight="1" x14ac:dyDescent="0.3">
      <c r="B97" s="200" t="s">
        <v>259</v>
      </c>
      <c r="C97" s="606"/>
      <c r="D97" s="606"/>
      <c r="E97" s="606"/>
      <c r="F97" s="134"/>
      <c r="G97" s="134"/>
      <c r="H97" s="61"/>
      <c r="J97" s="23"/>
    </row>
    <row r="98" spans="1:10" s="22" customFormat="1" ht="18" customHeight="1" x14ac:dyDescent="0.3">
      <c r="B98" s="229"/>
      <c r="C98" s="134"/>
      <c r="D98" s="134"/>
      <c r="E98" s="134"/>
      <c r="F98" s="134"/>
      <c r="G98" s="134"/>
      <c r="H98" s="61"/>
      <c r="J98" s="23"/>
    </row>
    <row r="99" spans="1:10" s="22" customFormat="1" ht="18" customHeight="1" thickBot="1" x14ac:dyDescent="0.35">
      <c r="B99" s="176" t="s">
        <v>191</v>
      </c>
      <c r="C99" s="134"/>
      <c r="D99" s="134"/>
      <c r="E99" s="134"/>
      <c r="F99" s="134"/>
      <c r="G99" s="134"/>
      <c r="H99" s="61"/>
      <c r="J99" s="23"/>
    </row>
    <row r="100" spans="1:10" s="22" customFormat="1" ht="18" customHeight="1" x14ac:dyDescent="0.3">
      <c r="B100" s="187" t="s">
        <v>69</v>
      </c>
      <c r="C100" s="96" t="s">
        <v>70</v>
      </c>
      <c r="D100" s="272"/>
      <c r="E100" s="255"/>
      <c r="F100" s="255"/>
      <c r="G100" s="255"/>
      <c r="H100" s="256"/>
      <c r="J100" s="23"/>
    </row>
    <row r="101" spans="1:10" s="22" customFormat="1" ht="18" customHeight="1" x14ac:dyDescent="0.3">
      <c r="B101" s="270" t="s">
        <v>192</v>
      </c>
      <c r="C101" s="296" t="str">
        <f>IFERROR((E96-C96)/(E97-C97), " ")</f>
        <v xml:space="preserve"> </v>
      </c>
      <c r="D101" s="236"/>
      <c r="E101" s="134"/>
      <c r="F101" s="134"/>
      <c r="G101" s="173"/>
      <c r="H101" s="61"/>
      <c r="J101" s="23"/>
    </row>
    <row r="102" spans="1:10" s="22" customFormat="1" ht="18" customHeight="1" x14ac:dyDescent="0.3">
      <c r="B102" s="270" t="s">
        <v>383</v>
      </c>
      <c r="C102" s="472">
        <f>IF(C87="Yes", C101*(C97-D97)-C96, 0)</f>
        <v>0</v>
      </c>
      <c r="D102" s="473"/>
      <c r="E102" s="134"/>
      <c r="F102" s="134"/>
      <c r="G102" s="173"/>
      <c r="H102" s="61"/>
      <c r="J102" s="23"/>
    </row>
    <row r="103" spans="1:10" s="210" customFormat="1" ht="16.5" x14ac:dyDescent="0.3">
      <c r="B103" s="471"/>
      <c r="C103" s="470"/>
      <c r="D103" s="408"/>
      <c r="E103" s="408"/>
      <c r="F103" s="408"/>
      <c r="G103" s="408"/>
      <c r="H103" s="459"/>
      <c r="J103" s="23"/>
    </row>
    <row r="104" spans="1:10" s="22" customFormat="1" ht="42.6" customHeight="1" thickBot="1" x14ac:dyDescent="0.35">
      <c r="B104" s="496" t="s">
        <v>575</v>
      </c>
      <c r="C104" s="868" t="str">
        <f>IF(C87="No", "N/A", IF(C102&gt;0.05*E68, "Test is invalid, dynamometer correction factor must be within 5% of full load torque measured during test", "Test is valid"))</f>
        <v>Test is valid</v>
      </c>
      <c r="D104" s="869"/>
      <c r="E104" s="869"/>
      <c r="F104" s="869"/>
      <c r="G104" s="257"/>
      <c r="H104" s="258"/>
      <c r="J104" s="23"/>
    </row>
    <row r="105" spans="1:10" ht="18" customHeight="1" x14ac:dyDescent="0.3">
      <c r="I105" s="141"/>
      <c r="J105" s="142"/>
    </row>
    <row r="106" spans="1:10" s="22" customFormat="1" ht="18" customHeight="1" x14ac:dyDescent="0.3">
      <c r="B106" s="134"/>
      <c r="C106" s="134"/>
      <c r="D106" s="134"/>
      <c r="E106" s="134"/>
      <c r="F106" s="134"/>
      <c r="G106" s="134"/>
      <c r="H106" s="134"/>
      <c r="J106" s="23"/>
    </row>
    <row r="107" spans="1:10" s="22" customFormat="1" ht="18" customHeight="1" x14ac:dyDescent="0.35">
      <c r="A107" s="23"/>
      <c r="B107" s="525"/>
      <c r="C107" s="909"/>
      <c r="D107" s="909"/>
      <c r="E107" s="525"/>
      <c r="F107" s="525"/>
      <c r="G107" s="525"/>
      <c r="H107" s="525"/>
      <c r="I107" s="23"/>
      <c r="J107" s="23"/>
    </row>
    <row r="108" spans="1:10" s="22" customFormat="1" ht="18" customHeight="1" x14ac:dyDescent="0.35">
      <c r="B108" s="240"/>
      <c r="C108" s="230"/>
      <c r="D108" s="230"/>
      <c r="E108" s="134"/>
      <c r="F108" s="134"/>
      <c r="G108" s="134"/>
      <c r="H108" s="134"/>
    </row>
    <row r="109" spans="1:10" s="22" customFormat="1" ht="18" customHeight="1" x14ac:dyDescent="0.3">
      <c r="B109" s="241"/>
      <c r="C109" s="230"/>
      <c r="D109" s="230"/>
      <c r="E109" s="134"/>
      <c r="F109" s="134"/>
      <c r="G109" s="134"/>
      <c r="H109" s="134"/>
    </row>
    <row r="110" spans="1:10" ht="18" customHeight="1" x14ac:dyDescent="0.3">
      <c r="B110" s="186"/>
      <c r="C110" s="186"/>
      <c r="D110" s="186"/>
      <c r="E110" s="186"/>
      <c r="F110" s="186"/>
    </row>
    <row r="111" spans="1:10" ht="18" customHeight="1" x14ac:dyDescent="0.3">
      <c r="B111" s="186"/>
      <c r="C111" s="186"/>
      <c r="D111" s="186"/>
      <c r="E111" s="186"/>
      <c r="F111" s="186"/>
    </row>
  </sheetData>
  <sheetProtection algorithmName="SHA-512" hashValue="FDY3CwPrTxkRtg7w0TALdbQ5tHMv0ag4ZbfiEK7Ul7S+3vnoJ02UMze4ZvnFIPezAW7RM0pbO7WasBIEzeLOpw==" saltValue="0On3bn+r3Rp9V3yawx3Xaw==" spinCount="100000" sheet="1" selectLockedCells="1"/>
  <mergeCells count="17">
    <mergeCell ref="B85:H85"/>
    <mergeCell ref="C107:D107"/>
    <mergeCell ref="C89:E89"/>
    <mergeCell ref="C90:E90"/>
    <mergeCell ref="C91:E91"/>
    <mergeCell ref="C92:E92"/>
    <mergeCell ref="C94:E94"/>
    <mergeCell ref="C104:F104"/>
    <mergeCell ref="C60:H60"/>
    <mergeCell ref="B2:C2"/>
    <mergeCell ref="B50:H50"/>
    <mergeCell ref="B29:H29"/>
    <mergeCell ref="B16:H16"/>
    <mergeCell ref="B17:H17"/>
    <mergeCell ref="B19:H19"/>
    <mergeCell ref="B11:H11"/>
    <mergeCell ref="B12:H12"/>
  </mergeCells>
  <conditionalFormatting sqref="B89:H104">
    <cfRule type="expression" dxfId="1" priority="1">
      <formula>$C$87="No"</formula>
    </cfRule>
  </conditionalFormatting>
  <hyperlinks>
    <hyperlink ref="E2" location="Instructions!B37" display="Back to Instructions tab" xr:uid="{8290F258-F349-494A-8FB0-659C3854BC1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5BF0B3E-4C35-4281-A94C-0C83B8F0052B}">
          <x14:formula1>
            <xm:f>'Drop-downs'!$B$33:$B$34</xm:f>
          </x14:formula1>
          <xm:sqref>C87 C14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4479A-25CE-4102-ADE6-6C78E9BBB799}">
  <sheetPr>
    <tabColor rgb="FF0070C0"/>
  </sheetPr>
  <dimension ref="A1:L131"/>
  <sheetViews>
    <sheetView showGridLines="0" zoomScale="80" zoomScaleNormal="80" workbookViewId="0">
      <selection activeCell="C14" sqref="C14"/>
    </sheetView>
  </sheetViews>
  <sheetFormatPr defaultColWidth="9.140625" defaultRowHeight="18" customHeight="1" x14ac:dyDescent="0.3"/>
  <cols>
    <col min="1" max="1" width="9.140625" style="141"/>
    <col min="2" max="2" width="42.140625" style="141" customWidth="1"/>
    <col min="3" max="3" width="28.7109375" style="141" customWidth="1"/>
    <col min="4" max="4" width="28.5703125" style="141" customWidth="1"/>
    <col min="5" max="5" width="22.140625" style="141" customWidth="1"/>
    <col min="6" max="6" width="20.85546875" style="141" customWidth="1"/>
    <col min="7" max="7" width="22.42578125" style="141" customWidth="1"/>
    <col min="8" max="8" width="13.28515625" style="183" customWidth="1"/>
    <col min="9" max="9" width="3.5703125" style="141" customWidth="1"/>
    <col min="10" max="16384" width="9.140625" style="141"/>
  </cols>
  <sheetData>
    <row r="1" spans="2:12" ht="18" customHeight="1" thickBot="1" x14ac:dyDescent="0.35">
      <c r="I1" s="142"/>
    </row>
    <row r="2" spans="2:12" ht="18" customHeight="1" thickBot="1" x14ac:dyDescent="0.35">
      <c r="B2" s="752" t="str">
        <f>'Version Control'!$B$2</f>
        <v>Title Block</v>
      </c>
      <c r="C2" s="752"/>
      <c r="E2" s="1" t="s">
        <v>37</v>
      </c>
      <c r="H2" s="185"/>
      <c r="I2" s="523"/>
      <c r="J2" s="186"/>
      <c r="K2" s="186"/>
      <c r="L2" s="186"/>
    </row>
    <row r="3" spans="2:12" ht="18" customHeight="1" x14ac:dyDescent="0.3">
      <c r="B3" s="143" t="str">
        <f>'Version Control'!$B$3</f>
        <v>Test Report Template Name:</v>
      </c>
      <c r="C3" s="144" t="str">
        <f>'Version Control'!C3</f>
        <v>Electric Motors</v>
      </c>
      <c r="H3" s="185"/>
      <c r="I3" s="523"/>
      <c r="J3" s="186"/>
      <c r="K3" s="186"/>
      <c r="L3" s="186"/>
    </row>
    <row r="4" spans="2:12" ht="18" customHeight="1" x14ac:dyDescent="0.3">
      <c r="B4" s="145" t="str">
        <f>'Version Control'!$B$4</f>
        <v>Version Number:</v>
      </c>
      <c r="C4" s="146" t="str">
        <f>'Version Control'!C4</f>
        <v>v1.0</v>
      </c>
      <c r="H4" s="185"/>
      <c r="I4" s="523"/>
      <c r="J4" s="186"/>
      <c r="K4" s="186"/>
      <c r="L4" s="186"/>
    </row>
    <row r="5" spans="2:12" ht="18" customHeight="1" x14ac:dyDescent="0.3">
      <c r="B5" s="145" t="str">
        <f>'Version Control'!$B$5</f>
        <v xml:space="preserve">Latest Template Revision: </v>
      </c>
      <c r="C5" s="147">
        <f>'Version Control'!C5</f>
        <v>45567</v>
      </c>
      <c r="H5" s="185"/>
      <c r="I5" s="523"/>
      <c r="J5" s="186"/>
      <c r="K5" s="186"/>
      <c r="L5" s="186"/>
    </row>
    <row r="6" spans="2:12" ht="18" customHeight="1" x14ac:dyDescent="0.3">
      <c r="B6" s="145" t="str">
        <f>'Version Control'!$B$6</f>
        <v>Tab Name:</v>
      </c>
      <c r="C6" s="148" t="str">
        <f ca="1">MID(CELL("filename",A1), FIND("]", CELL("filename", A1))+ 1, 255)</f>
        <v>CSA C747-09</v>
      </c>
      <c r="H6" s="185"/>
      <c r="I6" s="523"/>
      <c r="J6" s="186"/>
      <c r="K6" s="186"/>
      <c r="L6" s="186"/>
    </row>
    <row r="7" spans="2:12" ht="36" customHeight="1" x14ac:dyDescent="0.3">
      <c r="B7" s="104" t="str">
        <f>'Version Control'!$B$7</f>
        <v>File Name:</v>
      </c>
      <c r="C7" s="149" t="str">
        <f ca="1">'Version Control'!C7</f>
        <v>Electric Motors -  v1.0.xlsx</v>
      </c>
      <c r="H7" s="185"/>
      <c r="I7" s="523"/>
      <c r="J7" s="186"/>
      <c r="K7" s="186"/>
      <c r="L7" s="186"/>
    </row>
    <row r="8" spans="2:12" ht="16.5" x14ac:dyDescent="0.3">
      <c r="B8" s="150" t="s">
        <v>42</v>
      </c>
      <c r="C8" s="151" t="str">
        <f>'General Info &amp; Test Results'!C17</f>
        <v>[MM/DD/YYYY]</v>
      </c>
      <c r="H8" s="185"/>
      <c r="I8" s="523"/>
      <c r="J8" s="186"/>
      <c r="K8" s="186"/>
      <c r="L8" s="186"/>
    </row>
    <row r="9" spans="2:12" ht="18" customHeight="1" thickBot="1" x14ac:dyDescent="0.35">
      <c r="B9" s="152" t="str">
        <f>'Version Control'!$B$9</f>
        <v>Date Test Finished:</v>
      </c>
      <c r="C9" s="153" t="str">
        <f>'Version Control'!C9</f>
        <v>[MM/DD/YYYY]</v>
      </c>
      <c r="H9" s="185"/>
      <c r="I9" s="523"/>
      <c r="J9" s="186"/>
      <c r="K9" s="186"/>
      <c r="L9" s="186"/>
    </row>
    <row r="10" spans="2:12" ht="18" customHeight="1" thickBot="1" x14ac:dyDescent="0.35">
      <c r="B10" s="154"/>
      <c r="C10" s="155"/>
      <c r="H10" s="185"/>
      <c r="I10" s="523"/>
      <c r="J10" s="186"/>
      <c r="K10" s="186"/>
      <c r="L10" s="186"/>
    </row>
    <row r="11" spans="2:12" thickBot="1" x14ac:dyDescent="0.4">
      <c r="B11" s="808" t="s">
        <v>586</v>
      </c>
      <c r="C11" s="809"/>
      <c r="D11" s="809"/>
      <c r="E11" s="809"/>
      <c r="F11" s="809"/>
      <c r="G11" s="810"/>
      <c r="H11" s="490"/>
      <c r="I11" s="523"/>
    </row>
    <row r="12" spans="2:12" ht="181.5" customHeight="1" thickBot="1" x14ac:dyDescent="0.35">
      <c r="B12" s="903" t="s">
        <v>595</v>
      </c>
      <c r="C12" s="920"/>
      <c r="D12" s="920"/>
      <c r="E12" s="920"/>
      <c r="F12" s="920"/>
      <c r="G12" s="921"/>
      <c r="H12" s="686"/>
      <c r="I12" s="523"/>
    </row>
    <row r="13" spans="2:12" ht="18.95" customHeight="1" x14ac:dyDescent="0.3">
      <c r="B13" s="604"/>
      <c r="C13" s="601"/>
      <c r="D13" s="601"/>
      <c r="E13" s="601"/>
      <c r="F13" s="601"/>
      <c r="G13" s="601"/>
      <c r="H13" s="601"/>
      <c r="I13" s="142"/>
    </row>
    <row r="14" spans="2:12" ht="31.5" customHeight="1" x14ac:dyDescent="0.3">
      <c r="B14" s="602" t="s">
        <v>587</v>
      </c>
      <c r="C14" s="605"/>
      <c r="D14" s="601"/>
      <c r="E14" s="601"/>
      <c r="F14" s="601"/>
      <c r="G14" s="601"/>
      <c r="H14" s="601"/>
      <c r="I14" s="142"/>
    </row>
    <row r="15" spans="2:12" ht="21.6" customHeight="1" thickBot="1" x14ac:dyDescent="0.7">
      <c r="B15" s="484"/>
      <c r="C15" s="485"/>
      <c r="D15" s="594"/>
      <c r="E15" s="594"/>
      <c r="F15" s="594"/>
      <c r="G15" s="594"/>
      <c r="H15" s="594"/>
      <c r="I15" s="595"/>
      <c r="J15" s="594"/>
    </row>
    <row r="16" spans="2:12" ht="18" customHeight="1" thickBot="1" x14ac:dyDescent="0.4">
      <c r="B16" s="450" t="s">
        <v>181</v>
      </c>
      <c r="C16" s="451"/>
      <c r="D16" s="451"/>
      <c r="E16" s="451"/>
      <c r="F16" s="451"/>
      <c r="G16" s="452"/>
      <c r="H16" s="185"/>
      <c r="I16" s="523"/>
      <c r="J16" s="186"/>
      <c r="K16" s="186"/>
      <c r="L16" s="186"/>
    </row>
    <row r="17" spans="2:12" ht="38.450000000000003" customHeight="1" thickBot="1" x14ac:dyDescent="0.35">
      <c r="B17" s="811" t="s">
        <v>617</v>
      </c>
      <c r="C17" s="811"/>
      <c r="D17" s="811"/>
      <c r="E17" s="811"/>
      <c r="F17" s="811"/>
      <c r="G17" s="845"/>
      <c r="H17" s="185"/>
      <c r="I17" s="523"/>
      <c r="J17" s="186"/>
      <c r="K17" s="186"/>
      <c r="L17" s="186"/>
    </row>
    <row r="18" spans="2:12" ht="18" customHeight="1" thickBot="1" x14ac:dyDescent="0.35">
      <c r="B18" s="154"/>
      <c r="C18" s="155"/>
      <c r="H18" s="185"/>
      <c r="I18" s="523"/>
      <c r="J18" s="186"/>
      <c r="K18" s="186"/>
      <c r="L18" s="186"/>
    </row>
    <row r="19" spans="2:12" ht="18" customHeight="1" thickBot="1" x14ac:dyDescent="0.4">
      <c r="B19" s="450" t="s">
        <v>183</v>
      </c>
      <c r="C19" s="451"/>
      <c r="D19" s="451"/>
      <c r="E19" s="451"/>
      <c r="F19" s="451"/>
      <c r="G19" s="452"/>
      <c r="H19" s="185"/>
      <c r="I19" s="523"/>
      <c r="J19" s="186"/>
      <c r="K19" s="186"/>
      <c r="L19" s="186"/>
    </row>
    <row r="20" spans="2:12" ht="18" customHeight="1" x14ac:dyDescent="0.3">
      <c r="B20" s="633" t="s">
        <v>69</v>
      </c>
      <c r="C20" s="687" t="s">
        <v>70</v>
      </c>
      <c r="D20" s="186"/>
      <c r="E20" s="186"/>
      <c r="F20" s="186"/>
      <c r="G20" s="195"/>
      <c r="H20" s="186"/>
      <c r="I20" s="523"/>
      <c r="J20" s="186"/>
      <c r="K20" s="186"/>
      <c r="L20" s="186"/>
    </row>
    <row r="21" spans="2:12" ht="18" customHeight="1" x14ac:dyDescent="0.3">
      <c r="B21" s="688" t="s">
        <v>184</v>
      </c>
      <c r="C21" s="668">
        <f>'General Info &amp; Test Results'!C32</f>
        <v>0</v>
      </c>
      <c r="D21" s="186"/>
      <c r="E21" s="186"/>
      <c r="F21" s="186"/>
      <c r="G21" s="195"/>
      <c r="H21" s="186"/>
      <c r="I21" s="523"/>
      <c r="J21" s="186"/>
      <c r="K21" s="186"/>
      <c r="L21" s="186"/>
    </row>
    <row r="22" spans="2:12" ht="18" customHeight="1" x14ac:dyDescent="0.3">
      <c r="B22" s="212" t="s">
        <v>567</v>
      </c>
      <c r="C22" s="597">
        <f>'General Info &amp; Test Results'!C50*0.7457</f>
        <v>0</v>
      </c>
      <c r="D22" s="186"/>
      <c r="E22" s="186"/>
      <c r="F22" s="186"/>
      <c r="G22" s="195"/>
      <c r="H22" s="186"/>
      <c r="I22" s="523"/>
      <c r="J22" s="186"/>
      <c r="K22" s="186"/>
      <c r="L22" s="186"/>
    </row>
    <row r="23" spans="2:12" ht="18" customHeight="1" x14ac:dyDescent="0.3">
      <c r="B23" s="212" t="s">
        <v>280</v>
      </c>
      <c r="C23" s="559">
        <f>'General Info &amp; Test Results'!C53</f>
        <v>0</v>
      </c>
      <c r="D23" s="186"/>
      <c r="E23" s="186"/>
      <c r="F23" s="186"/>
      <c r="G23" s="195"/>
      <c r="H23" s="186"/>
      <c r="I23" s="523"/>
      <c r="J23" s="186"/>
      <c r="K23" s="186"/>
      <c r="L23" s="186"/>
    </row>
    <row r="24" spans="2:12" ht="18" customHeight="1" x14ac:dyDescent="0.3">
      <c r="B24" s="212" t="s">
        <v>361</v>
      </c>
      <c r="C24" s="559">
        <f>'General Info &amp; Test Results'!C51</f>
        <v>0</v>
      </c>
      <c r="D24" s="186"/>
      <c r="E24" s="186"/>
      <c r="F24" s="186"/>
      <c r="G24" s="195"/>
      <c r="H24" s="186"/>
      <c r="I24" s="523"/>
      <c r="J24" s="186"/>
      <c r="K24" s="186"/>
      <c r="L24" s="186"/>
    </row>
    <row r="25" spans="2:12" ht="18" customHeight="1" thickBot="1" x14ac:dyDescent="0.35">
      <c r="B25" s="321" t="s">
        <v>362</v>
      </c>
      <c r="C25" s="348">
        <f>'General Info &amp; Test Results'!C52</f>
        <v>0</v>
      </c>
      <c r="D25" s="247"/>
      <c r="E25" s="248"/>
      <c r="F25" s="248"/>
      <c r="G25" s="249"/>
      <c r="H25" s="186"/>
      <c r="I25" s="523"/>
      <c r="J25" s="186"/>
      <c r="K25" s="186"/>
      <c r="L25" s="186"/>
    </row>
    <row r="26" spans="2:12" ht="18" customHeight="1" thickBot="1" x14ac:dyDescent="0.35">
      <c r="B26" s="154"/>
      <c r="C26" s="155"/>
      <c r="H26" s="185"/>
      <c r="I26" s="523"/>
      <c r="J26" s="186"/>
      <c r="K26" s="186"/>
      <c r="L26" s="186"/>
    </row>
    <row r="27" spans="2:12" ht="18" customHeight="1" thickBot="1" x14ac:dyDescent="0.4">
      <c r="B27" s="450" t="s">
        <v>182</v>
      </c>
      <c r="C27" s="451"/>
      <c r="D27" s="451"/>
      <c r="E27" s="451"/>
      <c r="F27" s="451"/>
      <c r="G27" s="452"/>
      <c r="H27" s="185"/>
      <c r="I27" s="523"/>
      <c r="J27" s="186"/>
      <c r="K27" s="186"/>
      <c r="L27" s="186"/>
    </row>
    <row r="28" spans="2:12" ht="18" customHeight="1" x14ac:dyDescent="0.3">
      <c r="B28" s="633" t="s">
        <v>69</v>
      </c>
      <c r="C28" s="689" t="s">
        <v>70</v>
      </c>
      <c r="D28" s="690"/>
      <c r="E28" s="186"/>
      <c r="F28" s="324"/>
      <c r="G28" s="195"/>
      <c r="H28" s="186"/>
      <c r="I28" s="523"/>
      <c r="J28" s="186"/>
    </row>
    <row r="29" spans="2:12" ht="18" customHeight="1" x14ac:dyDescent="0.3">
      <c r="B29" s="370" t="s">
        <v>350</v>
      </c>
      <c r="C29" s="623"/>
      <c r="D29" s="691"/>
      <c r="E29" s="191"/>
      <c r="F29" s="186"/>
      <c r="G29" s="195"/>
      <c r="H29" s="186"/>
      <c r="I29" s="523"/>
      <c r="J29" s="186"/>
    </row>
    <row r="30" spans="2:12" ht="18" customHeight="1" x14ac:dyDescent="0.3">
      <c r="B30" s="370" t="s">
        <v>351</v>
      </c>
      <c r="C30" s="559" t="str">
        <f>IFERROR(9549*C24/C23, " ")</f>
        <v xml:space="preserve"> </v>
      </c>
      <c r="D30" s="691"/>
      <c r="E30" s="186"/>
      <c r="F30" s="186"/>
      <c r="G30" s="195"/>
      <c r="H30" s="186"/>
      <c r="I30" s="523"/>
      <c r="J30" s="186"/>
    </row>
    <row r="31" spans="2:12" ht="18" customHeight="1" x14ac:dyDescent="0.3">
      <c r="B31" s="692"/>
      <c r="C31" s="632"/>
      <c r="D31" s="693"/>
      <c r="E31" s="694"/>
      <c r="F31" s="691"/>
      <c r="G31" s="195"/>
      <c r="H31" s="186"/>
      <c r="I31" s="523"/>
      <c r="J31" s="186"/>
      <c r="K31" s="186"/>
      <c r="L31" s="186"/>
    </row>
    <row r="32" spans="2:12" ht="18" customHeight="1" thickBot="1" x14ac:dyDescent="0.4">
      <c r="B32" s="916" t="s">
        <v>331</v>
      </c>
      <c r="C32" s="916"/>
      <c r="D32" s="916"/>
      <c r="E32" s="916"/>
      <c r="F32" s="916"/>
      <c r="G32" s="917"/>
      <c r="H32" s="186"/>
      <c r="I32" s="142"/>
    </row>
    <row r="33" spans="2:12" ht="18" customHeight="1" x14ac:dyDescent="0.35">
      <c r="B33" s="695" t="s">
        <v>69</v>
      </c>
      <c r="C33" s="655" t="s">
        <v>70</v>
      </c>
      <c r="D33" s="696"/>
      <c r="E33" s="324"/>
      <c r="F33" s="324"/>
      <c r="G33" s="325"/>
      <c r="H33" s="141"/>
      <c r="I33" s="142"/>
    </row>
    <row r="34" spans="2:12" ht="18" customHeight="1" x14ac:dyDescent="0.3">
      <c r="B34" s="590" t="s">
        <v>202</v>
      </c>
      <c r="C34" s="623"/>
      <c r="D34" s="697" t="str">
        <f>IF(OR(C34&lt;20,C34&gt;40), "Please maintain ambient temperature of 20-40 ˚C", " ")</f>
        <v>Please maintain ambient temperature of 20-40 ˚C</v>
      </c>
      <c r="E34" s="186"/>
      <c r="F34" s="186"/>
      <c r="G34" s="195"/>
      <c r="H34" s="186"/>
      <c r="I34" s="523"/>
      <c r="J34" s="186"/>
    </row>
    <row r="35" spans="2:12" ht="18" customHeight="1" thickBot="1" x14ac:dyDescent="0.35">
      <c r="B35" s="261" t="s">
        <v>341</v>
      </c>
      <c r="C35" s="607"/>
      <c r="D35" s="248" t="str">
        <f>IF(AND(C21="Air-over", OR(C35&lt;70,C35&gt;80)), "Air-over motors shall have a winding temperature within 75 ± 5 °C", " ")</f>
        <v xml:space="preserve"> </v>
      </c>
      <c r="E35" s="248"/>
      <c r="F35" s="248"/>
      <c r="G35" s="249"/>
      <c r="H35" s="141"/>
      <c r="I35" s="142"/>
    </row>
    <row r="36" spans="2:12" s="186" customFormat="1" ht="20.100000000000001" customHeight="1" thickBot="1" x14ac:dyDescent="0.35">
      <c r="B36" s="636"/>
      <c r="C36" s="632"/>
      <c r="D36" s="693"/>
      <c r="E36" s="698"/>
      <c r="F36" s="691"/>
      <c r="G36" s="191"/>
      <c r="I36" s="523"/>
    </row>
    <row r="37" spans="2:12" ht="18.600000000000001" customHeight="1" thickBot="1" x14ac:dyDescent="0.4">
      <c r="B37" s="918" t="s">
        <v>540</v>
      </c>
      <c r="C37" s="918"/>
      <c r="D37" s="918"/>
      <c r="E37" s="918"/>
      <c r="F37" s="918"/>
      <c r="G37" s="919"/>
      <c r="H37" s="185"/>
      <c r="I37" s="523"/>
      <c r="J37" s="186"/>
      <c r="K37" s="186"/>
      <c r="L37" s="186"/>
    </row>
    <row r="38" spans="2:12" ht="33.950000000000003" customHeight="1" thickBot="1" x14ac:dyDescent="0.35">
      <c r="B38" s="922" t="s">
        <v>541</v>
      </c>
      <c r="C38" s="922"/>
      <c r="D38" s="922"/>
      <c r="E38" s="922"/>
      <c r="F38" s="922"/>
      <c r="G38" s="923"/>
      <c r="H38" s="185"/>
      <c r="I38" s="523"/>
      <c r="J38" s="186"/>
      <c r="K38" s="186"/>
      <c r="L38" s="186"/>
    </row>
    <row r="39" spans="2:12" ht="23.1" customHeight="1" x14ac:dyDescent="0.3">
      <c r="B39" s="922"/>
      <c r="C39" s="922"/>
      <c r="D39" s="922"/>
      <c r="E39" s="922"/>
      <c r="F39" s="922"/>
      <c r="G39" s="923"/>
      <c r="H39" s="185"/>
      <c r="I39" s="523"/>
      <c r="J39" s="186"/>
      <c r="K39" s="186"/>
      <c r="L39" s="186"/>
    </row>
    <row r="40" spans="2:12" ht="18" customHeight="1" x14ac:dyDescent="0.35">
      <c r="B40" s="674" t="s">
        <v>185</v>
      </c>
      <c r="C40" s="699" t="s">
        <v>286</v>
      </c>
      <c r="D40" s="699" t="s">
        <v>408</v>
      </c>
      <c r="E40" s="562"/>
      <c r="F40" s="562"/>
      <c r="G40" s="700"/>
      <c r="H40" s="185"/>
      <c r="I40" s="523"/>
      <c r="J40" s="186"/>
      <c r="K40" s="186"/>
      <c r="L40" s="186"/>
    </row>
    <row r="41" spans="2:12" ht="18" customHeight="1" x14ac:dyDescent="0.3">
      <c r="B41" s="370">
        <v>1</v>
      </c>
      <c r="C41" s="627"/>
      <c r="D41" s="701" t="s">
        <v>405</v>
      </c>
      <c r="E41" s="702"/>
      <c r="F41" s="690"/>
      <c r="G41" s="195"/>
      <c r="H41" s="186"/>
      <c r="I41" s="523"/>
      <c r="J41" s="186"/>
      <c r="K41" s="186"/>
      <c r="L41" s="186"/>
    </row>
    <row r="42" spans="2:12" ht="18" customHeight="1" x14ac:dyDescent="0.3">
      <c r="B42" s="370">
        <v>2</v>
      </c>
      <c r="C42" s="285"/>
      <c r="D42" s="701" t="s">
        <v>403</v>
      </c>
      <c r="E42" s="694"/>
      <c r="F42" s="691"/>
      <c r="G42" s="195"/>
      <c r="H42" s="186"/>
      <c r="I42" s="523"/>
      <c r="J42" s="186"/>
      <c r="K42" s="186"/>
      <c r="L42" s="186"/>
    </row>
    <row r="43" spans="2:12" ht="18" customHeight="1" x14ac:dyDescent="0.3">
      <c r="B43" s="197">
        <v>3</v>
      </c>
      <c r="C43" s="285"/>
      <c r="D43" s="701" t="s">
        <v>403</v>
      </c>
      <c r="E43" s="703"/>
      <c r="F43" s="691"/>
      <c r="G43" s="195"/>
      <c r="H43" s="186"/>
      <c r="I43" s="523"/>
      <c r="J43" s="186"/>
      <c r="K43" s="186"/>
      <c r="L43" s="186"/>
    </row>
    <row r="44" spans="2:12" ht="18" customHeight="1" x14ac:dyDescent="0.3">
      <c r="B44" s="370">
        <v>4</v>
      </c>
      <c r="C44" s="285"/>
      <c r="D44" s="701" t="s">
        <v>403</v>
      </c>
      <c r="E44" s="698"/>
      <c r="F44" s="691"/>
      <c r="G44" s="195"/>
      <c r="H44" s="186"/>
      <c r="I44" s="523"/>
      <c r="J44" s="186"/>
      <c r="K44" s="186"/>
      <c r="L44" s="186"/>
    </row>
    <row r="45" spans="2:12" ht="18" customHeight="1" x14ac:dyDescent="0.3">
      <c r="B45" s="370">
        <v>5</v>
      </c>
      <c r="C45" s="285"/>
      <c r="D45" s="701" t="s">
        <v>403</v>
      </c>
      <c r="E45" s="694"/>
      <c r="F45" s="691"/>
      <c r="G45" s="195"/>
      <c r="H45" s="186"/>
      <c r="I45" s="523"/>
      <c r="J45" s="186"/>
      <c r="K45" s="186"/>
      <c r="L45" s="186"/>
    </row>
    <row r="46" spans="2:12" ht="18" customHeight="1" x14ac:dyDescent="0.3">
      <c r="B46" s="704"/>
      <c r="C46" s="632"/>
      <c r="D46" s="705"/>
      <c r="E46" s="698"/>
      <c r="F46" s="691"/>
      <c r="G46" s="457"/>
      <c r="H46" s="186"/>
      <c r="I46" s="523"/>
      <c r="J46" s="186"/>
      <c r="K46" s="186"/>
      <c r="L46" s="186"/>
    </row>
    <row r="47" spans="2:12" ht="18" customHeight="1" x14ac:dyDescent="0.35">
      <c r="B47" s="346"/>
      <c r="C47" s="840" t="s">
        <v>185</v>
      </c>
      <c r="D47" s="840"/>
      <c r="E47" s="840"/>
      <c r="F47" s="840"/>
      <c r="G47" s="847"/>
      <c r="H47" s="186"/>
      <c r="I47" s="523"/>
      <c r="J47" s="186"/>
      <c r="K47" s="186"/>
      <c r="L47" s="186"/>
    </row>
    <row r="48" spans="2:12" ht="18" customHeight="1" x14ac:dyDescent="0.35">
      <c r="B48" s="260" t="s">
        <v>69</v>
      </c>
      <c r="C48" s="193">
        <v>1</v>
      </c>
      <c r="D48" s="193">
        <v>2</v>
      </c>
      <c r="E48" s="194">
        <v>3</v>
      </c>
      <c r="F48" s="193">
        <v>4</v>
      </c>
      <c r="G48" s="458">
        <v>5</v>
      </c>
      <c r="H48" s="186"/>
      <c r="I48" s="523"/>
      <c r="J48" s="186"/>
      <c r="K48" s="186"/>
      <c r="L48" s="186"/>
    </row>
    <row r="49" spans="2:12" ht="18" customHeight="1" x14ac:dyDescent="0.3">
      <c r="B49" s="197" t="s">
        <v>542</v>
      </c>
      <c r="C49" s="606"/>
      <c r="D49" s="606"/>
      <c r="E49" s="683"/>
      <c r="F49" s="606"/>
      <c r="G49" s="609"/>
      <c r="H49" s="186"/>
      <c r="I49" s="523"/>
      <c r="J49" s="186"/>
      <c r="K49" s="186"/>
      <c r="L49" s="186"/>
    </row>
    <row r="50" spans="2:12" ht="18" customHeight="1" x14ac:dyDescent="0.3">
      <c r="B50" s="197" t="s">
        <v>198</v>
      </c>
      <c r="C50" s="606"/>
      <c r="D50" s="606"/>
      <c r="E50" s="606"/>
      <c r="F50" s="606"/>
      <c r="G50" s="609"/>
      <c r="H50" s="186"/>
      <c r="I50" s="523"/>
      <c r="J50" s="186"/>
      <c r="K50" s="186"/>
      <c r="L50" s="186"/>
    </row>
    <row r="51" spans="2:12" ht="18" customHeight="1" x14ac:dyDescent="0.3">
      <c r="B51" s="197" t="s">
        <v>187</v>
      </c>
      <c r="C51" s="606"/>
      <c r="D51" s="606"/>
      <c r="E51" s="606"/>
      <c r="F51" s="606"/>
      <c r="G51" s="609"/>
      <c r="H51" s="186"/>
      <c r="I51" s="523"/>
      <c r="J51" s="186"/>
      <c r="K51" s="186"/>
      <c r="L51" s="186"/>
    </row>
    <row r="52" spans="2:12" ht="18" customHeight="1" x14ac:dyDescent="0.3">
      <c r="B52" s="197" t="s">
        <v>539</v>
      </c>
      <c r="C52" s="606"/>
      <c r="D52" s="606"/>
      <c r="E52" s="606"/>
      <c r="F52" s="606"/>
      <c r="G52" s="609"/>
      <c r="H52" s="186"/>
      <c r="I52" s="523"/>
      <c r="J52" s="186"/>
      <c r="K52" s="186"/>
      <c r="L52" s="186"/>
    </row>
    <row r="53" spans="2:12" ht="18" customHeight="1" x14ac:dyDescent="0.3">
      <c r="B53" s="197" t="s">
        <v>352</v>
      </c>
      <c r="C53" s="606"/>
      <c r="D53" s="606"/>
      <c r="E53" s="606"/>
      <c r="F53" s="606"/>
      <c r="G53" s="609"/>
      <c r="H53" s="186"/>
      <c r="I53" s="523"/>
      <c r="J53" s="186"/>
      <c r="K53" s="186"/>
      <c r="L53" s="186"/>
    </row>
    <row r="54" spans="2:12" ht="18" customHeight="1" x14ac:dyDescent="0.3">
      <c r="B54" s="197" t="s">
        <v>201</v>
      </c>
      <c r="C54" s="606"/>
      <c r="D54" s="606"/>
      <c r="E54" s="606"/>
      <c r="F54" s="606"/>
      <c r="G54" s="609"/>
      <c r="H54" s="186"/>
      <c r="I54" s="523"/>
      <c r="J54" s="186"/>
      <c r="K54" s="186"/>
      <c r="L54" s="186"/>
    </row>
    <row r="55" spans="2:12" ht="18" customHeight="1" x14ac:dyDescent="0.3">
      <c r="B55" s="197" t="s">
        <v>202</v>
      </c>
      <c r="C55" s="606"/>
      <c r="D55" s="606"/>
      <c r="E55" s="606"/>
      <c r="F55" s="606"/>
      <c r="G55" s="609"/>
      <c r="H55" s="185"/>
      <c r="I55" s="523"/>
      <c r="J55" s="186"/>
      <c r="K55" s="186"/>
      <c r="L55" s="186"/>
    </row>
    <row r="56" spans="2:12" ht="18" customHeight="1" x14ac:dyDescent="0.3">
      <c r="B56" s="197" t="s">
        <v>281</v>
      </c>
      <c r="C56" s="606"/>
      <c r="D56" s="606"/>
      <c r="E56" s="606"/>
      <c r="F56" s="606"/>
      <c r="G56" s="609"/>
      <c r="H56" s="185"/>
      <c r="I56" s="523"/>
      <c r="J56" s="186"/>
      <c r="K56" s="186"/>
      <c r="L56" s="186"/>
    </row>
    <row r="57" spans="2:12" ht="18" customHeight="1" x14ac:dyDescent="0.3">
      <c r="B57" s="197" t="s">
        <v>282</v>
      </c>
      <c r="C57" s="606"/>
      <c r="D57" s="606"/>
      <c r="E57" s="606"/>
      <c r="F57" s="606"/>
      <c r="G57" s="609"/>
      <c r="H57" s="185"/>
      <c r="I57" s="523"/>
      <c r="J57" s="186"/>
      <c r="K57" s="186"/>
      <c r="L57" s="186"/>
    </row>
    <row r="58" spans="2:12" ht="18" customHeight="1" x14ac:dyDescent="0.3">
      <c r="B58" s="197" t="s">
        <v>517</v>
      </c>
      <c r="C58" s="291" t="str">
        <f>IFERROR(ABS(100*(($C$25-C54)/$C$25)), " ")</f>
        <v xml:space="preserve"> </v>
      </c>
      <c r="D58" s="291" t="str">
        <f t="shared" ref="D58:G58" si="0">IFERROR(ABS(100*(($C$25-D54)/$C$25)), " ")</f>
        <v xml:space="preserve"> </v>
      </c>
      <c r="E58" s="291" t="str">
        <f t="shared" si="0"/>
        <v xml:space="preserve"> </v>
      </c>
      <c r="F58" s="291" t="str">
        <f t="shared" si="0"/>
        <v xml:space="preserve"> </v>
      </c>
      <c r="G58" s="291" t="str">
        <f t="shared" si="0"/>
        <v xml:space="preserve"> </v>
      </c>
      <c r="H58" s="185"/>
      <c r="I58" s="523"/>
      <c r="J58" s="186"/>
      <c r="K58" s="186"/>
      <c r="L58" s="186"/>
    </row>
    <row r="59" spans="2:12" ht="18" customHeight="1" x14ac:dyDescent="0.3">
      <c r="B59" s="541"/>
      <c r="C59" s="185"/>
      <c r="D59" s="185"/>
      <c r="E59" s="185"/>
      <c r="F59" s="185"/>
      <c r="G59" s="250"/>
      <c r="H59" s="141"/>
      <c r="I59" s="142"/>
    </row>
    <row r="60" spans="2:12" ht="33" customHeight="1" x14ac:dyDescent="0.3">
      <c r="B60" s="543" t="s">
        <v>538</v>
      </c>
      <c r="C60" s="842" t="str">
        <f>IF((COUNTIF(C57:G57, "&gt;5")+COUNTIF(C58:G58, "&gt;0.5"))&gt;=1, "Supply requirements unmet - ensure that THD does not exceed 5%, and frequency variation is within 0.5% of rated value", "Data is permissible - may proceed with testing")</f>
        <v>Data is permissible - may proceed with testing</v>
      </c>
      <c r="D60" s="843"/>
      <c r="E60" s="843"/>
      <c r="F60" s="843"/>
      <c r="G60" s="195"/>
      <c r="H60" s="186"/>
      <c r="I60" s="523"/>
    </row>
    <row r="61" spans="2:12" ht="16.5" x14ac:dyDescent="0.3">
      <c r="B61" s="199"/>
      <c r="C61" s="186"/>
      <c r="D61" s="186"/>
      <c r="E61" s="186"/>
      <c r="F61" s="186"/>
      <c r="G61" s="195"/>
      <c r="H61" s="186"/>
      <c r="I61" s="523"/>
    </row>
    <row r="62" spans="2:12" ht="18" customHeight="1" thickBot="1" x14ac:dyDescent="0.4">
      <c r="B62" s="442" t="s">
        <v>543</v>
      </c>
      <c r="C62" s="632"/>
      <c r="D62" s="636"/>
      <c r="E62" s="647"/>
      <c r="F62" s="556"/>
      <c r="G62" s="195"/>
      <c r="H62" s="141"/>
      <c r="I62" s="142"/>
    </row>
    <row r="63" spans="2:12" ht="18" customHeight="1" x14ac:dyDescent="0.3">
      <c r="B63" s="706" t="s">
        <v>544</v>
      </c>
      <c r="C63" s="707"/>
      <c r="D63" s="707"/>
      <c r="E63" s="707"/>
      <c r="F63" s="707"/>
      <c r="G63" s="708"/>
      <c r="H63" s="141"/>
      <c r="I63" s="142"/>
    </row>
    <row r="64" spans="2:12" ht="18" customHeight="1" x14ac:dyDescent="0.3">
      <c r="B64" s="644"/>
      <c r="C64" s="693"/>
      <c r="D64" s="693"/>
      <c r="E64" s="693"/>
      <c r="F64" s="693"/>
      <c r="G64" s="709"/>
      <c r="H64" s="141"/>
      <c r="I64" s="142"/>
    </row>
    <row r="65" spans="2:9" s="185" customFormat="1" ht="17.100000000000001" customHeight="1" x14ac:dyDescent="0.3">
      <c r="B65" s="710" t="s">
        <v>545</v>
      </c>
      <c r="C65" s="630"/>
      <c r="D65" s="542"/>
      <c r="E65" s="542"/>
      <c r="F65" s="542"/>
      <c r="G65" s="651"/>
      <c r="I65" s="523"/>
    </row>
    <row r="66" spans="2:9" s="185" customFormat="1" ht="17.100000000000001" customHeight="1" x14ac:dyDescent="0.3">
      <c r="B66" s="711"/>
      <c r="C66" s="712"/>
      <c r="D66" s="542"/>
      <c r="E66" s="542"/>
      <c r="F66" s="542"/>
      <c r="G66" s="651"/>
      <c r="I66" s="523"/>
    </row>
    <row r="67" spans="2:9" ht="17.100000000000001" customHeight="1" x14ac:dyDescent="0.35">
      <c r="B67" s="346"/>
      <c r="C67" s="840" t="s">
        <v>546</v>
      </c>
      <c r="D67" s="924"/>
      <c r="E67" s="924"/>
      <c r="F67" s="924"/>
      <c r="G67" s="925"/>
      <c r="H67" s="141"/>
      <c r="I67" s="142"/>
    </row>
    <row r="68" spans="2:9" ht="17.100000000000001" customHeight="1" x14ac:dyDescent="0.35">
      <c r="B68" s="260" t="s">
        <v>69</v>
      </c>
      <c r="C68" s="193">
        <v>1</v>
      </c>
      <c r="D68" s="193">
        <v>2</v>
      </c>
      <c r="E68" s="194">
        <v>3</v>
      </c>
      <c r="F68" s="193">
        <v>4</v>
      </c>
      <c r="G68" s="458">
        <v>5</v>
      </c>
      <c r="H68" s="141"/>
      <c r="I68" s="142"/>
    </row>
    <row r="69" spans="2:9" ht="17.100000000000001" customHeight="1" x14ac:dyDescent="0.3">
      <c r="B69" s="197" t="s">
        <v>542</v>
      </c>
      <c r="C69" s="606"/>
      <c r="D69" s="606"/>
      <c r="E69" s="683"/>
      <c r="F69" s="606"/>
      <c r="G69" s="609"/>
      <c r="H69" s="141"/>
      <c r="I69" s="142"/>
    </row>
    <row r="70" spans="2:9" ht="17.100000000000001" customHeight="1" x14ac:dyDescent="0.3">
      <c r="B70" s="197" t="s">
        <v>198</v>
      </c>
      <c r="C70" s="606"/>
      <c r="D70" s="606"/>
      <c r="E70" s="606"/>
      <c r="F70" s="606"/>
      <c r="G70" s="609"/>
      <c r="H70" s="141"/>
      <c r="I70" s="142"/>
    </row>
    <row r="71" spans="2:9" ht="17.100000000000001" customHeight="1" x14ac:dyDescent="0.3">
      <c r="B71" s="197" t="s">
        <v>187</v>
      </c>
      <c r="C71" s="606"/>
      <c r="D71" s="606"/>
      <c r="E71" s="606"/>
      <c r="F71" s="606"/>
      <c r="G71" s="609"/>
      <c r="H71" s="141"/>
      <c r="I71" s="142"/>
    </row>
    <row r="72" spans="2:9" ht="17.100000000000001" customHeight="1" x14ac:dyDescent="0.3">
      <c r="B72" s="197" t="s">
        <v>539</v>
      </c>
      <c r="C72" s="606"/>
      <c r="D72" s="606"/>
      <c r="E72" s="606"/>
      <c r="F72" s="606"/>
      <c r="G72" s="609"/>
      <c r="H72" s="141"/>
      <c r="I72" s="142"/>
    </row>
    <row r="73" spans="2:9" ht="17.100000000000001" customHeight="1" x14ac:dyDescent="0.3">
      <c r="B73" s="197" t="s">
        <v>201</v>
      </c>
      <c r="C73" s="606"/>
      <c r="D73" s="606"/>
      <c r="E73" s="606"/>
      <c r="F73" s="606"/>
      <c r="G73" s="609"/>
      <c r="H73" s="141"/>
      <c r="I73" s="142"/>
    </row>
    <row r="74" spans="2:9" ht="17.100000000000001" customHeight="1" x14ac:dyDescent="0.3">
      <c r="B74" s="197" t="s">
        <v>202</v>
      </c>
      <c r="C74" s="606"/>
      <c r="D74" s="606"/>
      <c r="E74" s="606"/>
      <c r="F74" s="606"/>
      <c r="G74" s="609"/>
      <c r="H74" s="141"/>
      <c r="I74" s="142"/>
    </row>
    <row r="75" spans="2:9" ht="17.100000000000001" customHeight="1" x14ac:dyDescent="0.3">
      <c r="B75" s="477" t="s">
        <v>281</v>
      </c>
      <c r="C75" s="716"/>
      <c r="D75" s="716"/>
      <c r="E75" s="716"/>
      <c r="F75" s="716"/>
      <c r="G75" s="717"/>
      <c r="H75" s="141"/>
      <c r="I75" s="142"/>
    </row>
    <row r="76" spans="2:9" ht="17.100000000000001" customHeight="1" x14ac:dyDescent="0.3">
      <c r="B76" s="197" t="s">
        <v>282</v>
      </c>
      <c r="C76" s="606"/>
      <c r="D76" s="606"/>
      <c r="E76" s="606"/>
      <c r="F76" s="606"/>
      <c r="G76" s="609"/>
      <c r="H76" s="141"/>
      <c r="I76" s="142"/>
    </row>
    <row r="77" spans="2:9" ht="17.100000000000001" customHeight="1" x14ac:dyDescent="0.3">
      <c r="B77" s="197" t="s">
        <v>547</v>
      </c>
      <c r="C77" s="291" t="str">
        <f>IFERROR($C$30*(C71^2/$C$23^2), " ")</f>
        <v xml:space="preserve"> </v>
      </c>
      <c r="D77" s="291" t="str">
        <f t="shared" ref="D77:G77" si="1">IFERROR($C$30*(D71^2/$C$23^2), " ")</f>
        <v xml:space="preserve"> </v>
      </c>
      <c r="E77" s="291" t="str">
        <f t="shared" si="1"/>
        <v xml:space="preserve"> </v>
      </c>
      <c r="F77" s="291" t="str">
        <f t="shared" si="1"/>
        <v xml:space="preserve"> </v>
      </c>
      <c r="G77" s="291" t="str">
        <f t="shared" si="1"/>
        <v xml:space="preserve"> </v>
      </c>
      <c r="H77" s="141"/>
      <c r="I77" s="142"/>
    </row>
    <row r="78" spans="2:9" ht="17.100000000000001" customHeight="1" x14ac:dyDescent="0.3">
      <c r="B78" s="541"/>
      <c r="C78" s="186"/>
      <c r="D78" s="186"/>
      <c r="E78" s="186"/>
      <c r="F78" s="186"/>
      <c r="G78" s="195"/>
      <c r="H78" s="141"/>
      <c r="I78" s="142"/>
    </row>
    <row r="79" spans="2:9" ht="29.1" customHeight="1" thickBot="1" x14ac:dyDescent="0.35">
      <c r="B79" s="713" t="s">
        <v>538</v>
      </c>
      <c r="C79" s="897" t="str">
        <f>IF(COUNTIF(C76:G76, "&gt;5")&gt;=1, "Supply requirements unmet - ensure that THD does not exceed 5%", "Data is permissible - may proceed with testing")</f>
        <v>Data is permissible - may proceed with testing</v>
      </c>
      <c r="D79" s="898"/>
      <c r="E79" s="898"/>
      <c r="F79" s="898"/>
      <c r="G79" s="249"/>
      <c r="H79" s="141"/>
      <c r="I79" s="142"/>
    </row>
    <row r="80" spans="2:9" ht="17.100000000000001" customHeight="1" x14ac:dyDescent="0.3">
      <c r="B80" s="324"/>
      <c r="H80" s="141"/>
      <c r="I80" s="142"/>
    </row>
    <row r="81" spans="2:12" s="185" customFormat="1" ht="18" customHeight="1" thickBot="1" x14ac:dyDescent="0.35">
      <c r="B81" s="714"/>
      <c r="C81" s="572"/>
      <c r="I81" s="523"/>
    </row>
    <row r="82" spans="2:12" ht="18" customHeight="1" thickBot="1" x14ac:dyDescent="0.4">
      <c r="B82" s="450" t="s">
        <v>188</v>
      </c>
      <c r="C82" s="451"/>
      <c r="D82" s="451"/>
      <c r="E82" s="451"/>
      <c r="F82" s="451"/>
      <c r="G82" s="452"/>
      <c r="H82" s="185"/>
      <c r="I82" s="523"/>
      <c r="J82" s="186"/>
      <c r="K82" s="186"/>
      <c r="L82" s="186"/>
    </row>
    <row r="83" spans="2:12" ht="18" customHeight="1" thickBot="1" x14ac:dyDescent="0.35">
      <c r="B83" s="199"/>
      <c r="C83" s="186"/>
      <c r="D83" s="186"/>
      <c r="E83" s="186"/>
      <c r="F83" s="186"/>
      <c r="G83" s="195"/>
      <c r="H83" s="185"/>
      <c r="I83" s="523"/>
      <c r="J83" s="186"/>
      <c r="K83" s="186"/>
      <c r="L83" s="186"/>
    </row>
    <row r="84" spans="2:12" ht="32.1" customHeight="1" thickBot="1" x14ac:dyDescent="0.35">
      <c r="B84" s="202" t="s">
        <v>189</v>
      </c>
      <c r="C84" s="718"/>
      <c r="D84" s="186"/>
      <c r="E84" s="186"/>
      <c r="F84" s="186"/>
      <c r="G84" s="195"/>
      <c r="H84" s="185"/>
      <c r="I84" s="523"/>
      <c r="J84" s="186"/>
      <c r="K84" s="186"/>
      <c r="L84" s="186"/>
    </row>
    <row r="85" spans="2:12" ht="18" customHeight="1" x14ac:dyDescent="0.3">
      <c r="B85" s="199"/>
      <c r="C85" s="186"/>
      <c r="D85" s="186"/>
      <c r="E85" s="186"/>
      <c r="F85" s="186"/>
      <c r="G85" s="195"/>
      <c r="H85" s="185"/>
      <c r="I85" s="523"/>
      <c r="J85" s="186"/>
      <c r="K85" s="186"/>
      <c r="L85" s="186"/>
    </row>
    <row r="86" spans="2:12" ht="18" customHeight="1" thickBot="1" x14ac:dyDescent="0.4">
      <c r="B86" s="913" t="s">
        <v>284</v>
      </c>
      <c r="C86" s="914"/>
      <c r="D86" s="914"/>
      <c r="E86" s="914"/>
      <c r="F86" s="914"/>
      <c r="G86" s="915"/>
      <c r="H86" s="185"/>
      <c r="I86" s="523"/>
      <c r="J86" s="186"/>
      <c r="K86" s="186"/>
      <c r="L86" s="186"/>
    </row>
    <row r="87" spans="2:12" ht="18" customHeight="1" x14ac:dyDescent="0.35">
      <c r="B87" s="262" t="s">
        <v>69</v>
      </c>
      <c r="C87" s="246" t="s">
        <v>70</v>
      </c>
      <c r="D87" s="186"/>
      <c r="E87" s="186"/>
      <c r="F87" s="186"/>
      <c r="G87" s="195"/>
      <c r="H87" s="185"/>
      <c r="I87" s="523"/>
      <c r="J87" s="186"/>
      <c r="K87" s="186"/>
      <c r="L87" s="186"/>
    </row>
    <row r="88" spans="2:12" ht="18" customHeight="1" x14ac:dyDescent="0.35">
      <c r="B88" s="197" t="s">
        <v>287</v>
      </c>
      <c r="C88" s="719"/>
      <c r="D88" s="186"/>
      <c r="E88" s="186"/>
      <c r="F88" s="186"/>
      <c r="G88" s="195"/>
      <c r="H88" s="185"/>
      <c r="I88" s="523"/>
      <c r="J88" s="186"/>
      <c r="K88" s="186"/>
      <c r="L88" s="186"/>
    </row>
    <row r="89" spans="2:12" ht="18" customHeight="1" x14ac:dyDescent="0.3">
      <c r="B89" s="197" t="s">
        <v>542</v>
      </c>
      <c r="C89" s="606"/>
      <c r="D89" s="186"/>
      <c r="E89" s="186"/>
      <c r="F89" s="186"/>
      <c r="G89" s="195"/>
      <c r="H89" s="185"/>
      <c r="I89" s="523"/>
      <c r="J89" s="186"/>
      <c r="K89" s="186"/>
      <c r="L89" s="186"/>
    </row>
    <row r="90" spans="2:12" ht="18" customHeight="1" x14ac:dyDescent="0.3">
      <c r="B90" s="197" t="s">
        <v>198</v>
      </c>
      <c r="C90" s="606"/>
      <c r="D90" s="186"/>
      <c r="E90" s="186"/>
      <c r="F90" s="186"/>
      <c r="G90" s="195"/>
      <c r="H90" s="185"/>
      <c r="I90" s="523"/>
      <c r="J90" s="186"/>
      <c r="K90" s="186"/>
      <c r="L90" s="186"/>
    </row>
    <row r="91" spans="2:12" ht="18" customHeight="1" x14ac:dyDescent="0.3">
      <c r="B91" s="197" t="s">
        <v>187</v>
      </c>
      <c r="C91" s="606"/>
      <c r="D91" s="186"/>
      <c r="E91" s="186"/>
      <c r="F91" s="186"/>
      <c r="G91" s="195"/>
      <c r="H91" s="185"/>
      <c r="I91" s="523"/>
      <c r="J91" s="186"/>
      <c r="K91" s="186"/>
      <c r="L91" s="186"/>
    </row>
    <row r="92" spans="2:12" ht="18" customHeight="1" x14ac:dyDescent="0.3">
      <c r="B92" s="197" t="s">
        <v>539</v>
      </c>
      <c r="C92" s="606"/>
      <c r="D92" s="186"/>
      <c r="E92" s="186"/>
      <c r="F92" s="186"/>
      <c r="G92" s="195"/>
      <c r="H92" s="185"/>
      <c r="I92" s="523"/>
      <c r="J92" s="186"/>
      <c r="K92" s="186"/>
      <c r="L92" s="186"/>
    </row>
    <row r="93" spans="2:12" ht="18" customHeight="1" x14ac:dyDescent="0.3">
      <c r="B93" s="197" t="s">
        <v>352</v>
      </c>
      <c r="C93" s="606"/>
      <c r="D93" s="186"/>
      <c r="E93" s="186"/>
      <c r="F93" s="186"/>
      <c r="G93" s="195"/>
      <c r="H93" s="185"/>
      <c r="I93" s="523"/>
      <c r="J93" s="186"/>
      <c r="K93" s="186"/>
      <c r="L93" s="186"/>
    </row>
    <row r="94" spans="2:12" ht="18" customHeight="1" x14ac:dyDescent="0.3">
      <c r="B94" s="197" t="s">
        <v>201</v>
      </c>
      <c r="C94" s="606"/>
      <c r="D94" s="186"/>
      <c r="E94" s="186"/>
      <c r="F94" s="186"/>
      <c r="G94" s="195"/>
      <c r="H94" s="185"/>
      <c r="I94" s="523"/>
      <c r="J94" s="186"/>
      <c r="K94" s="186"/>
      <c r="L94" s="186"/>
    </row>
    <row r="95" spans="2:12" ht="18" customHeight="1" x14ac:dyDescent="0.3">
      <c r="B95" s="566"/>
      <c r="C95" s="252"/>
      <c r="D95" s="186"/>
      <c r="E95" s="186"/>
      <c r="F95" s="186"/>
      <c r="G95" s="195"/>
      <c r="H95" s="185"/>
      <c r="I95" s="523"/>
      <c r="J95" s="186"/>
      <c r="K95" s="186"/>
      <c r="L95" s="186"/>
    </row>
    <row r="96" spans="2:12" ht="18" customHeight="1" thickBot="1" x14ac:dyDescent="0.4">
      <c r="B96" s="913" t="s">
        <v>283</v>
      </c>
      <c r="C96" s="914"/>
      <c r="D96" s="914"/>
      <c r="E96" s="914"/>
      <c r="F96" s="914"/>
      <c r="G96" s="915"/>
      <c r="H96" s="185"/>
      <c r="I96" s="523"/>
      <c r="J96" s="186"/>
      <c r="K96" s="186"/>
      <c r="L96" s="186"/>
    </row>
    <row r="97" spans="2:12" ht="18" customHeight="1" x14ac:dyDescent="0.35">
      <c r="B97" s="262" t="s">
        <v>69</v>
      </c>
      <c r="C97" s="246" t="s">
        <v>70</v>
      </c>
      <c r="D97" s="186"/>
      <c r="E97" s="186"/>
      <c r="F97" s="186"/>
      <c r="G97" s="195"/>
      <c r="H97" s="186"/>
      <c r="I97" s="523"/>
      <c r="J97" s="186"/>
      <c r="K97" s="186"/>
      <c r="L97" s="186"/>
    </row>
    <row r="98" spans="2:12" ht="18" customHeight="1" x14ac:dyDescent="0.3">
      <c r="B98" s="197" t="s">
        <v>542</v>
      </c>
      <c r="C98" s="606"/>
      <c r="D98" s="186"/>
      <c r="E98" s="186"/>
      <c r="F98" s="186"/>
      <c r="G98" s="195"/>
      <c r="H98" s="186"/>
      <c r="I98" s="523"/>
      <c r="J98" s="186"/>
      <c r="K98" s="186"/>
      <c r="L98" s="186"/>
    </row>
    <row r="99" spans="2:12" ht="18" customHeight="1" x14ac:dyDescent="0.3">
      <c r="B99" s="197" t="s">
        <v>198</v>
      </c>
      <c r="C99" s="606"/>
      <c r="D99" s="186"/>
      <c r="E99" s="186"/>
      <c r="F99" s="186"/>
      <c r="G99" s="195"/>
      <c r="H99" s="186"/>
      <c r="I99" s="523"/>
      <c r="J99" s="186"/>
      <c r="K99" s="186"/>
      <c r="L99" s="186"/>
    </row>
    <row r="100" spans="2:12" ht="18" customHeight="1" x14ac:dyDescent="0.3">
      <c r="B100" s="197" t="s">
        <v>187</v>
      </c>
      <c r="C100" s="606"/>
      <c r="D100" s="186"/>
      <c r="E100" s="186"/>
      <c r="F100" s="186"/>
      <c r="G100" s="195"/>
      <c r="H100" s="186"/>
      <c r="I100" s="523"/>
      <c r="J100" s="186"/>
      <c r="K100" s="186"/>
      <c r="L100" s="186"/>
    </row>
    <row r="101" spans="2:12" ht="18" customHeight="1" x14ac:dyDescent="0.3">
      <c r="B101" s="197" t="s">
        <v>539</v>
      </c>
      <c r="C101" s="606"/>
      <c r="D101" s="186"/>
      <c r="E101" s="186"/>
      <c r="F101" s="186"/>
      <c r="G101" s="195"/>
      <c r="H101" s="186"/>
      <c r="I101" s="523"/>
      <c r="J101" s="186"/>
      <c r="K101" s="186"/>
      <c r="L101" s="186"/>
    </row>
    <row r="102" spans="2:12" ht="18" customHeight="1" x14ac:dyDescent="0.3">
      <c r="B102" s="197" t="s">
        <v>352</v>
      </c>
      <c r="C102" s="606"/>
      <c r="D102" s="186"/>
      <c r="E102" s="186"/>
      <c r="F102" s="186"/>
      <c r="G102" s="195"/>
      <c r="H102" s="186"/>
      <c r="I102" s="523"/>
      <c r="J102" s="186"/>
      <c r="K102" s="186"/>
      <c r="L102" s="186"/>
    </row>
    <row r="103" spans="2:12" ht="18" customHeight="1" x14ac:dyDescent="0.3">
      <c r="B103" s="197" t="s">
        <v>201</v>
      </c>
      <c r="C103" s="606"/>
      <c r="D103" s="186"/>
      <c r="E103" s="186"/>
      <c r="F103" s="186"/>
      <c r="G103" s="195"/>
      <c r="H103" s="186"/>
      <c r="I103" s="523"/>
      <c r="J103" s="186"/>
      <c r="K103" s="186"/>
      <c r="L103" s="186"/>
    </row>
    <row r="104" spans="2:12" ht="18" customHeight="1" x14ac:dyDescent="0.3">
      <c r="B104" s="199"/>
      <c r="C104" s="186"/>
      <c r="D104" s="186"/>
      <c r="E104" s="186"/>
      <c r="F104" s="186"/>
      <c r="G104" s="195"/>
      <c r="H104" s="185"/>
      <c r="I104" s="523"/>
      <c r="J104" s="186"/>
      <c r="K104" s="186"/>
      <c r="L104" s="186"/>
    </row>
    <row r="105" spans="2:12" ht="18" customHeight="1" thickBot="1" x14ac:dyDescent="0.4">
      <c r="B105" s="913" t="s">
        <v>285</v>
      </c>
      <c r="C105" s="914"/>
      <c r="D105" s="914"/>
      <c r="E105" s="914"/>
      <c r="F105" s="914"/>
      <c r="G105" s="915"/>
      <c r="H105" s="185"/>
      <c r="I105" s="523"/>
      <c r="J105" s="186"/>
      <c r="K105" s="186"/>
      <c r="L105" s="186"/>
    </row>
    <row r="106" spans="2:12" ht="18" customHeight="1" x14ac:dyDescent="0.35">
      <c r="B106" s="262" t="s">
        <v>69</v>
      </c>
      <c r="C106" s="246" t="s">
        <v>70</v>
      </c>
      <c r="D106" s="186"/>
      <c r="E106" s="186"/>
      <c r="F106" s="186"/>
      <c r="G106" s="195"/>
      <c r="H106" s="186"/>
      <c r="I106" s="523"/>
      <c r="J106" s="186"/>
      <c r="K106" s="186"/>
      <c r="L106" s="186"/>
    </row>
    <row r="107" spans="2:12" ht="18" customHeight="1" x14ac:dyDescent="0.35">
      <c r="B107" s="197" t="s">
        <v>287</v>
      </c>
      <c r="C107" s="719"/>
      <c r="D107" s="186"/>
      <c r="E107" s="186"/>
      <c r="F107" s="186"/>
      <c r="G107" s="195"/>
      <c r="H107" s="186"/>
      <c r="I107" s="523"/>
      <c r="J107" s="186"/>
      <c r="K107" s="186"/>
      <c r="L107" s="186"/>
    </row>
    <row r="108" spans="2:12" ht="18" customHeight="1" x14ac:dyDescent="0.3">
      <c r="B108" s="197" t="s">
        <v>542</v>
      </c>
      <c r="C108" s="606"/>
      <c r="D108" s="186"/>
      <c r="E108" s="186"/>
      <c r="F108" s="186"/>
      <c r="G108" s="195"/>
      <c r="H108" s="186"/>
      <c r="I108" s="523"/>
      <c r="J108" s="186"/>
      <c r="K108" s="186"/>
      <c r="L108" s="186"/>
    </row>
    <row r="109" spans="2:12" ht="18" customHeight="1" x14ac:dyDescent="0.3">
      <c r="B109" s="197" t="s">
        <v>198</v>
      </c>
      <c r="C109" s="606"/>
      <c r="D109" s="186"/>
      <c r="E109" s="186"/>
      <c r="F109" s="186"/>
      <c r="G109" s="195"/>
      <c r="H109" s="186"/>
      <c r="I109" s="523"/>
      <c r="J109" s="186"/>
      <c r="K109" s="186"/>
      <c r="L109" s="186"/>
    </row>
    <row r="110" spans="2:12" ht="18" customHeight="1" x14ac:dyDescent="0.3">
      <c r="B110" s="197" t="s">
        <v>187</v>
      </c>
      <c r="C110" s="606"/>
      <c r="D110" s="186"/>
      <c r="E110" s="186"/>
      <c r="F110" s="186"/>
      <c r="G110" s="195"/>
      <c r="H110" s="186"/>
      <c r="I110" s="523"/>
      <c r="J110" s="186"/>
      <c r="K110" s="186"/>
      <c r="L110" s="186"/>
    </row>
    <row r="111" spans="2:12" ht="18" customHeight="1" x14ac:dyDescent="0.3">
      <c r="B111" s="197" t="s">
        <v>539</v>
      </c>
      <c r="C111" s="606"/>
      <c r="D111" s="186"/>
      <c r="E111" s="186"/>
      <c r="F111" s="186"/>
      <c r="G111" s="195"/>
      <c r="H111" s="186"/>
      <c r="I111" s="523"/>
      <c r="J111" s="186"/>
      <c r="K111" s="186"/>
      <c r="L111" s="186"/>
    </row>
    <row r="112" spans="2:12" ht="18" customHeight="1" x14ac:dyDescent="0.3">
      <c r="B112" s="263" t="s">
        <v>201</v>
      </c>
      <c r="C112" s="606"/>
      <c r="D112" s="186"/>
      <c r="E112" s="186"/>
      <c r="F112" s="186"/>
      <c r="G112" s="195"/>
      <c r="H112" s="186"/>
      <c r="I112" s="523"/>
      <c r="J112" s="186"/>
      <c r="K112" s="186"/>
      <c r="L112" s="186"/>
    </row>
    <row r="113" spans="2:12" ht="18" customHeight="1" x14ac:dyDescent="0.3">
      <c r="B113" s="199"/>
      <c r="C113" s="186"/>
      <c r="D113" s="186"/>
      <c r="E113" s="186"/>
      <c r="F113" s="186"/>
      <c r="G113" s="195"/>
      <c r="H113" s="185"/>
      <c r="I113" s="523"/>
      <c r="J113" s="186"/>
      <c r="K113" s="186"/>
      <c r="L113" s="186"/>
    </row>
    <row r="114" spans="2:12" ht="18" customHeight="1" thickBot="1" x14ac:dyDescent="0.4">
      <c r="B114" s="916" t="s">
        <v>191</v>
      </c>
      <c r="C114" s="928"/>
      <c r="D114" s="929"/>
      <c r="E114" s="928"/>
      <c r="F114" s="928"/>
      <c r="G114" s="930"/>
      <c r="I114" s="142"/>
    </row>
    <row r="115" spans="2:12" ht="18" customHeight="1" x14ac:dyDescent="0.3">
      <c r="B115" s="664" t="s">
        <v>69</v>
      </c>
      <c r="C115" s="665" t="s">
        <v>70</v>
      </c>
      <c r="D115" s="666"/>
      <c r="E115" s="324"/>
      <c r="F115" s="324"/>
      <c r="G115" s="460"/>
      <c r="H115" s="141"/>
      <c r="I115" s="142"/>
    </row>
    <row r="116" spans="2:12" ht="18" customHeight="1" x14ac:dyDescent="0.3">
      <c r="B116" s="715" t="s">
        <v>192</v>
      </c>
      <c r="C116" s="668" t="str">
        <f>IFERROR((C93-C102)/(C92-C101), " ")</f>
        <v xml:space="preserve"> </v>
      </c>
      <c r="D116" s="556"/>
      <c r="E116" s="186"/>
      <c r="F116" s="186"/>
      <c r="G116" s="250"/>
      <c r="H116" s="141"/>
      <c r="I116" s="142"/>
    </row>
    <row r="117" spans="2:12" ht="18" customHeight="1" x14ac:dyDescent="0.3">
      <c r="B117" s="370" t="s">
        <v>382</v>
      </c>
      <c r="C117" s="559" t="str">
        <f>IFERROR(C116*(C101-C111), " ")</f>
        <v xml:space="preserve"> </v>
      </c>
      <c r="D117" s="556"/>
      <c r="E117" s="186"/>
      <c r="F117" s="186"/>
      <c r="G117" s="250"/>
      <c r="H117" s="141"/>
      <c r="I117" s="142"/>
    </row>
    <row r="118" spans="2:12" ht="18" customHeight="1" thickBot="1" x14ac:dyDescent="0.35">
      <c r="B118" s="398" t="s">
        <v>383</v>
      </c>
      <c r="C118" s="348">
        <f>IF(C84="Yes", C117-C102, 0)</f>
        <v>0</v>
      </c>
      <c r="D118" s="635"/>
      <c r="E118" s="248"/>
      <c r="F118" s="248"/>
      <c r="G118" s="461"/>
      <c r="H118" s="141"/>
      <c r="I118" s="142"/>
    </row>
    <row r="119" spans="2:12" ht="18" customHeight="1" thickBot="1" x14ac:dyDescent="0.35">
      <c r="I119" s="142"/>
    </row>
    <row r="120" spans="2:12" ht="18" customHeight="1" thickBot="1" x14ac:dyDescent="0.4">
      <c r="B120" s="453" t="s">
        <v>548</v>
      </c>
      <c r="C120" s="454"/>
      <c r="D120" s="454"/>
      <c r="E120" s="454"/>
      <c r="F120" s="454"/>
      <c r="G120" s="455"/>
      <c r="I120" s="142"/>
    </row>
    <row r="121" spans="2:12" ht="18" customHeight="1" x14ac:dyDescent="0.3">
      <c r="B121" s="633" t="s">
        <v>69</v>
      </c>
      <c r="C121" s="634" t="s">
        <v>70</v>
      </c>
      <c r="D121" s="555"/>
      <c r="E121" s="186"/>
      <c r="F121" s="186"/>
      <c r="G121" s="460"/>
      <c r="H121" s="141"/>
      <c r="I121" s="142"/>
    </row>
    <row r="122" spans="2:12" ht="18" customHeight="1" x14ac:dyDescent="0.3">
      <c r="B122" s="590" t="s">
        <v>353</v>
      </c>
      <c r="C122" s="623"/>
      <c r="D122" s="556"/>
      <c r="E122" s="186"/>
      <c r="F122" s="186"/>
      <c r="G122" s="250"/>
      <c r="H122" s="141"/>
      <c r="I122" s="142"/>
    </row>
    <row r="123" spans="2:12" ht="33.75" customHeight="1" x14ac:dyDescent="0.3">
      <c r="B123" s="590" t="s">
        <v>549</v>
      </c>
      <c r="C123" s="559">
        <f>ABS(C122-C29)</f>
        <v>0</v>
      </c>
      <c r="D123" s="556"/>
      <c r="E123" s="186"/>
      <c r="F123" s="186"/>
      <c r="G123" s="250"/>
      <c r="H123" s="141"/>
      <c r="I123" s="142"/>
    </row>
    <row r="124" spans="2:12" s="186" customFormat="1" ht="33.950000000000003" customHeight="1" x14ac:dyDescent="0.3">
      <c r="B124" s="370" t="s">
        <v>550</v>
      </c>
      <c r="C124" s="926" t="str">
        <f>IFERROR(IF((ABS((C30-C123)/C30)*100)&gt;1, "Test is unsatisfactory - Investigate and correct source of error and repeat test", "Test is satisfactory"), " ")</f>
        <v xml:space="preserve"> </v>
      </c>
      <c r="D124" s="927"/>
      <c r="E124" s="927"/>
      <c r="F124" s="927"/>
      <c r="G124" s="250"/>
      <c r="I124" s="523"/>
    </row>
    <row r="125" spans="2:12" s="186" customFormat="1" ht="18" customHeight="1" x14ac:dyDescent="0.3">
      <c r="B125" s="704"/>
      <c r="C125" s="632"/>
      <c r="D125" s="636"/>
      <c r="E125" s="647"/>
      <c r="F125" s="556"/>
      <c r="G125" s="195"/>
      <c r="H125" s="185"/>
      <c r="I125" s="523"/>
    </row>
    <row r="126" spans="2:12" ht="18" customHeight="1" x14ac:dyDescent="0.35">
      <c r="B126" s="346"/>
      <c r="C126" s="840" t="s">
        <v>185</v>
      </c>
      <c r="D126" s="924"/>
      <c r="E126" s="924"/>
      <c r="F126" s="924"/>
      <c r="G126" s="925"/>
      <c r="H126" s="141"/>
      <c r="I126" s="142"/>
    </row>
    <row r="127" spans="2:12" ht="18" customHeight="1" x14ac:dyDescent="0.35">
      <c r="B127" s="260" t="s">
        <v>69</v>
      </c>
      <c r="C127" s="193">
        <v>1</v>
      </c>
      <c r="D127" s="193">
        <v>2</v>
      </c>
      <c r="E127" s="194">
        <v>3</v>
      </c>
      <c r="F127" s="193">
        <v>4</v>
      </c>
      <c r="G127" s="458">
        <v>5</v>
      </c>
      <c r="H127" s="141"/>
      <c r="I127" s="142"/>
    </row>
    <row r="128" spans="2:12" ht="18" customHeight="1" thickBot="1" x14ac:dyDescent="0.35">
      <c r="B128" s="449" t="s">
        <v>222</v>
      </c>
      <c r="C128" s="295" t="str">
        <f>IFERROR(((C53+$C$118-$C$122)/(9549*C52))*C51, " ")</f>
        <v xml:space="preserve"> </v>
      </c>
      <c r="D128" s="295" t="str">
        <f t="shared" ref="D128:G128" si="2">IFERROR(((D53+$C$118-$C$122)/(9549*D52))*D51, " ")</f>
        <v xml:space="preserve"> </v>
      </c>
      <c r="E128" s="295" t="str">
        <f t="shared" si="2"/>
        <v xml:space="preserve"> </v>
      </c>
      <c r="F128" s="295" t="str">
        <f t="shared" si="2"/>
        <v xml:space="preserve"> </v>
      </c>
      <c r="G128" s="295" t="str">
        <f t="shared" si="2"/>
        <v xml:space="preserve"> </v>
      </c>
      <c r="I128" s="142"/>
    </row>
    <row r="129" spans="1:9" ht="18" customHeight="1" x14ac:dyDescent="0.3">
      <c r="I129" s="142"/>
    </row>
    <row r="130" spans="1:9" ht="18" customHeight="1" x14ac:dyDescent="0.3">
      <c r="I130" s="142"/>
    </row>
    <row r="131" spans="1:9" ht="18" customHeight="1" x14ac:dyDescent="0.3">
      <c r="A131" s="142"/>
      <c r="B131" s="142"/>
      <c r="C131" s="142"/>
      <c r="D131" s="142"/>
      <c r="E131" s="142"/>
      <c r="F131" s="142"/>
      <c r="G131" s="142"/>
      <c r="H131" s="142"/>
      <c r="I131" s="142"/>
    </row>
  </sheetData>
  <sheetProtection algorithmName="SHA-512" hashValue="4DdpxAI/XaFWMU8YY9DRBYDi6qu+vFxUOiuYcFBp7j/pu+3oTVHVD18JUl/R8FU10gM1nHsAFR/akPFLajE8UA==" saltValue="f9AXdh4kD+/B7gGuAYpvsA==" spinCount="100000" sheet="1" selectLockedCells="1"/>
  <mergeCells count="17">
    <mergeCell ref="C126:G126"/>
    <mergeCell ref="C124:F124"/>
    <mergeCell ref="B114:G114"/>
    <mergeCell ref="C60:F60"/>
    <mergeCell ref="C79:F79"/>
    <mergeCell ref="B17:G17"/>
    <mergeCell ref="B96:G96"/>
    <mergeCell ref="B105:G105"/>
    <mergeCell ref="B2:C2"/>
    <mergeCell ref="C47:G47"/>
    <mergeCell ref="B86:G86"/>
    <mergeCell ref="B32:G32"/>
    <mergeCell ref="B37:G37"/>
    <mergeCell ref="B12:G12"/>
    <mergeCell ref="B11:G11"/>
    <mergeCell ref="B38:G39"/>
    <mergeCell ref="C67:G67"/>
  </mergeCells>
  <phoneticPr fontId="25" type="noConversion"/>
  <conditionalFormatting sqref="B86:G118">
    <cfRule type="expression" dxfId="0" priority="1">
      <formula>$C$84="No"</formula>
    </cfRule>
  </conditionalFormatting>
  <hyperlinks>
    <hyperlink ref="E2" location="Instructions!B37" display="Back to Instructions tab" xr:uid="{35073CAA-A1BE-421D-9EE1-7CC578E64FDD}"/>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B6326785-9231-4530-AEE4-CEA30FAEEFD1}">
          <x14:formula1>
            <xm:f>'Drop-downs'!$B$33:$B$34</xm:f>
          </x14:formula1>
          <xm:sqref>C84 C14</xm:sqref>
        </x14:dataValidation>
        <x14:dataValidation type="list" allowBlank="1" showInputMessage="1" showErrorMessage="1" xr:uid="{E94568D5-D376-494F-B1C1-C48892834020}">
          <x14:formula1>
            <xm:f>'Drop-downs'!$B$131:$B$134</xm:f>
          </x14:formula1>
          <xm:sqref>C65</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C6C0C-5527-4146-86F8-242A7B071BB4}">
  <sheetPr>
    <tabColor rgb="FF0070C0"/>
  </sheetPr>
  <dimension ref="A1:L59"/>
  <sheetViews>
    <sheetView showGridLines="0" zoomScale="80" zoomScaleNormal="80" workbookViewId="0">
      <selection activeCell="C14" sqref="C14"/>
    </sheetView>
  </sheetViews>
  <sheetFormatPr defaultColWidth="9.140625" defaultRowHeight="18" customHeight="1" x14ac:dyDescent="0.3"/>
  <cols>
    <col min="1" max="1" width="9.140625" style="141"/>
    <col min="2" max="2" width="47" style="141" customWidth="1"/>
    <col min="3" max="3" width="44.42578125" style="141" customWidth="1"/>
    <col min="4" max="4" width="28.140625" style="141" customWidth="1"/>
    <col min="5" max="5" width="25.140625" style="141" bestFit="1" customWidth="1"/>
    <col min="6" max="6" width="27.42578125" style="141" customWidth="1"/>
    <col min="7" max="7" width="22.85546875" style="141" customWidth="1"/>
    <col min="8" max="8" width="24.42578125" style="141" customWidth="1"/>
    <col min="9" max="9" width="23.7109375" style="183" customWidth="1"/>
    <col min="10" max="10" width="20" style="141" customWidth="1"/>
    <col min="11" max="11" width="17.28515625" style="141" customWidth="1"/>
    <col min="12" max="12" width="4.42578125" style="141" customWidth="1"/>
    <col min="13" max="16384" width="9.140625" style="141"/>
  </cols>
  <sheetData>
    <row r="1" spans="2:12" ht="18" customHeight="1" thickBot="1" x14ac:dyDescent="0.35">
      <c r="L1" s="142"/>
    </row>
    <row r="2" spans="2:12" ht="18" customHeight="1" thickBot="1" x14ac:dyDescent="0.35">
      <c r="B2" s="752" t="str">
        <f>'Version Control'!$B$2</f>
        <v>Title Block</v>
      </c>
      <c r="C2" s="936"/>
      <c r="L2" s="142"/>
    </row>
    <row r="3" spans="2:12" ht="18" customHeight="1" x14ac:dyDescent="0.3">
      <c r="B3" s="143" t="str">
        <f>'Version Control'!$B$3</f>
        <v>Test Report Template Name:</v>
      </c>
      <c r="C3" s="144" t="str">
        <f>'Version Control'!C3</f>
        <v>Electric Motors</v>
      </c>
      <c r="G3" s="158" t="s">
        <v>37</v>
      </c>
      <c r="L3" s="142"/>
    </row>
    <row r="4" spans="2:12" ht="18" customHeight="1" x14ac:dyDescent="0.3">
      <c r="B4" s="145" t="str">
        <f>'Version Control'!$B$4</f>
        <v>Version Number:</v>
      </c>
      <c r="C4" s="146" t="str">
        <f>'Version Control'!C4</f>
        <v>v1.0</v>
      </c>
      <c r="L4" s="142"/>
    </row>
    <row r="5" spans="2:12" ht="18" customHeight="1" x14ac:dyDescent="0.3">
      <c r="B5" s="145" t="str">
        <f>'Version Control'!$B$5</f>
        <v xml:space="preserve">Latest Template Revision: </v>
      </c>
      <c r="C5" s="147">
        <f>'Version Control'!C5</f>
        <v>45567</v>
      </c>
      <c r="L5" s="142"/>
    </row>
    <row r="6" spans="2:12" ht="18" customHeight="1" x14ac:dyDescent="0.3">
      <c r="B6" s="145" t="str">
        <f>'Version Control'!$B$6</f>
        <v>Tab Name:</v>
      </c>
      <c r="C6" s="148" t="str">
        <f ca="1">MID(CELL("filename",A1), FIND("]", CELL("filename", A1))+ 1, 255)</f>
        <v>IEC 61800-9-2</v>
      </c>
      <c r="L6" s="142"/>
    </row>
    <row r="7" spans="2:12" ht="36" customHeight="1" x14ac:dyDescent="0.3">
      <c r="B7" s="104" t="str">
        <f>'Version Control'!$B$7</f>
        <v>File Name:</v>
      </c>
      <c r="C7" s="149" t="str">
        <f ca="1">'Version Control'!C7</f>
        <v>Electric Motors -  v1.0.xlsx</v>
      </c>
      <c r="L7" s="142"/>
    </row>
    <row r="8" spans="2:12" ht="16.5" x14ac:dyDescent="0.3">
      <c r="B8" s="150" t="s">
        <v>42</v>
      </c>
      <c r="C8" s="151" t="str">
        <f>'General Info &amp; Test Results'!C17</f>
        <v>[MM/DD/YYYY]</v>
      </c>
      <c r="L8" s="142"/>
    </row>
    <row r="9" spans="2:12" ht="18" customHeight="1" thickBot="1" x14ac:dyDescent="0.35">
      <c r="B9" s="152" t="str">
        <f>'Version Control'!$B$9</f>
        <v>Date Test Finished:</v>
      </c>
      <c r="C9" s="153" t="str">
        <f>'Version Control'!C9</f>
        <v>[MM/DD/YYYY]</v>
      </c>
      <c r="L9" s="142"/>
    </row>
    <row r="10" spans="2:12" ht="18" customHeight="1" thickBot="1" x14ac:dyDescent="0.35">
      <c r="B10" s="154"/>
      <c r="C10" s="155"/>
      <c r="L10" s="142"/>
    </row>
    <row r="11" spans="2:12" s="22" customFormat="1" thickBot="1" x14ac:dyDescent="0.4">
      <c r="B11" s="808" t="s">
        <v>586</v>
      </c>
      <c r="C11" s="809"/>
      <c r="D11" s="809"/>
      <c r="E11" s="809"/>
      <c r="F11" s="809"/>
      <c r="G11" s="809"/>
      <c r="H11" s="809"/>
      <c r="I11" s="809"/>
      <c r="J11" s="810"/>
      <c r="L11" s="23"/>
    </row>
    <row r="12" spans="2:12" s="22" customFormat="1" ht="77.099999999999994" customHeight="1" thickBot="1" x14ac:dyDescent="0.35">
      <c r="B12" s="937" t="s">
        <v>596</v>
      </c>
      <c r="C12" s="938"/>
      <c r="D12" s="938"/>
      <c r="E12" s="938"/>
      <c r="F12" s="938"/>
      <c r="G12" s="938"/>
      <c r="H12" s="938"/>
      <c r="I12" s="938"/>
      <c r="J12" s="939"/>
      <c r="L12" s="23"/>
    </row>
    <row r="13" spans="2:12" s="22" customFormat="1" ht="18.95" customHeight="1" x14ac:dyDescent="0.3">
      <c r="B13" s="487"/>
      <c r="C13" s="488"/>
      <c r="D13" s="488"/>
      <c r="E13" s="488"/>
      <c r="F13" s="488"/>
      <c r="G13" s="488"/>
      <c r="H13" s="488"/>
      <c r="L13" s="23"/>
    </row>
    <row r="14" spans="2:12" s="22" customFormat="1" ht="31.5" customHeight="1" x14ac:dyDescent="0.3">
      <c r="B14" s="489" t="s">
        <v>587</v>
      </c>
      <c r="C14" s="605"/>
      <c r="D14" s="488"/>
      <c r="E14" s="488"/>
      <c r="F14" s="488"/>
      <c r="G14" s="488"/>
      <c r="H14" s="488"/>
      <c r="L14" s="23"/>
    </row>
    <row r="15" spans="2:12" s="22" customFormat="1" ht="21.6" customHeight="1" thickBot="1" x14ac:dyDescent="0.7">
      <c r="B15" s="484"/>
      <c r="C15" s="485"/>
      <c r="D15" s="208"/>
      <c r="E15" s="208"/>
      <c r="F15" s="208"/>
      <c r="G15" s="208"/>
      <c r="H15" s="208"/>
      <c r="I15" s="208"/>
      <c r="J15" s="208"/>
      <c r="L15" s="23"/>
    </row>
    <row r="16" spans="2:12" ht="18" customHeight="1" thickBot="1" x14ac:dyDescent="0.4">
      <c r="B16" s="808" t="s">
        <v>181</v>
      </c>
      <c r="C16" s="808"/>
      <c r="D16" s="808"/>
      <c r="E16" s="808"/>
      <c r="F16" s="808"/>
      <c r="G16" s="808"/>
      <c r="H16" s="808"/>
      <c r="I16" s="808"/>
      <c r="J16" s="844"/>
      <c r="L16" s="142"/>
    </row>
    <row r="17" spans="2:12" ht="38.450000000000003" customHeight="1" thickBot="1" x14ac:dyDescent="0.35">
      <c r="B17" s="811" t="s">
        <v>618</v>
      </c>
      <c r="C17" s="811"/>
      <c r="D17" s="811"/>
      <c r="E17" s="811"/>
      <c r="F17" s="811"/>
      <c r="G17" s="811"/>
      <c r="H17" s="811"/>
      <c r="I17" s="811"/>
      <c r="J17" s="845"/>
      <c r="L17" s="142"/>
    </row>
    <row r="18" spans="2:12" ht="18" customHeight="1" thickBot="1" x14ac:dyDescent="0.35">
      <c r="B18" s="154"/>
      <c r="C18" s="155"/>
      <c r="L18" s="142"/>
    </row>
    <row r="19" spans="2:12" ht="18" customHeight="1" thickBot="1" x14ac:dyDescent="0.4">
      <c r="B19" s="818" t="s">
        <v>183</v>
      </c>
      <c r="C19" s="819"/>
      <c r="D19" s="819"/>
      <c r="E19" s="819"/>
      <c r="F19" s="819"/>
      <c r="G19" s="819"/>
      <c r="H19" s="819"/>
      <c r="I19" s="819"/>
      <c r="J19" s="820"/>
      <c r="L19" s="142"/>
    </row>
    <row r="20" spans="2:12" ht="18" customHeight="1" x14ac:dyDescent="0.3">
      <c r="B20" s="402" t="s">
        <v>69</v>
      </c>
      <c r="C20" s="245" t="s">
        <v>70</v>
      </c>
      <c r="D20" s="186"/>
      <c r="E20" s="186"/>
      <c r="F20" s="186"/>
      <c r="G20" s="186"/>
      <c r="H20" s="186"/>
      <c r="I20" s="185"/>
      <c r="J20" s="195"/>
      <c r="L20" s="142"/>
    </row>
    <row r="21" spans="2:12" ht="18" customHeight="1" x14ac:dyDescent="0.3">
      <c r="B21" s="212" t="s">
        <v>567</v>
      </c>
      <c r="C21" s="533">
        <f>'General Info &amp; Test Results'!C50*0.7457</f>
        <v>0</v>
      </c>
      <c r="D21" s="186"/>
      <c r="E21" s="186"/>
      <c r="F21" s="186"/>
      <c r="G21" s="186"/>
      <c r="H21" s="186"/>
      <c r="I21" s="185"/>
      <c r="J21" s="195"/>
      <c r="L21" s="142"/>
    </row>
    <row r="22" spans="2:12" ht="18" customHeight="1" x14ac:dyDescent="0.3">
      <c r="B22" s="466" t="s">
        <v>643</v>
      </c>
      <c r="C22" s="467">
        <f>'General Info &amp; Test Results'!C53</f>
        <v>0</v>
      </c>
      <c r="D22" s="186"/>
      <c r="E22" s="186"/>
      <c r="F22" s="186"/>
      <c r="G22" s="186"/>
      <c r="H22" s="186"/>
      <c r="I22" s="185"/>
      <c r="J22" s="195"/>
      <c r="L22" s="142"/>
    </row>
    <row r="23" spans="2:12" ht="18" customHeight="1" thickBot="1" x14ac:dyDescent="0.35">
      <c r="B23" s="321" t="s">
        <v>584</v>
      </c>
      <c r="C23" s="348">
        <f>IFERROR(9549*C21/C22, 0)</f>
        <v>0</v>
      </c>
      <c r="D23" s="248"/>
      <c r="E23" s="248"/>
      <c r="F23" s="248"/>
      <c r="G23" s="248"/>
      <c r="H23" s="248"/>
      <c r="I23" s="326"/>
      <c r="J23" s="249"/>
      <c r="K23" s="186"/>
      <c r="L23" s="142"/>
    </row>
    <row r="24" spans="2:12" ht="18" customHeight="1" thickBot="1" x14ac:dyDescent="0.35">
      <c r="B24" s="30"/>
      <c r="C24" s="31"/>
      <c r="L24" s="142"/>
    </row>
    <row r="25" spans="2:12" ht="18" customHeight="1" thickBot="1" x14ac:dyDescent="0.4">
      <c r="B25" s="818" t="s">
        <v>540</v>
      </c>
      <c r="C25" s="818"/>
      <c r="D25" s="818"/>
      <c r="E25" s="818"/>
      <c r="F25" s="818"/>
      <c r="G25" s="818"/>
      <c r="H25" s="818"/>
      <c r="I25" s="818"/>
      <c r="J25" s="862"/>
      <c r="L25" s="142"/>
    </row>
    <row r="26" spans="2:12" ht="44.45" customHeight="1" x14ac:dyDescent="0.3">
      <c r="B26" s="934" t="s">
        <v>558</v>
      </c>
      <c r="C26" s="935"/>
      <c r="D26" s="935"/>
      <c r="E26" s="935"/>
      <c r="F26" s="935"/>
      <c r="G26" s="324"/>
      <c r="H26" s="324"/>
      <c r="I26" s="341"/>
      <c r="J26" s="325"/>
      <c r="L26" s="142"/>
    </row>
    <row r="27" spans="2:12" ht="20.100000000000001" customHeight="1" x14ac:dyDescent="0.35">
      <c r="B27" s="218" t="s">
        <v>185</v>
      </c>
      <c r="C27" s="403" t="s">
        <v>556</v>
      </c>
      <c r="D27" s="403" t="s">
        <v>557</v>
      </c>
      <c r="E27" s="160"/>
      <c r="F27" s="160"/>
      <c r="G27" s="160"/>
      <c r="H27" s="160"/>
      <c r="I27" s="160"/>
      <c r="J27" s="60"/>
      <c r="K27"/>
      <c r="L27" s="142"/>
    </row>
    <row r="28" spans="2:12" ht="18" customHeight="1" x14ac:dyDescent="0.3">
      <c r="B28" s="90">
        <v>1</v>
      </c>
      <c r="C28" s="463">
        <f>C23</f>
        <v>0</v>
      </c>
      <c r="D28" s="463">
        <f>C22</f>
        <v>0</v>
      </c>
      <c r="E28" s="160"/>
      <c r="F28" s="160"/>
      <c r="G28" s="160"/>
      <c r="H28" s="160"/>
      <c r="I28" s="160"/>
      <c r="J28" s="60"/>
      <c r="K28"/>
      <c r="L28" s="142"/>
    </row>
    <row r="29" spans="2:12" ht="18" customHeight="1" x14ac:dyDescent="0.3">
      <c r="B29" s="90">
        <v>2</v>
      </c>
      <c r="C29" s="463">
        <f>0.5*C28</f>
        <v>0</v>
      </c>
      <c r="D29" s="463">
        <f>D28</f>
        <v>0</v>
      </c>
      <c r="E29" s="160"/>
      <c r="F29" s="160"/>
      <c r="G29" s="160"/>
      <c r="H29" s="160"/>
      <c r="I29" s="160"/>
      <c r="J29" s="60"/>
      <c r="K29"/>
      <c r="L29" s="142"/>
    </row>
    <row r="30" spans="2:12" ht="18" customHeight="1" x14ac:dyDescent="0.3">
      <c r="B30" s="274">
        <v>3</v>
      </c>
      <c r="C30" s="463">
        <f>0</f>
        <v>0</v>
      </c>
      <c r="D30" s="463">
        <f>D28</f>
        <v>0</v>
      </c>
      <c r="E30" s="160"/>
      <c r="F30" s="160"/>
      <c r="G30" s="160"/>
      <c r="H30" s="160"/>
      <c r="I30" s="160"/>
      <c r="J30" s="60"/>
      <c r="K30"/>
      <c r="L30" s="142"/>
    </row>
    <row r="31" spans="2:12" ht="18" customHeight="1" x14ac:dyDescent="0.3">
      <c r="B31" s="90">
        <v>4</v>
      </c>
      <c r="C31" s="463">
        <f>C28</f>
        <v>0</v>
      </c>
      <c r="D31" s="463">
        <f>0.5*D28</f>
        <v>0</v>
      </c>
      <c r="E31" s="160"/>
      <c r="F31" s="160"/>
      <c r="G31" s="160"/>
      <c r="H31" s="160"/>
      <c r="I31" s="160"/>
      <c r="J31" s="60"/>
      <c r="K31"/>
      <c r="L31" s="142"/>
    </row>
    <row r="32" spans="2:12" ht="18" customHeight="1" x14ac:dyDescent="0.3">
      <c r="B32" s="90">
        <v>5</v>
      </c>
      <c r="C32" s="463">
        <f>0.5*C28</f>
        <v>0</v>
      </c>
      <c r="D32" s="463">
        <f>0.5*D28</f>
        <v>0</v>
      </c>
      <c r="E32" s="160"/>
      <c r="F32" s="160"/>
      <c r="G32" s="160"/>
      <c r="H32" s="160"/>
      <c r="I32" s="160"/>
      <c r="J32" s="60"/>
      <c r="K32"/>
      <c r="L32" s="142"/>
    </row>
    <row r="33" spans="2:12" ht="18" customHeight="1" x14ac:dyDescent="0.3">
      <c r="B33" s="90">
        <v>6</v>
      </c>
      <c r="C33" s="463">
        <f>0</f>
        <v>0</v>
      </c>
      <c r="D33" s="463">
        <f>0.5*D28</f>
        <v>0</v>
      </c>
      <c r="E33" s="160"/>
      <c r="F33" s="160"/>
      <c r="G33" s="160"/>
      <c r="H33" s="160"/>
      <c r="I33" s="160"/>
      <c r="J33" s="60"/>
      <c r="K33"/>
      <c r="L33" s="142"/>
    </row>
    <row r="34" spans="2:12" ht="18" customHeight="1" x14ac:dyDescent="0.3">
      <c r="B34" s="90">
        <v>7</v>
      </c>
      <c r="C34" s="463">
        <f>0.5*C28</f>
        <v>0</v>
      </c>
      <c r="D34" s="463">
        <f>0.25*D28</f>
        <v>0</v>
      </c>
      <c r="E34" s="160"/>
      <c r="F34" s="160"/>
      <c r="G34" s="160"/>
      <c r="H34" s="160"/>
      <c r="I34" s="160"/>
      <c r="J34" s="60"/>
      <c r="K34"/>
      <c r="L34" s="142"/>
    </row>
    <row r="35" spans="2:12" ht="16.5" customHeight="1" x14ac:dyDescent="0.3">
      <c r="B35" s="464">
        <v>8</v>
      </c>
      <c r="C35" s="463">
        <f>0</f>
        <v>0</v>
      </c>
      <c r="D35" s="463">
        <f>0.25*D28</f>
        <v>0</v>
      </c>
      <c r="E35" s="434"/>
      <c r="F35" s="160"/>
      <c r="G35" s="160"/>
      <c r="H35" s="160"/>
      <c r="I35" s="160"/>
      <c r="J35" s="60"/>
      <c r="K35"/>
      <c r="L35" s="142"/>
    </row>
    <row r="36" spans="2:12" ht="27.6" customHeight="1" x14ac:dyDescent="0.35">
      <c r="B36" s="253"/>
      <c r="C36" s="859"/>
      <c r="D36" s="859"/>
      <c r="E36" s="859"/>
      <c r="F36" s="859"/>
      <c r="G36" s="859"/>
      <c r="H36" s="859"/>
      <c r="I36" s="859"/>
      <c r="J36" s="933"/>
      <c r="L36" s="142"/>
    </row>
    <row r="37" spans="2:12" ht="18" customHeight="1" x14ac:dyDescent="0.35">
      <c r="B37" s="448"/>
      <c r="C37" s="863" t="s">
        <v>185</v>
      </c>
      <c r="D37" s="863"/>
      <c r="E37" s="863"/>
      <c r="F37" s="863"/>
      <c r="G37" s="863"/>
      <c r="H37" s="863"/>
      <c r="I37" s="863"/>
      <c r="J37" s="884"/>
      <c r="L37" s="142"/>
    </row>
    <row r="38" spans="2:12" ht="18" customHeight="1" x14ac:dyDescent="0.35">
      <c r="B38" s="218" t="s">
        <v>69</v>
      </c>
      <c r="C38" s="242">
        <v>1</v>
      </c>
      <c r="D38" s="242">
        <v>2</v>
      </c>
      <c r="E38" s="243">
        <v>3</v>
      </c>
      <c r="F38" s="242">
        <v>4</v>
      </c>
      <c r="G38" s="242">
        <v>5</v>
      </c>
      <c r="H38" s="242">
        <v>6</v>
      </c>
      <c r="I38" s="340">
        <v>7</v>
      </c>
      <c r="J38" s="169">
        <v>8</v>
      </c>
      <c r="L38" s="142"/>
    </row>
    <row r="39" spans="2:12" ht="18" customHeight="1" x14ac:dyDescent="0.3">
      <c r="B39" s="200" t="s">
        <v>273</v>
      </c>
      <c r="C39" s="606"/>
      <c r="D39" s="606"/>
      <c r="E39" s="606"/>
      <c r="F39" s="606"/>
      <c r="G39" s="606"/>
      <c r="H39" s="606"/>
      <c r="I39" s="606"/>
      <c r="J39" s="609"/>
      <c r="L39" s="142"/>
    </row>
    <row r="40" spans="2:12" ht="18" customHeight="1" x14ac:dyDescent="0.3">
      <c r="B40" s="200" t="s">
        <v>274</v>
      </c>
      <c r="C40" s="606"/>
      <c r="D40" s="606"/>
      <c r="E40" s="606"/>
      <c r="F40" s="606"/>
      <c r="G40" s="606"/>
      <c r="H40" s="606"/>
      <c r="I40" s="606"/>
      <c r="J40" s="609"/>
      <c r="L40" s="142"/>
    </row>
    <row r="41" spans="2:12" s="22" customFormat="1" ht="18" customHeight="1" x14ac:dyDescent="0.3">
      <c r="B41" s="200" t="s">
        <v>201</v>
      </c>
      <c r="C41" s="629"/>
      <c r="D41" s="614"/>
      <c r="E41" s="619"/>
      <c r="F41" s="614"/>
      <c r="G41" s="614"/>
      <c r="H41" s="614"/>
      <c r="I41" s="614"/>
      <c r="J41" s="628"/>
      <c r="L41" s="23"/>
    </row>
    <row r="42" spans="2:12" ht="18" customHeight="1" x14ac:dyDescent="0.3">
      <c r="B42" s="200" t="s">
        <v>562</v>
      </c>
      <c r="C42" s="614"/>
      <c r="D42" s="614"/>
      <c r="E42" s="619"/>
      <c r="F42" s="614"/>
      <c r="G42" s="614"/>
      <c r="H42" s="606"/>
      <c r="I42" s="606"/>
      <c r="J42" s="628"/>
      <c r="L42" s="142"/>
    </row>
    <row r="43" spans="2:12" ht="18" customHeight="1" x14ac:dyDescent="0.3">
      <c r="B43" s="200" t="s">
        <v>464</v>
      </c>
      <c r="C43" s="614"/>
      <c r="D43" s="614"/>
      <c r="E43" s="619"/>
      <c r="F43" s="614"/>
      <c r="G43" s="614"/>
      <c r="H43" s="606"/>
      <c r="I43" s="606"/>
      <c r="J43" s="628"/>
      <c r="L43" s="142"/>
    </row>
    <row r="44" spans="2:12" ht="18" customHeight="1" x14ac:dyDescent="0.3">
      <c r="B44" s="200" t="s">
        <v>275</v>
      </c>
      <c r="C44" s="614"/>
      <c r="D44" s="614"/>
      <c r="E44" s="619"/>
      <c r="F44" s="614"/>
      <c r="G44" s="614"/>
      <c r="H44" s="606"/>
      <c r="I44" s="606"/>
      <c r="J44" s="628"/>
      <c r="L44" s="142"/>
    </row>
    <row r="45" spans="2:12" ht="18" customHeight="1" x14ac:dyDescent="0.3">
      <c r="B45" s="200" t="s">
        <v>560</v>
      </c>
      <c r="C45" s="606"/>
      <c r="D45" s="606"/>
      <c r="E45" s="606"/>
      <c r="F45" s="606"/>
      <c r="G45" s="606"/>
      <c r="H45" s="606"/>
      <c r="I45" s="606"/>
      <c r="J45" s="609"/>
      <c r="L45" s="142"/>
    </row>
    <row r="46" spans="2:12" ht="18" customHeight="1" x14ac:dyDescent="0.3">
      <c r="B46" s="465" t="s">
        <v>202</v>
      </c>
      <c r="C46" s="614"/>
      <c r="D46" s="614"/>
      <c r="E46" s="619"/>
      <c r="F46" s="614"/>
      <c r="G46" s="614"/>
      <c r="H46" s="614"/>
      <c r="I46" s="614"/>
      <c r="J46" s="628"/>
      <c r="L46" s="142"/>
    </row>
    <row r="47" spans="2:12" ht="18" customHeight="1" x14ac:dyDescent="0.3">
      <c r="B47" s="200" t="s">
        <v>564</v>
      </c>
      <c r="C47" s="720"/>
      <c r="D47" s="629"/>
      <c r="E47" s="721"/>
      <c r="F47" s="629"/>
      <c r="G47" s="629"/>
      <c r="H47" s="629"/>
      <c r="I47" s="629"/>
      <c r="J47" s="722"/>
      <c r="L47" s="142"/>
    </row>
    <row r="48" spans="2:12" ht="18" customHeight="1" x14ac:dyDescent="0.3">
      <c r="B48" s="200" t="s">
        <v>559</v>
      </c>
      <c r="C48" s="629"/>
      <c r="D48" s="629"/>
      <c r="E48" s="721"/>
      <c r="F48" s="629"/>
      <c r="G48" s="629"/>
      <c r="H48" s="629"/>
      <c r="I48" s="629"/>
      <c r="J48" s="722"/>
      <c r="L48" s="142"/>
    </row>
    <row r="49" spans="1:12" ht="18" customHeight="1" x14ac:dyDescent="0.3">
      <c r="B49" s="200" t="s">
        <v>566</v>
      </c>
      <c r="C49" s="343" t="str">
        <f t="shared" ref="C49:J49" si="0">IF(OR(AND($C$21&lt;=90, AND(C48&gt;=50,C48&lt;=200)), AND($C$21&gt;90, AND(C48&gt;=5,C48&lt;=50))), "Yes", "No")</f>
        <v>No</v>
      </c>
      <c r="D49" s="343" t="str">
        <f t="shared" si="0"/>
        <v>No</v>
      </c>
      <c r="E49" s="343" t="str">
        <f t="shared" si="0"/>
        <v>No</v>
      </c>
      <c r="F49" s="343" t="str">
        <f t="shared" si="0"/>
        <v>No</v>
      </c>
      <c r="G49" s="343" t="str">
        <f t="shared" si="0"/>
        <v>No</v>
      </c>
      <c r="H49" s="343" t="str">
        <f t="shared" si="0"/>
        <v>No</v>
      </c>
      <c r="I49" s="343" t="str">
        <f t="shared" si="0"/>
        <v>No</v>
      </c>
      <c r="J49" s="344" t="str">
        <f t="shared" si="0"/>
        <v>No</v>
      </c>
      <c r="L49" s="142"/>
    </row>
    <row r="50" spans="1:12" ht="18" customHeight="1" x14ac:dyDescent="0.3">
      <c r="B50" s="200" t="s">
        <v>539</v>
      </c>
      <c r="C50" s="297">
        <f t="shared" ref="C50:J50" si="1">C40*C39/1000</f>
        <v>0</v>
      </c>
      <c r="D50" s="297">
        <f t="shared" si="1"/>
        <v>0</v>
      </c>
      <c r="E50" s="297">
        <f t="shared" si="1"/>
        <v>0</v>
      </c>
      <c r="F50" s="297">
        <f t="shared" si="1"/>
        <v>0</v>
      </c>
      <c r="G50" s="297">
        <f t="shared" si="1"/>
        <v>0</v>
      </c>
      <c r="H50" s="297">
        <f t="shared" si="1"/>
        <v>0</v>
      </c>
      <c r="I50" s="297">
        <f t="shared" si="1"/>
        <v>0</v>
      </c>
      <c r="J50" s="298">
        <f t="shared" si="1"/>
        <v>0</v>
      </c>
      <c r="L50" s="142"/>
    </row>
    <row r="51" spans="1:12" ht="18" customHeight="1" x14ac:dyDescent="0.3">
      <c r="B51" s="200" t="s">
        <v>641</v>
      </c>
      <c r="C51" s="297" t="str">
        <f>IFERROR((C50/$C$21)*100, " ")</f>
        <v xml:space="preserve"> </v>
      </c>
      <c r="D51" s="297" t="str">
        <f t="shared" ref="D51:J51" si="2">IFERROR((D50/$C$21)*100, " ")</f>
        <v xml:space="preserve"> </v>
      </c>
      <c r="E51" s="297" t="str">
        <f t="shared" si="2"/>
        <v xml:space="preserve"> </v>
      </c>
      <c r="F51" s="297" t="str">
        <f t="shared" si="2"/>
        <v xml:space="preserve"> </v>
      </c>
      <c r="G51" s="297" t="str">
        <f t="shared" si="2"/>
        <v xml:space="preserve"> </v>
      </c>
      <c r="H51" s="297" t="str">
        <f t="shared" si="2"/>
        <v xml:space="preserve"> </v>
      </c>
      <c r="I51" s="297" t="str">
        <f t="shared" si="2"/>
        <v xml:space="preserve"> </v>
      </c>
      <c r="J51" s="297" t="str">
        <f t="shared" si="2"/>
        <v xml:space="preserve"> </v>
      </c>
      <c r="L51" s="142"/>
    </row>
    <row r="52" spans="1:12" ht="18" customHeight="1" x14ac:dyDescent="0.3">
      <c r="B52" s="200" t="s">
        <v>561</v>
      </c>
      <c r="C52" s="297">
        <f t="shared" ref="C52:J52" si="3">C45*C44/9549</f>
        <v>0</v>
      </c>
      <c r="D52" s="297">
        <f t="shared" si="3"/>
        <v>0</v>
      </c>
      <c r="E52" s="297">
        <f t="shared" si="3"/>
        <v>0</v>
      </c>
      <c r="F52" s="297">
        <f t="shared" si="3"/>
        <v>0</v>
      </c>
      <c r="G52" s="297">
        <f t="shared" si="3"/>
        <v>0</v>
      </c>
      <c r="H52" s="297">
        <f t="shared" si="3"/>
        <v>0</v>
      </c>
      <c r="I52" s="297">
        <f t="shared" si="3"/>
        <v>0</v>
      </c>
      <c r="J52" s="298">
        <f t="shared" si="3"/>
        <v>0</v>
      </c>
      <c r="L52" s="142"/>
    </row>
    <row r="53" spans="1:12" ht="18" customHeight="1" x14ac:dyDescent="0.3">
      <c r="B53" s="200" t="s">
        <v>563</v>
      </c>
      <c r="C53" s="297">
        <f t="shared" ref="C53:J53" si="4">C50-C52</f>
        <v>0</v>
      </c>
      <c r="D53" s="297">
        <f t="shared" si="4"/>
        <v>0</v>
      </c>
      <c r="E53" s="297">
        <f t="shared" si="4"/>
        <v>0</v>
      </c>
      <c r="F53" s="297">
        <f t="shared" si="4"/>
        <v>0</v>
      </c>
      <c r="G53" s="297">
        <f t="shared" si="4"/>
        <v>0</v>
      </c>
      <c r="H53" s="297">
        <f t="shared" si="4"/>
        <v>0</v>
      </c>
      <c r="I53" s="297">
        <f t="shared" si="4"/>
        <v>0</v>
      </c>
      <c r="J53" s="298">
        <f t="shared" si="4"/>
        <v>0</v>
      </c>
      <c r="L53" s="142"/>
    </row>
    <row r="54" spans="1:12" ht="18" customHeight="1" x14ac:dyDescent="0.3">
      <c r="B54" s="510" t="s">
        <v>222</v>
      </c>
      <c r="C54" s="297" t="str">
        <f>IFERROR(C52/C50, " ")</f>
        <v xml:space="preserve"> </v>
      </c>
      <c r="D54" s="297" t="str">
        <f t="shared" ref="D54:J54" si="5">IFERROR(D52/D50, " ")</f>
        <v xml:space="preserve"> </v>
      </c>
      <c r="E54" s="297" t="str">
        <f t="shared" si="5"/>
        <v xml:space="preserve"> </v>
      </c>
      <c r="F54" s="297" t="str">
        <f t="shared" si="5"/>
        <v xml:space="preserve"> </v>
      </c>
      <c r="G54" s="297" t="str">
        <f t="shared" si="5"/>
        <v xml:space="preserve"> </v>
      </c>
      <c r="H54" s="297" t="str">
        <f t="shared" si="5"/>
        <v xml:space="preserve"> </v>
      </c>
      <c r="I54" s="297" t="str">
        <f t="shared" si="5"/>
        <v xml:space="preserve"> </v>
      </c>
      <c r="J54" s="297" t="str">
        <f t="shared" si="5"/>
        <v xml:space="preserve"> </v>
      </c>
      <c r="L54" s="142"/>
    </row>
    <row r="55" spans="1:12" ht="18" customHeight="1" x14ac:dyDescent="0.3">
      <c r="B55" s="199"/>
      <c r="C55" s="186"/>
      <c r="D55" s="186"/>
      <c r="E55" s="186"/>
      <c r="F55" s="186"/>
      <c r="G55" s="186"/>
      <c r="H55" s="186"/>
      <c r="I55" s="185"/>
      <c r="J55" s="195"/>
      <c r="L55" s="142"/>
    </row>
    <row r="56" spans="1:12" s="22" customFormat="1" ht="16.5" x14ac:dyDescent="0.3">
      <c r="B56" s="176"/>
      <c r="C56" s="134"/>
      <c r="D56" s="134"/>
      <c r="E56" s="134"/>
      <c r="F56" s="134"/>
      <c r="G56" s="134"/>
      <c r="H56" s="134"/>
      <c r="I56" s="134"/>
      <c r="J56" s="61"/>
      <c r="L56" s="23"/>
    </row>
    <row r="57" spans="1:12" s="22" customFormat="1" ht="63.6" customHeight="1" thickBot="1" x14ac:dyDescent="0.35">
      <c r="B57" s="462" t="s">
        <v>565</v>
      </c>
      <c r="C57" s="931" t="str">
        <f>IF((COUNTIF(C49:J49, "No")+COUNTIF(C46:J46, "&lt;15")+COUNTIF(C46:J46, "&gt;30")+COUNTIF(C47:J47, "&lt;1.35")+COUNTIF(C47:J47, "&lt;1.44"))&gt;=1, "Test conditions unmet - Ensure ambient temp is within 15-30 °C, crest factor is between 1.35-1.44, and short circuit ratio is within specified range at rated output power", "Data is permissible")</f>
        <v>Test conditions unmet - Ensure ambient temp is within 15-30 °C, crest factor is between 1.35-1.44, and short circuit ratio is within specified range at rated output power</v>
      </c>
      <c r="D57" s="932"/>
      <c r="E57" s="932"/>
      <c r="F57" s="257"/>
      <c r="G57" s="257"/>
      <c r="H57" s="257"/>
      <c r="I57" s="257"/>
      <c r="J57" s="258"/>
      <c r="L57" s="23"/>
    </row>
    <row r="58" spans="1:12" ht="18" customHeight="1" x14ac:dyDescent="0.3">
      <c r="L58" s="142"/>
    </row>
    <row r="59" spans="1:12" ht="18" customHeight="1" x14ac:dyDescent="0.3">
      <c r="A59" s="142"/>
      <c r="B59" s="142"/>
      <c r="C59" s="142"/>
      <c r="D59" s="142"/>
      <c r="E59" s="142"/>
      <c r="F59" s="142"/>
      <c r="G59" s="142"/>
      <c r="H59" s="142"/>
      <c r="I59" s="142"/>
      <c r="J59" s="142"/>
      <c r="K59" s="142"/>
      <c r="L59" s="142"/>
    </row>
  </sheetData>
  <sheetProtection algorithmName="SHA-512" hashValue="kxBO33KvaxlItfyGmfVWYA7PmKIAXb9l0y/TNIhY6KKE47jyBEZF7xiYQrLLEbH0ogzB1/PqBZ3axuHZOgwZ0A==" saltValue="CGC44dV2KRuCQ7rOrqkBFg==" spinCount="100000" sheet="1" selectLockedCells="1"/>
  <mergeCells count="11">
    <mergeCell ref="C57:E57"/>
    <mergeCell ref="C37:J37"/>
    <mergeCell ref="C36:J36"/>
    <mergeCell ref="B26:F26"/>
    <mergeCell ref="B2:C2"/>
    <mergeCell ref="B25:J25"/>
    <mergeCell ref="B19:J19"/>
    <mergeCell ref="B16:J16"/>
    <mergeCell ref="B17:J17"/>
    <mergeCell ref="B12:J12"/>
    <mergeCell ref="B11:J11"/>
  </mergeCells>
  <hyperlinks>
    <hyperlink ref="G3" location="Instructions!B37" display="Back to Instructions tab" xr:uid="{648157C3-3BBE-4FB5-8A02-AB2024107D44}"/>
  </hyperlink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420FD5-989C-40F3-8D50-E7CA37199100}">
          <x14:formula1>
            <xm:f>'Drop-downs'!$B$33:$B$34</xm:f>
          </x14:formula1>
          <xm:sqref>C14</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I123"/>
  <sheetViews>
    <sheetView showGridLines="0" zoomScale="80" zoomScaleNormal="80" workbookViewId="0">
      <selection activeCell="B13" sqref="B13:G32"/>
    </sheetView>
  </sheetViews>
  <sheetFormatPr defaultColWidth="9.140625" defaultRowHeight="18" customHeight="1" x14ac:dyDescent="0.3"/>
  <cols>
    <col min="1" max="1" width="9.140625" style="141"/>
    <col min="2" max="2" width="30.7109375" style="141" bestFit="1" customWidth="1"/>
    <col min="3" max="3" width="57.7109375" style="141" bestFit="1" customWidth="1"/>
    <col min="4" max="4" width="9.140625" style="141"/>
    <col min="5" max="5" width="25.140625" style="141" bestFit="1" customWidth="1"/>
    <col min="6" max="6" width="47.42578125" style="141" customWidth="1"/>
    <col min="7" max="8" width="9.140625" style="141"/>
    <col min="9" max="9" width="2.7109375" style="141" customWidth="1"/>
    <col min="10" max="16384" width="9.140625" style="141"/>
  </cols>
  <sheetData>
    <row r="1" spans="2:9" ht="18" customHeight="1" thickBot="1" x14ac:dyDescent="0.35">
      <c r="I1" s="142"/>
    </row>
    <row r="2" spans="2:9" ht="18" customHeight="1" thickBot="1" x14ac:dyDescent="0.35">
      <c r="B2" s="752" t="str">
        <f>'Version Control'!$B$2</f>
        <v>Title Block</v>
      </c>
      <c r="C2" s="753"/>
      <c r="E2" s="158" t="s">
        <v>37</v>
      </c>
      <c r="I2" s="142"/>
    </row>
    <row r="3" spans="2:9" ht="18" customHeight="1" x14ac:dyDescent="0.3">
      <c r="B3" s="143" t="str">
        <f>'Version Control'!$B$3</f>
        <v>Test Report Template Name:</v>
      </c>
      <c r="C3" s="144" t="str">
        <f>'Version Control'!C3</f>
        <v>Electric Motors</v>
      </c>
      <c r="I3" s="142"/>
    </row>
    <row r="4" spans="2:9" ht="18" customHeight="1" x14ac:dyDescent="0.3">
      <c r="B4" s="145" t="str">
        <f>'Version Control'!$B$4</f>
        <v>Version Number:</v>
      </c>
      <c r="C4" s="146" t="str">
        <f>'Version Control'!C4</f>
        <v>v1.0</v>
      </c>
      <c r="I4" s="142"/>
    </row>
    <row r="5" spans="2:9" ht="18" customHeight="1" x14ac:dyDescent="0.3">
      <c r="B5" s="145" t="str">
        <f>'Version Control'!$B$5</f>
        <v xml:space="preserve">Latest Template Revision: </v>
      </c>
      <c r="C5" s="147">
        <f>'Version Control'!C5</f>
        <v>45567</v>
      </c>
      <c r="I5" s="142"/>
    </row>
    <row r="6" spans="2:9" ht="18" customHeight="1" x14ac:dyDescent="0.3">
      <c r="B6" s="145" t="str">
        <f>'Version Control'!$B$6</f>
        <v>Tab Name:</v>
      </c>
      <c r="C6" s="148" t="str">
        <f ca="1">MID(CELL("filename",A1), FIND("]", CELL("filename", A1))+ 1, 255)</f>
        <v>Photos</v>
      </c>
      <c r="I6" s="142"/>
    </row>
    <row r="7" spans="2:9" ht="36" customHeight="1" x14ac:dyDescent="0.3">
      <c r="B7" s="104" t="str">
        <f>'Version Control'!$B$7</f>
        <v>File Name:</v>
      </c>
      <c r="C7" s="149" t="str">
        <f ca="1">'Version Control'!C7</f>
        <v>Electric Motors -  v1.0.xlsx</v>
      </c>
      <c r="I7" s="142"/>
    </row>
    <row r="8" spans="2:9" ht="16.5" x14ac:dyDescent="0.3">
      <c r="B8" s="150" t="s">
        <v>42</v>
      </c>
      <c r="C8" s="151" t="str">
        <f>'General Info &amp; Test Results'!C17</f>
        <v>[MM/DD/YYYY]</v>
      </c>
      <c r="I8" s="142"/>
    </row>
    <row r="9" spans="2:9" ht="18" customHeight="1" thickBot="1" x14ac:dyDescent="0.35">
      <c r="B9" s="152" t="str">
        <f>'Version Control'!$B$9</f>
        <v>Date Test Finished:</v>
      </c>
      <c r="C9" s="153" t="str">
        <f>'Version Control'!C9</f>
        <v>[MM/DD/YYYY]</v>
      </c>
      <c r="I9" s="142"/>
    </row>
    <row r="10" spans="2:9" ht="18" customHeight="1" x14ac:dyDescent="0.3">
      <c r="B10" s="154"/>
      <c r="C10" s="155"/>
      <c r="I10" s="142"/>
    </row>
    <row r="11" spans="2:9" ht="18" customHeight="1" thickBot="1" x14ac:dyDescent="0.35">
      <c r="B11" s="154"/>
      <c r="C11" s="155"/>
      <c r="I11" s="142"/>
    </row>
    <row r="12" spans="2:9" ht="18" customHeight="1" thickBot="1" x14ac:dyDescent="0.35">
      <c r="B12" s="949" t="s">
        <v>646</v>
      </c>
      <c r="C12" s="950"/>
      <c r="D12" s="950"/>
      <c r="E12" s="950"/>
      <c r="F12" s="950"/>
      <c r="G12" s="951"/>
      <c r="I12" s="142"/>
    </row>
    <row r="13" spans="2:9" ht="18" customHeight="1" x14ac:dyDescent="0.3">
      <c r="B13" s="940"/>
      <c r="C13" s="941"/>
      <c r="D13" s="941"/>
      <c r="E13" s="941"/>
      <c r="F13" s="941"/>
      <c r="G13" s="942"/>
      <c r="I13" s="142"/>
    </row>
    <row r="14" spans="2:9" ht="18" customHeight="1" x14ac:dyDescent="0.3">
      <c r="B14" s="943"/>
      <c r="C14" s="944"/>
      <c r="D14" s="944"/>
      <c r="E14" s="944"/>
      <c r="F14" s="944"/>
      <c r="G14" s="945"/>
      <c r="I14" s="142"/>
    </row>
    <row r="15" spans="2:9" ht="18" customHeight="1" x14ac:dyDescent="0.3">
      <c r="B15" s="943"/>
      <c r="C15" s="944"/>
      <c r="D15" s="944"/>
      <c r="E15" s="944"/>
      <c r="F15" s="944"/>
      <c r="G15" s="945"/>
      <c r="I15" s="142"/>
    </row>
    <row r="16" spans="2:9" ht="18" customHeight="1" x14ac:dyDescent="0.3">
      <c r="B16" s="943"/>
      <c r="C16" s="944"/>
      <c r="D16" s="944"/>
      <c r="E16" s="944"/>
      <c r="F16" s="944"/>
      <c r="G16" s="945"/>
      <c r="I16" s="142"/>
    </row>
    <row r="17" spans="2:9" ht="18" customHeight="1" x14ac:dyDescent="0.3">
      <c r="B17" s="943"/>
      <c r="C17" s="944"/>
      <c r="D17" s="944"/>
      <c r="E17" s="944"/>
      <c r="F17" s="944"/>
      <c r="G17" s="945"/>
      <c r="I17" s="142"/>
    </row>
    <row r="18" spans="2:9" ht="18" customHeight="1" x14ac:dyDescent="0.3">
      <c r="B18" s="943"/>
      <c r="C18" s="944"/>
      <c r="D18" s="944"/>
      <c r="E18" s="944"/>
      <c r="F18" s="944"/>
      <c r="G18" s="945"/>
      <c r="I18" s="142"/>
    </row>
    <row r="19" spans="2:9" ht="18" customHeight="1" x14ac:dyDescent="0.3">
      <c r="B19" s="943"/>
      <c r="C19" s="944"/>
      <c r="D19" s="944"/>
      <c r="E19" s="944"/>
      <c r="F19" s="944"/>
      <c r="G19" s="945"/>
      <c r="I19" s="142"/>
    </row>
    <row r="20" spans="2:9" ht="18" customHeight="1" x14ac:dyDescent="0.3">
      <c r="B20" s="943"/>
      <c r="C20" s="944"/>
      <c r="D20" s="944"/>
      <c r="E20" s="944"/>
      <c r="F20" s="944"/>
      <c r="G20" s="945"/>
      <c r="I20" s="142"/>
    </row>
    <row r="21" spans="2:9" ht="18" customHeight="1" x14ac:dyDescent="0.3">
      <c r="B21" s="943"/>
      <c r="C21" s="944"/>
      <c r="D21" s="944"/>
      <c r="E21" s="944"/>
      <c r="F21" s="944"/>
      <c r="G21" s="945"/>
      <c r="I21" s="142"/>
    </row>
    <row r="22" spans="2:9" ht="18" customHeight="1" x14ac:dyDescent="0.3">
      <c r="B22" s="943"/>
      <c r="C22" s="944"/>
      <c r="D22" s="944"/>
      <c r="E22" s="944"/>
      <c r="F22" s="944"/>
      <c r="G22" s="945"/>
      <c r="I22" s="142"/>
    </row>
    <row r="23" spans="2:9" ht="18" customHeight="1" x14ac:dyDescent="0.3">
      <c r="B23" s="943"/>
      <c r="C23" s="944"/>
      <c r="D23" s="944"/>
      <c r="E23" s="944"/>
      <c r="F23" s="944"/>
      <c r="G23" s="945"/>
      <c r="I23" s="142"/>
    </row>
    <row r="24" spans="2:9" ht="18" customHeight="1" x14ac:dyDescent="0.3">
      <c r="B24" s="943"/>
      <c r="C24" s="944"/>
      <c r="D24" s="944"/>
      <c r="E24" s="944"/>
      <c r="F24" s="944"/>
      <c r="G24" s="945"/>
      <c r="I24" s="142"/>
    </row>
    <row r="25" spans="2:9" ht="18" customHeight="1" x14ac:dyDescent="0.3">
      <c r="B25" s="943"/>
      <c r="C25" s="944"/>
      <c r="D25" s="944"/>
      <c r="E25" s="944"/>
      <c r="F25" s="944"/>
      <c r="G25" s="945"/>
      <c r="I25" s="142"/>
    </row>
    <row r="26" spans="2:9" ht="18" customHeight="1" x14ac:dyDescent="0.3">
      <c r="B26" s="943"/>
      <c r="C26" s="944"/>
      <c r="D26" s="944"/>
      <c r="E26" s="944"/>
      <c r="F26" s="944"/>
      <c r="G26" s="945"/>
      <c r="I26" s="142"/>
    </row>
    <row r="27" spans="2:9" ht="18" customHeight="1" x14ac:dyDescent="0.3">
      <c r="B27" s="943"/>
      <c r="C27" s="944"/>
      <c r="D27" s="944"/>
      <c r="E27" s="944"/>
      <c r="F27" s="944"/>
      <c r="G27" s="945"/>
      <c r="I27" s="142"/>
    </row>
    <row r="28" spans="2:9" ht="18" customHeight="1" x14ac:dyDescent="0.3">
      <c r="B28" s="943"/>
      <c r="C28" s="944"/>
      <c r="D28" s="944"/>
      <c r="E28" s="944"/>
      <c r="F28" s="944"/>
      <c r="G28" s="945"/>
      <c r="I28" s="142"/>
    </row>
    <row r="29" spans="2:9" ht="18" customHeight="1" x14ac:dyDescent="0.3">
      <c r="B29" s="943"/>
      <c r="C29" s="944"/>
      <c r="D29" s="944"/>
      <c r="E29" s="944"/>
      <c r="F29" s="944"/>
      <c r="G29" s="945"/>
      <c r="I29" s="142"/>
    </row>
    <row r="30" spans="2:9" ht="18" customHeight="1" x14ac:dyDescent="0.3">
      <c r="B30" s="943"/>
      <c r="C30" s="944"/>
      <c r="D30" s="944"/>
      <c r="E30" s="944"/>
      <c r="F30" s="944"/>
      <c r="G30" s="945"/>
      <c r="I30" s="142"/>
    </row>
    <row r="31" spans="2:9" ht="18" customHeight="1" x14ac:dyDescent="0.3">
      <c r="B31" s="943"/>
      <c r="C31" s="944"/>
      <c r="D31" s="944"/>
      <c r="E31" s="944"/>
      <c r="F31" s="944"/>
      <c r="G31" s="945"/>
      <c r="I31" s="142"/>
    </row>
    <row r="32" spans="2:9" ht="18" customHeight="1" thickBot="1" x14ac:dyDescent="0.35">
      <c r="B32" s="946"/>
      <c r="C32" s="947"/>
      <c r="D32" s="947"/>
      <c r="E32" s="947"/>
      <c r="F32" s="947"/>
      <c r="G32" s="948"/>
      <c r="I32" s="142"/>
    </row>
    <row r="33" spans="2:9" ht="18" customHeight="1" thickBot="1" x14ac:dyDescent="0.35">
      <c r="B33" s="156"/>
      <c r="C33" s="156"/>
      <c r="D33" s="156"/>
      <c r="E33" s="156"/>
      <c r="F33" s="156"/>
      <c r="G33" s="156"/>
      <c r="I33" s="142"/>
    </row>
    <row r="34" spans="2:9" ht="18" customHeight="1" thickBot="1" x14ac:dyDescent="0.35">
      <c r="B34" s="949" t="s">
        <v>644</v>
      </c>
      <c r="C34" s="950"/>
      <c r="D34" s="950"/>
      <c r="E34" s="950"/>
      <c r="F34" s="950"/>
      <c r="G34" s="951"/>
      <c r="I34" s="142"/>
    </row>
    <row r="35" spans="2:9" ht="18" customHeight="1" x14ac:dyDescent="0.3">
      <c r="B35" s="940"/>
      <c r="C35" s="941"/>
      <c r="D35" s="941"/>
      <c r="E35" s="941"/>
      <c r="F35" s="941"/>
      <c r="G35" s="942"/>
      <c r="I35" s="142"/>
    </row>
    <row r="36" spans="2:9" ht="18" customHeight="1" x14ac:dyDescent="0.3">
      <c r="B36" s="943"/>
      <c r="C36" s="944"/>
      <c r="D36" s="944"/>
      <c r="E36" s="944"/>
      <c r="F36" s="944"/>
      <c r="G36" s="945"/>
      <c r="I36" s="142"/>
    </row>
    <row r="37" spans="2:9" ht="18" customHeight="1" x14ac:dyDescent="0.3">
      <c r="B37" s="943"/>
      <c r="C37" s="944"/>
      <c r="D37" s="944"/>
      <c r="E37" s="944"/>
      <c r="F37" s="944"/>
      <c r="G37" s="945"/>
      <c r="I37" s="142"/>
    </row>
    <row r="38" spans="2:9" ht="18" customHeight="1" x14ac:dyDescent="0.3">
      <c r="B38" s="943"/>
      <c r="C38" s="944"/>
      <c r="D38" s="944"/>
      <c r="E38" s="944"/>
      <c r="F38" s="944"/>
      <c r="G38" s="945"/>
      <c r="I38" s="142"/>
    </row>
    <row r="39" spans="2:9" ht="18" customHeight="1" x14ac:dyDescent="0.3">
      <c r="B39" s="943"/>
      <c r="C39" s="944"/>
      <c r="D39" s="944"/>
      <c r="E39" s="944"/>
      <c r="F39" s="944"/>
      <c r="G39" s="945"/>
      <c r="I39" s="142"/>
    </row>
    <row r="40" spans="2:9" ht="18" customHeight="1" x14ac:dyDescent="0.3">
      <c r="B40" s="943"/>
      <c r="C40" s="944"/>
      <c r="D40" s="944"/>
      <c r="E40" s="944"/>
      <c r="F40" s="944"/>
      <c r="G40" s="945"/>
      <c r="I40" s="142"/>
    </row>
    <row r="41" spans="2:9" ht="18" customHeight="1" x14ac:dyDescent="0.3">
      <c r="B41" s="943"/>
      <c r="C41" s="944"/>
      <c r="D41" s="944"/>
      <c r="E41" s="944"/>
      <c r="F41" s="944"/>
      <c r="G41" s="945"/>
      <c r="I41" s="142"/>
    </row>
    <row r="42" spans="2:9" ht="18" customHeight="1" x14ac:dyDescent="0.3">
      <c r="B42" s="943"/>
      <c r="C42" s="944"/>
      <c r="D42" s="944"/>
      <c r="E42" s="944"/>
      <c r="F42" s="944"/>
      <c r="G42" s="945"/>
      <c r="I42" s="142"/>
    </row>
    <row r="43" spans="2:9" ht="18" customHeight="1" x14ac:dyDescent="0.3">
      <c r="B43" s="943"/>
      <c r="C43" s="944"/>
      <c r="D43" s="944"/>
      <c r="E43" s="944"/>
      <c r="F43" s="944"/>
      <c r="G43" s="945"/>
      <c r="I43" s="142"/>
    </row>
    <row r="44" spans="2:9" ht="18" customHeight="1" x14ac:dyDescent="0.3">
      <c r="B44" s="943"/>
      <c r="C44" s="944"/>
      <c r="D44" s="944"/>
      <c r="E44" s="944"/>
      <c r="F44" s="944"/>
      <c r="G44" s="945"/>
      <c r="I44" s="142"/>
    </row>
    <row r="45" spans="2:9" ht="18" customHeight="1" x14ac:dyDescent="0.3">
      <c r="B45" s="943"/>
      <c r="C45" s="944"/>
      <c r="D45" s="944"/>
      <c r="E45" s="944"/>
      <c r="F45" s="944"/>
      <c r="G45" s="945"/>
      <c r="I45" s="142"/>
    </row>
    <row r="46" spans="2:9" ht="18" customHeight="1" x14ac:dyDescent="0.3">
      <c r="B46" s="943"/>
      <c r="C46" s="944"/>
      <c r="D46" s="944"/>
      <c r="E46" s="944"/>
      <c r="F46" s="944"/>
      <c r="G46" s="945"/>
      <c r="I46" s="142"/>
    </row>
    <row r="47" spans="2:9" ht="18" customHeight="1" x14ac:dyDescent="0.3">
      <c r="B47" s="943"/>
      <c r="C47" s="944"/>
      <c r="D47" s="944"/>
      <c r="E47" s="944"/>
      <c r="F47" s="944"/>
      <c r="G47" s="945"/>
      <c r="I47" s="142"/>
    </row>
    <row r="48" spans="2:9" ht="18" customHeight="1" x14ac:dyDescent="0.3">
      <c r="B48" s="943"/>
      <c r="C48" s="944"/>
      <c r="D48" s="944"/>
      <c r="E48" s="944"/>
      <c r="F48" s="944"/>
      <c r="G48" s="945"/>
      <c r="I48" s="142"/>
    </row>
    <row r="49" spans="2:9" ht="18" customHeight="1" x14ac:dyDescent="0.3">
      <c r="B49" s="943"/>
      <c r="C49" s="944"/>
      <c r="D49" s="944"/>
      <c r="E49" s="944"/>
      <c r="F49" s="944"/>
      <c r="G49" s="945"/>
      <c r="I49" s="142"/>
    </row>
    <row r="50" spans="2:9" ht="18" customHeight="1" x14ac:dyDescent="0.3">
      <c r="B50" s="943"/>
      <c r="C50" s="944"/>
      <c r="D50" s="944"/>
      <c r="E50" s="944"/>
      <c r="F50" s="944"/>
      <c r="G50" s="945"/>
      <c r="I50" s="142"/>
    </row>
    <row r="51" spans="2:9" ht="18" customHeight="1" x14ac:dyDescent="0.3">
      <c r="B51" s="943"/>
      <c r="C51" s="944"/>
      <c r="D51" s="944"/>
      <c r="E51" s="944"/>
      <c r="F51" s="944"/>
      <c r="G51" s="945"/>
      <c r="I51" s="142"/>
    </row>
    <row r="52" spans="2:9" ht="18" customHeight="1" x14ac:dyDescent="0.3">
      <c r="B52" s="943"/>
      <c r="C52" s="944"/>
      <c r="D52" s="944"/>
      <c r="E52" s="944"/>
      <c r="F52" s="944"/>
      <c r="G52" s="945"/>
      <c r="I52" s="142"/>
    </row>
    <row r="53" spans="2:9" ht="18" customHeight="1" x14ac:dyDescent="0.3">
      <c r="B53" s="943"/>
      <c r="C53" s="944"/>
      <c r="D53" s="944"/>
      <c r="E53" s="944"/>
      <c r="F53" s="944"/>
      <c r="G53" s="945"/>
      <c r="I53" s="142"/>
    </row>
    <row r="54" spans="2:9" ht="18" customHeight="1" thickBot="1" x14ac:dyDescent="0.35">
      <c r="B54" s="946"/>
      <c r="C54" s="947"/>
      <c r="D54" s="947"/>
      <c r="E54" s="947"/>
      <c r="F54" s="947"/>
      <c r="G54" s="948"/>
      <c r="I54" s="142"/>
    </row>
    <row r="55" spans="2:9" ht="18" customHeight="1" x14ac:dyDescent="0.3">
      <c r="B55" s="156"/>
      <c r="C55" s="156"/>
      <c r="D55" s="156"/>
      <c r="E55" s="156"/>
      <c r="F55" s="156"/>
      <c r="G55" s="156"/>
      <c r="I55" s="142"/>
    </row>
    <row r="56" spans="2:9" ht="18" customHeight="1" thickBot="1" x14ac:dyDescent="0.35">
      <c r="B56" s="156"/>
      <c r="C56" s="156"/>
      <c r="D56" s="156"/>
      <c r="E56" s="156"/>
      <c r="F56" s="156"/>
      <c r="G56" s="156"/>
      <c r="I56" s="142"/>
    </row>
    <row r="57" spans="2:9" ht="18" customHeight="1" thickBot="1" x14ac:dyDescent="0.35">
      <c r="B57" s="949" t="s">
        <v>645</v>
      </c>
      <c r="C57" s="950"/>
      <c r="D57" s="950"/>
      <c r="E57" s="950"/>
      <c r="F57" s="950"/>
      <c r="G57" s="951"/>
      <c r="I57" s="142"/>
    </row>
    <row r="58" spans="2:9" ht="18" customHeight="1" x14ac:dyDescent="0.3">
      <c r="B58" s="940"/>
      <c r="C58" s="941"/>
      <c r="D58" s="941"/>
      <c r="E58" s="941"/>
      <c r="F58" s="941"/>
      <c r="G58" s="942"/>
      <c r="I58" s="142"/>
    </row>
    <row r="59" spans="2:9" ht="18" customHeight="1" x14ac:dyDescent="0.3">
      <c r="B59" s="943"/>
      <c r="C59" s="944"/>
      <c r="D59" s="944"/>
      <c r="E59" s="944"/>
      <c r="F59" s="944"/>
      <c r="G59" s="945"/>
      <c r="I59" s="142"/>
    </row>
    <row r="60" spans="2:9" ht="18" customHeight="1" x14ac:dyDescent="0.3">
      <c r="B60" s="943"/>
      <c r="C60" s="944"/>
      <c r="D60" s="944"/>
      <c r="E60" s="944"/>
      <c r="F60" s="944"/>
      <c r="G60" s="945"/>
      <c r="I60" s="142"/>
    </row>
    <row r="61" spans="2:9" ht="18" customHeight="1" x14ac:dyDescent="0.3">
      <c r="B61" s="943"/>
      <c r="C61" s="944"/>
      <c r="D61" s="944"/>
      <c r="E61" s="944"/>
      <c r="F61" s="944"/>
      <c r="G61" s="945"/>
      <c r="I61" s="142"/>
    </row>
    <row r="62" spans="2:9" ht="18" customHeight="1" x14ac:dyDescent="0.3">
      <c r="B62" s="943"/>
      <c r="C62" s="944"/>
      <c r="D62" s="944"/>
      <c r="E62" s="944"/>
      <c r="F62" s="944"/>
      <c r="G62" s="945"/>
      <c r="I62" s="142"/>
    </row>
    <row r="63" spans="2:9" ht="18" customHeight="1" x14ac:dyDescent="0.3">
      <c r="B63" s="943"/>
      <c r="C63" s="944"/>
      <c r="D63" s="944"/>
      <c r="E63" s="944"/>
      <c r="F63" s="944"/>
      <c r="G63" s="945"/>
      <c r="I63" s="142"/>
    </row>
    <row r="64" spans="2:9" ht="18" customHeight="1" x14ac:dyDescent="0.3">
      <c r="B64" s="943"/>
      <c r="C64" s="944"/>
      <c r="D64" s="944"/>
      <c r="E64" s="944"/>
      <c r="F64" s="944"/>
      <c r="G64" s="945"/>
      <c r="I64" s="142"/>
    </row>
    <row r="65" spans="2:9" ht="18" customHeight="1" x14ac:dyDescent="0.3">
      <c r="B65" s="943"/>
      <c r="C65" s="944"/>
      <c r="D65" s="944"/>
      <c r="E65" s="944"/>
      <c r="F65" s="944"/>
      <c r="G65" s="945"/>
      <c r="I65" s="142"/>
    </row>
    <row r="66" spans="2:9" ht="18" customHeight="1" x14ac:dyDescent="0.3">
      <c r="B66" s="943"/>
      <c r="C66" s="944"/>
      <c r="D66" s="944"/>
      <c r="E66" s="944"/>
      <c r="F66" s="944"/>
      <c r="G66" s="945"/>
      <c r="I66" s="142"/>
    </row>
    <row r="67" spans="2:9" ht="18" customHeight="1" x14ac:dyDescent="0.3">
      <c r="B67" s="943"/>
      <c r="C67" s="944"/>
      <c r="D67" s="944"/>
      <c r="E67" s="944"/>
      <c r="F67" s="944"/>
      <c r="G67" s="945"/>
      <c r="I67" s="142"/>
    </row>
    <row r="68" spans="2:9" ht="18" customHeight="1" x14ac:dyDescent="0.3">
      <c r="B68" s="943"/>
      <c r="C68" s="944"/>
      <c r="D68" s="944"/>
      <c r="E68" s="944"/>
      <c r="F68" s="944"/>
      <c r="G68" s="945"/>
      <c r="I68" s="142"/>
    </row>
    <row r="69" spans="2:9" ht="18" customHeight="1" x14ac:dyDescent="0.3">
      <c r="B69" s="943"/>
      <c r="C69" s="944"/>
      <c r="D69" s="944"/>
      <c r="E69" s="944"/>
      <c r="F69" s="944"/>
      <c r="G69" s="945"/>
      <c r="I69" s="142"/>
    </row>
    <row r="70" spans="2:9" ht="18" customHeight="1" x14ac:dyDescent="0.3">
      <c r="B70" s="943"/>
      <c r="C70" s="944"/>
      <c r="D70" s="944"/>
      <c r="E70" s="944"/>
      <c r="F70" s="944"/>
      <c r="G70" s="945"/>
      <c r="I70" s="142"/>
    </row>
    <row r="71" spans="2:9" ht="18" customHeight="1" x14ac:dyDescent="0.3">
      <c r="B71" s="943"/>
      <c r="C71" s="944"/>
      <c r="D71" s="944"/>
      <c r="E71" s="944"/>
      <c r="F71" s="944"/>
      <c r="G71" s="945"/>
      <c r="I71" s="142"/>
    </row>
    <row r="72" spans="2:9" ht="18" customHeight="1" x14ac:dyDescent="0.3">
      <c r="B72" s="943"/>
      <c r="C72" s="944"/>
      <c r="D72" s="944"/>
      <c r="E72" s="944"/>
      <c r="F72" s="944"/>
      <c r="G72" s="945"/>
      <c r="I72" s="142"/>
    </row>
    <row r="73" spans="2:9" ht="18" customHeight="1" x14ac:dyDescent="0.3">
      <c r="B73" s="943"/>
      <c r="C73" s="944"/>
      <c r="D73" s="944"/>
      <c r="E73" s="944"/>
      <c r="F73" s="944"/>
      <c r="G73" s="945"/>
      <c r="I73" s="142"/>
    </row>
    <row r="74" spans="2:9" ht="18" customHeight="1" x14ac:dyDescent="0.3">
      <c r="B74" s="943"/>
      <c r="C74" s="944"/>
      <c r="D74" s="944"/>
      <c r="E74" s="944"/>
      <c r="F74" s="944"/>
      <c r="G74" s="945"/>
      <c r="I74" s="142"/>
    </row>
    <row r="75" spans="2:9" ht="18" customHeight="1" x14ac:dyDescent="0.3">
      <c r="B75" s="943"/>
      <c r="C75" s="944"/>
      <c r="D75" s="944"/>
      <c r="E75" s="944"/>
      <c r="F75" s="944"/>
      <c r="G75" s="945"/>
      <c r="I75" s="142"/>
    </row>
    <row r="76" spans="2:9" ht="18" customHeight="1" x14ac:dyDescent="0.3">
      <c r="B76" s="943"/>
      <c r="C76" s="944"/>
      <c r="D76" s="944"/>
      <c r="E76" s="944"/>
      <c r="F76" s="944"/>
      <c r="G76" s="945"/>
      <c r="I76" s="142"/>
    </row>
    <row r="77" spans="2:9" ht="18" customHeight="1" thickBot="1" x14ac:dyDescent="0.35">
      <c r="B77" s="946"/>
      <c r="C77" s="947"/>
      <c r="D77" s="947"/>
      <c r="E77" s="947"/>
      <c r="F77" s="947"/>
      <c r="G77" s="948"/>
      <c r="I77" s="142"/>
    </row>
    <row r="78" spans="2:9" ht="18" customHeight="1" thickBot="1" x14ac:dyDescent="0.35">
      <c r="B78" s="157"/>
      <c r="C78" s="157"/>
      <c r="D78" s="157"/>
      <c r="E78" s="157"/>
      <c r="F78" s="157"/>
      <c r="G78" s="157"/>
      <c r="I78" s="142"/>
    </row>
    <row r="79" spans="2:9" ht="18" customHeight="1" thickBot="1" x14ac:dyDescent="0.35">
      <c r="B79" s="949" t="s">
        <v>647</v>
      </c>
      <c r="C79" s="950"/>
      <c r="D79" s="950"/>
      <c r="E79" s="950"/>
      <c r="F79" s="950"/>
      <c r="G79" s="951"/>
      <c r="I79" s="142"/>
    </row>
    <row r="80" spans="2:9" ht="18" customHeight="1" x14ac:dyDescent="0.3">
      <c r="B80" s="940"/>
      <c r="C80" s="941"/>
      <c r="D80" s="941"/>
      <c r="E80" s="941"/>
      <c r="F80" s="941"/>
      <c r="G80" s="942"/>
      <c r="I80" s="142"/>
    </row>
    <row r="81" spans="2:9" ht="18" customHeight="1" x14ac:dyDescent="0.3">
      <c r="B81" s="943"/>
      <c r="C81" s="944"/>
      <c r="D81" s="944"/>
      <c r="E81" s="944"/>
      <c r="F81" s="944"/>
      <c r="G81" s="945"/>
      <c r="I81" s="142"/>
    </row>
    <row r="82" spans="2:9" ht="18" customHeight="1" x14ac:dyDescent="0.3">
      <c r="B82" s="943"/>
      <c r="C82" s="944"/>
      <c r="D82" s="944"/>
      <c r="E82" s="944"/>
      <c r="F82" s="944"/>
      <c r="G82" s="945"/>
      <c r="I82" s="142"/>
    </row>
    <row r="83" spans="2:9" ht="18" customHeight="1" x14ac:dyDescent="0.3">
      <c r="B83" s="943"/>
      <c r="C83" s="944"/>
      <c r="D83" s="944"/>
      <c r="E83" s="944"/>
      <c r="F83" s="944"/>
      <c r="G83" s="945"/>
      <c r="I83" s="142"/>
    </row>
    <row r="84" spans="2:9" ht="18" customHeight="1" x14ac:dyDescent="0.3">
      <c r="B84" s="943"/>
      <c r="C84" s="944"/>
      <c r="D84" s="944"/>
      <c r="E84" s="944"/>
      <c r="F84" s="944"/>
      <c r="G84" s="945"/>
      <c r="I84" s="142"/>
    </row>
    <row r="85" spans="2:9" ht="18" customHeight="1" x14ac:dyDescent="0.3">
      <c r="B85" s="943"/>
      <c r="C85" s="944"/>
      <c r="D85" s="944"/>
      <c r="E85" s="944"/>
      <c r="F85" s="944"/>
      <c r="G85" s="945"/>
      <c r="I85" s="142"/>
    </row>
    <row r="86" spans="2:9" ht="18" customHeight="1" x14ac:dyDescent="0.3">
      <c r="B86" s="943"/>
      <c r="C86" s="944"/>
      <c r="D86" s="944"/>
      <c r="E86" s="944"/>
      <c r="F86" s="944"/>
      <c r="G86" s="945"/>
      <c r="I86" s="142"/>
    </row>
    <row r="87" spans="2:9" ht="18" customHeight="1" x14ac:dyDescent="0.3">
      <c r="B87" s="943"/>
      <c r="C87" s="944"/>
      <c r="D87" s="944"/>
      <c r="E87" s="944"/>
      <c r="F87" s="944"/>
      <c r="G87" s="945"/>
      <c r="I87" s="142"/>
    </row>
    <row r="88" spans="2:9" ht="18" customHeight="1" x14ac:dyDescent="0.3">
      <c r="B88" s="943"/>
      <c r="C88" s="944"/>
      <c r="D88" s="944"/>
      <c r="E88" s="944"/>
      <c r="F88" s="944"/>
      <c r="G88" s="945"/>
      <c r="I88" s="142"/>
    </row>
    <row r="89" spans="2:9" ht="18" customHeight="1" x14ac:dyDescent="0.3">
      <c r="B89" s="943"/>
      <c r="C89" s="944"/>
      <c r="D89" s="944"/>
      <c r="E89" s="944"/>
      <c r="F89" s="944"/>
      <c r="G89" s="945"/>
      <c r="I89" s="142"/>
    </row>
    <row r="90" spans="2:9" ht="18" customHeight="1" x14ac:dyDescent="0.3">
      <c r="B90" s="943"/>
      <c r="C90" s="944"/>
      <c r="D90" s="944"/>
      <c r="E90" s="944"/>
      <c r="F90" s="944"/>
      <c r="G90" s="945"/>
      <c r="I90" s="142"/>
    </row>
    <row r="91" spans="2:9" ht="18" customHeight="1" x14ac:dyDescent="0.3">
      <c r="B91" s="943"/>
      <c r="C91" s="944"/>
      <c r="D91" s="944"/>
      <c r="E91" s="944"/>
      <c r="F91" s="944"/>
      <c r="G91" s="945"/>
      <c r="I91" s="142"/>
    </row>
    <row r="92" spans="2:9" ht="18" customHeight="1" x14ac:dyDescent="0.3">
      <c r="B92" s="943"/>
      <c r="C92" s="944"/>
      <c r="D92" s="944"/>
      <c r="E92" s="944"/>
      <c r="F92" s="944"/>
      <c r="G92" s="945"/>
      <c r="I92" s="142"/>
    </row>
    <row r="93" spans="2:9" ht="18" customHeight="1" x14ac:dyDescent="0.3">
      <c r="B93" s="943"/>
      <c r="C93" s="944"/>
      <c r="D93" s="944"/>
      <c r="E93" s="944"/>
      <c r="F93" s="944"/>
      <c r="G93" s="945"/>
      <c r="I93" s="142"/>
    </row>
    <row r="94" spans="2:9" ht="18" customHeight="1" x14ac:dyDescent="0.3">
      <c r="B94" s="943"/>
      <c r="C94" s="944"/>
      <c r="D94" s="944"/>
      <c r="E94" s="944"/>
      <c r="F94" s="944"/>
      <c r="G94" s="945"/>
      <c r="I94" s="142"/>
    </row>
    <row r="95" spans="2:9" ht="18" customHeight="1" x14ac:dyDescent="0.3">
      <c r="B95" s="943"/>
      <c r="C95" s="944"/>
      <c r="D95" s="944"/>
      <c r="E95" s="944"/>
      <c r="F95" s="944"/>
      <c r="G95" s="945"/>
      <c r="I95" s="142"/>
    </row>
    <row r="96" spans="2:9" ht="18" customHeight="1" x14ac:dyDescent="0.3">
      <c r="B96" s="943"/>
      <c r="C96" s="944"/>
      <c r="D96" s="944"/>
      <c r="E96" s="944"/>
      <c r="F96" s="944"/>
      <c r="G96" s="945"/>
      <c r="I96" s="142"/>
    </row>
    <row r="97" spans="2:9" ht="18" customHeight="1" x14ac:dyDescent="0.3">
      <c r="B97" s="943"/>
      <c r="C97" s="944"/>
      <c r="D97" s="944"/>
      <c r="E97" s="944"/>
      <c r="F97" s="944"/>
      <c r="G97" s="945"/>
      <c r="I97" s="142"/>
    </row>
    <row r="98" spans="2:9" ht="18" customHeight="1" x14ac:dyDescent="0.3">
      <c r="B98" s="943"/>
      <c r="C98" s="944"/>
      <c r="D98" s="944"/>
      <c r="E98" s="944"/>
      <c r="F98" s="944"/>
      <c r="G98" s="945"/>
      <c r="I98" s="142"/>
    </row>
    <row r="99" spans="2:9" ht="18" customHeight="1" thickBot="1" x14ac:dyDescent="0.35">
      <c r="B99" s="946"/>
      <c r="C99" s="947"/>
      <c r="D99" s="947"/>
      <c r="E99" s="947"/>
      <c r="F99" s="947"/>
      <c r="G99" s="948"/>
      <c r="I99" s="142"/>
    </row>
    <row r="100" spans="2:9" ht="18" customHeight="1" thickBot="1" x14ac:dyDescent="0.35">
      <c r="I100" s="142"/>
    </row>
    <row r="101" spans="2:9" ht="18" customHeight="1" thickBot="1" x14ac:dyDescent="0.35">
      <c r="B101" s="949" t="s">
        <v>648</v>
      </c>
      <c r="C101" s="950"/>
      <c r="D101" s="950"/>
      <c r="E101" s="950"/>
      <c r="F101" s="950"/>
      <c r="G101" s="951"/>
      <c r="I101" s="142"/>
    </row>
    <row r="102" spans="2:9" ht="18" customHeight="1" x14ac:dyDescent="0.3">
      <c r="B102" s="940"/>
      <c r="C102" s="941"/>
      <c r="D102" s="941"/>
      <c r="E102" s="941"/>
      <c r="F102" s="941"/>
      <c r="G102" s="942"/>
      <c r="I102" s="142"/>
    </row>
    <row r="103" spans="2:9" ht="18" customHeight="1" x14ac:dyDescent="0.3">
      <c r="B103" s="943"/>
      <c r="C103" s="944"/>
      <c r="D103" s="944"/>
      <c r="E103" s="944"/>
      <c r="F103" s="944"/>
      <c r="G103" s="945"/>
      <c r="I103" s="142"/>
    </row>
    <row r="104" spans="2:9" ht="18" customHeight="1" x14ac:dyDescent="0.3">
      <c r="B104" s="943"/>
      <c r="C104" s="944"/>
      <c r="D104" s="944"/>
      <c r="E104" s="944"/>
      <c r="F104" s="944"/>
      <c r="G104" s="945"/>
      <c r="I104" s="142"/>
    </row>
    <row r="105" spans="2:9" ht="18" customHeight="1" x14ac:dyDescent="0.3">
      <c r="B105" s="943"/>
      <c r="C105" s="944"/>
      <c r="D105" s="944"/>
      <c r="E105" s="944"/>
      <c r="F105" s="944"/>
      <c r="G105" s="945"/>
      <c r="I105" s="142"/>
    </row>
    <row r="106" spans="2:9" ht="18" customHeight="1" x14ac:dyDescent="0.3">
      <c r="B106" s="943"/>
      <c r="C106" s="944"/>
      <c r="D106" s="944"/>
      <c r="E106" s="944"/>
      <c r="F106" s="944"/>
      <c r="G106" s="945"/>
      <c r="I106" s="142"/>
    </row>
    <row r="107" spans="2:9" ht="18" customHeight="1" x14ac:dyDescent="0.3">
      <c r="B107" s="943"/>
      <c r="C107" s="944"/>
      <c r="D107" s="944"/>
      <c r="E107" s="944"/>
      <c r="F107" s="944"/>
      <c r="G107" s="945"/>
      <c r="I107" s="142"/>
    </row>
    <row r="108" spans="2:9" ht="18" customHeight="1" x14ac:dyDescent="0.3">
      <c r="B108" s="943"/>
      <c r="C108" s="944"/>
      <c r="D108" s="944"/>
      <c r="E108" s="944"/>
      <c r="F108" s="944"/>
      <c r="G108" s="945"/>
      <c r="I108" s="142"/>
    </row>
    <row r="109" spans="2:9" ht="18" customHeight="1" x14ac:dyDescent="0.3">
      <c r="B109" s="943"/>
      <c r="C109" s="944"/>
      <c r="D109" s="944"/>
      <c r="E109" s="944"/>
      <c r="F109" s="944"/>
      <c r="G109" s="945"/>
      <c r="I109" s="142"/>
    </row>
    <row r="110" spans="2:9" ht="18" customHeight="1" x14ac:dyDescent="0.3">
      <c r="B110" s="943"/>
      <c r="C110" s="944"/>
      <c r="D110" s="944"/>
      <c r="E110" s="944"/>
      <c r="F110" s="944"/>
      <c r="G110" s="945"/>
      <c r="I110" s="142"/>
    </row>
    <row r="111" spans="2:9" ht="18" customHeight="1" x14ac:dyDescent="0.3">
      <c r="B111" s="943"/>
      <c r="C111" s="944"/>
      <c r="D111" s="944"/>
      <c r="E111" s="944"/>
      <c r="F111" s="944"/>
      <c r="G111" s="945"/>
      <c r="I111" s="142"/>
    </row>
    <row r="112" spans="2:9" ht="18" customHeight="1" x14ac:dyDescent="0.3">
      <c r="B112" s="943"/>
      <c r="C112" s="944"/>
      <c r="D112" s="944"/>
      <c r="E112" s="944"/>
      <c r="F112" s="944"/>
      <c r="G112" s="945"/>
      <c r="I112" s="142"/>
    </row>
    <row r="113" spans="1:9" ht="18" customHeight="1" x14ac:dyDescent="0.3">
      <c r="B113" s="943"/>
      <c r="C113" s="944"/>
      <c r="D113" s="944"/>
      <c r="E113" s="944"/>
      <c r="F113" s="944"/>
      <c r="G113" s="945"/>
      <c r="I113" s="142"/>
    </row>
    <row r="114" spans="1:9" ht="18" customHeight="1" x14ac:dyDescent="0.3">
      <c r="B114" s="943"/>
      <c r="C114" s="944"/>
      <c r="D114" s="944"/>
      <c r="E114" s="944"/>
      <c r="F114" s="944"/>
      <c r="G114" s="945"/>
      <c r="I114" s="142"/>
    </row>
    <row r="115" spans="1:9" ht="18" customHeight="1" x14ac:dyDescent="0.3">
      <c r="B115" s="943"/>
      <c r="C115" s="944"/>
      <c r="D115" s="944"/>
      <c r="E115" s="944"/>
      <c r="F115" s="944"/>
      <c r="G115" s="945"/>
      <c r="I115" s="142"/>
    </row>
    <row r="116" spans="1:9" ht="18" customHeight="1" x14ac:dyDescent="0.3">
      <c r="B116" s="943"/>
      <c r="C116" s="944"/>
      <c r="D116" s="944"/>
      <c r="E116" s="944"/>
      <c r="F116" s="944"/>
      <c r="G116" s="945"/>
      <c r="I116" s="142"/>
    </row>
    <row r="117" spans="1:9" ht="18" customHeight="1" x14ac:dyDescent="0.3">
      <c r="B117" s="943"/>
      <c r="C117" s="944"/>
      <c r="D117" s="944"/>
      <c r="E117" s="944"/>
      <c r="F117" s="944"/>
      <c r="G117" s="945"/>
      <c r="I117" s="142"/>
    </row>
    <row r="118" spans="1:9" ht="18" customHeight="1" x14ac:dyDescent="0.3">
      <c r="B118" s="943"/>
      <c r="C118" s="944"/>
      <c r="D118" s="944"/>
      <c r="E118" s="944"/>
      <c r="F118" s="944"/>
      <c r="G118" s="945"/>
      <c r="I118" s="142"/>
    </row>
    <row r="119" spans="1:9" ht="18" customHeight="1" x14ac:dyDescent="0.3">
      <c r="B119" s="943"/>
      <c r="C119" s="944"/>
      <c r="D119" s="944"/>
      <c r="E119" s="944"/>
      <c r="F119" s="944"/>
      <c r="G119" s="945"/>
      <c r="I119" s="142"/>
    </row>
    <row r="120" spans="1:9" ht="18" customHeight="1" x14ac:dyDescent="0.3">
      <c r="B120" s="943"/>
      <c r="C120" s="944"/>
      <c r="D120" s="944"/>
      <c r="E120" s="944"/>
      <c r="F120" s="944"/>
      <c r="G120" s="945"/>
      <c r="I120" s="142"/>
    </row>
    <row r="121" spans="1:9" ht="18" customHeight="1" thickBot="1" x14ac:dyDescent="0.35">
      <c r="B121" s="946"/>
      <c r="C121" s="947"/>
      <c r="D121" s="947"/>
      <c r="E121" s="947"/>
      <c r="F121" s="947"/>
      <c r="G121" s="948"/>
      <c r="I121" s="142"/>
    </row>
    <row r="122" spans="1:9" ht="18" customHeight="1" x14ac:dyDescent="0.3">
      <c r="I122" s="142"/>
    </row>
    <row r="123" spans="1:9" ht="18" customHeight="1" x14ac:dyDescent="0.3">
      <c r="A123" s="142"/>
      <c r="B123" s="142"/>
      <c r="C123" s="142"/>
      <c r="D123" s="142"/>
      <c r="E123" s="142"/>
      <c r="F123" s="142"/>
      <c r="G123" s="142"/>
      <c r="H123" s="142"/>
      <c r="I123" s="142"/>
    </row>
  </sheetData>
  <sheetProtection algorithmName="SHA-512" hashValue="7VPTZ7jJCA/vCvMIWXBRIDIbr88KtalfUWuNRl0pSamdAlaI0ekZDxHler6Gr8sypxDFgmQnlorTFOJ0sOJRpw==" saltValue="pX/NUJHfWF7KaVlncMALmQ==" spinCount="100000" sheet="1" selectLockedCells="1"/>
  <mergeCells count="11">
    <mergeCell ref="B2:C2"/>
    <mergeCell ref="B102:G121"/>
    <mergeCell ref="B57:G57"/>
    <mergeCell ref="B58:G77"/>
    <mergeCell ref="B12:G12"/>
    <mergeCell ref="B13:G32"/>
    <mergeCell ref="B101:G101"/>
    <mergeCell ref="B34:G34"/>
    <mergeCell ref="B35:G54"/>
    <mergeCell ref="B79:G79"/>
    <mergeCell ref="B80:G99"/>
  </mergeCells>
  <hyperlinks>
    <hyperlink ref="E2" location="Instructions!B37" display="Back to Instructions tab" xr:uid="{00000000-0004-0000-0800-000000000000}"/>
  </hyperlink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H63"/>
  <sheetViews>
    <sheetView showGridLines="0" zoomScale="80" zoomScaleNormal="80" workbookViewId="0">
      <selection activeCell="B13" sqref="B13:F16"/>
    </sheetView>
  </sheetViews>
  <sheetFormatPr defaultColWidth="9.140625" defaultRowHeight="18" customHeight="1" x14ac:dyDescent="0.3"/>
  <cols>
    <col min="1" max="1" width="9.140625" style="22"/>
    <col min="2" max="2" width="30.7109375" style="22" bestFit="1" customWidth="1"/>
    <col min="3" max="3" width="57.7109375" style="22" bestFit="1" customWidth="1"/>
    <col min="4" max="4" width="9.140625" style="22"/>
    <col min="5" max="5" width="25.140625" style="22" bestFit="1" customWidth="1"/>
    <col min="6" max="6" width="58.5703125" style="22" customWidth="1"/>
    <col min="7" max="7" width="9.140625" style="22"/>
    <col min="8" max="8" width="2.7109375" style="22" customWidth="1"/>
    <col min="9" max="16384" width="9.140625" style="22"/>
  </cols>
  <sheetData>
    <row r="1" spans="2:8" ht="18" customHeight="1" thickBot="1" x14ac:dyDescent="0.35">
      <c r="H1" s="23"/>
    </row>
    <row r="2" spans="2:8" ht="18" customHeight="1" thickBot="1" x14ac:dyDescent="0.35">
      <c r="B2" s="752" t="str">
        <f>'Version Control'!$B$2</f>
        <v>Title Block</v>
      </c>
      <c r="C2" s="753"/>
      <c r="E2" s="158" t="s">
        <v>37</v>
      </c>
      <c r="H2" s="23"/>
    </row>
    <row r="3" spans="2:8" ht="18" customHeight="1" x14ac:dyDescent="0.3">
      <c r="B3" s="24" t="str">
        <f>'Version Control'!$B$3</f>
        <v>Test Report Template Name:</v>
      </c>
      <c r="C3" s="25" t="str">
        <f>'Version Control'!C3</f>
        <v>Electric Motors</v>
      </c>
      <c r="H3" s="23"/>
    </row>
    <row r="4" spans="2:8" ht="18" customHeight="1" x14ac:dyDescent="0.3">
      <c r="B4" s="26" t="str">
        <f>'Version Control'!$B$4</f>
        <v>Version Number:</v>
      </c>
      <c r="C4" s="27" t="str">
        <f>'Version Control'!C4</f>
        <v>v1.0</v>
      </c>
      <c r="E4" s="1"/>
      <c r="H4" s="23"/>
    </row>
    <row r="5" spans="2:8" ht="18" customHeight="1" x14ac:dyDescent="0.3">
      <c r="B5" s="26" t="str">
        <f>'Version Control'!$B$5</f>
        <v xml:space="preserve">Latest Template Revision: </v>
      </c>
      <c r="C5" s="28">
        <f>'Version Control'!C5</f>
        <v>45567</v>
      </c>
      <c r="H5" s="23"/>
    </row>
    <row r="6" spans="2:8" ht="18" customHeight="1" x14ac:dyDescent="0.3">
      <c r="B6" s="26" t="str">
        <f>'Version Control'!$B$6</f>
        <v>Tab Name:</v>
      </c>
      <c r="C6" s="29" t="str">
        <f ca="1">MID(CELL("filename",A1), FIND("]", CELL("filename", A1))+ 1, 255)</f>
        <v>Comments</v>
      </c>
      <c r="H6" s="23"/>
    </row>
    <row r="7" spans="2:8" ht="36" customHeight="1" x14ac:dyDescent="0.3">
      <c r="B7" s="19" t="str">
        <f>'Version Control'!$B$7</f>
        <v>File Name:</v>
      </c>
      <c r="C7" s="50" t="str">
        <f ca="1">'Version Control'!C7</f>
        <v>Electric Motors -  v1.0.xlsx</v>
      </c>
      <c r="H7" s="23"/>
    </row>
    <row r="8" spans="2:8" ht="16.5" x14ac:dyDescent="0.3">
      <c r="B8" s="58" t="s">
        <v>42</v>
      </c>
      <c r="C8" s="52" t="str">
        <f>'General Info &amp; Test Results'!C17</f>
        <v>[MM/DD/YYYY]</v>
      </c>
      <c r="H8" s="23"/>
    </row>
    <row r="9" spans="2:8" ht="18" customHeight="1" thickBot="1" x14ac:dyDescent="0.35">
      <c r="B9" s="53" t="str">
        <f>'Version Control'!$B$9</f>
        <v>Date Test Finished:</v>
      </c>
      <c r="C9" s="54" t="str">
        <f>'Version Control'!C9</f>
        <v>[MM/DD/YYYY]</v>
      </c>
      <c r="H9" s="23"/>
    </row>
    <row r="10" spans="2:8" ht="18" customHeight="1" x14ac:dyDescent="0.3">
      <c r="B10" s="30"/>
      <c r="C10" s="31"/>
      <c r="H10" s="23"/>
    </row>
    <row r="11" spans="2:8" ht="18" customHeight="1" thickBot="1" x14ac:dyDescent="0.35">
      <c r="B11" s="30"/>
      <c r="C11" s="31"/>
      <c r="H11" s="23"/>
    </row>
    <row r="12" spans="2:8" ht="18" customHeight="1" thickBot="1" x14ac:dyDescent="0.35">
      <c r="B12" s="949" t="s">
        <v>35</v>
      </c>
      <c r="C12" s="950"/>
      <c r="D12" s="950"/>
      <c r="E12" s="950"/>
      <c r="F12" s="951"/>
      <c r="H12" s="23"/>
    </row>
    <row r="13" spans="2:8" ht="18" customHeight="1" x14ac:dyDescent="0.3">
      <c r="B13" s="964"/>
      <c r="C13" s="965"/>
      <c r="D13" s="965"/>
      <c r="E13" s="965"/>
      <c r="F13" s="966"/>
      <c r="H13" s="23"/>
    </row>
    <row r="14" spans="2:8" ht="18" customHeight="1" x14ac:dyDescent="0.3">
      <c r="B14" s="955"/>
      <c r="C14" s="956"/>
      <c r="D14" s="956"/>
      <c r="E14" s="956"/>
      <c r="F14" s="957"/>
      <c r="H14" s="23"/>
    </row>
    <row r="15" spans="2:8" ht="18" customHeight="1" x14ac:dyDescent="0.3">
      <c r="B15" s="955"/>
      <c r="C15" s="956"/>
      <c r="D15" s="956"/>
      <c r="E15" s="956"/>
      <c r="F15" s="957"/>
      <c r="H15" s="23"/>
    </row>
    <row r="16" spans="2:8" ht="18" customHeight="1" x14ac:dyDescent="0.3">
      <c r="B16" s="958"/>
      <c r="C16" s="959"/>
      <c r="D16" s="959"/>
      <c r="E16" s="959"/>
      <c r="F16" s="960"/>
      <c r="H16" s="23"/>
    </row>
    <row r="17" spans="2:8" ht="18" customHeight="1" x14ac:dyDescent="0.3">
      <c r="B17" s="967"/>
      <c r="C17" s="968"/>
      <c r="D17" s="968"/>
      <c r="E17" s="968"/>
      <c r="F17" s="969"/>
      <c r="H17" s="23"/>
    </row>
    <row r="18" spans="2:8" ht="18" customHeight="1" x14ac:dyDescent="0.3">
      <c r="B18" s="952"/>
      <c r="C18" s="953"/>
      <c r="D18" s="953"/>
      <c r="E18" s="953"/>
      <c r="F18" s="954"/>
      <c r="H18" s="23"/>
    </row>
    <row r="19" spans="2:8" ht="18" customHeight="1" x14ac:dyDescent="0.3">
      <c r="B19" s="955"/>
      <c r="C19" s="956"/>
      <c r="D19" s="956"/>
      <c r="E19" s="956"/>
      <c r="F19" s="957"/>
      <c r="H19" s="23"/>
    </row>
    <row r="20" spans="2:8" ht="18" customHeight="1" x14ac:dyDescent="0.3">
      <c r="B20" s="955"/>
      <c r="C20" s="956"/>
      <c r="D20" s="956"/>
      <c r="E20" s="956"/>
      <c r="F20" s="957"/>
      <c r="H20" s="23"/>
    </row>
    <row r="21" spans="2:8" ht="18" customHeight="1" x14ac:dyDescent="0.3">
      <c r="B21" s="958"/>
      <c r="C21" s="959"/>
      <c r="D21" s="959"/>
      <c r="E21" s="959"/>
      <c r="F21" s="960"/>
      <c r="H21" s="23"/>
    </row>
    <row r="22" spans="2:8" ht="18" customHeight="1" x14ac:dyDescent="0.3">
      <c r="B22" s="967"/>
      <c r="C22" s="968"/>
      <c r="D22" s="968"/>
      <c r="E22" s="968"/>
      <c r="F22" s="969"/>
      <c r="H22" s="23"/>
    </row>
    <row r="23" spans="2:8" ht="18" customHeight="1" x14ac:dyDescent="0.3">
      <c r="B23" s="952"/>
      <c r="C23" s="953"/>
      <c r="D23" s="953"/>
      <c r="E23" s="953"/>
      <c r="F23" s="954"/>
      <c r="H23" s="23"/>
    </row>
    <row r="24" spans="2:8" ht="18" customHeight="1" x14ac:dyDescent="0.3">
      <c r="B24" s="955"/>
      <c r="C24" s="956"/>
      <c r="D24" s="956"/>
      <c r="E24" s="956"/>
      <c r="F24" s="957"/>
      <c r="H24" s="23"/>
    </row>
    <row r="25" spans="2:8" ht="18" customHeight="1" x14ac:dyDescent="0.3">
      <c r="B25" s="955"/>
      <c r="C25" s="956"/>
      <c r="D25" s="956"/>
      <c r="E25" s="956"/>
      <c r="F25" s="957"/>
      <c r="H25" s="23"/>
    </row>
    <row r="26" spans="2:8" ht="18" customHeight="1" x14ac:dyDescent="0.3">
      <c r="B26" s="958"/>
      <c r="C26" s="959"/>
      <c r="D26" s="959"/>
      <c r="E26" s="959"/>
      <c r="F26" s="960"/>
      <c r="H26" s="23"/>
    </row>
    <row r="27" spans="2:8" ht="18" customHeight="1" x14ac:dyDescent="0.3">
      <c r="B27" s="967"/>
      <c r="C27" s="968"/>
      <c r="D27" s="968"/>
      <c r="E27" s="968"/>
      <c r="F27" s="969"/>
      <c r="H27" s="23"/>
    </row>
    <row r="28" spans="2:8" ht="18" customHeight="1" x14ac:dyDescent="0.3">
      <c r="B28" s="952"/>
      <c r="C28" s="953"/>
      <c r="D28" s="953"/>
      <c r="E28" s="953"/>
      <c r="F28" s="954"/>
      <c r="H28" s="23"/>
    </row>
    <row r="29" spans="2:8" ht="18" customHeight="1" x14ac:dyDescent="0.3">
      <c r="B29" s="955"/>
      <c r="C29" s="956"/>
      <c r="D29" s="956"/>
      <c r="E29" s="956"/>
      <c r="F29" s="957"/>
      <c r="H29" s="23"/>
    </row>
    <row r="30" spans="2:8" ht="18" customHeight="1" x14ac:dyDescent="0.3">
      <c r="B30" s="955"/>
      <c r="C30" s="956"/>
      <c r="D30" s="956"/>
      <c r="E30" s="956"/>
      <c r="F30" s="957"/>
      <c r="H30" s="23"/>
    </row>
    <row r="31" spans="2:8" ht="18" customHeight="1" x14ac:dyDescent="0.3">
      <c r="B31" s="958"/>
      <c r="C31" s="959"/>
      <c r="D31" s="959"/>
      <c r="E31" s="959"/>
      <c r="F31" s="960"/>
      <c r="H31" s="23"/>
    </row>
    <row r="32" spans="2:8" ht="18" customHeight="1" x14ac:dyDescent="0.3">
      <c r="B32" s="967"/>
      <c r="C32" s="968"/>
      <c r="D32" s="968"/>
      <c r="E32" s="968"/>
      <c r="F32" s="969"/>
      <c r="H32" s="23"/>
    </row>
    <row r="33" spans="2:8" ht="18" customHeight="1" x14ac:dyDescent="0.3">
      <c r="B33" s="952"/>
      <c r="C33" s="953"/>
      <c r="D33" s="953"/>
      <c r="E33" s="953"/>
      <c r="F33" s="954"/>
      <c r="H33" s="23"/>
    </row>
    <row r="34" spans="2:8" ht="18" customHeight="1" x14ac:dyDescent="0.3">
      <c r="B34" s="955"/>
      <c r="C34" s="956"/>
      <c r="D34" s="956"/>
      <c r="E34" s="956"/>
      <c r="F34" s="957"/>
      <c r="H34" s="23"/>
    </row>
    <row r="35" spans="2:8" ht="18" customHeight="1" x14ac:dyDescent="0.3">
      <c r="B35" s="955"/>
      <c r="C35" s="956"/>
      <c r="D35" s="956"/>
      <c r="E35" s="956"/>
      <c r="F35" s="957"/>
      <c r="H35" s="23"/>
    </row>
    <row r="36" spans="2:8" ht="18" customHeight="1" x14ac:dyDescent="0.3">
      <c r="B36" s="958"/>
      <c r="C36" s="959"/>
      <c r="D36" s="959"/>
      <c r="E36" s="959"/>
      <c r="F36" s="960"/>
      <c r="H36" s="23"/>
    </row>
    <row r="37" spans="2:8" ht="18" customHeight="1" x14ac:dyDescent="0.3">
      <c r="B37" s="967"/>
      <c r="C37" s="968"/>
      <c r="D37" s="968"/>
      <c r="E37" s="968"/>
      <c r="F37" s="969"/>
      <c r="H37" s="23"/>
    </row>
    <row r="38" spans="2:8" ht="18" customHeight="1" x14ac:dyDescent="0.3">
      <c r="B38" s="952"/>
      <c r="C38" s="953"/>
      <c r="D38" s="953"/>
      <c r="E38" s="953"/>
      <c r="F38" s="954"/>
      <c r="H38" s="23"/>
    </row>
    <row r="39" spans="2:8" ht="18" customHeight="1" x14ac:dyDescent="0.3">
      <c r="B39" s="955"/>
      <c r="C39" s="956"/>
      <c r="D39" s="956"/>
      <c r="E39" s="956"/>
      <c r="F39" s="957"/>
      <c r="H39" s="23"/>
    </row>
    <row r="40" spans="2:8" ht="18" customHeight="1" x14ac:dyDescent="0.3">
      <c r="B40" s="955"/>
      <c r="C40" s="956"/>
      <c r="D40" s="956"/>
      <c r="E40" s="956"/>
      <c r="F40" s="957"/>
      <c r="H40" s="23"/>
    </row>
    <row r="41" spans="2:8" ht="18" customHeight="1" x14ac:dyDescent="0.3">
      <c r="B41" s="958"/>
      <c r="C41" s="959"/>
      <c r="D41" s="959"/>
      <c r="E41" s="959"/>
      <c r="F41" s="960"/>
      <c r="H41" s="23"/>
    </row>
    <row r="42" spans="2:8" ht="18" customHeight="1" x14ac:dyDescent="0.3">
      <c r="B42" s="967"/>
      <c r="C42" s="968"/>
      <c r="D42" s="968"/>
      <c r="E42" s="968"/>
      <c r="F42" s="969"/>
      <c r="H42" s="23"/>
    </row>
    <row r="43" spans="2:8" ht="18" customHeight="1" x14ac:dyDescent="0.3">
      <c r="B43" s="952"/>
      <c r="C43" s="953"/>
      <c r="D43" s="953"/>
      <c r="E43" s="953"/>
      <c r="F43" s="954"/>
      <c r="H43" s="23"/>
    </row>
    <row r="44" spans="2:8" ht="18" customHeight="1" x14ac:dyDescent="0.3">
      <c r="B44" s="955"/>
      <c r="C44" s="956"/>
      <c r="D44" s="956"/>
      <c r="E44" s="956"/>
      <c r="F44" s="957"/>
      <c r="H44" s="23"/>
    </row>
    <row r="45" spans="2:8" ht="18" customHeight="1" x14ac:dyDescent="0.3">
      <c r="B45" s="955"/>
      <c r="C45" s="956"/>
      <c r="D45" s="956"/>
      <c r="E45" s="956"/>
      <c r="F45" s="957"/>
      <c r="H45" s="23"/>
    </row>
    <row r="46" spans="2:8" ht="18" customHeight="1" x14ac:dyDescent="0.3">
      <c r="B46" s="958"/>
      <c r="C46" s="959"/>
      <c r="D46" s="959"/>
      <c r="E46" s="959"/>
      <c r="F46" s="960"/>
      <c r="H46" s="23"/>
    </row>
    <row r="47" spans="2:8" ht="18" customHeight="1" x14ac:dyDescent="0.3">
      <c r="B47" s="62"/>
      <c r="C47" s="63"/>
      <c r="D47" s="63"/>
      <c r="E47" s="63"/>
      <c r="F47" s="64"/>
      <c r="H47" s="23"/>
    </row>
    <row r="48" spans="2:8" ht="18" customHeight="1" x14ac:dyDescent="0.3">
      <c r="B48" s="952"/>
      <c r="C48" s="953"/>
      <c r="D48" s="953"/>
      <c r="E48" s="953"/>
      <c r="F48" s="954"/>
      <c r="H48" s="23"/>
    </row>
    <row r="49" spans="1:8" ht="18" customHeight="1" x14ac:dyDescent="0.3">
      <c r="B49" s="955"/>
      <c r="C49" s="956"/>
      <c r="D49" s="956"/>
      <c r="E49" s="956"/>
      <c r="F49" s="957"/>
      <c r="H49" s="23"/>
    </row>
    <row r="50" spans="1:8" ht="18" customHeight="1" x14ac:dyDescent="0.3">
      <c r="B50" s="955"/>
      <c r="C50" s="956"/>
      <c r="D50" s="956"/>
      <c r="E50" s="956"/>
      <c r="F50" s="957"/>
      <c r="H50" s="23"/>
    </row>
    <row r="51" spans="1:8" ht="18" customHeight="1" x14ac:dyDescent="0.3">
      <c r="B51" s="958"/>
      <c r="C51" s="959"/>
      <c r="D51" s="959"/>
      <c r="E51" s="959"/>
      <c r="F51" s="960"/>
      <c r="H51" s="23"/>
    </row>
    <row r="52" spans="1:8" ht="18" customHeight="1" x14ac:dyDescent="0.3">
      <c r="B52" s="62"/>
      <c r="C52" s="63"/>
      <c r="D52" s="63"/>
      <c r="E52" s="63"/>
      <c r="F52" s="64"/>
      <c r="H52" s="23"/>
    </row>
    <row r="53" spans="1:8" ht="18" customHeight="1" x14ac:dyDescent="0.3">
      <c r="B53" s="952"/>
      <c r="C53" s="953"/>
      <c r="D53" s="953"/>
      <c r="E53" s="953"/>
      <c r="F53" s="954"/>
      <c r="H53" s="23"/>
    </row>
    <row r="54" spans="1:8" ht="18" customHeight="1" x14ac:dyDescent="0.3">
      <c r="B54" s="955"/>
      <c r="C54" s="956"/>
      <c r="D54" s="956"/>
      <c r="E54" s="956"/>
      <c r="F54" s="957"/>
      <c r="H54" s="23"/>
    </row>
    <row r="55" spans="1:8" ht="18" customHeight="1" x14ac:dyDescent="0.3">
      <c r="B55" s="955"/>
      <c r="C55" s="956"/>
      <c r="D55" s="956"/>
      <c r="E55" s="956"/>
      <c r="F55" s="957"/>
      <c r="H55" s="23"/>
    </row>
    <row r="56" spans="1:8" ht="18" customHeight="1" x14ac:dyDescent="0.3">
      <c r="B56" s="958"/>
      <c r="C56" s="959"/>
      <c r="D56" s="959"/>
      <c r="E56" s="959"/>
      <c r="F56" s="960"/>
      <c r="H56" s="23"/>
    </row>
    <row r="57" spans="1:8" ht="18" customHeight="1" x14ac:dyDescent="0.3">
      <c r="B57" s="62"/>
      <c r="C57" s="63"/>
      <c r="D57" s="63"/>
      <c r="E57" s="63"/>
      <c r="F57" s="64"/>
      <c r="H57" s="23"/>
    </row>
    <row r="58" spans="1:8" ht="18" customHeight="1" x14ac:dyDescent="0.3">
      <c r="B58" s="952"/>
      <c r="C58" s="953"/>
      <c r="D58" s="953"/>
      <c r="E58" s="953"/>
      <c r="F58" s="954"/>
      <c r="H58" s="23"/>
    </row>
    <row r="59" spans="1:8" ht="18" customHeight="1" x14ac:dyDescent="0.3">
      <c r="B59" s="955"/>
      <c r="C59" s="956"/>
      <c r="D59" s="956"/>
      <c r="E59" s="956"/>
      <c r="F59" s="957"/>
      <c r="H59" s="23"/>
    </row>
    <row r="60" spans="1:8" ht="18" customHeight="1" x14ac:dyDescent="0.3">
      <c r="B60" s="955"/>
      <c r="C60" s="956"/>
      <c r="D60" s="956"/>
      <c r="E60" s="956"/>
      <c r="F60" s="957"/>
      <c r="H60" s="23"/>
    </row>
    <row r="61" spans="1:8" ht="18" customHeight="1" thickBot="1" x14ac:dyDescent="0.35">
      <c r="B61" s="961"/>
      <c r="C61" s="962"/>
      <c r="D61" s="962"/>
      <c r="E61" s="962"/>
      <c r="F61" s="963"/>
      <c r="H61" s="23"/>
    </row>
    <row r="62" spans="1:8" ht="18" customHeight="1" x14ac:dyDescent="0.3">
      <c r="H62" s="23"/>
    </row>
    <row r="63" spans="1:8" ht="18" customHeight="1" x14ac:dyDescent="0.3">
      <c r="A63" s="23"/>
      <c r="B63" s="23"/>
      <c r="C63" s="23"/>
      <c r="D63" s="23"/>
      <c r="E63" s="23"/>
      <c r="F63" s="23"/>
      <c r="G63" s="23"/>
      <c r="H63" s="23"/>
    </row>
  </sheetData>
  <sheetProtection algorithmName="SHA-512" hashValue="N6va43Lhmx7Tfh+GApuRivr0lJ0G5KSzp29kEIg/iXDrOvT86/xeLtqp9qgOfwzOC3674ZY6CiWqQr+OagvFFA==" saltValue="sM2KsfsGsAZXvnJuQfQgqQ==" spinCount="100000" sheet="1" selectLockedCells="1"/>
  <mergeCells count="18">
    <mergeCell ref="B48:F51"/>
    <mergeCell ref="B53:F56"/>
    <mergeCell ref="B2:C2"/>
    <mergeCell ref="B28:F31"/>
    <mergeCell ref="B58:F61"/>
    <mergeCell ref="B12:F12"/>
    <mergeCell ref="B13:F16"/>
    <mergeCell ref="B18:F21"/>
    <mergeCell ref="B23:F26"/>
    <mergeCell ref="B17:F17"/>
    <mergeCell ref="B22:F22"/>
    <mergeCell ref="B27:F27"/>
    <mergeCell ref="B32:F32"/>
    <mergeCell ref="B33:F36"/>
    <mergeCell ref="B37:F37"/>
    <mergeCell ref="B38:F41"/>
    <mergeCell ref="B42:F42"/>
    <mergeCell ref="B43:F46"/>
  </mergeCells>
  <hyperlinks>
    <hyperlink ref="E2" location="Instructions!B37" display="Back to Instructions tab" xr:uid="{62978A1E-6019-4D7E-AD5C-BDCF6D92D67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G21"/>
  <sheetViews>
    <sheetView showGridLines="0" zoomScale="80" zoomScaleNormal="80" workbookViewId="0">
      <selection activeCell="E16" sqref="E16"/>
    </sheetView>
  </sheetViews>
  <sheetFormatPr defaultColWidth="9.140625" defaultRowHeight="18" customHeight="1" x14ac:dyDescent="0.3"/>
  <cols>
    <col min="1" max="1" width="9.140625" style="22"/>
    <col min="2" max="2" width="30.7109375" style="22" bestFit="1" customWidth="1"/>
    <col min="3" max="3" width="53.42578125" style="22" customWidth="1"/>
    <col min="4" max="4" width="40.28515625" style="22" customWidth="1"/>
    <col min="5" max="5" width="40.85546875" style="22" customWidth="1"/>
    <col min="6" max="6" width="9.140625" style="22"/>
    <col min="7" max="7" width="2.7109375" style="22" customWidth="1"/>
    <col min="8" max="16384" width="9.140625" style="22"/>
  </cols>
  <sheetData>
    <row r="1" spans="2:7" ht="18" customHeight="1" thickBot="1" x14ac:dyDescent="0.35">
      <c r="G1" s="23"/>
    </row>
    <row r="2" spans="2:7" ht="18" customHeight="1" thickBot="1" x14ac:dyDescent="0.35">
      <c r="B2" s="752" t="str">
        <f>'Version Control'!$B$2</f>
        <v>Title Block</v>
      </c>
      <c r="C2" s="753"/>
      <c r="E2" s="158" t="s">
        <v>37</v>
      </c>
      <c r="G2" s="23"/>
    </row>
    <row r="3" spans="2:7" ht="18" customHeight="1" x14ac:dyDescent="0.3">
      <c r="B3" s="24" t="str">
        <f>'Version Control'!$B$3</f>
        <v>Test Report Template Name:</v>
      </c>
      <c r="C3" s="25" t="str">
        <f>'Version Control'!C3</f>
        <v>Electric Motors</v>
      </c>
      <c r="G3" s="23"/>
    </row>
    <row r="4" spans="2:7" ht="18" customHeight="1" x14ac:dyDescent="0.3">
      <c r="B4" s="26" t="str">
        <f>'Version Control'!$B$4</f>
        <v>Version Number:</v>
      </c>
      <c r="C4" s="27" t="str">
        <f>'Version Control'!C4</f>
        <v>v1.0</v>
      </c>
      <c r="E4" s="1"/>
      <c r="G4" s="23"/>
    </row>
    <row r="5" spans="2:7" ht="18" customHeight="1" x14ac:dyDescent="0.3">
      <c r="B5" s="26" t="str">
        <f>'Version Control'!$B$5</f>
        <v xml:space="preserve">Latest Template Revision: </v>
      </c>
      <c r="C5" s="28">
        <f>'Version Control'!C5</f>
        <v>45567</v>
      </c>
      <c r="G5" s="23"/>
    </row>
    <row r="6" spans="2:7" ht="18" customHeight="1" x14ac:dyDescent="0.3">
      <c r="B6" s="26" t="str">
        <f>'Version Control'!$B$6</f>
        <v>Tab Name:</v>
      </c>
      <c r="C6" s="29" t="str">
        <f ca="1">MID(CELL("filename",A1), FIND("]", CELL("filename", A1))+ 1, 255)</f>
        <v>Report Sign-Off Block</v>
      </c>
      <c r="G6" s="23"/>
    </row>
    <row r="7" spans="2:7" ht="36" customHeight="1" x14ac:dyDescent="0.3">
      <c r="B7" s="19" t="str">
        <f>'Version Control'!$B$7</f>
        <v>File Name:</v>
      </c>
      <c r="C7" s="50" t="str">
        <f ca="1">'Version Control'!C7</f>
        <v>Electric Motors -  v1.0.xlsx</v>
      </c>
      <c r="G7" s="23"/>
    </row>
    <row r="8" spans="2:7" ht="16.5" x14ac:dyDescent="0.3">
      <c r="B8" s="58" t="s">
        <v>42</v>
      </c>
      <c r="C8" s="52" t="str">
        <f>'General Info &amp; Test Results'!C17</f>
        <v>[MM/DD/YYYY]</v>
      </c>
      <c r="G8" s="23"/>
    </row>
    <row r="9" spans="2:7" ht="18" customHeight="1" thickBot="1" x14ac:dyDescent="0.35">
      <c r="B9" s="53" t="str">
        <f>'Version Control'!$B$9</f>
        <v>Date Test Finished:</v>
      </c>
      <c r="C9" s="54" t="str">
        <f>'Version Control'!C9</f>
        <v>[MM/DD/YYYY]</v>
      </c>
      <c r="G9" s="23"/>
    </row>
    <row r="10" spans="2:7" ht="18" customHeight="1" x14ac:dyDescent="0.3">
      <c r="G10" s="23"/>
    </row>
    <row r="11" spans="2:7" ht="18" customHeight="1" thickBot="1" x14ac:dyDescent="0.35">
      <c r="G11" s="23"/>
    </row>
    <row r="12" spans="2:7" ht="18" customHeight="1" thickBot="1" x14ac:dyDescent="0.35">
      <c r="B12" s="752" t="s">
        <v>46</v>
      </c>
      <c r="C12" s="793"/>
      <c r="D12" s="793"/>
      <c r="E12" s="753"/>
      <c r="G12" s="23"/>
    </row>
    <row r="13" spans="2:7" ht="18" customHeight="1" x14ac:dyDescent="0.3">
      <c r="B13" s="972" t="s">
        <v>71</v>
      </c>
      <c r="C13" s="973"/>
      <c r="D13" s="973"/>
      <c r="E13" s="974"/>
      <c r="G13" s="23"/>
    </row>
    <row r="14" spans="2:7" ht="18" customHeight="1" x14ac:dyDescent="0.3">
      <c r="B14" s="975"/>
      <c r="C14" s="976"/>
      <c r="D14" s="976"/>
      <c r="E14" s="977"/>
      <c r="G14" s="23"/>
    </row>
    <row r="15" spans="2:7" ht="18" customHeight="1" x14ac:dyDescent="0.35">
      <c r="B15" s="978" t="s">
        <v>52</v>
      </c>
      <c r="C15" s="979"/>
      <c r="D15" s="38" t="s">
        <v>53</v>
      </c>
      <c r="E15" s="39" t="s">
        <v>54</v>
      </c>
      <c r="G15" s="23"/>
    </row>
    <row r="16" spans="2:7" ht="18" customHeight="1" x14ac:dyDescent="0.3">
      <c r="B16" s="980" t="s">
        <v>56</v>
      </c>
      <c r="C16" s="981"/>
      <c r="D16" s="10" t="str">
        <f>'General Info &amp; Test Results'!C18</f>
        <v>[MM/DD/YYYY]</v>
      </c>
      <c r="E16" s="11" t="s">
        <v>72</v>
      </c>
      <c r="G16" s="23"/>
    </row>
    <row r="17" spans="1:7" ht="18" customHeight="1" x14ac:dyDescent="0.3">
      <c r="B17" s="982" t="s">
        <v>58</v>
      </c>
      <c r="C17" s="983"/>
      <c r="D17" s="12" t="s">
        <v>43</v>
      </c>
      <c r="E17" s="11" t="s">
        <v>72</v>
      </c>
      <c r="G17" s="23"/>
    </row>
    <row r="18" spans="1:7" ht="18" customHeight="1" x14ac:dyDescent="0.3">
      <c r="B18" s="982" t="s">
        <v>60</v>
      </c>
      <c r="C18" s="983"/>
      <c r="D18" s="12" t="s">
        <v>43</v>
      </c>
      <c r="E18" s="11" t="s">
        <v>72</v>
      </c>
      <c r="G18" s="23"/>
    </row>
    <row r="19" spans="1:7" ht="18" customHeight="1" thickBot="1" x14ac:dyDescent="0.35">
      <c r="B19" s="970" t="s">
        <v>60</v>
      </c>
      <c r="C19" s="971"/>
      <c r="D19" s="13" t="s">
        <v>43</v>
      </c>
      <c r="E19" s="16" t="s">
        <v>72</v>
      </c>
      <c r="G19" s="23"/>
    </row>
    <row r="20" spans="1:7" ht="18" customHeight="1" x14ac:dyDescent="0.3">
      <c r="G20" s="23"/>
    </row>
    <row r="21" spans="1:7" ht="18" customHeight="1" x14ac:dyDescent="0.3">
      <c r="A21" s="23"/>
      <c r="B21" s="23"/>
      <c r="C21" s="23"/>
      <c r="D21" s="23"/>
      <c r="E21" s="23"/>
      <c r="F21" s="23"/>
      <c r="G21" s="23"/>
    </row>
  </sheetData>
  <sheetProtection algorithmName="SHA-512" hashValue="2iRDIMwOWDF8+D+afKpNm0qDuU0PqMBPSO3gjP/50bq0/h3Swe3ERXHRPt8mvnpzJbUy4wyX5sAzGJVW/nIikA==" saltValue="KF9vrKHkgPxx6M1RcNRFdA==" spinCount="100000" sheet="1" selectLockedCells="1"/>
  <mergeCells count="8">
    <mergeCell ref="B2:C2"/>
    <mergeCell ref="B19:C19"/>
    <mergeCell ref="B12:E12"/>
    <mergeCell ref="B13:E14"/>
    <mergeCell ref="B15:C15"/>
    <mergeCell ref="B16:C16"/>
    <mergeCell ref="B17:C17"/>
    <mergeCell ref="B18:C18"/>
  </mergeCells>
  <hyperlinks>
    <hyperlink ref="E2" location="Instructions!B37" display="Back to Instructions tab" xr:uid="{1F3CDF8A-E62C-4C8C-91F1-5F1E9572797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36"/>
  <sheetViews>
    <sheetView showGridLines="0" zoomScale="80" zoomScaleNormal="80" workbookViewId="0">
      <selection activeCell="D97" sqref="D97"/>
    </sheetView>
  </sheetViews>
  <sheetFormatPr defaultColWidth="9.140625" defaultRowHeight="18" customHeight="1" x14ac:dyDescent="0.3"/>
  <cols>
    <col min="1" max="1" width="9.140625" style="22"/>
    <col min="2" max="2" width="41.5703125" style="22" customWidth="1"/>
    <col min="3" max="3" width="57.7109375" style="22" bestFit="1" customWidth="1"/>
    <col min="4" max="4" width="9.85546875" style="22" customWidth="1"/>
    <col min="5" max="5" width="27.5703125" style="22" customWidth="1"/>
    <col min="6" max="6" width="5" style="22" customWidth="1"/>
    <col min="7" max="16384" width="9.140625" style="22"/>
  </cols>
  <sheetData>
    <row r="1" spans="2:6" ht="18" customHeight="1" thickBot="1" x14ac:dyDescent="0.35">
      <c r="F1" s="23"/>
    </row>
    <row r="2" spans="2:6" ht="18" customHeight="1" thickBot="1" x14ac:dyDescent="0.35">
      <c r="B2" s="752" t="str">
        <f>'Version Control'!$B$2</f>
        <v>Title Block</v>
      </c>
      <c r="C2" s="752"/>
      <c r="D2" s="65"/>
      <c r="E2" s="158" t="s">
        <v>37</v>
      </c>
      <c r="F2" s="23"/>
    </row>
    <row r="3" spans="2:6" ht="18" customHeight="1" x14ac:dyDescent="0.3">
      <c r="B3" s="24" t="str">
        <f>'Version Control'!$B$3</f>
        <v>Test Report Template Name:</v>
      </c>
      <c r="C3" s="25" t="str">
        <f>'Version Control'!C3</f>
        <v>Electric Motors</v>
      </c>
      <c r="D3" s="66"/>
      <c r="F3" s="23"/>
    </row>
    <row r="4" spans="2:6" ht="18" customHeight="1" x14ac:dyDescent="0.3">
      <c r="B4" s="26" t="str">
        <f>'Version Control'!$B$4</f>
        <v>Version Number:</v>
      </c>
      <c r="C4" s="27" t="str">
        <f>'Version Control'!C4</f>
        <v>v1.0</v>
      </c>
      <c r="D4" s="66"/>
      <c r="F4" s="23"/>
    </row>
    <row r="5" spans="2:6" ht="18" customHeight="1" x14ac:dyDescent="0.3">
      <c r="B5" s="26" t="str">
        <f>'Version Control'!$B$5</f>
        <v xml:space="preserve">Latest Template Revision: </v>
      </c>
      <c r="C5" s="28">
        <f>'Version Control'!C5</f>
        <v>45567</v>
      </c>
      <c r="D5" s="31"/>
      <c r="F5" s="23"/>
    </row>
    <row r="6" spans="2:6" ht="18" customHeight="1" x14ac:dyDescent="0.3">
      <c r="B6" s="26" t="str">
        <f>'Version Control'!$B$6</f>
        <v>Tab Name:</v>
      </c>
      <c r="C6" s="29" t="str">
        <f ca="1">MID(CELL("filename",A1), FIND("]", CELL("filename", A1))+ 1, 255)</f>
        <v>Drop-downs</v>
      </c>
      <c r="D6" s="67"/>
      <c r="F6" s="23"/>
    </row>
    <row r="7" spans="2:6" ht="36" customHeight="1" x14ac:dyDescent="0.3">
      <c r="B7" s="19" t="str">
        <f>'Version Control'!$B$7</f>
        <v>File Name:</v>
      </c>
      <c r="C7" s="50" t="str">
        <f ca="1">'Version Control'!C7</f>
        <v>Electric Motors -  v1.0.xlsx</v>
      </c>
      <c r="D7" s="68"/>
      <c r="F7" s="23"/>
    </row>
    <row r="8" spans="2:6" ht="16.5" x14ac:dyDescent="0.3">
      <c r="B8" s="58" t="s">
        <v>42</v>
      </c>
      <c r="C8" s="52" t="str">
        <f>'General Info &amp; Test Results'!C17</f>
        <v>[MM/DD/YYYY]</v>
      </c>
      <c r="D8" s="68"/>
      <c r="F8" s="23"/>
    </row>
    <row r="9" spans="2:6" ht="18" customHeight="1" thickBot="1" x14ac:dyDescent="0.35">
      <c r="B9" s="53" t="str">
        <f>'Version Control'!$B$9</f>
        <v>Date Test Finished:</v>
      </c>
      <c r="C9" s="54" t="str">
        <f>'Version Control'!C9</f>
        <v>[MM/DD/YYYY]</v>
      </c>
      <c r="D9" s="31"/>
      <c r="F9" s="23"/>
    </row>
    <row r="10" spans="2:6" ht="18" customHeight="1" x14ac:dyDescent="0.3">
      <c r="B10" s="30"/>
      <c r="C10" s="31"/>
      <c r="D10" s="31"/>
      <c r="F10" s="23"/>
    </row>
    <row r="11" spans="2:6" ht="18" customHeight="1" x14ac:dyDescent="0.3">
      <c r="B11" s="30" t="s">
        <v>599</v>
      </c>
      <c r="C11" s="31"/>
      <c r="D11" s="31"/>
      <c r="F11" s="23"/>
    </row>
    <row r="12" spans="2:6" ht="18" customHeight="1" x14ac:dyDescent="0.3">
      <c r="B12" s="69" t="s">
        <v>600</v>
      </c>
      <c r="C12" s="31"/>
      <c r="D12" s="31"/>
      <c r="F12" s="23"/>
    </row>
    <row r="13" spans="2:6" ht="18" customHeight="1" x14ac:dyDescent="0.3">
      <c r="B13" s="70" t="s">
        <v>601</v>
      </c>
      <c r="C13" s="31"/>
      <c r="D13" s="31"/>
      <c r="F13" s="23"/>
    </row>
    <row r="14" spans="2:6" ht="18" customHeight="1" x14ac:dyDescent="0.3">
      <c r="B14" s="70" t="s">
        <v>602</v>
      </c>
      <c r="C14" s="31"/>
      <c r="D14" s="31"/>
      <c r="F14" s="23"/>
    </row>
    <row r="15" spans="2:6" ht="18" customHeight="1" x14ac:dyDescent="0.3">
      <c r="B15" s="70" t="s">
        <v>603</v>
      </c>
      <c r="C15" s="31"/>
      <c r="D15" s="31"/>
      <c r="F15" s="23"/>
    </row>
    <row r="16" spans="2:6" ht="18" customHeight="1" x14ac:dyDescent="0.3">
      <c r="B16" s="70" t="s">
        <v>604</v>
      </c>
      <c r="C16" s="31"/>
      <c r="D16" s="31"/>
      <c r="F16" s="23"/>
    </row>
    <row r="17" spans="2:6" ht="18" customHeight="1" x14ac:dyDescent="0.3">
      <c r="B17" s="70" t="s">
        <v>605</v>
      </c>
      <c r="C17" s="31"/>
      <c r="D17" s="31"/>
      <c r="F17" s="23"/>
    </row>
    <row r="18" spans="2:6" ht="18" customHeight="1" x14ac:dyDescent="0.3">
      <c r="B18" s="70" t="s">
        <v>570</v>
      </c>
      <c r="C18" s="31"/>
      <c r="D18" s="31"/>
      <c r="F18" s="23"/>
    </row>
    <row r="19" spans="2:6" ht="18" customHeight="1" x14ac:dyDescent="0.3">
      <c r="B19" s="70" t="s">
        <v>571</v>
      </c>
      <c r="C19" s="31"/>
      <c r="D19" s="31"/>
      <c r="F19" s="23"/>
    </row>
    <row r="20" spans="2:6" ht="18" customHeight="1" x14ac:dyDescent="0.3">
      <c r="B20" s="73" t="s">
        <v>572</v>
      </c>
      <c r="C20" s="31"/>
      <c r="D20" s="31"/>
      <c r="F20" s="23"/>
    </row>
    <row r="21" spans="2:6" ht="18" customHeight="1" x14ac:dyDescent="0.3">
      <c r="B21" s="30"/>
      <c r="C21" s="31"/>
      <c r="D21" s="31"/>
      <c r="F21" s="23"/>
    </row>
    <row r="22" spans="2:6" ht="18" customHeight="1" x14ac:dyDescent="0.3">
      <c r="B22" s="30" t="s">
        <v>108</v>
      </c>
      <c r="C22" s="31"/>
      <c r="D22" s="31"/>
      <c r="F22" s="23"/>
    </row>
    <row r="23" spans="2:6" ht="18" customHeight="1" x14ac:dyDescent="0.3">
      <c r="B23" s="69" t="s">
        <v>110</v>
      </c>
      <c r="C23" s="31"/>
      <c r="D23" s="31"/>
      <c r="F23" s="23"/>
    </row>
    <row r="24" spans="2:6" ht="18" customHeight="1" x14ac:dyDescent="0.3">
      <c r="B24" s="70" t="s">
        <v>111</v>
      </c>
      <c r="C24" s="31"/>
      <c r="D24" s="31"/>
      <c r="F24" s="23"/>
    </row>
    <row r="25" spans="2:6" ht="18" customHeight="1" x14ac:dyDescent="0.3">
      <c r="B25" s="70" t="s">
        <v>109</v>
      </c>
      <c r="C25" s="31"/>
      <c r="D25" s="31"/>
      <c r="F25" s="23"/>
    </row>
    <row r="26" spans="2:6" ht="18" customHeight="1" x14ac:dyDescent="0.3">
      <c r="B26" s="70" t="s">
        <v>112</v>
      </c>
      <c r="C26" s="31"/>
      <c r="D26" s="31"/>
      <c r="F26" s="23"/>
    </row>
    <row r="27" spans="2:6" ht="18" customHeight="1" x14ac:dyDescent="0.3">
      <c r="B27" s="70" t="s">
        <v>113</v>
      </c>
      <c r="C27" s="31"/>
      <c r="D27" s="31"/>
      <c r="F27" s="23"/>
    </row>
    <row r="28" spans="2:6" ht="18" customHeight="1" x14ac:dyDescent="0.3">
      <c r="B28" s="70" t="s">
        <v>114</v>
      </c>
      <c r="C28" s="31"/>
      <c r="D28" s="31"/>
      <c r="F28" s="23"/>
    </row>
    <row r="29" spans="2:6" ht="18" customHeight="1" x14ac:dyDescent="0.3">
      <c r="B29" s="70" t="s">
        <v>115</v>
      </c>
      <c r="C29" s="31"/>
      <c r="D29" s="31"/>
      <c r="F29" s="23"/>
    </row>
    <row r="30" spans="2:6" ht="18" customHeight="1" x14ac:dyDescent="0.3">
      <c r="B30" s="71" t="s">
        <v>116</v>
      </c>
      <c r="C30" s="31"/>
      <c r="D30" s="31"/>
      <c r="F30" s="23"/>
    </row>
    <row r="31" spans="2:6" ht="18" customHeight="1" x14ac:dyDescent="0.3">
      <c r="B31" s="30"/>
      <c r="C31" s="31"/>
      <c r="D31" s="31"/>
      <c r="F31" s="23"/>
    </row>
    <row r="32" spans="2:6" ht="18" customHeight="1" x14ac:dyDescent="0.3">
      <c r="B32" s="30" t="s">
        <v>91</v>
      </c>
      <c r="C32" s="31"/>
      <c r="D32" s="31"/>
      <c r="F32" s="23"/>
    </row>
    <row r="33" spans="2:6" ht="18" customHeight="1" x14ac:dyDescent="0.3">
      <c r="B33" s="69" t="s">
        <v>92</v>
      </c>
      <c r="C33" s="31"/>
      <c r="D33" s="31"/>
      <c r="F33" s="23"/>
    </row>
    <row r="34" spans="2:6" ht="18" customHeight="1" x14ac:dyDescent="0.3">
      <c r="B34" s="73" t="s">
        <v>93</v>
      </c>
      <c r="F34" s="23"/>
    </row>
    <row r="35" spans="2:6" ht="18" customHeight="1" x14ac:dyDescent="0.3">
      <c r="F35" s="23"/>
    </row>
    <row r="36" spans="2:6" ht="18" customHeight="1" x14ac:dyDescent="0.3">
      <c r="B36" s="22" t="s">
        <v>117</v>
      </c>
      <c r="F36" s="23"/>
    </row>
    <row r="37" spans="2:6" ht="18" customHeight="1" x14ac:dyDescent="0.3">
      <c r="B37" s="72" t="s">
        <v>73</v>
      </c>
      <c r="F37" s="23"/>
    </row>
    <row r="38" spans="2:6" ht="18" customHeight="1" x14ac:dyDescent="0.3">
      <c r="B38" s="74" t="s">
        <v>74</v>
      </c>
      <c r="F38" s="23"/>
    </row>
    <row r="39" spans="2:6" ht="18" customHeight="1" x14ac:dyDescent="0.3">
      <c r="B39" s="73" t="s">
        <v>75</v>
      </c>
      <c r="F39" s="23"/>
    </row>
    <row r="40" spans="2:6" ht="18" customHeight="1" x14ac:dyDescent="0.3">
      <c r="B40" s="134"/>
      <c r="F40" s="23"/>
    </row>
    <row r="41" spans="2:6" ht="18" customHeight="1" x14ac:dyDescent="0.3">
      <c r="B41" s="134" t="s">
        <v>118</v>
      </c>
      <c r="F41" s="23"/>
    </row>
    <row r="42" spans="2:6" ht="18" customHeight="1" x14ac:dyDescent="0.3">
      <c r="B42" s="72" t="s">
        <v>119</v>
      </c>
      <c r="F42" s="23"/>
    </row>
    <row r="43" spans="2:6" ht="18" customHeight="1" x14ac:dyDescent="0.3">
      <c r="B43" s="74" t="s">
        <v>120</v>
      </c>
      <c r="F43" s="23"/>
    </row>
    <row r="44" spans="2:6" ht="18" customHeight="1" x14ac:dyDescent="0.3">
      <c r="B44" s="74" t="s">
        <v>121</v>
      </c>
      <c r="F44" s="23"/>
    </row>
    <row r="45" spans="2:6" ht="18" customHeight="1" x14ac:dyDescent="0.3">
      <c r="B45" s="73" t="s">
        <v>122</v>
      </c>
      <c r="F45" s="23"/>
    </row>
    <row r="46" spans="2:6" ht="18" customHeight="1" x14ac:dyDescent="0.3">
      <c r="B46" s="134"/>
      <c r="F46" s="23"/>
    </row>
    <row r="47" spans="2:6" ht="18" customHeight="1" x14ac:dyDescent="0.3">
      <c r="B47" s="30" t="s">
        <v>123</v>
      </c>
      <c r="C47" s="31"/>
      <c r="D47" s="31"/>
      <c r="F47" s="23"/>
    </row>
    <row r="48" spans="2:6" ht="18" customHeight="1" x14ac:dyDescent="0.3">
      <c r="B48" s="69" t="s">
        <v>124</v>
      </c>
      <c r="C48" s="31"/>
      <c r="D48" s="31"/>
      <c r="F48" s="23"/>
    </row>
    <row r="49" spans="2:6" ht="18" customHeight="1" x14ac:dyDescent="0.3">
      <c r="B49" s="71" t="s">
        <v>125</v>
      </c>
      <c r="C49" s="31"/>
      <c r="D49" s="31"/>
      <c r="F49" s="23"/>
    </row>
    <row r="50" spans="2:6" ht="18" customHeight="1" x14ac:dyDescent="0.3">
      <c r="B50" s="30"/>
      <c r="C50" s="31"/>
      <c r="D50" s="31"/>
      <c r="F50" s="23"/>
    </row>
    <row r="51" spans="2:6" ht="18" customHeight="1" x14ac:dyDescent="0.3">
      <c r="B51" s="30" t="s">
        <v>126</v>
      </c>
      <c r="C51" s="31"/>
      <c r="D51" s="31"/>
      <c r="F51" s="23"/>
    </row>
    <row r="52" spans="2:6" ht="18" customHeight="1" x14ac:dyDescent="0.3">
      <c r="B52" s="69" t="s">
        <v>127</v>
      </c>
      <c r="C52" s="31"/>
      <c r="D52" s="31"/>
      <c r="F52" s="23"/>
    </row>
    <row r="53" spans="2:6" ht="18" customHeight="1" x14ac:dyDescent="0.3">
      <c r="B53" s="70" t="s">
        <v>128</v>
      </c>
      <c r="C53" s="31"/>
      <c r="D53" s="31"/>
      <c r="F53" s="23"/>
    </row>
    <row r="54" spans="2:6" ht="18" customHeight="1" x14ac:dyDescent="0.3">
      <c r="B54" s="70" t="s">
        <v>129</v>
      </c>
      <c r="C54" s="31"/>
      <c r="D54" s="31"/>
      <c r="F54" s="23"/>
    </row>
    <row r="55" spans="2:6" ht="18" customHeight="1" x14ac:dyDescent="0.3">
      <c r="B55" s="70" t="s">
        <v>130</v>
      </c>
      <c r="C55" s="31"/>
      <c r="D55" s="31"/>
      <c r="F55" s="23"/>
    </row>
    <row r="56" spans="2:6" ht="18" customHeight="1" x14ac:dyDescent="0.3">
      <c r="B56" s="70" t="s">
        <v>131</v>
      </c>
      <c r="C56" s="31"/>
      <c r="D56" s="31"/>
      <c r="F56" s="23"/>
    </row>
    <row r="57" spans="2:6" ht="18" customHeight="1" x14ac:dyDescent="0.3">
      <c r="B57" s="70" t="s">
        <v>132</v>
      </c>
      <c r="C57" s="31"/>
      <c r="D57" s="31"/>
      <c r="F57" s="23"/>
    </row>
    <row r="58" spans="2:6" ht="18" customHeight="1" x14ac:dyDescent="0.3">
      <c r="B58" s="73" t="s">
        <v>158</v>
      </c>
      <c r="F58" s="23"/>
    </row>
    <row r="59" spans="2:6" ht="18" customHeight="1" x14ac:dyDescent="0.3">
      <c r="F59" s="23"/>
    </row>
    <row r="60" spans="2:6" ht="18" customHeight="1" x14ac:dyDescent="0.3">
      <c r="B60" s="30" t="s">
        <v>154</v>
      </c>
      <c r="C60" s="31"/>
      <c r="D60" s="31"/>
      <c r="F60" s="23"/>
    </row>
    <row r="61" spans="2:6" ht="18" customHeight="1" x14ac:dyDescent="0.3">
      <c r="B61" s="69" t="s">
        <v>133</v>
      </c>
      <c r="C61" s="31"/>
      <c r="D61" s="31"/>
      <c r="F61" s="23"/>
    </row>
    <row r="62" spans="2:6" ht="18" customHeight="1" x14ac:dyDescent="0.3">
      <c r="B62" s="70" t="s">
        <v>134</v>
      </c>
      <c r="C62" s="31"/>
      <c r="D62" s="31"/>
      <c r="F62" s="23"/>
    </row>
    <row r="63" spans="2:6" ht="18" customHeight="1" x14ac:dyDescent="0.3">
      <c r="B63" s="70" t="s">
        <v>135</v>
      </c>
      <c r="C63" s="31"/>
      <c r="D63" s="31"/>
      <c r="F63" s="23"/>
    </row>
    <row r="64" spans="2:6" ht="18" customHeight="1" x14ac:dyDescent="0.3">
      <c r="B64" s="70" t="s">
        <v>136</v>
      </c>
      <c r="C64" s="31"/>
      <c r="D64" s="31"/>
      <c r="F64" s="23"/>
    </row>
    <row r="65" spans="2:6" ht="18" customHeight="1" x14ac:dyDescent="0.3">
      <c r="B65" s="70" t="s">
        <v>137</v>
      </c>
      <c r="C65" s="31"/>
      <c r="D65" s="31"/>
      <c r="F65" s="23"/>
    </row>
    <row r="66" spans="2:6" ht="18" customHeight="1" x14ac:dyDescent="0.3">
      <c r="B66" s="70" t="s">
        <v>138</v>
      </c>
      <c r="C66" s="31"/>
      <c r="D66" s="31"/>
      <c r="F66" s="23"/>
    </row>
    <row r="67" spans="2:6" ht="18" customHeight="1" x14ac:dyDescent="0.3">
      <c r="B67" s="70" t="s">
        <v>139</v>
      </c>
      <c r="C67" s="31"/>
      <c r="D67" s="31"/>
      <c r="F67" s="23"/>
    </row>
    <row r="68" spans="2:6" ht="18" customHeight="1" x14ac:dyDescent="0.3">
      <c r="B68" s="70" t="s">
        <v>140</v>
      </c>
      <c r="C68" s="31"/>
      <c r="D68" s="31"/>
      <c r="F68" s="23"/>
    </row>
    <row r="69" spans="2:6" ht="18" customHeight="1" x14ac:dyDescent="0.3">
      <c r="B69" s="70" t="s">
        <v>141</v>
      </c>
      <c r="C69" s="31"/>
      <c r="D69" s="31"/>
      <c r="F69" s="23"/>
    </row>
    <row r="70" spans="2:6" ht="18" customHeight="1" x14ac:dyDescent="0.3">
      <c r="B70" s="70" t="s">
        <v>142</v>
      </c>
      <c r="C70" s="31"/>
      <c r="D70" s="31"/>
      <c r="F70" s="23"/>
    </row>
    <row r="71" spans="2:6" ht="18" customHeight="1" x14ac:dyDescent="0.3">
      <c r="B71" s="70" t="s">
        <v>143</v>
      </c>
      <c r="C71" s="31"/>
      <c r="D71" s="31"/>
      <c r="F71" s="23"/>
    </row>
    <row r="72" spans="2:6" ht="18" customHeight="1" x14ac:dyDescent="0.3">
      <c r="B72" s="73" t="s">
        <v>116</v>
      </c>
      <c r="F72" s="23"/>
    </row>
    <row r="73" spans="2:6" ht="18" customHeight="1" x14ac:dyDescent="0.3">
      <c r="F73" s="23"/>
    </row>
    <row r="74" spans="2:6" ht="18" customHeight="1" x14ac:dyDescent="0.3">
      <c r="B74" s="22" t="s">
        <v>144</v>
      </c>
      <c r="F74" s="23"/>
    </row>
    <row r="75" spans="2:6" ht="18" customHeight="1" x14ac:dyDescent="0.3">
      <c r="B75" s="72" t="s">
        <v>145</v>
      </c>
      <c r="F75" s="23"/>
    </row>
    <row r="76" spans="2:6" ht="18" customHeight="1" x14ac:dyDescent="0.3">
      <c r="B76" s="74" t="s">
        <v>146</v>
      </c>
      <c r="F76" s="23"/>
    </row>
    <row r="77" spans="2:6" ht="18" customHeight="1" x14ac:dyDescent="0.3">
      <c r="B77" s="73" t="s">
        <v>147</v>
      </c>
      <c r="F77" s="23"/>
    </row>
    <row r="78" spans="2:6" ht="18" customHeight="1" x14ac:dyDescent="0.3">
      <c r="B78" s="134"/>
      <c r="F78" s="23"/>
    </row>
    <row r="79" spans="2:6" ht="18" customHeight="1" x14ac:dyDescent="0.3">
      <c r="B79" s="134" t="s">
        <v>90</v>
      </c>
      <c r="F79" s="23"/>
    </row>
    <row r="80" spans="2:6" ht="18" customHeight="1" x14ac:dyDescent="0.3">
      <c r="B80" s="72" t="s">
        <v>148</v>
      </c>
      <c r="F80" s="23"/>
    </row>
    <row r="81" spans="2:6" ht="18" customHeight="1" x14ac:dyDescent="0.3">
      <c r="B81" s="74" t="s">
        <v>149</v>
      </c>
      <c r="F81" s="23"/>
    </row>
    <row r="82" spans="2:6" ht="18" customHeight="1" x14ac:dyDescent="0.3">
      <c r="B82" s="73" t="s">
        <v>150</v>
      </c>
      <c r="F82" s="23"/>
    </row>
    <row r="83" spans="2:6" ht="18" customHeight="1" x14ac:dyDescent="0.3">
      <c r="B83" s="134"/>
      <c r="F83" s="23"/>
    </row>
    <row r="84" spans="2:6" ht="18" customHeight="1" x14ac:dyDescent="0.3">
      <c r="B84" s="30" t="s">
        <v>151</v>
      </c>
      <c r="C84" s="31"/>
      <c r="D84" s="31"/>
      <c r="F84" s="23"/>
    </row>
    <row r="85" spans="2:6" ht="18" customHeight="1" x14ac:dyDescent="0.3">
      <c r="B85" s="170">
        <v>2</v>
      </c>
      <c r="C85" s="31"/>
      <c r="D85" s="31"/>
      <c r="F85" s="23"/>
    </row>
    <row r="86" spans="2:6" ht="18" customHeight="1" x14ac:dyDescent="0.3">
      <c r="B86" s="171">
        <v>4</v>
      </c>
      <c r="C86" s="31"/>
      <c r="D86" s="31"/>
      <c r="F86" s="23"/>
    </row>
    <row r="87" spans="2:6" ht="18" customHeight="1" x14ac:dyDescent="0.3">
      <c r="B87" s="171">
        <v>6</v>
      </c>
      <c r="C87" s="31"/>
      <c r="D87" s="31"/>
      <c r="F87" s="23"/>
    </row>
    <row r="88" spans="2:6" ht="18" customHeight="1" x14ac:dyDescent="0.3">
      <c r="B88" s="171">
        <v>8</v>
      </c>
      <c r="C88" s="31"/>
      <c r="D88" s="31"/>
      <c r="F88" s="23"/>
    </row>
    <row r="89" spans="2:6" ht="18" customHeight="1" x14ac:dyDescent="0.3">
      <c r="B89" s="171">
        <v>10</v>
      </c>
      <c r="C89" s="31"/>
      <c r="D89" s="31"/>
      <c r="F89" s="23"/>
    </row>
    <row r="90" spans="2:6" ht="18" customHeight="1" x14ac:dyDescent="0.3">
      <c r="B90" s="172" t="s">
        <v>125</v>
      </c>
      <c r="F90" s="23"/>
    </row>
    <row r="91" spans="2:6" ht="18" customHeight="1" x14ac:dyDescent="0.3">
      <c r="F91" s="23"/>
    </row>
    <row r="92" spans="2:6" ht="18" customHeight="1" x14ac:dyDescent="0.3">
      <c r="B92" s="30" t="s">
        <v>384</v>
      </c>
      <c r="C92" s="31"/>
      <c r="D92" s="31"/>
      <c r="F92" s="23"/>
    </row>
    <row r="93" spans="2:6" ht="18" customHeight="1" x14ac:dyDescent="0.3">
      <c r="B93" s="69" t="s">
        <v>398</v>
      </c>
      <c r="C93" s="31"/>
      <c r="D93" s="31"/>
      <c r="F93" s="23"/>
    </row>
    <row r="94" spans="2:6" ht="18" customHeight="1" x14ac:dyDescent="0.3">
      <c r="B94" s="71" t="s">
        <v>399</v>
      </c>
      <c r="C94" s="31"/>
      <c r="D94" s="31"/>
      <c r="F94" s="23"/>
    </row>
    <row r="95" spans="2:6" ht="18" customHeight="1" x14ac:dyDescent="0.3">
      <c r="B95" s="134"/>
      <c r="F95" s="23"/>
    </row>
    <row r="96" spans="2:6" ht="18" customHeight="1" x14ac:dyDescent="0.3">
      <c r="B96" s="30" t="s">
        <v>662</v>
      </c>
      <c r="C96" s="31"/>
      <c r="D96" s="31"/>
      <c r="F96" s="23"/>
    </row>
    <row r="97" spans="2:6" ht="18" customHeight="1" x14ac:dyDescent="0.3">
      <c r="B97" s="170">
        <v>50</v>
      </c>
      <c r="C97" s="31"/>
      <c r="D97" s="31"/>
      <c r="F97" s="23"/>
    </row>
    <row r="98" spans="2:6" ht="18" customHeight="1" x14ac:dyDescent="0.3">
      <c r="B98" s="171">
        <v>60</v>
      </c>
      <c r="C98" s="31"/>
      <c r="D98" s="31"/>
      <c r="F98" s="23"/>
    </row>
    <row r="99" spans="2:6" ht="18" customHeight="1" x14ac:dyDescent="0.3">
      <c r="B99" s="71" t="s">
        <v>125</v>
      </c>
      <c r="C99" s="31"/>
      <c r="D99" s="31"/>
      <c r="F99" s="23"/>
    </row>
    <row r="100" spans="2:6" ht="18" customHeight="1" x14ac:dyDescent="0.3">
      <c r="B100" s="239"/>
      <c r="C100" s="31"/>
      <c r="D100" s="31"/>
      <c r="F100" s="23"/>
    </row>
    <row r="101" spans="2:6" ht="18" customHeight="1" x14ac:dyDescent="0.3">
      <c r="B101" s="30" t="s">
        <v>152</v>
      </c>
      <c r="C101" s="31"/>
      <c r="D101" s="31"/>
      <c r="F101" s="23"/>
    </row>
    <row r="102" spans="2:6" ht="18" customHeight="1" x14ac:dyDescent="0.3">
      <c r="B102" s="69" t="s">
        <v>153</v>
      </c>
      <c r="C102" s="31"/>
      <c r="D102" s="31"/>
      <c r="F102" s="23"/>
    </row>
    <row r="103" spans="2:6" ht="18" customHeight="1" x14ac:dyDescent="0.3">
      <c r="B103" s="71" t="s">
        <v>125</v>
      </c>
      <c r="C103" s="31"/>
      <c r="D103" s="31"/>
      <c r="F103" s="23"/>
    </row>
    <row r="104" spans="2:6" ht="18" customHeight="1" x14ac:dyDescent="0.3">
      <c r="B104" s="239"/>
      <c r="C104" s="31"/>
      <c r="D104" s="31"/>
      <c r="F104" s="23"/>
    </row>
    <row r="105" spans="2:6" ht="18" customHeight="1" x14ac:dyDescent="0.3">
      <c r="B105" s="30" t="s">
        <v>266</v>
      </c>
      <c r="C105" s="31"/>
      <c r="D105" s="31"/>
      <c r="F105" s="23"/>
    </row>
    <row r="106" spans="2:6" ht="18" customHeight="1" x14ac:dyDescent="0.3">
      <c r="B106" s="69" t="s">
        <v>267</v>
      </c>
      <c r="C106" s="31"/>
      <c r="D106" s="31"/>
      <c r="F106" s="23"/>
    </row>
    <row r="107" spans="2:6" ht="18" customHeight="1" x14ac:dyDescent="0.3">
      <c r="B107" s="71" t="s">
        <v>268</v>
      </c>
      <c r="C107" s="31"/>
      <c r="D107" s="31"/>
      <c r="F107" s="23"/>
    </row>
    <row r="108" spans="2:6" ht="18" customHeight="1" x14ac:dyDescent="0.3">
      <c r="B108" s="30"/>
      <c r="C108" s="31"/>
      <c r="D108" s="31"/>
      <c r="F108" s="23"/>
    </row>
    <row r="109" spans="2:6" ht="18" customHeight="1" x14ac:dyDescent="0.3">
      <c r="B109" s="30" t="s">
        <v>301</v>
      </c>
      <c r="C109" s="31"/>
      <c r="D109" s="31"/>
      <c r="F109" s="23"/>
    </row>
    <row r="110" spans="2:6" ht="18" customHeight="1" x14ac:dyDescent="0.3">
      <c r="B110" s="69" t="s">
        <v>302</v>
      </c>
      <c r="C110" s="31"/>
      <c r="D110" s="31"/>
      <c r="F110" s="23"/>
    </row>
    <row r="111" spans="2:6" ht="18" customHeight="1" x14ac:dyDescent="0.3">
      <c r="B111" s="70" t="s">
        <v>303</v>
      </c>
      <c r="C111" s="31"/>
      <c r="D111" s="31"/>
      <c r="F111" s="23"/>
    </row>
    <row r="112" spans="2:6" ht="18" customHeight="1" x14ac:dyDescent="0.3">
      <c r="B112" s="70" t="s">
        <v>305</v>
      </c>
      <c r="C112" s="31"/>
      <c r="D112" s="31"/>
      <c r="F112" s="23"/>
    </row>
    <row r="113" spans="2:6" ht="18" customHeight="1" x14ac:dyDescent="0.3">
      <c r="B113" s="71" t="s">
        <v>304</v>
      </c>
      <c r="C113" s="31"/>
      <c r="D113" s="31"/>
      <c r="F113" s="23"/>
    </row>
    <row r="114" spans="2:6" ht="18" customHeight="1" x14ac:dyDescent="0.3">
      <c r="B114" s="30"/>
      <c r="C114" s="31"/>
      <c r="D114" s="31"/>
      <c r="F114" s="23"/>
    </row>
    <row r="115" spans="2:6" ht="18" customHeight="1" x14ac:dyDescent="0.3">
      <c r="B115" s="30" t="s">
        <v>311</v>
      </c>
      <c r="C115" s="31"/>
      <c r="D115" s="31"/>
      <c r="F115" s="23"/>
    </row>
    <row r="116" spans="2:6" ht="18" customHeight="1" x14ac:dyDescent="0.3">
      <c r="B116" s="69" t="s">
        <v>310</v>
      </c>
      <c r="C116" s="31"/>
      <c r="D116" s="31"/>
      <c r="F116" s="23"/>
    </row>
    <row r="117" spans="2:6" ht="18" customHeight="1" x14ac:dyDescent="0.3">
      <c r="B117" s="70" t="s">
        <v>312</v>
      </c>
      <c r="C117" s="31"/>
      <c r="D117" s="31"/>
      <c r="F117" s="23"/>
    </row>
    <row r="118" spans="2:6" ht="18" customHeight="1" x14ac:dyDescent="0.3">
      <c r="B118" s="71" t="s">
        <v>313</v>
      </c>
      <c r="C118" s="31"/>
      <c r="D118" s="31"/>
      <c r="F118" s="23"/>
    </row>
    <row r="119" spans="2:6" ht="18" customHeight="1" x14ac:dyDescent="0.3">
      <c r="B119" s="30"/>
      <c r="C119" s="31"/>
      <c r="D119" s="31"/>
      <c r="F119" s="23"/>
    </row>
    <row r="120" spans="2:6" ht="18" customHeight="1" x14ac:dyDescent="0.3">
      <c r="B120" s="30" t="s">
        <v>314</v>
      </c>
      <c r="C120" s="31"/>
      <c r="D120" s="31"/>
      <c r="F120" s="23"/>
    </row>
    <row r="121" spans="2:6" ht="18" customHeight="1" x14ac:dyDescent="0.3">
      <c r="B121" s="170" t="s">
        <v>175</v>
      </c>
      <c r="C121" s="31"/>
      <c r="D121" s="31"/>
      <c r="F121" s="23"/>
    </row>
    <row r="122" spans="2:6" ht="18" customHeight="1" x14ac:dyDescent="0.3">
      <c r="B122" s="171" t="s">
        <v>209</v>
      </c>
      <c r="C122" s="31"/>
      <c r="D122" s="31"/>
      <c r="F122" s="23"/>
    </row>
    <row r="123" spans="2:6" ht="18" customHeight="1" x14ac:dyDescent="0.3">
      <c r="B123" s="171" t="s">
        <v>298</v>
      </c>
      <c r="C123" s="31"/>
      <c r="D123" s="31"/>
      <c r="F123" s="23"/>
    </row>
    <row r="124" spans="2:6" ht="18" customHeight="1" x14ac:dyDescent="0.3">
      <c r="B124" s="172" t="s">
        <v>299</v>
      </c>
      <c r="F124" s="23"/>
    </row>
    <row r="125" spans="2:6" ht="18" customHeight="1" x14ac:dyDescent="0.3">
      <c r="F125" s="23"/>
    </row>
    <row r="126" spans="2:6" ht="18" customHeight="1" x14ac:dyDescent="0.3">
      <c r="B126" s="30" t="s">
        <v>320</v>
      </c>
      <c r="C126" s="31"/>
      <c r="D126" s="31"/>
      <c r="F126" s="23"/>
    </row>
    <row r="127" spans="2:6" ht="18" customHeight="1" x14ac:dyDescent="0.3">
      <c r="B127" s="69" t="s">
        <v>321</v>
      </c>
      <c r="C127" s="31"/>
      <c r="D127" s="31"/>
      <c r="F127" s="23"/>
    </row>
    <row r="128" spans="2:6" ht="18" customHeight="1" x14ac:dyDescent="0.3">
      <c r="B128" s="71" t="s">
        <v>322</v>
      </c>
      <c r="C128" s="31"/>
      <c r="D128" s="31"/>
      <c r="F128" s="23"/>
    </row>
    <row r="129" spans="1:6" ht="18" customHeight="1" x14ac:dyDescent="0.3">
      <c r="B129" s="239"/>
      <c r="C129" s="31"/>
      <c r="D129" s="31"/>
      <c r="F129" s="23"/>
    </row>
    <row r="130" spans="1:6" ht="18" customHeight="1" x14ac:dyDescent="0.3">
      <c r="B130" s="30" t="s">
        <v>551</v>
      </c>
      <c r="C130" s="31"/>
      <c r="D130" s="31"/>
      <c r="F130" s="23"/>
    </row>
    <row r="131" spans="1:6" ht="18" customHeight="1" x14ac:dyDescent="0.3">
      <c r="B131" s="69" t="s">
        <v>555</v>
      </c>
      <c r="C131" s="31"/>
      <c r="D131" s="31"/>
      <c r="F131" s="23"/>
    </row>
    <row r="132" spans="1:6" ht="18" customHeight="1" x14ac:dyDescent="0.3">
      <c r="B132" s="70" t="s">
        <v>552</v>
      </c>
      <c r="C132" s="31"/>
      <c r="D132" s="31"/>
      <c r="F132" s="23"/>
    </row>
    <row r="133" spans="1:6" ht="18" customHeight="1" x14ac:dyDescent="0.3">
      <c r="B133" s="70" t="s">
        <v>553</v>
      </c>
      <c r="C133" s="31"/>
      <c r="D133" s="31"/>
      <c r="F133" s="23"/>
    </row>
    <row r="134" spans="1:6" ht="18" customHeight="1" x14ac:dyDescent="0.3">
      <c r="B134" s="71" t="s">
        <v>554</v>
      </c>
      <c r="C134" s="31"/>
      <c r="D134" s="31"/>
      <c r="F134" s="23"/>
    </row>
    <row r="135" spans="1:6" ht="18" customHeight="1" x14ac:dyDescent="0.3">
      <c r="B135" s="30"/>
      <c r="C135" s="31"/>
      <c r="D135" s="31"/>
      <c r="F135" s="23"/>
    </row>
    <row r="136" spans="1:6" ht="18" customHeight="1" x14ac:dyDescent="0.3">
      <c r="A136" s="23"/>
      <c r="B136" s="23"/>
      <c r="C136" s="23"/>
      <c r="D136" s="23"/>
      <c r="E136" s="23"/>
      <c r="F136" s="23"/>
    </row>
  </sheetData>
  <sheetProtection selectLockedCells="1"/>
  <mergeCells count="1">
    <mergeCell ref="B2:C2"/>
  </mergeCells>
  <hyperlinks>
    <hyperlink ref="E2" location="Instructions!B37" display="Back to Instructions tab" xr:uid="{E6457FBE-3AAD-4863-AA7E-C66EC9DA6EA6}"/>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5"/>
  <sheetViews>
    <sheetView showGridLines="0" zoomScale="80" zoomScaleNormal="80" workbookViewId="0">
      <selection activeCell="E2" sqref="E2"/>
    </sheetView>
  </sheetViews>
  <sheetFormatPr defaultColWidth="9.140625" defaultRowHeight="18" customHeight="1" x14ac:dyDescent="0.3"/>
  <cols>
    <col min="1" max="1" width="9.140625" style="22"/>
    <col min="2" max="2" width="30.7109375" style="22" bestFit="1" customWidth="1"/>
    <col min="3" max="3" width="57.7109375" style="22" bestFit="1" customWidth="1"/>
    <col min="4" max="4" width="9.140625" style="22"/>
    <col min="5" max="5" width="28" style="22" customWidth="1"/>
    <col min="6" max="6" width="2.7109375" style="22" customWidth="1"/>
    <col min="7" max="16384" width="9.140625" style="22"/>
  </cols>
  <sheetData>
    <row r="1" spans="1:6" ht="18" customHeight="1" thickBot="1" x14ac:dyDescent="0.35">
      <c r="A1" s="30"/>
      <c r="B1" s="75"/>
      <c r="C1" s="30"/>
      <c r="D1" s="30"/>
      <c r="E1" s="30"/>
      <c r="F1" s="76"/>
    </row>
    <row r="2" spans="1:6" ht="18" customHeight="1" thickBot="1" x14ac:dyDescent="0.35">
      <c r="A2" s="30"/>
      <c r="B2" s="752" t="s">
        <v>76</v>
      </c>
      <c r="C2" s="753"/>
      <c r="D2" s="30"/>
      <c r="E2" s="158" t="s">
        <v>37</v>
      </c>
      <c r="F2" s="76"/>
    </row>
    <row r="3" spans="1:6" ht="18" customHeight="1" x14ac:dyDescent="0.3">
      <c r="A3" s="30"/>
      <c r="B3" s="24" t="s">
        <v>77</v>
      </c>
      <c r="C3" s="25" t="s">
        <v>94</v>
      </c>
      <c r="D3" s="30"/>
      <c r="E3" s="30"/>
      <c r="F3" s="76"/>
    </row>
    <row r="4" spans="1:6" ht="18" customHeight="1" x14ac:dyDescent="0.3">
      <c r="A4" s="30"/>
      <c r="B4" s="26" t="s">
        <v>78</v>
      </c>
      <c r="C4" s="29" t="str">
        <f>INDEX(B14:B55,COUNTA(B14:B55),1)</f>
        <v>v1.0</v>
      </c>
      <c r="D4" s="30"/>
      <c r="E4" s="30"/>
      <c r="F4" s="76"/>
    </row>
    <row r="5" spans="1:6" ht="18" customHeight="1" x14ac:dyDescent="0.3">
      <c r="A5" s="30"/>
      <c r="B5" s="26" t="s">
        <v>79</v>
      </c>
      <c r="C5" s="28">
        <f>IF(MAX(B14:C99)=0, "No Revision Dates Entered",MAX(C14:C99))</f>
        <v>45567</v>
      </c>
      <c r="D5" s="30"/>
      <c r="E5" s="30"/>
      <c r="F5" s="76"/>
    </row>
    <row r="6" spans="1:6" ht="18" customHeight="1" x14ac:dyDescent="0.3">
      <c r="A6" s="30"/>
      <c r="B6" s="26" t="s">
        <v>80</v>
      </c>
      <c r="C6" s="27" t="str">
        <f ca="1">MID(CELL("filename",A1), FIND("]", CELL("filename", A1))+ 1, 255)</f>
        <v>Version Control</v>
      </c>
      <c r="D6" s="30"/>
      <c r="E6" s="30"/>
      <c r="F6" s="76"/>
    </row>
    <row r="7" spans="1:6" ht="36" customHeight="1" x14ac:dyDescent="0.3">
      <c r="A7" s="30"/>
      <c r="B7" s="58" t="s">
        <v>81</v>
      </c>
      <c r="C7" s="77" t="str">
        <f ca="1">MID(CELL("FILENAME",G15),FIND("[",CELL("FILENAME",G15))+1,FIND("]",CELL("FILENAME",G15))-FIND("[",CELL("FILENAME",G15))-1)</f>
        <v>Electric Motors -  v1.0.xlsx</v>
      </c>
      <c r="D7" s="30"/>
      <c r="E7" s="30"/>
      <c r="F7" s="76"/>
    </row>
    <row r="8" spans="1:6" ht="16.5" x14ac:dyDescent="0.3">
      <c r="A8" s="30"/>
      <c r="B8" s="58" t="s">
        <v>42</v>
      </c>
      <c r="C8" s="52" t="str">
        <f>'General Info &amp; Test Results'!C17</f>
        <v>[MM/DD/YYYY]</v>
      </c>
      <c r="D8" s="30"/>
      <c r="E8" s="30"/>
      <c r="F8" s="76"/>
    </row>
    <row r="9" spans="1:6" ht="18" customHeight="1" thickBot="1" x14ac:dyDescent="0.35">
      <c r="A9" s="30"/>
      <c r="B9" s="53" t="s">
        <v>44</v>
      </c>
      <c r="C9" s="54" t="str">
        <f>'General Info &amp; Test Results'!C18</f>
        <v>[MM/DD/YYYY]</v>
      </c>
      <c r="D9" s="30"/>
      <c r="E9" s="30"/>
      <c r="F9" s="76"/>
    </row>
    <row r="10" spans="1:6" ht="18" customHeight="1" x14ac:dyDescent="0.3">
      <c r="A10" s="30"/>
      <c r="B10" s="30"/>
      <c r="C10" s="30"/>
      <c r="D10" s="30"/>
      <c r="E10" s="30"/>
      <c r="F10" s="76"/>
    </row>
    <row r="11" spans="1:6" ht="18" customHeight="1" thickBot="1" x14ac:dyDescent="0.35">
      <c r="A11" s="30"/>
      <c r="B11" s="30"/>
      <c r="C11" s="30"/>
      <c r="D11" s="30"/>
      <c r="E11" s="30"/>
      <c r="F11" s="76"/>
    </row>
    <row r="12" spans="1:6" ht="18" customHeight="1" thickBot="1" x14ac:dyDescent="0.35">
      <c r="A12" s="30"/>
      <c r="B12" s="752" t="s">
        <v>82</v>
      </c>
      <c r="C12" s="753"/>
      <c r="D12" s="30"/>
      <c r="E12" s="30"/>
      <c r="F12" s="76"/>
    </row>
    <row r="13" spans="1:6" ht="18" customHeight="1" x14ac:dyDescent="0.35">
      <c r="A13" s="30"/>
      <c r="B13" s="78" t="s">
        <v>83</v>
      </c>
      <c r="C13" s="79" t="s">
        <v>53</v>
      </c>
      <c r="D13" s="30"/>
      <c r="E13" s="30"/>
      <c r="F13" s="76"/>
    </row>
    <row r="14" spans="1:6" ht="18" customHeight="1" x14ac:dyDescent="0.3">
      <c r="A14" s="30"/>
      <c r="B14" s="80" t="s">
        <v>84</v>
      </c>
      <c r="C14" s="81">
        <v>45567</v>
      </c>
      <c r="D14" s="30"/>
      <c r="E14" s="30"/>
      <c r="F14" s="76"/>
    </row>
    <row r="15" spans="1:6" ht="18" customHeight="1" x14ac:dyDescent="0.3">
      <c r="A15" s="30"/>
      <c r="B15" s="82"/>
      <c r="C15" s="83"/>
      <c r="D15" s="30"/>
      <c r="E15" s="30"/>
      <c r="F15" s="76"/>
    </row>
    <row r="16" spans="1:6" ht="18" customHeight="1" x14ac:dyDescent="0.3">
      <c r="A16" s="30"/>
      <c r="B16" s="82"/>
      <c r="C16" s="83"/>
      <c r="D16" s="30"/>
      <c r="E16" s="30"/>
      <c r="F16" s="76"/>
    </row>
    <row r="17" spans="1:6" ht="18" customHeight="1" x14ac:dyDescent="0.3">
      <c r="A17" s="30"/>
      <c r="B17" s="84"/>
      <c r="C17" s="85"/>
      <c r="D17" s="30"/>
      <c r="E17" s="30"/>
      <c r="F17" s="76"/>
    </row>
    <row r="18" spans="1:6" ht="18" customHeight="1" x14ac:dyDescent="0.3">
      <c r="A18" s="30"/>
      <c r="B18" s="84"/>
      <c r="C18" s="85"/>
      <c r="D18" s="30"/>
      <c r="E18" s="30"/>
      <c r="F18" s="76"/>
    </row>
    <row r="19" spans="1:6" ht="18" customHeight="1" x14ac:dyDescent="0.3">
      <c r="A19" s="30"/>
      <c r="B19" s="84"/>
      <c r="C19" s="85"/>
      <c r="D19" s="30"/>
      <c r="E19" s="30"/>
      <c r="F19" s="76"/>
    </row>
    <row r="20" spans="1:6" ht="18" customHeight="1" x14ac:dyDescent="0.3">
      <c r="A20" s="30"/>
      <c r="B20" s="84"/>
      <c r="C20" s="85"/>
      <c r="D20" s="30"/>
      <c r="E20" s="30"/>
      <c r="F20" s="76"/>
    </row>
    <row r="21" spans="1:6" ht="18" customHeight="1" x14ac:dyDescent="0.3">
      <c r="A21" s="30"/>
      <c r="B21" s="84"/>
      <c r="C21" s="85"/>
      <c r="D21" s="30"/>
      <c r="E21" s="30"/>
      <c r="F21" s="76"/>
    </row>
    <row r="22" spans="1:6" ht="18" customHeight="1" x14ac:dyDescent="0.3">
      <c r="A22" s="30"/>
      <c r="B22" s="84"/>
      <c r="C22" s="85"/>
      <c r="D22" s="30"/>
      <c r="E22" s="30"/>
      <c r="F22" s="76"/>
    </row>
    <row r="23" spans="1:6" ht="18" customHeight="1" thickBot="1" x14ac:dyDescent="0.35">
      <c r="A23" s="30"/>
      <c r="B23" s="86"/>
      <c r="C23" s="87"/>
      <c r="D23" s="30"/>
      <c r="E23" s="30"/>
      <c r="F23" s="76"/>
    </row>
    <row r="24" spans="1:6" ht="18" customHeight="1" x14ac:dyDescent="0.3">
      <c r="A24" s="30"/>
      <c r="B24" s="30"/>
      <c r="C24" s="75"/>
      <c r="D24" s="30"/>
      <c r="E24" s="30"/>
      <c r="F24" s="76"/>
    </row>
    <row r="25" spans="1:6" ht="18" customHeight="1" x14ac:dyDescent="0.3">
      <c r="A25" s="76"/>
      <c r="B25" s="76"/>
      <c r="C25" s="88"/>
      <c r="D25" s="76"/>
      <c r="E25" s="76"/>
      <c r="F25" s="76"/>
    </row>
  </sheetData>
  <sheetProtection algorithmName="SHA-512" hashValue="WeSF8b+T/9qyp13tKSIJhz94prbzyzyo+L9wks2NUSdsJuRB+r33/UiuzOG7m92gzKi/9bjmeoH7SF+cJToAwQ==" saltValue="r/VWbBZmO2vgqMdDmTxb+g==" spinCount="100000" sheet="1" selectLockedCells="1"/>
  <mergeCells count="2">
    <mergeCell ref="B2:C2"/>
    <mergeCell ref="B12:C12"/>
  </mergeCells>
  <phoneticPr fontId="25" type="noConversion"/>
  <hyperlinks>
    <hyperlink ref="E2" location="Instructions!B37" display="Back to Instructions tab" xr:uid="{9EF6ED20-95BE-4780-9ED4-669F877270E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sheetPr>
  <dimension ref="A1:J74"/>
  <sheetViews>
    <sheetView showGridLines="0" zoomScale="80" zoomScaleNormal="80" workbookViewId="0">
      <selection activeCell="C13" sqref="C13"/>
    </sheetView>
  </sheetViews>
  <sheetFormatPr defaultColWidth="9.140625" defaultRowHeight="18" customHeight="1" x14ac:dyDescent="0.3"/>
  <cols>
    <col min="1" max="1" width="3.42578125" style="22" customWidth="1"/>
    <col min="2" max="2" width="60.85546875" style="22" customWidth="1"/>
    <col min="3" max="3" width="43.85546875" style="22" customWidth="1"/>
    <col min="4" max="4" width="9.140625" style="22"/>
    <col min="5" max="5" width="48.42578125" style="22" customWidth="1"/>
    <col min="6" max="6" width="36.85546875" style="22" customWidth="1"/>
    <col min="7" max="7" width="24.7109375" style="22" customWidth="1"/>
    <col min="8" max="8" width="40" style="22" customWidth="1"/>
    <col min="9" max="9" width="5.42578125" style="22" customWidth="1"/>
    <col min="10" max="10" width="2.7109375" style="210" customWidth="1"/>
    <col min="11" max="16384" width="9.140625" style="22"/>
  </cols>
  <sheetData>
    <row r="1" spans="2:10" ht="18" customHeight="1" thickBot="1" x14ac:dyDescent="0.35">
      <c r="J1" s="23"/>
    </row>
    <row r="2" spans="2:10" ht="18" customHeight="1" thickBot="1" x14ac:dyDescent="0.35">
      <c r="B2" s="752" t="str">
        <f>'Version Control'!$B$2</f>
        <v>Title Block</v>
      </c>
      <c r="C2" s="753"/>
      <c r="E2" s="158" t="s">
        <v>37</v>
      </c>
      <c r="J2" s="23"/>
    </row>
    <row r="3" spans="2:10" ht="18" customHeight="1" x14ac:dyDescent="0.3">
      <c r="B3" s="100" t="str">
        <f>'Version Control'!$B$3</f>
        <v>Test Report Template Name:</v>
      </c>
      <c r="C3" s="101" t="str">
        <f>'Version Control'!$C$3</f>
        <v>Electric Motors</v>
      </c>
      <c r="J3" s="23"/>
    </row>
    <row r="4" spans="2:10" ht="18" customHeight="1" x14ac:dyDescent="0.3">
      <c r="B4" s="104" t="str">
        <f>'Version Control'!$B$4</f>
        <v>Version Number:</v>
      </c>
      <c r="C4" s="105" t="str">
        <f>'Version Control'!$C$4</f>
        <v>v1.0</v>
      </c>
      <c r="J4" s="23"/>
    </row>
    <row r="5" spans="2:10" ht="18" customHeight="1" x14ac:dyDescent="0.3">
      <c r="B5" s="104" t="str">
        <f>'Version Control'!$B$5</f>
        <v xml:space="preserve">Latest Template Revision: </v>
      </c>
      <c r="C5" s="106">
        <f>'Version Control'!$C$5</f>
        <v>45567</v>
      </c>
      <c r="J5" s="23"/>
    </row>
    <row r="6" spans="2:10" ht="18" customHeight="1" x14ac:dyDescent="0.3">
      <c r="B6" s="104" t="str">
        <f>'Version Control'!$B$6</f>
        <v>Tab Name:</v>
      </c>
      <c r="C6" s="107" t="str">
        <f ca="1">MID(CELL("filename",A1), FIND("]", CELL("filename", A1))+ 1, 255)</f>
        <v>General Info &amp; Test Results</v>
      </c>
      <c r="J6" s="23"/>
    </row>
    <row r="7" spans="2:10" ht="18" customHeight="1" x14ac:dyDescent="0.3">
      <c r="B7" s="129" t="str">
        <f>'Version Control'!$B$7</f>
        <v>File Name:</v>
      </c>
      <c r="C7" s="130" t="str">
        <f ca="1">'Version Control'!$C$7</f>
        <v>Electric Motors -  v1.0.xlsx</v>
      </c>
      <c r="J7" s="23"/>
    </row>
    <row r="8" spans="2:10" ht="18" customHeight="1" x14ac:dyDescent="0.35">
      <c r="B8" s="104" t="s">
        <v>85</v>
      </c>
      <c r="C8" s="106" t="str">
        <f>'Version Control'!$C$8</f>
        <v>[MM/DD/YYYY]</v>
      </c>
      <c r="E8" s="497"/>
      <c r="J8" s="23"/>
    </row>
    <row r="9" spans="2:10" ht="18" customHeight="1" thickBot="1" x14ac:dyDescent="0.35">
      <c r="B9" s="131" t="s">
        <v>86</v>
      </c>
      <c r="C9" s="132" t="str">
        <f>'Version Control'!$C$9</f>
        <v>[MM/DD/YYYY]</v>
      </c>
      <c r="J9" s="23"/>
    </row>
    <row r="10" spans="2:10" ht="18" customHeight="1" x14ac:dyDescent="0.3">
      <c r="B10" s="30"/>
      <c r="C10" s="31"/>
      <c r="E10" s="492"/>
      <c r="F10" s="173"/>
      <c r="G10" s="173"/>
      <c r="H10" s="173"/>
      <c r="J10" s="23"/>
    </row>
    <row r="11" spans="2:10" ht="18" customHeight="1" thickBot="1" x14ac:dyDescent="0.35">
      <c r="B11" s="30"/>
      <c r="C11" s="31"/>
      <c r="E11" s="492"/>
      <c r="F11" s="173"/>
      <c r="G11" s="173"/>
      <c r="H11" s="173"/>
      <c r="J11" s="23"/>
    </row>
    <row r="12" spans="2:10" ht="18" customHeight="1" thickBot="1" x14ac:dyDescent="0.4">
      <c r="B12" s="776" t="s">
        <v>38</v>
      </c>
      <c r="C12" s="777"/>
      <c r="E12" s="796" t="s">
        <v>632</v>
      </c>
      <c r="F12" s="797"/>
      <c r="G12" s="501"/>
      <c r="H12" s="173"/>
      <c r="J12" s="23"/>
    </row>
    <row r="13" spans="2:10" ht="18" customHeight="1" x14ac:dyDescent="0.35">
      <c r="B13" s="32" t="s">
        <v>39</v>
      </c>
      <c r="C13" s="4"/>
      <c r="E13" s="512" t="s">
        <v>640</v>
      </c>
      <c r="F13" s="513" t="str">
        <f>IF('Determination of Test Method'!C32=0, " ", IF('Determination of Test Method'!C32="NEMA MG 1-2016", 'NEMA MG 1-2016'!C70, 'Determination of Test Method'!C32))</f>
        <v xml:space="preserve"> </v>
      </c>
      <c r="G13" s="501"/>
      <c r="H13" s="173"/>
      <c r="J13" s="23"/>
    </row>
    <row r="14" spans="2:10" ht="18" customHeight="1" thickBot="1" x14ac:dyDescent="0.4">
      <c r="B14" s="33" t="s">
        <v>40</v>
      </c>
      <c r="C14" s="5"/>
      <c r="E14" s="514"/>
      <c r="F14" s="515"/>
      <c r="G14" s="501"/>
      <c r="H14" s="173"/>
      <c r="I14" s="210"/>
      <c r="J14" s="23"/>
    </row>
    <row r="15" spans="2:10" ht="18" customHeight="1" thickBot="1" x14ac:dyDescent="0.4">
      <c r="B15" s="134"/>
      <c r="C15" s="14"/>
      <c r="E15" s="516" t="s">
        <v>286</v>
      </c>
      <c r="F15" s="517" t="s">
        <v>222</v>
      </c>
      <c r="G15" s="173"/>
      <c r="J15" s="23"/>
    </row>
    <row r="16" spans="2:10" ht="18" customHeight="1" thickBot="1" x14ac:dyDescent="0.4">
      <c r="B16" s="752" t="s">
        <v>41</v>
      </c>
      <c r="C16" s="753"/>
      <c r="E16" s="518" t="str">
        <f>IF(F13="CSA C390-10", 'CSA C390-10'!C49, IF(F13="IEC 60034-2-1 Method 2-1-1A", 100, IF(F13="IEC 60034-2-1 Method 2-1-1B", 'IEC 60034-2-1 Method 2-1-1B'!C52, IF(F13="IEEE 112-2017MethodA", 'IEEE 112-2017 Method A'!C48, IF(F13="IEEE 112-2017MethodB", 'IEEE 112-2017 Method B'!C89, IF(F13="IEEE 114-2010", 'IEEE 114-2010'!C53, IF(F13="CSA C747-09", 'CSA C747-09'!C41, IF(F13="IEC 61800-9-2", 'IEC 61800-9-2'!C51, " "))))))))</f>
        <v xml:space="preserve"> </v>
      </c>
      <c r="F16" s="519" t="str">
        <f>IF(F13="CSA C390-10", 'CSA C390-10'!C101, IF(F13="IEC 60034-2-1 Method 2-1-1A", 'IEC 60034-2-1 Method 2-1-1A'!C31, IF(F13="IEC 60034-2-1 Method 2-1-1B", 'IEC 60034-2-1 Method 2-1-1B'!C138, IF(F13="IEEE 112-2017MethodA", 'IEEE 112-2017 Method A'!C79, IF(F13="IEEE 112-2017MethodB", 'IEEE 112-2017 Method B'!C166, IF(F13="IEEE 114-2010", 'IEEE 114-2010'!C81, IF(F13="CSA C747-09", 'CSA C747-09'!C128, IF(F13="IEC 61800-9-2", 'IEC 61800-9-2'!C54, " "))))))))</f>
        <v xml:space="preserve"> </v>
      </c>
      <c r="G16" s="501"/>
      <c r="H16" s="173"/>
      <c r="J16" s="23"/>
    </row>
    <row r="17" spans="2:10" ht="18" customHeight="1" x14ac:dyDescent="0.35">
      <c r="B17" s="20" t="s">
        <v>42</v>
      </c>
      <c r="C17" s="6" t="s">
        <v>43</v>
      </c>
      <c r="E17" s="520" t="str">
        <f>IF(F13="CSA C390-10",'CSA C390-10'!C50,IF(F13="IEC 60034-2-1 Method 2-1-1B",'IEC 60034-2-1 Method 2-1-1B'!C53,IF(F13="IEEE 112-2017MethodA",'IEEE 112-2017 Method A'!C49,IF(F13="IEEE 112-2017MethodB",'IEEE 112-2017 Method B'!C90,IF(F13="IEEE 114-2010",'IEEE 114-2010'!C54,IF(F13="CSA C747-09",'CSA C747-09'!C42,IF(F13="IEC 61800-9-2",'IEC 61800-9-2'!D51," ")))))))</f>
        <v xml:space="preserve"> </v>
      </c>
      <c r="F17" s="299" t="str">
        <f>IF(F13="CSA C390-10", 'CSA C390-10'!D101, IF(F13="IEC 60034-2-1 Method 2-1-1B", 'IEC 60034-2-1 Method 2-1-1B'!D138, IF(F13="IEEE 112-2017MethodA", 'IEEE 112-2017 Method A'!D79, IF(F13="IEEE 112-2017MethodB", 'IEEE 112-2017 Method B'!D166, IF(F13="IEEE 114-2010", 'IEEE 114-2010'!D81, IF(F13="CSA C747-09", 'CSA C747-09'!D128, IF(F13="IEC 61800-9-2", 'IEC 61800-9-2'!D54, " ")))))))</f>
        <v xml:space="preserve"> </v>
      </c>
      <c r="G17" s="501"/>
      <c r="H17" s="173"/>
      <c r="J17" s="23"/>
    </row>
    <row r="18" spans="2:10" ht="18" customHeight="1" thickBot="1" x14ac:dyDescent="0.4">
      <c r="B18" s="21" t="s">
        <v>44</v>
      </c>
      <c r="C18" s="7" t="s">
        <v>43</v>
      </c>
      <c r="E18" s="520" t="str">
        <f>IF(F13="CSA C390-10", 'CSA C390-10'!C51, IF(F13="IEC 60034-2-1 Method 2-1-1B", 'IEC 60034-2-1 Method 2-1-1B'!C54, IF(F13="IEEE 112-2017MethodA", 'IEEE 112-2017 Method A'!C50, IF(F13="IEEE 112-2017MethodB", 'IEEE 112-2017 Method B'!C91, IF(F13="IEEE 114-2010", 'IEEE 114-2010'!C55, IF(F13="CSA C747-09", 'CSA C747-09'!C43, IF(F13="IEC 61800-9-2", 'IEC 61800-9-2'!E51, " ")))))))</f>
        <v xml:space="preserve"> </v>
      </c>
      <c r="F18" s="299" t="str">
        <f>IF(F13="CSA C390-10", 'CSA C390-10'!E101, IF(F13="IEC 60034-2-1 Method 2-1-1B", 'IEC 60034-2-1 Method 2-1-1B'!E138, IF(F13="IEEE 112-2017MethodA", 'IEEE 112-2017 Method A'!E79, IF(F13="IEEE 112-2017MethodB", 'IEEE 112-2017 Method B'!E166, IF(F13="IEEE 114-2010", 'IEEE 114-2010'!E81, IF(F13="CSA C747-09", 'CSA C747-09'!E128, IF(F13="IEC 61800-9-2", 'IEC 61800-9-2'!E54, " ")))))))</f>
        <v xml:space="preserve"> </v>
      </c>
      <c r="G18" s="501"/>
      <c r="H18" s="173"/>
      <c r="J18" s="23"/>
    </row>
    <row r="19" spans="2:10" ht="18" customHeight="1" thickBot="1" x14ac:dyDescent="0.4">
      <c r="E19" s="520" t="str">
        <f>IF(F13="CSA C390-10", 'CSA C390-10'!C52, IF(F13="IEC 60034-2-1 Method 2-1-1B", 'IEC 60034-2-1 Method 2-1-1B'!C55, IF(F13="IEEE 112-2017MethodA", 'IEEE 112-2017 Method A'!C51, IF(F13="IEEE 112-2017MethodB", 'IEEE 112-2017 Method B'!C92, IF(F13="IEEE 114-2010", 'IEEE 114-2010'!C56, IF(F13="CSA C747-09", 'CSA C747-09'!C44, IF(F13="IEC 61800-9-2", 'IEC 61800-9-2'!F51, " ")))))))</f>
        <v xml:space="preserve"> </v>
      </c>
      <c r="F19" s="299" t="str">
        <f>IF(F13="CSA C390-10", 'CSA C390-10'!F101, IF(F13="IEC 60034-2-1 Method 2-1-1B", 'IEC 60034-2-1 Method 2-1-1B'!F138, IF(F13="IEEE 112-2017MethodA", 'IEEE 112-2017 Method A'!F79, IF(F13="IEEE 112-2017MethodB", 'IEEE 112-2017 Method B'!F166, IF(F13="IEEE 114-2010", 'IEEE 114-2010'!F81, IF(F13="CSA C747-09", 'CSA C747-09'!F128, IF(F13="IEC 61800-9-2", 'IEC 61800-9-2'!F54, " ")))))))</f>
        <v xml:space="preserve"> </v>
      </c>
      <c r="G19" s="501"/>
      <c r="H19" s="173"/>
      <c r="J19" s="23"/>
    </row>
    <row r="20" spans="2:10" ht="18" customHeight="1" thickBot="1" x14ac:dyDescent="0.4">
      <c r="B20" s="752" t="s">
        <v>45</v>
      </c>
      <c r="C20" s="753"/>
      <c r="E20" s="520" t="str">
        <f>IF(F13="CSA C390-10", 'CSA C390-10'!C53, IF(F13="IEC 60034-2-1 Method 2-1-1B", 'IEC 60034-2-1 Method 2-1-1B'!C56, IF(F13="IEEE 112-2017MethodA", 'IEEE 112-2017 Method A'!C52, IF(F13="IEEE 112-2017MethodB", 'IEEE 112-2017 Method B'!C93, IF(F13="IEEE 114-2010", 'IEEE 114-2010'!C57, IF(F13="CSA C747-09", 'CSA C747-09'!C45, IF(F13="IEC 61800-9-2", 'IEC 61800-9-2'!G51, " ")))))))</f>
        <v xml:space="preserve"> </v>
      </c>
      <c r="F20" s="299" t="str">
        <f>IF(F13="CSA C390-10", 'CSA C390-10'!G101, IF(F13="IEC 60034-2-1 Method 2-1-1B", 'IEC 60034-2-1 Method 2-1-1B'!G138, IF(F13="IEEE 112-2017MethodA", 'IEEE 112-2017 Method A'!G79, IF(F13="IEEE 112-2017MethodB", 'IEEE 112-2017 Method B'!G166, IF(F13="IEEE 114-2010", 'IEEE 114-2010'!G81, IF(F13="CSA C747-09", 'CSA C747-09'!G128, IF(F13="IEC 61800-9-2", 'IEC 61800-9-2'!G54, " ")))))))</f>
        <v xml:space="preserve"> </v>
      </c>
      <c r="G20" s="501"/>
      <c r="H20" s="173"/>
      <c r="J20" s="23"/>
    </row>
    <row r="21" spans="2:10" ht="18" customHeight="1" x14ac:dyDescent="0.35">
      <c r="B21" s="36" t="s">
        <v>47</v>
      </c>
      <c r="C21" s="8"/>
      <c r="E21" s="520" t="str">
        <f>IF(F13="CSA C390-10", 'CSA C390-10'!C54, IF(F13="IEC 60034-2-1 Method 2-1-1B", 'IEC 60034-2-1 Method 2-1-1B'!C57, IF(F13="IEEE 112-2017MethodA", 'IEEE 112-2017 Method A'!C53, IF(F13="IEEE 112-2017MethodB", 'IEEE 112-2017 Method B'!C94, IF(F13="IEEE 114-2010", 'IEEE 114-2010'!C58, IF(F13="IEC 61800-9-2", 'IEC 61800-9-2'!H51, " "))))))</f>
        <v xml:space="preserve"> </v>
      </c>
      <c r="F21" s="299" t="str">
        <f>IF(F13="CSA C390-10", 'CSA C390-10'!H101, IF(F13="IEC 60034-2-1 Method 2-1-1B", 'IEC 60034-2-1 Method 2-1-1B'!H138, IF(F13="IEEE 112-2017MethodA", 'IEEE 112-2017 Method A'!H79, IF(F13="IEEE 112-2017MethodB", 'IEEE 112-2017 Method B'!H166, IF(F13="IEEE 114-2010", 'IEEE 114-2010'!H81, IF(F13="IEC 61800-9-2", 'IEC 61800-9-2'!H54, " "))))))</f>
        <v xml:space="preserve"> </v>
      </c>
      <c r="G21" s="501"/>
      <c r="H21" s="173"/>
      <c r="J21" s="23"/>
    </row>
    <row r="22" spans="2:10" ht="18" customHeight="1" x14ac:dyDescent="0.35">
      <c r="B22" s="37" t="s">
        <v>49</v>
      </c>
      <c r="C22" s="8"/>
      <c r="D22" s="14"/>
      <c r="E22" s="520" t="str">
        <f>IF(F13="IEC 61800-9-2", 'IEC 61800-9-2'!I51, " ")</f>
        <v xml:space="preserve"> </v>
      </c>
      <c r="F22" s="299" t="str">
        <f>IF(F13="IEC 61800-9-2", 'IEC 61800-9-2'!I54, " ")</f>
        <v xml:space="preserve"> </v>
      </c>
      <c r="G22" s="501"/>
      <c r="H22" s="173"/>
      <c r="J22" s="23"/>
    </row>
    <row r="23" spans="2:10" ht="18" customHeight="1" thickBot="1" x14ac:dyDescent="0.4">
      <c r="B23" s="37" t="s">
        <v>50</v>
      </c>
      <c r="C23" s="8"/>
      <c r="D23" s="14"/>
      <c r="E23" s="521" t="str">
        <f>IF(F13="IEC 61800-9-2", 'IEC 61800-9-2'!J51, " ")</f>
        <v xml:space="preserve"> </v>
      </c>
      <c r="F23" s="522" t="str">
        <f>IF(F13="IEC 61800-9-2", 'IEC 61800-9-2'!J54, " ")</f>
        <v xml:space="preserve"> </v>
      </c>
      <c r="G23" s="501"/>
      <c r="H23" s="173"/>
      <c r="J23" s="23"/>
    </row>
    <row r="24" spans="2:10" ht="18" customHeight="1" x14ac:dyDescent="0.35">
      <c r="B24" s="37" t="s">
        <v>51</v>
      </c>
      <c r="C24" s="8"/>
      <c r="D24" s="14"/>
      <c r="E24" s="173"/>
      <c r="F24" s="509"/>
      <c r="G24" s="493"/>
      <c r="H24" s="173"/>
      <c r="J24" s="23"/>
    </row>
    <row r="25" spans="2:10" ht="18" customHeight="1" x14ac:dyDescent="0.3">
      <c r="B25" s="37" t="s">
        <v>55</v>
      </c>
      <c r="C25" s="9" t="s">
        <v>43</v>
      </c>
      <c r="E25" s="133"/>
      <c r="F25" s="135"/>
      <c r="G25" s="134"/>
      <c r="J25" s="23"/>
    </row>
    <row r="26" spans="2:10" ht="18" customHeight="1" thickBot="1" x14ac:dyDescent="0.35">
      <c r="B26" s="37" t="s">
        <v>57</v>
      </c>
      <c r="C26" s="9" t="s">
        <v>43</v>
      </c>
      <c r="E26" s="136" t="s">
        <v>88</v>
      </c>
      <c r="F26" s="34"/>
      <c r="G26" s="35"/>
      <c r="H26" s="35"/>
      <c r="J26" s="23"/>
    </row>
    <row r="27" spans="2:10" ht="18" customHeight="1" thickBot="1" x14ac:dyDescent="0.35">
      <c r="B27" s="44" t="s">
        <v>59</v>
      </c>
      <c r="C27" s="5"/>
      <c r="E27" s="752" t="s">
        <v>46</v>
      </c>
      <c r="F27" s="793"/>
      <c r="G27" s="793"/>
      <c r="H27" s="753"/>
      <c r="J27" s="23"/>
    </row>
    <row r="28" spans="2:10" ht="18" customHeight="1" thickBot="1" x14ac:dyDescent="0.35">
      <c r="B28" s="47"/>
      <c r="E28" s="784" t="s">
        <v>48</v>
      </c>
      <c r="F28" s="785"/>
      <c r="G28" s="785"/>
      <c r="H28" s="786"/>
      <c r="J28" s="23"/>
    </row>
    <row r="29" spans="2:10" ht="18" customHeight="1" thickBot="1" x14ac:dyDescent="0.35">
      <c r="B29" s="165" t="s">
        <v>61</v>
      </c>
      <c r="C29" s="166"/>
      <c r="D29" s="498"/>
      <c r="E29" s="787"/>
      <c r="F29" s="788"/>
      <c r="G29" s="788"/>
      <c r="H29" s="789"/>
      <c r="J29" s="23"/>
    </row>
    <row r="30" spans="2:10" customFormat="1" ht="18" customHeight="1" x14ac:dyDescent="0.3">
      <c r="B30" s="161"/>
      <c r="C30" s="60"/>
      <c r="E30" s="790"/>
      <c r="F30" s="791"/>
      <c r="G30" s="791"/>
      <c r="H30" s="792"/>
      <c r="I30" s="22"/>
      <c r="J30" s="23"/>
    </row>
    <row r="31" spans="2:10" customFormat="1" ht="18" customHeight="1" thickBot="1" x14ac:dyDescent="0.4">
      <c r="B31" s="162" t="s">
        <v>100</v>
      </c>
      <c r="C31" s="60"/>
      <c r="E31" s="778" t="s">
        <v>52</v>
      </c>
      <c r="F31" s="779"/>
      <c r="G31" s="97" t="s">
        <v>53</v>
      </c>
      <c r="H31" s="39" t="s">
        <v>54</v>
      </c>
      <c r="I31" s="22"/>
      <c r="J31" s="23"/>
    </row>
    <row r="32" spans="2:10" ht="18" customHeight="1" x14ac:dyDescent="0.3">
      <c r="B32" s="140" t="s">
        <v>165</v>
      </c>
      <c r="C32" s="383"/>
      <c r="E32" s="780" t="s">
        <v>56</v>
      </c>
      <c r="F32" s="781"/>
      <c r="G32" s="40" t="str">
        <f>'Report Sign-Off Block'!D16</f>
        <v>[MM/DD/YYYY]</v>
      </c>
      <c r="H32" s="41" t="str">
        <f>IF('Report Sign-Off Block'!E16&lt;&gt;0,'Report Sign-Off Block'!E16,"")</f>
        <v>[Test Lab Name]</v>
      </c>
      <c r="I32" s="210"/>
      <c r="J32" s="23"/>
    </row>
    <row r="33" spans="2:10" ht="18" customHeight="1" x14ac:dyDescent="0.3">
      <c r="B33" s="49" t="s">
        <v>87</v>
      </c>
      <c r="C33" s="384"/>
      <c r="E33" s="782" t="s">
        <v>58</v>
      </c>
      <c r="F33" s="783"/>
      <c r="G33" s="42" t="str">
        <f>'Report Sign-Off Block'!D17</f>
        <v>[MM/DD/YYYY]</v>
      </c>
      <c r="H33" s="43" t="str">
        <f>IF('Report Sign-Off Block'!E17&lt;&gt;0,'Report Sign-Off Block'!E17,"")</f>
        <v>[Test Lab Name]</v>
      </c>
      <c r="I33" s="210"/>
      <c r="J33" s="59"/>
    </row>
    <row r="34" spans="2:10" ht="18" customHeight="1" x14ac:dyDescent="0.3">
      <c r="B34" s="49" t="s">
        <v>99</v>
      </c>
      <c r="C34" s="384"/>
      <c r="E34" s="774" t="s">
        <v>60</v>
      </c>
      <c r="F34" s="775"/>
      <c r="G34" s="137" t="str">
        <f>'Report Sign-Off Block'!D18</f>
        <v>[MM/DD/YYYY]</v>
      </c>
      <c r="H34" s="138" t="str">
        <f>'Report Sign-Off Block'!E18</f>
        <v>[Test Lab Name]</v>
      </c>
      <c r="I34" s="210"/>
      <c r="J34" s="59"/>
    </row>
    <row r="35" spans="2:10" ht="18" customHeight="1" thickBot="1" x14ac:dyDescent="0.35">
      <c r="B35" s="49" t="s">
        <v>105</v>
      </c>
      <c r="C35" s="384"/>
      <c r="E35" s="794" t="s">
        <v>60</v>
      </c>
      <c r="F35" s="795"/>
      <c r="G35" s="45" t="str">
        <f>'Report Sign-Off Block'!D19</f>
        <v>[MM/DD/YYYY]</v>
      </c>
      <c r="H35" s="46" t="str">
        <f>'Report Sign-Off Block'!E19</f>
        <v>[Test Lab Name]</v>
      </c>
      <c r="I35" s="210"/>
      <c r="J35" s="23"/>
    </row>
    <row r="36" spans="2:10" ht="18" customHeight="1" x14ac:dyDescent="0.3">
      <c r="B36" s="49" t="s">
        <v>95</v>
      </c>
      <c r="C36" s="384"/>
      <c r="I36" s="210"/>
      <c r="J36" s="23"/>
    </row>
    <row r="37" spans="2:10" ht="18" customHeight="1" x14ac:dyDescent="0.3">
      <c r="B37" s="49" t="s">
        <v>96</v>
      </c>
      <c r="C37" s="384"/>
      <c r="I37" s="210"/>
      <c r="J37" s="23"/>
    </row>
    <row r="38" spans="2:10" ht="18" customHeight="1" x14ac:dyDescent="0.3">
      <c r="B38" s="139" t="s">
        <v>97</v>
      </c>
      <c r="C38" s="385"/>
      <c r="I38" s="210"/>
      <c r="J38" s="23"/>
    </row>
    <row r="39" spans="2:10" ht="18" customHeight="1" x14ac:dyDescent="0.3">
      <c r="B39" s="179" t="s">
        <v>300</v>
      </c>
      <c r="C39" s="386"/>
      <c r="E39" s="498"/>
      <c r="F39" s="15"/>
      <c r="G39" s="48"/>
      <c r="I39" s="210"/>
      <c r="J39" s="23"/>
    </row>
    <row r="40" spans="2:10" ht="18" customHeight="1" x14ac:dyDescent="0.3">
      <c r="B40" s="303" t="s">
        <v>241</v>
      </c>
      <c r="C40" s="386"/>
      <c r="E40"/>
      <c r="F40"/>
      <c r="G40"/>
      <c r="H40"/>
      <c r="I40" s="210"/>
      <c r="J40" s="23"/>
    </row>
    <row r="41" spans="2:10" ht="18" customHeight="1" x14ac:dyDescent="0.3">
      <c r="B41" s="164"/>
      <c r="C41" s="540"/>
      <c r="E41"/>
      <c r="F41"/>
      <c r="G41"/>
      <c r="H41"/>
      <c r="I41" s="210"/>
      <c r="J41" s="23"/>
    </row>
    <row r="42" spans="2:10" ht="18" customHeight="1" thickBot="1" x14ac:dyDescent="0.35">
      <c r="B42" s="163" t="s">
        <v>101</v>
      </c>
      <c r="C42" s="539"/>
      <c r="I42" s="210"/>
      <c r="J42" s="23"/>
    </row>
    <row r="43" spans="2:10" ht="18" customHeight="1" x14ac:dyDescent="0.3">
      <c r="B43" s="139" t="s">
        <v>102</v>
      </c>
      <c r="C43" s="385"/>
      <c r="I43" s="210"/>
      <c r="J43" s="23"/>
    </row>
    <row r="44" spans="2:10" ht="18" customHeight="1" x14ac:dyDescent="0.3">
      <c r="B44" s="179" t="s">
        <v>103</v>
      </c>
      <c r="C44" s="387"/>
      <c r="I44" s="210"/>
      <c r="J44" s="23"/>
    </row>
    <row r="45" spans="2:10" ht="18" customHeight="1" x14ac:dyDescent="0.3">
      <c r="B45" s="180" t="s">
        <v>164</v>
      </c>
      <c r="C45" s="386"/>
      <c r="I45" s="210"/>
      <c r="J45" s="23"/>
    </row>
    <row r="46" spans="2:10" ht="18" customHeight="1" x14ac:dyDescent="0.3">
      <c r="B46" s="179" t="s">
        <v>104</v>
      </c>
      <c r="C46" s="386"/>
      <c r="I46" s="210"/>
      <c r="J46" s="23"/>
    </row>
    <row r="47" spans="2:10" ht="32.450000000000003" customHeight="1" x14ac:dyDescent="0.3">
      <c r="B47" s="301" t="s">
        <v>306</v>
      </c>
      <c r="C47" s="386"/>
      <c r="I47" s="210"/>
      <c r="J47" s="23"/>
    </row>
    <row r="48" spans="2:10" ht="18" customHeight="1" x14ac:dyDescent="0.3">
      <c r="B48" s="167"/>
      <c r="C48" s="538"/>
      <c r="I48" s="210"/>
      <c r="J48" s="23"/>
    </row>
    <row r="49" spans="2:10" ht="18" customHeight="1" thickBot="1" x14ac:dyDescent="0.35">
      <c r="B49" s="163" t="s">
        <v>98</v>
      </c>
      <c r="C49" s="539"/>
      <c r="D49" s="134"/>
      <c r="I49" s="210"/>
      <c r="J49" s="23"/>
    </row>
    <row r="50" spans="2:10" ht="18" customHeight="1" x14ac:dyDescent="0.3">
      <c r="B50" s="302" t="s">
        <v>577</v>
      </c>
      <c r="C50" s="531"/>
      <c r="I50" s="210"/>
      <c r="J50" s="23"/>
    </row>
    <row r="51" spans="2:10" ht="18" customHeight="1" x14ac:dyDescent="0.3">
      <c r="B51" s="49" t="s">
        <v>361</v>
      </c>
      <c r="C51" s="386"/>
      <c r="D51" s="134"/>
      <c r="I51" s="210"/>
      <c r="J51" s="23"/>
    </row>
    <row r="52" spans="2:10" ht="18" customHeight="1" x14ac:dyDescent="0.3">
      <c r="B52" s="139" t="s">
        <v>362</v>
      </c>
      <c r="C52" s="388"/>
      <c r="I52" s="210"/>
      <c r="J52" s="23"/>
    </row>
    <row r="53" spans="2:10" ht="18" customHeight="1" x14ac:dyDescent="0.3">
      <c r="B53" s="302" t="s">
        <v>385</v>
      </c>
      <c r="C53" s="390"/>
      <c r="I53" s="210"/>
      <c r="J53" s="23"/>
    </row>
    <row r="54" spans="2:10" ht="18" customHeight="1" x14ac:dyDescent="0.3">
      <c r="B54" s="482" t="s">
        <v>578</v>
      </c>
      <c r="C54" s="384"/>
      <c r="I54" s="210"/>
      <c r="J54" s="23"/>
    </row>
    <row r="55" spans="2:10" ht="18" customHeight="1" x14ac:dyDescent="0.3">
      <c r="B55" s="49" t="s">
        <v>576</v>
      </c>
      <c r="C55" s="384"/>
      <c r="I55" s="210"/>
      <c r="J55" s="23"/>
    </row>
    <row r="56" spans="2:10" ht="18" customHeight="1" x14ac:dyDescent="0.3">
      <c r="B56" s="49" t="s">
        <v>107</v>
      </c>
      <c r="C56" s="386"/>
      <c r="I56" s="210"/>
      <c r="J56" s="23"/>
    </row>
    <row r="57" spans="2:10" ht="18" customHeight="1" x14ac:dyDescent="0.3">
      <c r="B57" s="49" t="s">
        <v>106</v>
      </c>
      <c r="C57" s="384"/>
      <c r="I57" s="210"/>
      <c r="J57" s="23"/>
    </row>
    <row r="58" spans="2:10" ht="18" customHeight="1" x14ac:dyDescent="0.3">
      <c r="B58" s="474" t="s">
        <v>226</v>
      </c>
      <c r="C58" s="389"/>
      <c r="I58" s="210"/>
      <c r="J58" s="23"/>
    </row>
    <row r="59" spans="2:10" ht="18" customHeight="1" x14ac:dyDescent="0.3">
      <c r="B59" s="175"/>
      <c r="C59" s="536"/>
      <c r="I59" s="210"/>
      <c r="J59" s="23"/>
    </row>
    <row r="60" spans="2:10" ht="18" customHeight="1" thickBot="1" x14ac:dyDescent="0.35">
      <c r="B60" s="174" t="s">
        <v>166</v>
      </c>
      <c r="C60" s="537"/>
      <c r="I60" s="210"/>
      <c r="J60" s="23"/>
    </row>
    <row r="61" spans="2:10" ht="18" customHeight="1" x14ac:dyDescent="0.3">
      <c r="B61" s="177" t="s">
        <v>168</v>
      </c>
      <c r="C61" s="391"/>
      <c r="I61" s="210"/>
      <c r="J61" s="23"/>
    </row>
    <row r="62" spans="2:10" ht="18" customHeight="1" x14ac:dyDescent="0.3">
      <c r="B62" s="178" t="s">
        <v>386</v>
      </c>
      <c r="C62" s="391"/>
      <c r="I62" s="210"/>
      <c r="J62" s="23"/>
    </row>
    <row r="63" spans="2:10" ht="18" customHeight="1" x14ac:dyDescent="0.3">
      <c r="B63" s="178" t="s">
        <v>387</v>
      </c>
      <c r="C63" s="391"/>
      <c r="I63" s="210"/>
      <c r="J63" s="23"/>
    </row>
    <row r="64" spans="2:10" ht="18" customHeight="1" x14ac:dyDescent="0.3">
      <c r="B64" s="179" t="s">
        <v>388</v>
      </c>
      <c r="C64" s="4"/>
      <c r="I64" s="210"/>
      <c r="J64" s="23"/>
    </row>
    <row r="65" spans="1:10" ht="18" customHeight="1" x14ac:dyDescent="0.3">
      <c r="B65" s="49" t="s">
        <v>167</v>
      </c>
      <c r="C65" s="8"/>
      <c r="I65" s="210"/>
      <c r="J65" s="23"/>
    </row>
    <row r="66" spans="1:10" ht="18" customHeight="1" x14ac:dyDescent="0.3">
      <c r="B66" s="49" t="s">
        <v>389</v>
      </c>
      <c r="C66" s="4"/>
      <c r="D66" s="134"/>
      <c r="I66" s="210"/>
      <c r="J66" s="23"/>
    </row>
    <row r="67" spans="1:10" ht="18" customHeight="1" x14ac:dyDescent="0.3">
      <c r="B67" s="394" t="s">
        <v>169</v>
      </c>
      <c r="C67" s="388"/>
      <c r="I67" s="210"/>
      <c r="J67" s="23"/>
    </row>
    <row r="68" spans="1:10" ht="18" customHeight="1" x14ac:dyDescent="0.3">
      <c r="B68" s="395" t="s">
        <v>170</v>
      </c>
      <c r="C68" s="392"/>
      <c r="I68" s="210"/>
      <c r="J68" s="23"/>
    </row>
    <row r="69" spans="1:10" ht="18" customHeight="1" x14ac:dyDescent="0.3">
      <c r="B69" s="396" t="s">
        <v>171</v>
      </c>
      <c r="C69" s="392"/>
      <c r="I69" s="210"/>
      <c r="J69" s="23"/>
    </row>
    <row r="70" spans="1:10" ht="18" customHeight="1" x14ac:dyDescent="0.3">
      <c r="B70" s="179" t="s">
        <v>174</v>
      </c>
      <c r="C70" s="392"/>
      <c r="I70" s="210"/>
      <c r="J70" s="23"/>
    </row>
    <row r="71" spans="1:10" ht="18" customHeight="1" x14ac:dyDescent="0.3">
      <c r="B71" s="179" t="s">
        <v>176</v>
      </c>
      <c r="C71" s="392"/>
      <c r="I71" s="210"/>
      <c r="J71" s="23"/>
    </row>
    <row r="72" spans="1:10" ht="18" customHeight="1" thickBot="1" x14ac:dyDescent="0.35">
      <c r="B72" s="181" t="s">
        <v>390</v>
      </c>
      <c r="C72" s="393"/>
      <c r="I72" s="210"/>
      <c r="J72" s="23"/>
    </row>
    <row r="73" spans="1:10" ht="35.25" customHeight="1" x14ac:dyDescent="0.35">
      <c r="B73" s="773"/>
      <c r="C73" s="773"/>
      <c r="I73" s="210"/>
      <c r="J73" s="23"/>
    </row>
    <row r="74" spans="1:10" ht="18" customHeight="1" x14ac:dyDescent="0.3">
      <c r="A74" s="23"/>
      <c r="B74" s="23"/>
      <c r="C74" s="23"/>
      <c r="D74" s="23"/>
      <c r="E74" s="23"/>
      <c r="F74" s="23"/>
      <c r="G74" s="23"/>
      <c r="H74" s="23"/>
      <c r="I74" s="23"/>
      <c r="J74" s="23"/>
    </row>
  </sheetData>
  <sheetProtection algorithmName="SHA-512" hashValue="HpcnduprURj+9iWIwRieKK/dswDSb48ZP90SbI1ue2lw59g6Sx+tVpqV8MaL72zZjJea2Ff4qQuiYoEdwM1mvQ==" saltValue="9Uh8RuvaHGiIQU7AQI+wPw==" spinCount="100000" sheet="1" selectLockedCells="1"/>
  <mergeCells count="13">
    <mergeCell ref="B73:C73"/>
    <mergeCell ref="B2:C2"/>
    <mergeCell ref="E34:F34"/>
    <mergeCell ref="B12:C12"/>
    <mergeCell ref="B20:C20"/>
    <mergeCell ref="E31:F31"/>
    <mergeCell ref="E32:F32"/>
    <mergeCell ref="E33:F33"/>
    <mergeCell ref="B16:C16"/>
    <mergeCell ref="E28:H30"/>
    <mergeCell ref="E27:H27"/>
    <mergeCell ref="E35:F35"/>
    <mergeCell ref="E12:F12"/>
  </mergeCells>
  <conditionalFormatting sqref="C25">
    <cfRule type="expression" dxfId="13" priority="3">
      <formula>$C$25&gt;$C$17</formula>
    </cfRule>
  </conditionalFormatting>
  <conditionalFormatting sqref="C26">
    <cfRule type="expression" dxfId="12" priority="2">
      <formula>$C$26&lt;$C$25</formula>
    </cfRule>
  </conditionalFormatting>
  <conditionalFormatting sqref="C25:C26">
    <cfRule type="expression" dxfId="11" priority="1">
      <formula>NOT(ISNUMBER($C$25))</formula>
    </cfRule>
  </conditionalFormatting>
  <hyperlinks>
    <hyperlink ref="E2" location="Instructions!B37" display="Back to Instructions tab" xr:uid="{00000000-0004-0000-0100-00000000000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38E36F2-9C9D-4A9A-A8EF-B275E90A1994}">
          <x14:formula1>
            <xm:f>'Drop-downs'!$B$37:$B$39</xm:f>
          </x14:formula1>
          <xm:sqref>C33</xm:sqref>
        </x14:dataValidation>
        <x14:dataValidation type="list" allowBlank="1" showInputMessage="1" showErrorMessage="1" xr:uid="{B91B8712-5287-4DEA-ABB3-1771D09DB9A1}">
          <x14:formula1>
            <xm:f>'Drop-downs'!$B$42:$B$45</xm:f>
          </x14:formula1>
          <xm:sqref>C34</xm:sqref>
        </x14:dataValidation>
        <x14:dataValidation type="list" allowBlank="1" showInputMessage="1" showErrorMessage="1" xr:uid="{93D28485-20EB-4F68-8DEE-2ECE213AB6D7}">
          <x14:formula1>
            <xm:f>'Drop-downs'!$B$52:$B$58</xm:f>
          </x14:formula1>
          <xm:sqref>C36</xm:sqref>
        </x14:dataValidation>
        <x14:dataValidation type="list" allowBlank="1" showInputMessage="1" showErrorMessage="1" xr:uid="{9201C686-0F86-4AB3-B626-D33158B1054E}">
          <x14:formula1>
            <xm:f>'Drop-downs'!$B$61:$B$72</xm:f>
          </x14:formula1>
          <xm:sqref>C37</xm:sqref>
        </x14:dataValidation>
        <x14:dataValidation type="list" allowBlank="1" showInputMessage="1" showErrorMessage="1" xr:uid="{260C874F-A070-4474-8FFC-653CFEC60964}">
          <x14:formula1>
            <xm:f>'Drop-downs'!$B$75:$B$77</xm:f>
          </x14:formula1>
          <xm:sqref>C38</xm:sqref>
        </x14:dataValidation>
        <x14:dataValidation type="list" allowBlank="1" showInputMessage="1" showErrorMessage="1" xr:uid="{3BC540D1-8F6C-4DFF-86A5-406829F799C0}">
          <x14:formula1>
            <xm:f>'Drop-downs'!$B$33:$B$34</xm:f>
          </x14:formula1>
          <xm:sqref>C43:C47 C61</xm:sqref>
        </x14:dataValidation>
        <x14:dataValidation type="list" allowBlank="1" showInputMessage="1" showErrorMessage="1" xr:uid="{10EC2311-2DDD-4EB2-8361-9C553985F4F8}">
          <x14:formula1>
            <xm:f>'Drop-downs'!$B$80:$B$82</xm:f>
          </x14:formula1>
          <xm:sqref>C54 C65</xm:sqref>
        </x14:dataValidation>
        <x14:dataValidation type="list" allowBlank="1" showInputMessage="1" showErrorMessage="1" xr:uid="{C9348807-6390-4E81-BED6-7C8A1E26BA98}">
          <x14:formula1>
            <xm:f>'Drop-downs'!$B$85:$B$90</xm:f>
          </x14:formula1>
          <xm:sqref>C55</xm:sqref>
        </x14:dataValidation>
        <x14:dataValidation type="list" allowBlank="1" showInputMessage="1" showErrorMessage="1" xr:uid="{18C412F0-7FCC-4065-8882-4D4EC67279B0}">
          <x14:formula1>
            <xm:f>'Drop-downs'!$B$93:$B$94</xm:f>
          </x14:formula1>
          <xm:sqref>C56</xm:sqref>
        </x14:dataValidation>
        <x14:dataValidation type="list" allowBlank="1" showInputMessage="1" showErrorMessage="1" xr:uid="{85A822F1-3ABA-4EEC-9945-3113DE32C73B}">
          <x14:formula1>
            <xm:f>'Drop-downs'!$B$110:$B$113</xm:f>
          </x14:formula1>
          <xm:sqref>C39</xm:sqref>
        </x14:dataValidation>
        <x14:dataValidation type="list" allowBlank="1" showInputMessage="1" showErrorMessage="1" xr:uid="{A3B753F5-BF30-4B79-933A-ACB2831B88D9}">
          <x14:formula1>
            <xm:f>'Drop-downs'!$B$23:$B$30</xm:f>
          </x14:formula1>
          <xm:sqref>C32</xm:sqref>
        </x14:dataValidation>
        <x14:dataValidation type="list" allowBlank="1" showInputMessage="1" showErrorMessage="1" xr:uid="{E392064D-AD51-453B-9246-83F6880F8B9B}">
          <x14:formula1>
            <xm:f>'Drop-downs'!$B$102:$B$103</xm:f>
          </x14:formula1>
          <xm:sqref>C57</xm:sqref>
        </x14:dataValidation>
        <x14:dataValidation type="list" allowBlank="1" showInputMessage="1" showErrorMessage="1" xr:uid="{BF83EC50-1733-4F45-A0AA-1FD341034646}">
          <x14:formula1>
            <xm:f>'Drop-downs'!$B$106:$B$107</xm:f>
          </x14:formula1>
          <xm:sqref>C40</xm:sqref>
        </x14:dataValidation>
        <x14:dataValidation type="list" allowBlank="1" showInputMessage="1" showErrorMessage="1" xr:uid="{C9227019-D614-477A-BDAD-07A2A7A867DF}">
          <x14:formula1>
            <xm:f>'Drop-downs'!$B$48:$B$49</xm:f>
          </x14:formula1>
          <xm:sqref>C35</xm:sqref>
        </x14:dataValidation>
        <x14:dataValidation type="list" allowBlank="1" showInputMessage="1" showErrorMessage="1" xr:uid="{235D4E5B-3A92-4717-B673-1AB4A5B6FC4A}">
          <x14:formula1>
            <xm:f>'Drop-downs'!$B$97:$B$99</xm:f>
          </x14:formula1>
          <xm:sqref>C52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B182-B11D-4197-89C6-839A7295AA42}">
  <sheetPr>
    <tabColor rgb="FF0070C0"/>
  </sheetPr>
  <dimension ref="A1:J42"/>
  <sheetViews>
    <sheetView showGridLines="0" zoomScale="80" zoomScaleNormal="80" workbookViewId="0">
      <selection activeCell="C32" sqref="C32"/>
    </sheetView>
  </sheetViews>
  <sheetFormatPr defaultColWidth="9.140625" defaultRowHeight="18" customHeight="1" x14ac:dyDescent="0.3"/>
  <cols>
    <col min="1" max="1" width="3.85546875" style="141" customWidth="1"/>
    <col min="2" max="2" width="58.7109375" style="141" customWidth="1"/>
    <col min="3" max="3" width="57.7109375" style="141" bestFit="1" customWidth="1"/>
    <col min="4" max="4" width="38.140625" style="141" customWidth="1"/>
    <col min="5" max="5" width="25.140625" style="141" bestFit="1" customWidth="1"/>
    <col min="6" max="7" width="18.5703125" style="141" bestFit="1" customWidth="1"/>
    <col min="8" max="9" width="15.7109375" style="141" customWidth="1"/>
    <col min="10" max="10" width="4.140625" style="141" customWidth="1"/>
    <col min="11" max="19" width="9.140625" style="141"/>
    <col min="20" max="20" width="2.7109375" style="141" customWidth="1"/>
    <col min="21" max="16384" width="9.140625" style="141"/>
  </cols>
  <sheetData>
    <row r="1" spans="1:10" ht="18" customHeight="1" thickBot="1" x14ac:dyDescent="0.35">
      <c r="J1" s="142"/>
    </row>
    <row r="2" spans="1:10" ht="18" customHeight="1" thickBot="1" x14ac:dyDescent="0.35">
      <c r="B2" s="752" t="str">
        <f>'Version Control'!$B$2</f>
        <v>Title Block</v>
      </c>
      <c r="C2" s="753"/>
      <c r="E2" s="1" t="s">
        <v>37</v>
      </c>
      <c r="J2" s="142"/>
    </row>
    <row r="3" spans="1:10" ht="18" customHeight="1" x14ac:dyDescent="0.3">
      <c r="B3" s="143" t="str">
        <f>'Version Control'!$B$3</f>
        <v>Test Report Template Name:</v>
      </c>
      <c r="C3" s="144" t="str">
        <f>'Version Control'!C3</f>
        <v>Electric Motors</v>
      </c>
      <c r="J3" s="142"/>
    </row>
    <row r="4" spans="1:10" ht="18" customHeight="1" x14ac:dyDescent="0.3">
      <c r="B4" s="145" t="str">
        <f>'Version Control'!$B$4</f>
        <v>Version Number:</v>
      </c>
      <c r="C4" s="146" t="str">
        <f>'Version Control'!C4</f>
        <v>v1.0</v>
      </c>
      <c r="J4" s="142"/>
    </row>
    <row r="5" spans="1:10" ht="18" customHeight="1" x14ac:dyDescent="0.3">
      <c r="B5" s="145" t="str">
        <f>'Version Control'!$B$5</f>
        <v xml:space="preserve">Latest Template Revision: </v>
      </c>
      <c r="C5" s="147">
        <f>'Version Control'!C5</f>
        <v>45567</v>
      </c>
      <c r="J5" s="142"/>
    </row>
    <row r="6" spans="1:10" ht="18" customHeight="1" x14ac:dyDescent="0.3">
      <c r="B6" s="145" t="str">
        <f>'Version Control'!$B$6</f>
        <v>Tab Name:</v>
      </c>
      <c r="C6" s="148" t="str">
        <f ca="1">MID(CELL("filename",A1), FIND("]", CELL("filename", A1))+ 1, 255)</f>
        <v>Determination of Test Method</v>
      </c>
      <c r="J6" s="142"/>
    </row>
    <row r="7" spans="1:10" ht="36" customHeight="1" x14ac:dyDescent="0.3">
      <c r="B7" s="104" t="str">
        <f>'Version Control'!$B$7</f>
        <v>File Name:</v>
      </c>
      <c r="C7" s="149" t="str">
        <f ca="1">'Version Control'!C7</f>
        <v>Electric Motors -  v1.0.xlsx</v>
      </c>
      <c r="J7" s="142"/>
    </row>
    <row r="8" spans="1:10" ht="16.5" x14ac:dyDescent="0.3">
      <c r="B8" s="150" t="s">
        <v>42</v>
      </c>
      <c r="C8" s="151" t="str">
        <f>'General Info &amp; Test Results'!C17</f>
        <v>[MM/DD/YYYY]</v>
      </c>
      <c r="J8" s="142"/>
    </row>
    <row r="9" spans="1:10" ht="18" customHeight="1" thickBot="1" x14ac:dyDescent="0.35">
      <c r="B9" s="152" t="str">
        <f>'Version Control'!$B$9</f>
        <v>Date Test Finished:</v>
      </c>
      <c r="C9" s="153" t="str">
        <f>'Version Control'!C9</f>
        <v>[MM/DD/YYYY]</v>
      </c>
      <c r="J9" s="142"/>
    </row>
    <row r="10" spans="1:10" ht="18" customHeight="1" x14ac:dyDescent="0.3">
      <c r="J10" s="142"/>
    </row>
    <row r="11" spans="1:10" s="549" customFormat="1" ht="18" customHeight="1" thickBot="1" x14ac:dyDescent="0.3">
      <c r="J11" s="553"/>
    </row>
    <row r="12" spans="1:10" ht="18" customHeight="1" thickBot="1" x14ac:dyDescent="0.4">
      <c r="B12" s="808" t="s">
        <v>332</v>
      </c>
      <c r="C12" s="809"/>
      <c r="D12" s="809"/>
      <c r="E12" s="809"/>
      <c r="F12" s="809"/>
      <c r="G12" s="809"/>
      <c r="H12" s="810"/>
      <c r="I12" s="183"/>
      <c r="J12" s="142"/>
    </row>
    <row r="13" spans="1:10" ht="72.599999999999994" customHeight="1" thickBot="1" x14ac:dyDescent="0.35">
      <c r="B13" s="811" t="s">
        <v>597</v>
      </c>
      <c r="C13" s="812"/>
      <c r="D13" s="812"/>
      <c r="E13" s="812"/>
      <c r="F13" s="812"/>
      <c r="G13" s="812"/>
      <c r="H13" s="813"/>
      <c r="I13" s="183"/>
      <c r="J13" s="142"/>
    </row>
    <row r="14" spans="1:10" ht="29.1" customHeight="1" thickBot="1" x14ac:dyDescent="0.35">
      <c r="A14" s="186"/>
      <c r="B14" s="307"/>
      <c r="C14" s="307"/>
      <c r="D14" s="307"/>
      <c r="E14" s="307"/>
      <c r="F14" s="307"/>
      <c r="G14" s="307"/>
      <c r="H14" s="327"/>
      <c r="I14" s="183"/>
      <c r="J14" s="142"/>
    </row>
    <row r="15" spans="1:10" s="725" customFormat="1" ht="17.100000000000001" customHeight="1" thickBot="1" x14ac:dyDescent="0.3">
      <c r="A15" s="724"/>
      <c r="B15" s="814" t="s">
        <v>177</v>
      </c>
      <c r="C15" s="815"/>
      <c r="D15" s="815"/>
      <c r="E15" s="815"/>
      <c r="F15" s="815"/>
      <c r="G15" s="815"/>
      <c r="H15" s="816"/>
      <c r="J15" s="726"/>
    </row>
    <row r="16" spans="1:10" s="549" customFormat="1" ht="15" customHeight="1" x14ac:dyDescent="0.25">
      <c r="B16" s="727" t="s">
        <v>157</v>
      </c>
      <c r="C16" s="728" t="str">
        <f>IF(OR('General Info &amp; Test Results'!C54="Two-phase",'General Info &amp; Test Results'!C54="Three-phase"), "Yes", "No")</f>
        <v>No</v>
      </c>
      <c r="D16" s="374"/>
      <c r="E16" s="690"/>
      <c r="F16" s="690"/>
      <c r="G16" s="690"/>
      <c r="H16" s="729"/>
      <c r="J16" s="553"/>
    </row>
    <row r="17" spans="1:10" s="549" customFormat="1" ht="17.100000000000001" customHeight="1" x14ac:dyDescent="0.3">
      <c r="B17" s="730" t="s">
        <v>155</v>
      </c>
      <c r="C17" s="731" t="str">
        <f>IF(OR('General Info &amp; Test Results'!C37="None of the above",ISBLANK('General Info &amp; Test Results'!C37)), "No", "Yes")</f>
        <v>No</v>
      </c>
      <c r="D17" s="377"/>
      <c r="E17" s="732"/>
      <c r="F17" s="693"/>
      <c r="G17" s="733"/>
      <c r="H17" s="729"/>
      <c r="J17" s="553"/>
    </row>
    <row r="18" spans="1:10" s="549" customFormat="1" ht="18" customHeight="1" x14ac:dyDescent="0.3">
      <c r="B18" s="730" t="s">
        <v>156</v>
      </c>
      <c r="C18" s="731" t="str">
        <f>IF( OR('General Info &amp; Test Results'!C36="Three-digit NEMA (or IEC equivalent)", 'General Info &amp; Test Results'!C36="Four-digit NEMA (or IEC equivalent)", 'General Info &amp; Test Results'!C36="Between two consecutive NEMA frame sizes (or IEC equivalent)", 'General Info &amp; Test Results'!C36="Enclosed 56 NEMA (or IEC equivalent)"), "Yes", "No")</f>
        <v>No</v>
      </c>
      <c r="D18" s="377"/>
      <c r="E18" s="732"/>
      <c r="F18" s="693"/>
      <c r="G18" s="733"/>
      <c r="H18" s="729"/>
      <c r="J18" s="553"/>
    </row>
    <row r="19" spans="1:10" s="549" customFormat="1" ht="18" customHeight="1" x14ac:dyDescent="0.3">
      <c r="B19" s="730" t="s">
        <v>160</v>
      </c>
      <c r="C19" s="731" t="str">
        <f>IF(AND('General Info &amp; Test Results'!C56="Alternating-current", 'General Info &amp; Test Results'!C57="Sinusoidal", 'General Info &amp; Test Results'!C52=60, 'General Info &amp; Test Results'!C51&lt;=600, OR('General Info &amp; Test Results'!C55=2,'General Info &amp; Test Results'!C55=4,'General Info &amp; Test Results'!C55=6,'General Info &amp; Test Results'!C55=8), OR('General Info &amp; Test Results'!C50&gt;=1,'General Info &amp; Test Results'!C50&lt;=500)), "Yes", "No")</f>
        <v>No</v>
      </c>
      <c r="D19" s="693"/>
      <c r="E19" s="732"/>
      <c r="F19" s="693"/>
      <c r="G19" s="733"/>
      <c r="H19" s="729"/>
      <c r="J19" s="553"/>
    </row>
    <row r="20" spans="1:10" s="725" customFormat="1" ht="18.600000000000001" customHeight="1" x14ac:dyDescent="0.25">
      <c r="A20" s="734"/>
      <c r="B20" s="735" t="s">
        <v>172</v>
      </c>
      <c r="C20" s="736" t="str">
        <f>IF(OR(AND( 'General Info &amp; Test Results'!C54="Single-Phase",OR( 'General Info &amp; Test Results'!C36="Two-digit NEMA (or IEC equivalent)", 'General Info &amp; Test Results'!C36="Three-digit NEMA (or IEC equivalent)")),AND( C16="Yes", 'General Info &amp; Test Results'!C50&lt;1, OR( 'General Info &amp; Test Results'!C36="Two-digit NEMA (or IEC equivalent)", 'General Info &amp; Test Results'!C36="Three-digit NEMA (or IEC equivalent)")), AND( C16="Yes", 'General Info &amp; Test Results'!C50&gt;=1, 'General Info &amp; Test Results'!C36="Two-digit NEMA (or IEC equivalent)")), "Yes", "No")</f>
        <v>No</v>
      </c>
      <c r="E20" s="737"/>
      <c r="F20" s="737"/>
      <c r="G20" s="737"/>
      <c r="H20" s="738"/>
      <c r="J20" s="726"/>
    </row>
    <row r="21" spans="1:10" s="725" customFormat="1" ht="17.100000000000001" customHeight="1" x14ac:dyDescent="0.25">
      <c r="A21" s="724"/>
      <c r="B21" s="735" t="s">
        <v>163</v>
      </c>
      <c r="C21" s="739" t="str">
        <f>IF(AND( 'General Info &amp; Test Results'!C35="Continuous Duty (MG1) / Type S1 (IEC)", OR(AND( 'General Info &amp; Test Results'!C56="Alternating-current", 'General Info &amp; Test Results'!C52=60, 'General Info &amp; Test Results'!C57="Sinusoidal"), AND( 'General Info &amp; Test Results'!C56="Alternating-current", 'General Info &amp; Test Results'!C64=60, 'General Info &amp; Test Results'!C57="Sinusoidal")), 'General Info &amp; Test Results'!C51&lt;=600, OR(AND( 'General Info &amp; Test Results'!C33="Single-speed", 'General Info &amp; Test Results'!C32="Induction", 'General Info &amp; Test Results'!C38="Can operate without an inverter"), 'General Info &amp; Test Results'!C38&lt;&gt;"Can operate without an inverter"), 'General Info &amp; Test Results'!C50&gt;=0.25, C20="Yes"), "Yes", "No")</f>
        <v>No</v>
      </c>
      <c r="D21" s="740" t="s">
        <v>663</v>
      </c>
      <c r="E21" s="737"/>
      <c r="F21" s="737"/>
      <c r="G21" s="737"/>
      <c r="H21" s="738"/>
      <c r="J21" s="726"/>
    </row>
    <row r="22" spans="1:10" s="549" customFormat="1" ht="18" customHeight="1" x14ac:dyDescent="0.3">
      <c r="B22" s="741" t="s">
        <v>159</v>
      </c>
      <c r="C22" s="731" t="str">
        <f>IF(AND('General Info &amp; Test Results'!C33="Single-speed", 'General Info &amp; Test Results'!C32="Induction", 'General Info &amp; Test Results'!C35="Continuous Duty (MG1) / Type S1 (IEC)", OR('General Info &amp; Test Results'!C34="Squirrel-cage (MG1)",'General Info &amp; Test Results'!C34="Cage (IEC)"), C16="Yes", C17="Yes", C18="Yes", C19="Yes"), "Yes", "No")</f>
        <v>No</v>
      </c>
      <c r="D22" s="377"/>
      <c r="E22" s="742"/>
      <c r="F22" s="693"/>
      <c r="G22" s="733"/>
      <c r="H22" s="729"/>
      <c r="J22" s="553"/>
    </row>
    <row r="23" spans="1:10" s="549" customFormat="1" ht="18" customHeight="1" thickBot="1" x14ac:dyDescent="0.35">
      <c r="B23" s="743" t="s">
        <v>173</v>
      </c>
      <c r="C23" s="744" t="str">
        <f>IF(OR(C22="Yes",AND('General Info &amp; Test Results'!C50&gt;500,'General Info &amp; Test Results'!C38="Can operate without an inverter")), 1, IF('General Info &amp; Test Results'!C32="Air-over", 2,IF(AND('General Info &amp; Test Results'!C54="Single-phase",C21="Yes",'General Info &amp; Test Results'!C38="Can operate without an inverter"), 3, IF(AND(C16="Yes",'General Info &amp; Test Results'!C50&lt;1,'General Info &amp; Test Results'!C32&lt;&gt;"Air-over",'General Info &amp; Test Results'!C38="Can operate without an inverter"), 4, IF(AND(C16="Yes",C21="Yes",'General Info &amp; Test Results'!C50&gt;=1,'General Info &amp; Test Results'!C32&lt;&gt;"Air-over",'General Info &amp; Test Results'!C38="Can operate without an inverter"), 5, IF(AND('General Info &amp; Test Results'!C32="Synchronous", 'General Info &amp; Test Results'!C38="Can operate without an inverter"),6, IF(AND(OR('General Info &amp; Test Results'!C32="Synchronous", 'General Info &amp; Test Results'!C32="Induction"), 'General Info &amp; Test Results'!C38&lt;&gt;"Can operate without an inverter"), 7, "N/A")))))))</f>
        <v>N/A</v>
      </c>
      <c r="D23" s="745"/>
      <c r="E23" s="746"/>
      <c r="F23" s="747"/>
      <c r="G23" s="748"/>
      <c r="H23" s="749"/>
      <c r="J23" s="553"/>
    </row>
    <row r="24" spans="1:10" s="549" customFormat="1" ht="28.5" customHeight="1" thickBot="1" x14ac:dyDescent="0.35">
      <c r="B24" s="693"/>
      <c r="C24" s="632"/>
      <c r="D24" s="693"/>
      <c r="E24" s="742"/>
      <c r="F24" s="693"/>
      <c r="G24" s="733"/>
      <c r="H24" s="750"/>
      <c r="J24" s="553"/>
    </row>
    <row r="25" spans="1:10" s="549" customFormat="1" ht="18" customHeight="1" x14ac:dyDescent="0.3">
      <c r="A25" s="141"/>
      <c r="B25" s="802" t="s">
        <v>161</v>
      </c>
      <c r="C25" s="805" t="str">
        <f>IF(C23=1, "NEMA MG1, CSA C390-10, IEC 60034-2-1:2014 Method 2-1-1B, or IEEE 112-2017 Test Method B", IF(C23=2, "NEMA MG1",IF(C23=3, "IEEE 114-2010, CSA C747-09, or IEC 60034-2-1:2014 Method 2-1-1A", IF(C23=4, "IEEE 112-2017 Test Method A, CSA C747-09, or IEC 60034-2-1:2014 Method 2-1-1A", IF(C23=5, "IEEE 112-2017 Test Method B, CSA C390-10, or IEC 60034-2-1:2014 Method 2-1-1B", IF(C23=6, "IEC 60034-2-1:2014", IF(C23=7, "IEC 61800-9-2:2017", "More product information needed for determination")))))))</f>
        <v>More product information needed for determination</v>
      </c>
      <c r="D25" s="693"/>
      <c r="E25" s="742"/>
      <c r="F25" s="693"/>
      <c r="G25" s="733"/>
      <c r="H25" s="185"/>
      <c r="I25" s="141"/>
      <c r="J25" s="553"/>
    </row>
    <row r="26" spans="1:10" ht="18.95" customHeight="1" x14ac:dyDescent="0.3">
      <c r="B26" s="803"/>
      <c r="C26" s="806"/>
      <c r="D26" s="693"/>
      <c r="E26" s="732"/>
      <c r="F26" s="693"/>
      <c r="G26" s="733"/>
      <c r="H26" s="185"/>
      <c r="J26" s="142"/>
    </row>
    <row r="27" spans="1:10" ht="32.450000000000003" customHeight="1" x14ac:dyDescent="0.3">
      <c r="B27" s="804"/>
      <c r="C27" s="807"/>
      <c r="D27" s="693"/>
      <c r="E27" s="742"/>
      <c r="F27" s="693"/>
      <c r="G27" s="733"/>
      <c r="H27" s="185"/>
      <c r="J27" s="142"/>
    </row>
    <row r="28" spans="1:10" ht="18" customHeight="1" x14ac:dyDescent="0.3">
      <c r="B28" s="798" t="s">
        <v>162</v>
      </c>
      <c r="C28" s="800" t="str">
        <f>IF('General Info &amp; Test Results'!C38="Inverter-only (inverter included)","Set up according to the manufacturer's instructional and operational manual included with the inverter", IF('General Info &amp; Test Results'!C38="Inverter-only (inverter not included)", "Use an inverter that is listed  as recommended in the manufacturer's catalog or that is offered for sale with the electric motor. If more than one is available, use least efficient inverter. If none are specified, use two-level voltage source inverter", IF('General Info &amp; Test Results'!C32="Brake", "Brake component should be powered separately such that it does not activate during testing", IF(OR('General Info &amp; Test Results'!C32="Close-coupled",'General Info &amp; Test Results'!C43="Yes"), "Special coupling adapter must be used to attach unit to dynamometer", IF('General Info &amp; Test Results'!C44="Yes", "If the EM cannot be connected to a dynamometer, replace endshielf or flange with one meeting NEMA/IEC specifications", IF('General Info &amp; Test Results'!C45="Yes", "Adaptive fixtures may be used if there is no adverse impact on the performance of the EM, particularly the cooling of the motor", IF('General Info &amp; Test Results'!C46="Yes", "Do not include losses from blower's motor in efficiency calculations. Either power blower separately from the source powering the EM or connect leads to only measure the motor power", IF('General Info &amp; Test Results'!C32="Partial", "Disconnect mated piece of equipment and add standard bearings and/or endshields to the motor such that it is capable of operation", IF('General Info &amp; Test Results'!C32="Immersible", "Remove all contact seals for testing", IF('General Info &amp; Test Results'!C47="Yes", "Test in a horizontal or vertical configuration in accordance with the applicable TP", "N/A"))))))))))</f>
        <v>N/A</v>
      </c>
      <c r="D28" s="693"/>
      <c r="E28" s="742"/>
      <c r="F28" s="693"/>
      <c r="G28" s="733"/>
      <c r="H28" s="185"/>
      <c r="J28" s="142"/>
    </row>
    <row r="29" spans="1:10" ht="18" customHeight="1" x14ac:dyDescent="0.3">
      <c r="B29" s="798"/>
      <c r="C29" s="800"/>
      <c r="J29" s="142"/>
    </row>
    <row r="30" spans="1:10" ht="18" customHeight="1" x14ac:dyDescent="0.3">
      <c r="B30" s="798"/>
      <c r="C30" s="800"/>
      <c r="J30" s="142"/>
    </row>
    <row r="31" spans="1:10" ht="18" customHeight="1" x14ac:dyDescent="0.3">
      <c r="B31" s="799"/>
      <c r="C31" s="801"/>
      <c r="J31" s="142"/>
    </row>
    <row r="32" spans="1:10" ht="33" customHeight="1" thickBot="1" x14ac:dyDescent="0.35">
      <c r="B32" s="751" t="s">
        <v>598</v>
      </c>
      <c r="C32" s="494"/>
      <c r="D32" s="495"/>
      <c r="J32" s="142"/>
    </row>
    <row r="33" spans="1:10" ht="37.5" customHeight="1" x14ac:dyDescent="0.3">
      <c r="J33" s="142"/>
    </row>
    <row r="34" spans="1:10" ht="18" customHeight="1" x14ac:dyDescent="0.3">
      <c r="A34" s="142"/>
      <c r="B34" s="142"/>
      <c r="C34" s="142"/>
      <c r="D34" s="142"/>
      <c r="E34" s="142"/>
      <c r="F34" s="142"/>
      <c r="G34" s="142"/>
      <c r="H34" s="142"/>
      <c r="I34" s="142"/>
      <c r="J34" s="142"/>
    </row>
    <row r="42" spans="1:10" ht="54" customHeight="1" x14ac:dyDescent="0.3"/>
  </sheetData>
  <sheetProtection algorithmName="SHA-512" hashValue="+MRs87SPPIZXV/CRU4bpaTa42prDRzGF0k4qwH6w/BJ9fUJXV2qgDEB0ZYHL/pXH/XSvWGjqv46bvYkiKNhCQA==" saltValue="ti1wgm3tdG8+sBZCkal8sQ==" spinCount="100000" sheet="1" selectLockedCells="1"/>
  <mergeCells count="8">
    <mergeCell ref="B28:B31"/>
    <mergeCell ref="C28:C31"/>
    <mergeCell ref="B2:C2"/>
    <mergeCell ref="B25:B27"/>
    <mergeCell ref="C25:C27"/>
    <mergeCell ref="B12:H12"/>
    <mergeCell ref="B13:H13"/>
    <mergeCell ref="B15:H15"/>
  </mergeCells>
  <hyperlinks>
    <hyperlink ref="E2" location="Instructions!B37" display="Back to Instructions tab" xr:uid="{6A62E6D5-DCC9-4A18-9057-DB7DCF992CBE}"/>
  </hyperlinks>
  <pageMargins left="0.7" right="0.7" top="0.75" bottom="0.75" header="0.3" footer="0.3"/>
  <pageSetup orientation="portrait" horizontalDpi="4294967293"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61CBB758-A097-4C06-9E91-FD6ABCA4FACE}">
          <x14:formula1>
            <xm:f>'Drop-downs'!$B$12:$B$20</xm:f>
          </x14:formula1>
          <xm:sqref>C32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J45"/>
  <sheetViews>
    <sheetView showGridLines="0" zoomScale="80" zoomScaleNormal="80" workbookViewId="0">
      <selection activeCell="B14" sqref="B14"/>
    </sheetView>
  </sheetViews>
  <sheetFormatPr defaultColWidth="9.140625" defaultRowHeight="18" customHeight="1" x14ac:dyDescent="0.3"/>
  <cols>
    <col min="1" max="1" width="2.7109375" style="22" customWidth="1"/>
    <col min="2" max="2" width="55" style="22" customWidth="1"/>
    <col min="3" max="3" width="44.140625" style="22" customWidth="1"/>
    <col min="4" max="4" width="33.140625" style="22" customWidth="1"/>
    <col min="5" max="5" width="29.5703125" style="22" customWidth="1"/>
    <col min="6" max="6" width="36.140625" style="22" customWidth="1"/>
    <col min="7" max="7" width="28.28515625" style="22" customWidth="1"/>
    <col min="8" max="8" width="29.7109375" style="22" bestFit="1" customWidth="1"/>
    <col min="9" max="9" width="5.42578125" style="22" customWidth="1"/>
    <col min="10" max="10" width="3.42578125" style="22" customWidth="1"/>
    <col min="11" max="16384" width="9.140625" style="22"/>
  </cols>
  <sheetData>
    <row r="1" spans="2:10" ht="18" customHeight="1" thickBot="1" x14ac:dyDescent="0.35">
      <c r="J1" s="23"/>
    </row>
    <row r="2" spans="2:10" ht="18" customHeight="1" thickBot="1" x14ac:dyDescent="0.35">
      <c r="B2" s="752" t="str">
        <f>'Version Control'!$B$2</f>
        <v>Title Block</v>
      </c>
      <c r="C2" s="753"/>
      <c r="J2" s="23"/>
    </row>
    <row r="3" spans="2:10" ht="18" customHeight="1" x14ac:dyDescent="0.3">
      <c r="B3" s="24" t="str">
        <f>'Version Control'!$B$3</f>
        <v>Test Report Template Name:</v>
      </c>
      <c r="C3" s="25" t="str">
        <f>'Version Control'!C3</f>
        <v>Electric Motors</v>
      </c>
      <c r="J3" s="23"/>
    </row>
    <row r="4" spans="2:10" ht="18" customHeight="1" x14ac:dyDescent="0.3">
      <c r="B4" s="26" t="str">
        <f>'Version Control'!$B$4</f>
        <v>Version Number:</v>
      </c>
      <c r="C4" s="27" t="str">
        <f>'Version Control'!C4</f>
        <v>v1.0</v>
      </c>
      <c r="J4" s="23"/>
    </row>
    <row r="5" spans="2:10" ht="18" customHeight="1" x14ac:dyDescent="0.3">
      <c r="B5" s="26" t="str">
        <f>'Version Control'!$B$5</f>
        <v xml:space="preserve">Latest Template Revision: </v>
      </c>
      <c r="C5" s="28">
        <f>'Version Control'!C5</f>
        <v>45567</v>
      </c>
      <c r="J5" s="23"/>
    </row>
    <row r="6" spans="2:10" ht="18" customHeight="1" x14ac:dyDescent="0.3">
      <c r="B6" s="26" t="str">
        <f>'Version Control'!$B$6</f>
        <v>Tab Name:</v>
      </c>
      <c r="C6" s="29" t="str">
        <f ca="1">MID(CELL("filename",A1), FIND("]", CELL("filename", A1))+ 1, 255)</f>
        <v>Setup &amp; Instrumentation</v>
      </c>
      <c r="J6" s="23"/>
    </row>
    <row r="7" spans="2:10" ht="36" customHeight="1" x14ac:dyDescent="0.3">
      <c r="B7" s="19" t="str">
        <f>'Version Control'!$B$7</f>
        <v>File Name:</v>
      </c>
      <c r="C7" s="50" t="str">
        <f ca="1">'Version Control'!C7</f>
        <v>Electric Motors -  v1.0.xlsx</v>
      </c>
      <c r="J7" s="23"/>
    </row>
    <row r="8" spans="2:10" ht="16.5" x14ac:dyDescent="0.3">
      <c r="B8" s="51" t="str">
        <f>'Version Control'!B8</f>
        <v>Date Test Started:</v>
      </c>
      <c r="C8" s="52" t="str">
        <f>'Version Control'!C8</f>
        <v>[MM/DD/YYYY]</v>
      </c>
      <c r="J8" s="23"/>
    </row>
    <row r="9" spans="2:10" ht="18" customHeight="1" thickBot="1" x14ac:dyDescent="0.35">
      <c r="B9" s="53" t="str">
        <f>'Version Control'!B9</f>
        <v>Date Test Finished:</v>
      </c>
      <c r="C9" s="54" t="str">
        <f>'Version Control'!C9</f>
        <v>[MM/DD/YYYY]</v>
      </c>
      <c r="J9" s="23"/>
    </row>
    <row r="10" spans="2:10" ht="18" customHeight="1" x14ac:dyDescent="0.3">
      <c r="J10" s="23"/>
    </row>
    <row r="11" spans="2:10" ht="18" customHeight="1" thickBot="1" x14ac:dyDescent="0.35">
      <c r="J11" s="23"/>
    </row>
    <row r="12" spans="2:10" ht="66" customHeight="1" thickBot="1" x14ac:dyDescent="0.35">
      <c r="B12" s="817" t="s">
        <v>606</v>
      </c>
      <c r="C12" s="793"/>
      <c r="D12" s="793"/>
      <c r="E12" s="793"/>
      <c r="F12" s="793"/>
      <c r="G12" s="793"/>
      <c r="H12" s="753"/>
      <c r="J12" s="23"/>
    </row>
    <row r="13" spans="2:10" ht="18" customHeight="1" x14ac:dyDescent="0.35">
      <c r="B13" s="55" t="s">
        <v>62</v>
      </c>
      <c r="C13" s="56" t="s">
        <v>63</v>
      </c>
      <c r="D13" s="56" t="s">
        <v>64</v>
      </c>
      <c r="E13" s="56" t="s">
        <v>65</v>
      </c>
      <c r="F13" s="56" t="s">
        <v>66</v>
      </c>
      <c r="G13" s="56" t="s">
        <v>67</v>
      </c>
      <c r="H13" s="57" t="s">
        <v>68</v>
      </c>
      <c r="J13" s="23"/>
    </row>
    <row r="14" spans="2:10" ht="18" customHeight="1" x14ac:dyDescent="0.3">
      <c r="B14" s="92"/>
      <c r="C14" s="93"/>
      <c r="D14" s="93"/>
      <c r="E14" s="93"/>
      <c r="F14" s="93"/>
      <c r="G14" s="17" t="s">
        <v>43</v>
      </c>
      <c r="H14" s="9" t="s">
        <v>43</v>
      </c>
      <c r="J14" s="23"/>
    </row>
    <row r="15" spans="2:10" ht="18" customHeight="1" x14ac:dyDescent="0.3">
      <c r="B15" s="92"/>
      <c r="C15" s="93"/>
      <c r="D15" s="93"/>
      <c r="E15" s="93"/>
      <c r="F15" s="93"/>
      <c r="G15" s="17" t="s">
        <v>43</v>
      </c>
      <c r="H15" s="9" t="s">
        <v>43</v>
      </c>
      <c r="J15" s="23"/>
    </row>
    <row r="16" spans="2:10" ht="18" customHeight="1" x14ac:dyDescent="0.3">
      <c r="B16" s="92"/>
      <c r="C16" s="93"/>
      <c r="D16" s="93"/>
      <c r="E16" s="93"/>
      <c r="F16" s="93"/>
      <c r="G16" s="17" t="s">
        <v>43</v>
      </c>
      <c r="H16" s="9" t="s">
        <v>43</v>
      </c>
      <c r="J16" s="23"/>
    </row>
    <row r="17" spans="2:10" ht="18" customHeight="1" x14ac:dyDescent="0.3">
      <c r="B17" s="92"/>
      <c r="C17" s="93"/>
      <c r="D17" s="93"/>
      <c r="E17" s="93"/>
      <c r="F17" s="93"/>
      <c r="G17" s="17" t="s">
        <v>43</v>
      </c>
      <c r="H17" s="9" t="s">
        <v>43</v>
      </c>
      <c r="J17" s="23"/>
    </row>
    <row r="18" spans="2:10" ht="18" customHeight="1" x14ac:dyDescent="0.3">
      <c r="B18" s="92"/>
      <c r="C18" s="93"/>
      <c r="D18" s="93"/>
      <c r="E18" s="93"/>
      <c r="F18" s="93"/>
      <c r="G18" s="17" t="s">
        <v>43</v>
      </c>
      <c r="H18" s="9" t="s">
        <v>43</v>
      </c>
      <c r="J18" s="23"/>
    </row>
    <row r="19" spans="2:10" ht="18" customHeight="1" x14ac:dyDescent="0.3">
      <c r="B19" s="92"/>
      <c r="C19" s="93"/>
      <c r="D19" s="93"/>
      <c r="E19" s="93"/>
      <c r="F19" s="93"/>
      <c r="G19" s="17" t="s">
        <v>43</v>
      </c>
      <c r="H19" s="9" t="s">
        <v>43</v>
      </c>
      <c r="J19" s="23"/>
    </row>
    <row r="20" spans="2:10" ht="18" customHeight="1" x14ac:dyDescent="0.3">
      <c r="B20" s="92"/>
      <c r="C20" s="93"/>
      <c r="D20" s="93"/>
      <c r="E20" s="93"/>
      <c r="F20" s="93"/>
      <c r="G20" s="17" t="s">
        <v>43</v>
      </c>
      <c r="H20" s="9" t="s">
        <v>43</v>
      </c>
      <c r="J20" s="23"/>
    </row>
    <row r="21" spans="2:10" ht="18" customHeight="1" x14ac:dyDescent="0.3">
      <c r="B21" s="92"/>
      <c r="C21" s="93"/>
      <c r="D21" s="93"/>
      <c r="E21" s="93"/>
      <c r="F21" s="93"/>
      <c r="G21" s="17" t="s">
        <v>43</v>
      </c>
      <c r="H21" s="9" t="s">
        <v>43</v>
      </c>
      <c r="J21" s="23"/>
    </row>
    <row r="22" spans="2:10" ht="18" customHeight="1" x14ac:dyDescent="0.3">
      <c r="B22" s="92"/>
      <c r="C22" s="93"/>
      <c r="D22" s="93"/>
      <c r="E22" s="93"/>
      <c r="F22" s="93"/>
      <c r="G22" s="17" t="s">
        <v>43</v>
      </c>
      <c r="H22" s="9" t="s">
        <v>43</v>
      </c>
      <c r="J22" s="23"/>
    </row>
    <row r="23" spans="2:10" ht="18" customHeight="1" x14ac:dyDescent="0.3">
      <c r="B23" s="92"/>
      <c r="C23" s="93"/>
      <c r="D23" s="93"/>
      <c r="E23" s="93"/>
      <c r="F23" s="93"/>
      <c r="G23" s="17" t="s">
        <v>43</v>
      </c>
      <c r="H23" s="9" t="s">
        <v>43</v>
      </c>
      <c r="J23" s="23"/>
    </row>
    <row r="24" spans="2:10" ht="18" customHeight="1" x14ac:dyDescent="0.3">
      <c r="B24" s="92"/>
      <c r="C24" s="93"/>
      <c r="D24" s="93"/>
      <c r="E24" s="93"/>
      <c r="F24" s="93"/>
      <c r="G24" s="17" t="s">
        <v>43</v>
      </c>
      <c r="H24" s="9" t="s">
        <v>43</v>
      </c>
      <c r="J24" s="23"/>
    </row>
    <row r="25" spans="2:10" ht="18" customHeight="1" x14ac:dyDescent="0.3">
      <c r="B25" s="92"/>
      <c r="C25" s="93"/>
      <c r="D25" s="93"/>
      <c r="E25" s="93"/>
      <c r="F25" s="93"/>
      <c r="G25" s="17" t="s">
        <v>43</v>
      </c>
      <c r="H25" s="9" t="s">
        <v>43</v>
      </c>
      <c r="J25" s="23"/>
    </row>
    <row r="26" spans="2:10" ht="18" customHeight="1" x14ac:dyDescent="0.3">
      <c r="B26" s="92"/>
      <c r="C26" s="93"/>
      <c r="D26" s="93"/>
      <c r="E26" s="93"/>
      <c r="F26" s="93"/>
      <c r="G26" s="17" t="s">
        <v>43</v>
      </c>
      <c r="H26" s="9" t="s">
        <v>43</v>
      </c>
      <c r="J26" s="23"/>
    </row>
    <row r="27" spans="2:10" ht="18" customHeight="1" x14ac:dyDescent="0.3">
      <c r="B27" s="92"/>
      <c r="C27" s="93"/>
      <c r="D27" s="93"/>
      <c r="E27" s="93"/>
      <c r="F27" s="93"/>
      <c r="G27" s="17" t="s">
        <v>43</v>
      </c>
      <c r="H27" s="9" t="s">
        <v>43</v>
      </c>
      <c r="J27" s="23"/>
    </row>
    <row r="28" spans="2:10" ht="18" customHeight="1" x14ac:dyDescent="0.3">
      <c r="B28" s="92"/>
      <c r="C28" s="93"/>
      <c r="D28" s="93"/>
      <c r="E28" s="93"/>
      <c r="F28" s="93"/>
      <c r="G28" s="17" t="s">
        <v>43</v>
      </c>
      <c r="H28" s="9" t="s">
        <v>43</v>
      </c>
      <c r="J28" s="23"/>
    </row>
    <row r="29" spans="2:10" ht="18" customHeight="1" x14ac:dyDescent="0.3">
      <c r="B29" s="92"/>
      <c r="C29" s="93"/>
      <c r="D29" s="93"/>
      <c r="E29" s="93"/>
      <c r="F29" s="93"/>
      <c r="G29" s="17" t="s">
        <v>43</v>
      </c>
      <c r="H29" s="9" t="s">
        <v>43</v>
      </c>
      <c r="J29" s="23"/>
    </row>
    <row r="30" spans="2:10" ht="18" customHeight="1" x14ac:dyDescent="0.3">
      <c r="B30" s="92"/>
      <c r="C30" s="93"/>
      <c r="D30" s="93"/>
      <c r="E30" s="93"/>
      <c r="F30" s="93"/>
      <c r="G30" s="17" t="s">
        <v>43</v>
      </c>
      <c r="H30" s="9" t="s">
        <v>43</v>
      </c>
      <c r="J30" s="23"/>
    </row>
    <row r="31" spans="2:10" ht="18" customHeight="1" x14ac:dyDescent="0.3">
      <c r="B31" s="92"/>
      <c r="C31" s="93"/>
      <c r="D31" s="93"/>
      <c r="E31" s="93"/>
      <c r="F31" s="93"/>
      <c r="G31" s="17" t="s">
        <v>43</v>
      </c>
      <c r="H31" s="9" t="s">
        <v>43</v>
      </c>
      <c r="J31" s="23"/>
    </row>
    <row r="32" spans="2:10" ht="18" customHeight="1" x14ac:dyDescent="0.3">
      <c r="B32" s="92"/>
      <c r="C32" s="93"/>
      <c r="D32" s="93"/>
      <c r="E32" s="93"/>
      <c r="F32" s="93"/>
      <c r="G32" s="17" t="s">
        <v>43</v>
      </c>
      <c r="H32" s="9" t="s">
        <v>43</v>
      </c>
      <c r="J32" s="23"/>
    </row>
    <row r="33" spans="1:10" ht="18" customHeight="1" x14ac:dyDescent="0.3">
      <c r="B33" s="92"/>
      <c r="C33" s="93"/>
      <c r="D33" s="93"/>
      <c r="E33" s="93"/>
      <c r="F33" s="93"/>
      <c r="G33" s="17" t="s">
        <v>43</v>
      </c>
      <c r="H33" s="9" t="s">
        <v>43</v>
      </c>
      <c r="J33" s="23"/>
    </row>
    <row r="34" spans="1:10" ht="18" customHeight="1" x14ac:dyDescent="0.3">
      <c r="B34" s="92"/>
      <c r="C34" s="93"/>
      <c r="D34" s="93"/>
      <c r="E34" s="93"/>
      <c r="F34" s="93"/>
      <c r="G34" s="17" t="s">
        <v>43</v>
      </c>
      <c r="H34" s="9" t="s">
        <v>43</v>
      </c>
      <c r="J34" s="23"/>
    </row>
    <row r="35" spans="1:10" ht="18" customHeight="1" x14ac:dyDescent="0.3">
      <c r="B35" s="92"/>
      <c r="C35" s="93"/>
      <c r="D35" s="93"/>
      <c r="E35" s="93"/>
      <c r="F35" s="93"/>
      <c r="G35" s="17" t="s">
        <v>43</v>
      </c>
      <c r="H35" s="9" t="s">
        <v>43</v>
      </c>
      <c r="J35" s="23"/>
    </row>
    <row r="36" spans="1:10" ht="18" customHeight="1" x14ac:dyDescent="0.3">
      <c r="B36" s="92"/>
      <c r="C36" s="93"/>
      <c r="D36" s="93"/>
      <c r="E36" s="93"/>
      <c r="F36" s="93"/>
      <c r="G36" s="17" t="s">
        <v>43</v>
      </c>
      <c r="H36" s="9" t="s">
        <v>43</v>
      </c>
      <c r="J36" s="23"/>
    </row>
    <row r="37" spans="1:10" ht="18" customHeight="1" x14ac:dyDescent="0.3">
      <c r="B37" s="92"/>
      <c r="C37" s="93"/>
      <c r="D37" s="93"/>
      <c r="E37" s="93"/>
      <c r="F37" s="93"/>
      <c r="G37" s="17" t="s">
        <v>43</v>
      </c>
      <c r="H37" s="9" t="s">
        <v>43</v>
      </c>
      <c r="J37" s="23"/>
    </row>
    <row r="38" spans="1:10" ht="18" customHeight="1" x14ac:dyDescent="0.3">
      <c r="B38" s="92"/>
      <c r="C38" s="93"/>
      <c r="D38" s="93"/>
      <c r="E38" s="93"/>
      <c r="F38" s="93"/>
      <c r="G38" s="17" t="s">
        <v>43</v>
      </c>
      <c r="H38" s="9" t="s">
        <v>43</v>
      </c>
      <c r="J38" s="23"/>
    </row>
    <row r="39" spans="1:10" ht="18" customHeight="1" x14ac:dyDescent="0.3">
      <c r="B39" s="92"/>
      <c r="C39" s="93"/>
      <c r="D39" s="93"/>
      <c r="E39" s="93"/>
      <c r="F39" s="93"/>
      <c r="G39" s="17" t="s">
        <v>43</v>
      </c>
      <c r="H39" s="9" t="s">
        <v>43</v>
      </c>
      <c r="J39" s="23"/>
    </row>
    <row r="40" spans="1:10" ht="18" customHeight="1" x14ac:dyDescent="0.3">
      <c r="B40" s="92"/>
      <c r="C40" s="93"/>
      <c r="D40" s="93"/>
      <c r="E40" s="93"/>
      <c r="F40" s="93"/>
      <c r="G40" s="17" t="s">
        <v>43</v>
      </c>
      <c r="H40" s="9" t="s">
        <v>43</v>
      </c>
      <c r="J40" s="23"/>
    </row>
    <row r="41" spans="1:10" ht="18" customHeight="1" x14ac:dyDescent="0.3">
      <c r="B41" s="92"/>
      <c r="C41" s="93"/>
      <c r="D41" s="93"/>
      <c r="E41" s="93"/>
      <c r="F41" s="93"/>
      <c r="G41" s="17" t="s">
        <v>43</v>
      </c>
      <c r="H41" s="9" t="s">
        <v>43</v>
      </c>
      <c r="J41" s="23"/>
    </row>
    <row r="42" spans="1:10" ht="18" customHeight="1" x14ac:dyDescent="0.3">
      <c r="B42" s="92"/>
      <c r="C42" s="93"/>
      <c r="D42" s="93"/>
      <c r="E42" s="93"/>
      <c r="F42" s="93"/>
      <c r="G42" s="17" t="s">
        <v>43</v>
      </c>
      <c r="H42" s="9" t="s">
        <v>43</v>
      </c>
      <c r="J42" s="23"/>
    </row>
    <row r="43" spans="1:10" ht="18" customHeight="1" thickBot="1" x14ac:dyDescent="0.35">
      <c r="B43" s="94"/>
      <c r="C43" s="95"/>
      <c r="D43" s="95"/>
      <c r="E43" s="95"/>
      <c r="F43" s="95"/>
      <c r="G43" s="18" t="s">
        <v>43</v>
      </c>
      <c r="H43" s="5" t="s">
        <v>43</v>
      </c>
      <c r="J43" s="23"/>
    </row>
    <row r="44" spans="1:10" ht="18" customHeight="1" x14ac:dyDescent="0.3">
      <c r="J44" s="23"/>
    </row>
    <row r="45" spans="1:10" ht="18" customHeight="1" x14ac:dyDescent="0.3">
      <c r="A45" s="23"/>
      <c r="B45" s="23"/>
      <c r="C45" s="23"/>
      <c r="D45" s="23"/>
      <c r="E45" s="23"/>
      <c r="F45" s="23"/>
      <c r="G45" s="23"/>
      <c r="H45" s="23"/>
      <c r="I45" s="23"/>
      <c r="J45" s="23"/>
    </row>
  </sheetData>
  <sheetProtection algorithmName="SHA-512" hashValue="LL3H+eqCfD+xQ/1dsN34kwHwQqADKDtuhhkEZWbKr5N03YG33qKOWN/tb+sCd9L+k8fbNJZMJCDLnlb6dKpPIA==" saltValue="iuV9JPDUlNgRqEFvmWYcJw==" spinCount="100000" sheet="1" selectLockedCells="1"/>
  <protectedRanges>
    <protectedRange sqref="B14:H43" name="Range1_1"/>
  </protectedRanges>
  <mergeCells count="2">
    <mergeCell ref="B2:C2"/>
    <mergeCell ref="B12:H12"/>
  </mergeCells>
  <conditionalFormatting sqref="G14:G43">
    <cfRule type="expression" dxfId="10" priority="5">
      <formula>ISTEXT(G14)</formula>
    </cfRule>
    <cfRule type="expression" dxfId="9" priority="6">
      <formula>$G14&gt;$C$8</formula>
    </cfRule>
  </conditionalFormatting>
  <conditionalFormatting sqref="H14:H43">
    <cfRule type="expression" dxfId="8" priority="7">
      <formula>$H14&lt;$C$9</formula>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BFD48-067D-4786-B7F9-629A6FC7962E}">
  <sheetPr>
    <tabColor rgb="FF0070C0"/>
  </sheetPr>
  <dimension ref="A1:J72"/>
  <sheetViews>
    <sheetView showGridLines="0" zoomScale="80" zoomScaleNormal="80" workbookViewId="0">
      <selection activeCell="G2" sqref="G2"/>
    </sheetView>
  </sheetViews>
  <sheetFormatPr defaultColWidth="9.140625" defaultRowHeight="18" customHeight="1" x14ac:dyDescent="0.3"/>
  <cols>
    <col min="1" max="1" width="9.140625" style="141"/>
    <col min="2" max="2" width="35.7109375" style="141" customWidth="1"/>
    <col min="3" max="3" width="42.85546875" style="141" customWidth="1"/>
    <col min="4" max="4" width="28.140625" style="141" customWidth="1"/>
    <col min="5" max="5" width="26.140625" style="141" customWidth="1"/>
    <col min="6" max="6" width="47.42578125" style="141" customWidth="1"/>
    <col min="7" max="7" width="17.28515625" style="141" customWidth="1"/>
    <col min="8" max="8" width="24.7109375" style="141" customWidth="1"/>
    <col min="9" max="9" width="7.42578125" style="183" customWidth="1"/>
    <col min="10" max="10" width="4.28515625" style="141" customWidth="1"/>
    <col min="11" max="16384" width="9.140625" style="141"/>
  </cols>
  <sheetData>
    <row r="1" spans="2:10" ht="18" customHeight="1" thickBot="1" x14ac:dyDescent="0.35">
      <c r="J1" s="142"/>
    </row>
    <row r="2" spans="2:10" ht="18" customHeight="1" thickBot="1" x14ac:dyDescent="0.35">
      <c r="B2" s="752" t="str">
        <f>'Version Control'!$B$2</f>
        <v>Title Block</v>
      </c>
      <c r="C2" s="753"/>
      <c r="G2" s="158" t="s">
        <v>37</v>
      </c>
      <c r="J2" s="142"/>
    </row>
    <row r="3" spans="2:10" ht="18" customHeight="1" x14ac:dyDescent="0.3">
      <c r="B3" s="143" t="str">
        <f>'Version Control'!$B$3</f>
        <v>Test Report Template Name:</v>
      </c>
      <c r="C3" s="144" t="str">
        <f>'Version Control'!C3</f>
        <v>Electric Motors</v>
      </c>
      <c r="J3" s="142"/>
    </row>
    <row r="4" spans="2:10" ht="18" customHeight="1" x14ac:dyDescent="0.3">
      <c r="B4" s="145" t="str">
        <f>'Version Control'!$B$4</f>
        <v>Version Number:</v>
      </c>
      <c r="C4" s="146" t="str">
        <f>'Version Control'!C4</f>
        <v>v1.0</v>
      </c>
      <c r="J4" s="142"/>
    </row>
    <row r="5" spans="2:10" ht="18" customHeight="1" x14ac:dyDescent="0.3">
      <c r="B5" s="145" t="str">
        <f>'Version Control'!$B$5</f>
        <v xml:space="preserve">Latest Template Revision: </v>
      </c>
      <c r="C5" s="147">
        <f>'Version Control'!C5</f>
        <v>45567</v>
      </c>
      <c r="J5" s="142"/>
    </row>
    <row r="6" spans="2:10" ht="18" customHeight="1" x14ac:dyDescent="0.3">
      <c r="B6" s="145" t="str">
        <f>'Version Control'!$B$6</f>
        <v>Tab Name:</v>
      </c>
      <c r="C6" s="148" t="str">
        <f ca="1">MID(CELL("filename",A1), FIND("]", CELL("filename", A1))+ 1, 255)</f>
        <v>NEMA MG 1-2016</v>
      </c>
      <c r="J6" s="142"/>
    </row>
    <row r="7" spans="2:10" ht="36" customHeight="1" x14ac:dyDescent="0.3">
      <c r="B7" s="104" t="str">
        <f>'Version Control'!$B$7</f>
        <v>File Name:</v>
      </c>
      <c r="C7" s="149" t="str">
        <f ca="1">'Version Control'!C7</f>
        <v>Electric Motors -  v1.0.xlsx</v>
      </c>
      <c r="J7" s="142"/>
    </row>
    <row r="8" spans="2:10" ht="16.5" x14ac:dyDescent="0.3">
      <c r="B8" s="150" t="s">
        <v>42</v>
      </c>
      <c r="C8" s="151" t="str">
        <f>'General Info &amp; Test Results'!C17</f>
        <v>[MM/DD/YYYY]</v>
      </c>
      <c r="F8" s="495"/>
      <c r="J8" s="142"/>
    </row>
    <row r="9" spans="2:10" ht="18" customHeight="1" thickBot="1" x14ac:dyDescent="0.35">
      <c r="B9" s="152" t="str">
        <f>'Version Control'!$B$9</f>
        <v>Date Test Finished:</v>
      </c>
      <c r="C9" s="153" t="str">
        <f>'Version Control'!C9</f>
        <v>[MM/DD/YYYY]</v>
      </c>
      <c r="J9" s="142"/>
    </row>
    <row r="10" spans="2:10" ht="18" customHeight="1" thickBot="1" x14ac:dyDescent="0.35">
      <c r="B10" s="154"/>
      <c r="C10" s="155"/>
      <c r="J10" s="142"/>
    </row>
    <row r="11" spans="2:10" ht="18" customHeight="1" thickBot="1" x14ac:dyDescent="0.4">
      <c r="B11" s="808" t="s">
        <v>181</v>
      </c>
      <c r="C11" s="809"/>
      <c r="D11" s="809"/>
      <c r="E11" s="809"/>
      <c r="F11" s="809"/>
      <c r="G11" s="809"/>
      <c r="H11" s="810"/>
      <c r="J11" s="142"/>
    </row>
    <row r="12" spans="2:10" ht="38.450000000000003" customHeight="1" thickBot="1" x14ac:dyDescent="0.35">
      <c r="B12" s="811" t="s">
        <v>608</v>
      </c>
      <c r="C12" s="812"/>
      <c r="D12" s="812"/>
      <c r="E12" s="812"/>
      <c r="F12" s="812"/>
      <c r="G12" s="812"/>
      <c r="H12" s="813"/>
      <c r="J12" s="142"/>
    </row>
    <row r="13" spans="2:10" ht="18" customHeight="1" thickBot="1" x14ac:dyDescent="0.35">
      <c r="B13" s="154"/>
      <c r="C13" s="155"/>
      <c r="J13" s="142"/>
    </row>
    <row r="14" spans="2:10" ht="18" customHeight="1" thickBot="1" x14ac:dyDescent="0.4">
      <c r="B14" s="818" t="s">
        <v>327</v>
      </c>
      <c r="C14" s="819"/>
      <c r="D14" s="819"/>
      <c r="E14" s="819"/>
      <c r="F14" s="819"/>
      <c r="G14" s="819"/>
      <c r="H14" s="820"/>
      <c r="J14" s="142"/>
    </row>
    <row r="15" spans="2:10" ht="18" customHeight="1" x14ac:dyDescent="0.3">
      <c r="B15" s="273" t="s">
        <v>329</v>
      </c>
      <c r="C15" s="233" t="s">
        <v>70</v>
      </c>
      <c r="D15" s="186"/>
      <c r="E15" s="186"/>
      <c r="F15" s="186"/>
      <c r="G15" s="186"/>
      <c r="H15" s="195"/>
      <c r="J15" s="142"/>
    </row>
    <row r="16" spans="2:10" ht="18" customHeight="1" x14ac:dyDescent="0.3">
      <c r="B16" s="204" t="s">
        <v>184</v>
      </c>
      <c r="C16" s="289">
        <f>'General Info &amp; Test Results'!C32</f>
        <v>0</v>
      </c>
      <c r="D16" s="185"/>
      <c r="E16" s="185"/>
      <c r="F16" s="186"/>
      <c r="G16" s="186"/>
      <c r="H16" s="195"/>
      <c r="J16" s="142"/>
    </row>
    <row r="17" spans="2:10" ht="18" customHeight="1" x14ac:dyDescent="0.3">
      <c r="B17" s="90" t="s">
        <v>89</v>
      </c>
      <c r="C17" s="289">
        <f>'General Info &amp; Test Results'!C54</f>
        <v>0</v>
      </c>
      <c r="D17" s="185"/>
      <c r="E17" s="185"/>
      <c r="F17" s="186"/>
      <c r="G17" s="186"/>
      <c r="H17" s="195"/>
      <c r="J17" s="142"/>
    </row>
    <row r="18" spans="2:10" ht="18" customHeight="1" x14ac:dyDescent="0.3">
      <c r="B18" s="213" t="s">
        <v>99</v>
      </c>
      <c r="C18" s="304">
        <f>'General Info &amp; Test Results'!C34</f>
        <v>0</v>
      </c>
      <c r="D18" s="186"/>
      <c r="E18" s="186"/>
      <c r="F18" s="186"/>
      <c r="G18" s="186"/>
      <c r="H18" s="195"/>
      <c r="J18" s="142"/>
    </row>
    <row r="19" spans="2:10" ht="18" customHeight="1" x14ac:dyDescent="0.3">
      <c r="B19" s="213" t="s">
        <v>577</v>
      </c>
      <c r="C19" s="532">
        <f>'General Info &amp; Test Results'!C50</f>
        <v>0</v>
      </c>
      <c r="D19" s="186"/>
      <c r="E19" s="186"/>
      <c r="F19" s="186"/>
      <c r="G19" s="186"/>
      <c r="H19" s="195"/>
      <c r="J19" s="142"/>
    </row>
    <row r="20" spans="2:10" ht="18" customHeight="1" x14ac:dyDescent="0.3">
      <c r="B20" s="213" t="s">
        <v>241</v>
      </c>
      <c r="C20" s="304">
        <f>'General Info &amp; Test Results'!C40</f>
        <v>0</v>
      </c>
      <c r="D20" s="186"/>
      <c r="E20" s="186"/>
      <c r="F20" s="186"/>
      <c r="G20" s="186"/>
      <c r="H20" s="195"/>
      <c r="J20" s="142"/>
    </row>
    <row r="21" spans="2:10" ht="18" customHeight="1" x14ac:dyDescent="0.3">
      <c r="B21" s="213" t="s">
        <v>265</v>
      </c>
      <c r="C21" s="304" t="str">
        <f>IF(C20="Aluminum",224.8,IF(C20="Copper",234.5,"Winding material needed"))</f>
        <v>Winding material needed</v>
      </c>
      <c r="D21" s="186"/>
      <c r="E21" s="186"/>
      <c r="F21" s="186"/>
      <c r="G21" s="186"/>
      <c r="H21" s="195"/>
      <c r="J21" s="142"/>
    </row>
    <row r="22" spans="2:10" ht="18" customHeight="1" x14ac:dyDescent="0.3">
      <c r="B22" s="213" t="s">
        <v>300</v>
      </c>
      <c r="C22" s="304">
        <f>'General Info &amp; Test Results'!C39</f>
        <v>0</v>
      </c>
      <c r="D22" s="186"/>
      <c r="E22" s="186"/>
      <c r="F22" s="186"/>
      <c r="G22" s="186"/>
      <c r="H22" s="195"/>
      <c r="J22" s="142"/>
    </row>
    <row r="23" spans="2:10" ht="18" customHeight="1" x14ac:dyDescent="0.3">
      <c r="B23" s="213" t="s">
        <v>307</v>
      </c>
      <c r="C23" s="304">
        <f>'General Info &amp; Test Results'!C47</f>
        <v>0</v>
      </c>
      <c r="D23" s="186"/>
      <c r="E23" s="186"/>
      <c r="F23" s="186"/>
      <c r="G23" s="186"/>
      <c r="H23" s="195"/>
      <c r="J23" s="142"/>
    </row>
    <row r="24" spans="2:10" ht="18" customHeight="1" thickBot="1" x14ac:dyDescent="0.35">
      <c r="B24" s="199"/>
      <c r="C24" s="186"/>
      <c r="D24" s="186"/>
      <c r="E24" s="186"/>
      <c r="F24" s="186"/>
      <c r="G24" s="186"/>
      <c r="H24" s="195"/>
      <c r="J24" s="142"/>
    </row>
    <row r="25" spans="2:10" ht="66.599999999999994" customHeight="1" thickBot="1" x14ac:dyDescent="0.35">
      <c r="B25" s="305" t="s">
        <v>607</v>
      </c>
      <c r="C25" s="306" t="str">
        <f>IF(AND(C23="No",C17="Single-phase",C18="Squirrel-cage (MG1)",OR(C22="Capacitor-start, Induction-run",C22="Capacitor-start, Capacitor-run"),OR(C19&gt;=0.25,C19&lt;=3)),"IEEE 114",IF(AND(C23="No",'Determination of Test Method'!C16="Yes",C18="Squirrel-cage (MG1)",OR(C19&gt;=0.25,C19&lt;1)),"IEEE 112 Method A, or CSA C747",IF(AND(C23="No",'Determination of Test Method'!C16="Yes",C18="Squirrel-cage (MG1)",OR(C19&gt;=0.25,C19&lt;=500)),"IEEE 112 Method B, IEC 60034-2-1 Method 2-1-1b, or CSA C390",IF(AND(C23="Yes",OR(C19&gt;=1,C19&lt;=500)),"IEEE 112 Method B or E",IF(C16="Air-over","See procedure below", "Motor information needed")))))</f>
        <v>Motor information needed</v>
      </c>
      <c r="D25" s="248"/>
      <c r="E25" s="248"/>
      <c r="F25" s="248"/>
      <c r="G25" s="248"/>
      <c r="H25" s="249"/>
      <c r="J25" s="142"/>
    </row>
    <row r="26" spans="2:10" ht="18" customHeight="1" thickBot="1" x14ac:dyDescent="0.35">
      <c r="J26" s="142"/>
    </row>
    <row r="27" spans="2:10" ht="18" customHeight="1" thickBot="1" x14ac:dyDescent="0.4">
      <c r="B27" s="818" t="s">
        <v>308</v>
      </c>
      <c r="C27" s="819"/>
      <c r="D27" s="819"/>
      <c r="E27" s="819"/>
      <c r="F27" s="819"/>
      <c r="G27" s="819"/>
      <c r="H27" s="820"/>
      <c r="J27" s="142"/>
    </row>
    <row r="28" spans="2:10" ht="34.5" customHeight="1" x14ac:dyDescent="0.3">
      <c r="B28" s="212" t="s">
        <v>309</v>
      </c>
      <c r="C28" s="331"/>
      <c r="D28" s="190"/>
      <c r="E28" s="186"/>
      <c r="F28" s="186"/>
      <c r="G28" s="186"/>
      <c r="H28" s="195"/>
      <c r="J28" s="142"/>
    </row>
    <row r="29" spans="2:10" s="183" customFormat="1" ht="18" customHeight="1" x14ac:dyDescent="0.3">
      <c r="B29" s="332"/>
      <c r="C29" s="333"/>
      <c r="D29" s="190"/>
      <c r="E29" s="185"/>
      <c r="F29" s="185"/>
      <c r="G29" s="185"/>
      <c r="H29" s="250"/>
      <c r="J29" s="142"/>
    </row>
    <row r="30" spans="2:10" ht="18" customHeight="1" x14ac:dyDescent="0.3">
      <c r="B30" s="273" t="s">
        <v>69</v>
      </c>
      <c r="C30" s="364" t="s">
        <v>70</v>
      </c>
      <c r="D30" s="367"/>
      <c r="E30" s="189"/>
      <c r="F30" s="186"/>
      <c r="G30" s="186"/>
      <c r="H30" s="195"/>
      <c r="J30" s="142"/>
    </row>
    <row r="31" spans="2:10" ht="18" customHeight="1" x14ac:dyDescent="0.3">
      <c r="B31" s="197" t="s">
        <v>335</v>
      </c>
      <c r="C31" s="365"/>
      <c r="D31" s="368"/>
      <c r="E31" s="186"/>
      <c r="F31" s="186"/>
      <c r="G31" s="186"/>
      <c r="H31" s="195"/>
      <c r="J31" s="142"/>
    </row>
    <row r="32" spans="2:10" ht="18" customHeight="1" x14ac:dyDescent="0.3">
      <c r="B32" s="197" t="s">
        <v>202</v>
      </c>
      <c r="C32" s="365"/>
      <c r="D32" s="368"/>
      <c r="E32" s="186"/>
      <c r="F32" s="186"/>
      <c r="G32" s="186"/>
      <c r="H32" s="195"/>
      <c r="J32" s="142"/>
    </row>
    <row r="33" spans="2:10" ht="18" customHeight="1" x14ac:dyDescent="0.3">
      <c r="B33" s="197" t="s">
        <v>334</v>
      </c>
      <c r="C33" s="365"/>
      <c r="D33" s="368"/>
      <c r="E33" s="186"/>
      <c r="F33" s="186"/>
      <c r="G33" s="186"/>
      <c r="H33" s="195"/>
      <c r="J33" s="142"/>
    </row>
    <row r="34" spans="2:10" ht="18" customHeight="1" thickBot="1" x14ac:dyDescent="0.4">
      <c r="B34" s="261" t="s">
        <v>333</v>
      </c>
      <c r="C34" s="366" t="str">
        <f>IF(C28="Indicated numerically", C31+C32, IF(C28="Not indicated", 75, IF(C33="A", 75, IF(C33="B", 95, IF(C33="F", 115, IF(C33="H", 130, "Fill in above"))))))</f>
        <v>Fill in above</v>
      </c>
      <c r="D34" s="369"/>
      <c r="E34" s="248"/>
      <c r="F34" s="248"/>
      <c r="G34" s="248"/>
      <c r="H34" s="249"/>
      <c r="J34" s="142"/>
    </row>
    <row r="35" spans="2:10" ht="18" customHeight="1" thickBot="1" x14ac:dyDescent="0.35">
      <c r="J35" s="142"/>
    </row>
    <row r="36" spans="2:10" ht="18" customHeight="1" thickBot="1" x14ac:dyDescent="0.4">
      <c r="B36" s="818" t="s">
        <v>315</v>
      </c>
      <c r="C36" s="819"/>
      <c r="D36" s="819"/>
      <c r="E36" s="819"/>
      <c r="F36" s="819"/>
      <c r="G36" s="819"/>
      <c r="H36" s="820"/>
      <c r="J36" s="142"/>
    </row>
    <row r="37" spans="2:10" ht="36.950000000000003" customHeight="1" x14ac:dyDescent="0.3">
      <c r="B37" s="318" t="s">
        <v>316</v>
      </c>
      <c r="C37" s="334"/>
      <c r="D37" s="311"/>
      <c r="E37" s="311"/>
      <c r="F37" s="311"/>
      <c r="G37" s="311"/>
      <c r="H37" s="316"/>
      <c r="J37" s="142"/>
    </row>
    <row r="38" spans="2:10" customFormat="1" ht="18" customHeight="1" x14ac:dyDescent="0.25">
      <c r="B38" s="161"/>
      <c r="C38" s="160"/>
      <c r="D38" s="160"/>
      <c r="E38" s="160"/>
      <c r="F38" s="160"/>
      <c r="G38" s="160"/>
      <c r="H38" s="60"/>
      <c r="J38" s="59"/>
    </row>
    <row r="39" spans="2:10" s="22" customFormat="1" ht="18" customHeight="1" thickBot="1" x14ac:dyDescent="0.4">
      <c r="B39" s="821" t="s">
        <v>323</v>
      </c>
      <c r="C39" s="822"/>
      <c r="D39" s="822"/>
      <c r="E39" s="822"/>
      <c r="F39" s="822"/>
      <c r="G39" s="822"/>
      <c r="H39" s="823"/>
      <c r="J39" s="23"/>
    </row>
    <row r="40" spans="2:10" s="22" customFormat="1" ht="18" customHeight="1" x14ac:dyDescent="0.3">
      <c r="B40" s="310" t="s">
        <v>69</v>
      </c>
      <c r="C40" s="203" t="s">
        <v>70</v>
      </c>
      <c r="D40" s="372"/>
      <c r="E40" s="272"/>
      <c r="F40" s="134"/>
      <c r="G40" s="255"/>
      <c r="H40" s="61"/>
      <c r="J40" s="23"/>
    </row>
    <row r="41" spans="2:10" s="22" customFormat="1" ht="18" customHeight="1" x14ac:dyDescent="0.3">
      <c r="B41" s="270" t="s">
        <v>336</v>
      </c>
      <c r="C41" s="285"/>
      <c r="D41" s="313"/>
      <c r="E41" s="236"/>
      <c r="F41" s="134"/>
      <c r="G41" s="134"/>
      <c r="H41" s="265"/>
      <c r="J41" s="23"/>
    </row>
    <row r="42" spans="2:10" s="22" customFormat="1" ht="18" customHeight="1" x14ac:dyDescent="0.3">
      <c r="B42" s="270" t="s">
        <v>337</v>
      </c>
      <c r="C42" s="209"/>
      <c r="D42" s="313"/>
      <c r="E42" s="207"/>
      <c r="F42" s="134"/>
      <c r="G42" s="134"/>
      <c r="H42" s="265"/>
      <c r="J42" s="23"/>
    </row>
    <row r="43" spans="2:10" s="210" customFormat="1" ht="18" customHeight="1" x14ac:dyDescent="0.35">
      <c r="B43" s="238"/>
      <c r="C43" s="188"/>
      <c r="D43" s="188"/>
      <c r="E43" s="188"/>
      <c r="F43" s="188"/>
      <c r="G43" s="173"/>
      <c r="H43" s="265"/>
      <c r="J43" s="23"/>
    </row>
    <row r="44" spans="2:10" s="22" customFormat="1" ht="18" customHeight="1" thickBot="1" x14ac:dyDescent="0.4">
      <c r="B44" s="821" t="s">
        <v>318</v>
      </c>
      <c r="C44" s="822"/>
      <c r="D44" s="822"/>
      <c r="E44" s="822"/>
      <c r="F44" s="822"/>
      <c r="G44" s="822"/>
      <c r="H44" s="823"/>
      <c r="I44" s="176"/>
      <c r="J44" s="23"/>
    </row>
    <row r="45" spans="2:10" s="22" customFormat="1" ht="18" customHeight="1" x14ac:dyDescent="0.3">
      <c r="B45" s="310" t="s">
        <v>69</v>
      </c>
      <c r="C45" s="254" t="s">
        <v>70</v>
      </c>
      <c r="D45" s="371" t="s">
        <v>317</v>
      </c>
      <c r="E45" s="134"/>
      <c r="F45" s="134"/>
      <c r="G45" s="255"/>
      <c r="H45" s="256"/>
      <c r="I45" s="176"/>
      <c r="J45" s="23"/>
    </row>
    <row r="46" spans="2:10" ht="40.5" customHeight="1" x14ac:dyDescent="0.3">
      <c r="B46" s="196" t="s">
        <v>338</v>
      </c>
      <c r="C46" s="285"/>
      <c r="D46" s="312" t="e">
        <f>IF(OR(AND(C37="On winding", AND(C34-20&lt;=C46, C46&lt;=C34+20)), AND(C37="On stator iron", AND(C34-40&lt;=C46,C46&lt;=C34-10))), "Yes", "No")</f>
        <v>#VALUE!</v>
      </c>
      <c r="E46" s="186"/>
      <c r="F46" s="186"/>
      <c r="G46" s="186"/>
      <c r="H46" s="250"/>
      <c r="I46" s="199"/>
      <c r="J46" s="523"/>
    </row>
    <row r="47" spans="2:10" ht="18" customHeight="1" x14ac:dyDescent="0.3">
      <c r="B47" s="199"/>
      <c r="C47" s="252"/>
      <c r="D47" s="252"/>
      <c r="E47" s="186"/>
      <c r="F47" s="186"/>
      <c r="G47" s="186"/>
      <c r="H47" s="195"/>
      <c r="J47" s="142"/>
    </row>
    <row r="48" spans="2:10" ht="18" customHeight="1" thickBot="1" x14ac:dyDescent="0.4">
      <c r="B48" s="821" t="s">
        <v>319</v>
      </c>
      <c r="C48" s="822"/>
      <c r="D48" s="822"/>
      <c r="E48" s="822"/>
      <c r="F48" s="822"/>
      <c r="G48" s="822"/>
      <c r="H48" s="823"/>
      <c r="I48" s="185"/>
      <c r="J48" s="142"/>
    </row>
    <row r="49" spans="2:10" ht="18" customHeight="1" x14ac:dyDescent="0.3">
      <c r="B49" s="310" t="s">
        <v>69</v>
      </c>
      <c r="C49" s="203" t="s">
        <v>70</v>
      </c>
      <c r="D49" s="367"/>
      <c r="E49" s="272"/>
      <c r="F49" s="186"/>
      <c r="G49" s="186"/>
      <c r="H49" s="195"/>
      <c r="J49" s="142"/>
    </row>
    <row r="50" spans="2:10" ht="18" customHeight="1" x14ac:dyDescent="0.3">
      <c r="B50" s="200" t="s">
        <v>337</v>
      </c>
      <c r="C50" s="286"/>
      <c r="D50" s="373"/>
      <c r="E50" s="186"/>
      <c r="F50" s="186"/>
      <c r="G50" s="186"/>
      <c r="H50" s="195"/>
      <c r="J50" s="142"/>
    </row>
    <row r="51" spans="2:10" ht="18" customHeight="1" x14ac:dyDescent="0.3">
      <c r="B51" s="200" t="s">
        <v>336</v>
      </c>
      <c r="C51" s="286"/>
      <c r="D51" s="373"/>
      <c r="E51" s="231"/>
      <c r="F51" s="186"/>
      <c r="G51" s="186"/>
      <c r="H51" s="195"/>
      <c r="J51" s="142"/>
    </row>
    <row r="52" spans="2:10" ht="24.6" customHeight="1" x14ac:dyDescent="0.3">
      <c r="B52" s="370" t="s">
        <v>339</v>
      </c>
      <c r="C52" s="314" t="e">
        <f>(C51/C42)*(C21+C32)-C21</f>
        <v>#DIV/0!</v>
      </c>
      <c r="D52" s="368"/>
      <c r="E52" s="186"/>
      <c r="F52" s="186"/>
      <c r="G52" s="186"/>
      <c r="H52" s="195"/>
      <c r="J52" s="142"/>
    </row>
    <row r="53" spans="2:10" ht="31.5" customHeight="1" x14ac:dyDescent="0.3">
      <c r="B53" s="317" t="s">
        <v>325</v>
      </c>
      <c r="C53" s="314" t="e">
        <f>IF(AND(C34-10&lt;=C52,C52&lt;=C34+10), "Yes", "No")</f>
        <v>#VALUE!</v>
      </c>
      <c r="D53" s="374"/>
      <c r="E53" s="186"/>
      <c r="F53" s="186"/>
      <c r="G53" s="186"/>
      <c r="H53" s="195"/>
      <c r="J53" s="142"/>
    </row>
    <row r="54" spans="2:10" ht="30.95" customHeight="1" x14ac:dyDescent="0.3">
      <c r="B54" s="318" t="s">
        <v>324</v>
      </c>
      <c r="C54" s="314" t="e">
        <f>C52/C46</f>
        <v>#DIV/0!</v>
      </c>
      <c r="D54" s="374"/>
      <c r="E54" s="186"/>
      <c r="F54" s="186"/>
      <c r="G54" s="186"/>
      <c r="H54" s="195"/>
      <c r="J54" s="142"/>
    </row>
    <row r="55" spans="2:10" ht="18" customHeight="1" x14ac:dyDescent="0.3">
      <c r="B55" s="199"/>
      <c r="C55" s="186"/>
      <c r="D55" s="186"/>
      <c r="E55" s="186"/>
      <c r="F55" s="186"/>
      <c r="G55" s="186"/>
      <c r="H55" s="195"/>
      <c r="J55" s="142"/>
    </row>
    <row r="56" spans="2:10" ht="15.6" customHeight="1" thickBot="1" x14ac:dyDescent="0.35">
      <c r="B56" s="824" t="str">
        <f>IFERROR("Perform temperature tests above first",IF(C53="Yes","Restart motor and run at rated load with the external blower configured as it was before shutdown until tolerance below is met",IF(C53="No","Adjust the external blower's air velocity over the motor, then restart motor to run at rated load until tolerance below is met")))</f>
        <v>Perform temperature tests above first</v>
      </c>
      <c r="C56" s="825"/>
      <c r="D56" s="825"/>
      <c r="E56" s="825"/>
      <c r="F56" s="825"/>
      <c r="G56" s="825"/>
      <c r="H56" s="826"/>
      <c r="J56" s="142"/>
    </row>
    <row r="57" spans="2:10" ht="18" customHeight="1" x14ac:dyDescent="0.3">
      <c r="B57" s="187" t="s">
        <v>69</v>
      </c>
      <c r="C57" s="96" t="s">
        <v>70</v>
      </c>
      <c r="D57" s="375"/>
      <c r="E57" s="272"/>
      <c r="F57" s="324"/>
      <c r="G57" s="324"/>
      <c r="H57" s="325"/>
      <c r="J57" s="142"/>
    </row>
    <row r="58" spans="2:10" ht="26.1" customHeight="1" x14ac:dyDescent="0.3">
      <c r="B58" s="320" t="s">
        <v>338</v>
      </c>
      <c r="C58" s="322"/>
      <c r="D58" s="377"/>
      <c r="E58" s="186"/>
      <c r="F58" s="186"/>
      <c r="G58" s="186"/>
      <c r="H58" s="195"/>
      <c r="J58" s="142"/>
    </row>
    <row r="59" spans="2:10" ht="27" customHeight="1" thickBot="1" x14ac:dyDescent="0.35">
      <c r="B59" s="321" t="s">
        <v>326</v>
      </c>
      <c r="C59" s="323" t="e">
        <f>IF(AND(C34-10&lt;=(C58*C54),(C58*C54)&lt;=C34+10), "Yes", "No")</f>
        <v>#VALUE!</v>
      </c>
      <c r="D59" s="376"/>
      <c r="E59" s="248"/>
      <c r="F59" s="248"/>
      <c r="G59" s="248"/>
      <c r="H59" s="249"/>
      <c r="J59" s="142"/>
    </row>
    <row r="60" spans="2:10" ht="18" customHeight="1" thickBot="1" x14ac:dyDescent="0.35">
      <c r="J60" s="142"/>
    </row>
    <row r="61" spans="2:10" ht="18" customHeight="1" thickBot="1" x14ac:dyDescent="0.4">
      <c r="B61" s="808" t="s">
        <v>328</v>
      </c>
      <c r="C61" s="809"/>
      <c r="D61" s="809"/>
      <c r="E61" s="809"/>
      <c r="F61" s="809"/>
      <c r="G61" s="809"/>
      <c r="H61" s="810"/>
      <c r="J61" s="142"/>
    </row>
    <row r="62" spans="2:10" ht="20.45" customHeight="1" x14ac:dyDescent="0.3">
      <c r="B62" s="508" t="s">
        <v>634</v>
      </c>
      <c r="C62" s="502"/>
      <c r="D62" s="502"/>
      <c r="E62" s="502"/>
      <c r="F62" s="502"/>
      <c r="G62" s="502"/>
      <c r="H62" s="503"/>
      <c r="J62" s="142"/>
    </row>
    <row r="63" spans="2:10" ht="18" customHeight="1" x14ac:dyDescent="0.3">
      <c r="B63" s="504" t="s">
        <v>635</v>
      </c>
      <c r="C63" s="505"/>
      <c r="D63" s="505"/>
      <c r="E63" s="505"/>
      <c r="F63" s="505"/>
      <c r="G63" s="505"/>
      <c r="H63" s="506"/>
      <c r="J63" s="142"/>
    </row>
    <row r="64" spans="2:10" ht="18" customHeight="1" x14ac:dyDescent="0.3">
      <c r="B64" s="504" t="s">
        <v>636</v>
      </c>
      <c r="C64" s="505"/>
      <c r="D64" s="505"/>
      <c r="E64" s="505"/>
      <c r="F64" s="505"/>
      <c r="G64" s="505"/>
      <c r="H64" s="506"/>
      <c r="J64" s="142"/>
    </row>
    <row r="65" spans="1:10" ht="18" customHeight="1" x14ac:dyDescent="0.3">
      <c r="B65" s="504" t="s">
        <v>637</v>
      </c>
      <c r="C65" s="505"/>
      <c r="D65" s="505"/>
      <c r="E65" s="505"/>
      <c r="F65" s="505"/>
      <c r="G65" s="505"/>
      <c r="H65" s="506"/>
      <c r="J65" s="142"/>
    </row>
    <row r="66" spans="1:10" ht="18.95" customHeight="1" x14ac:dyDescent="0.3">
      <c r="B66" s="504" t="s">
        <v>638</v>
      </c>
      <c r="C66" s="505"/>
      <c r="D66" s="505"/>
      <c r="E66" s="505"/>
      <c r="F66" s="505"/>
      <c r="G66" s="505"/>
      <c r="H66" s="506"/>
      <c r="J66" s="142"/>
    </row>
    <row r="67" spans="1:10" ht="18.600000000000001" customHeight="1" x14ac:dyDescent="0.3">
      <c r="B67" s="504" t="s">
        <v>603</v>
      </c>
      <c r="C67" s="505"/>
      <c r="D67" s="505"/>
      <c r="E67" s="505"/>
      <c r="F67" s="505"/>
      <c r="G67" s="505"/>
      <c r="H67" s="506"/>
      <c r="J67" s="142"/>
    </row>
    <row r="68" spans="1:10" ht="18" customHeight="1" x14ac:dyDescent="0.3">
      <c r="B68" s="199" t="s">
        <v>639</v>
      </c>
      <c r="C68" s="186"/>
      <c r="D68" s="186"/>
      <c r="E68" s="186"/>
      <c r="F68" s="186"/>
      <c r="G68" s="186"/>
      <c r="H68" s="195"/>
      <c r="J68" s="142"/>
    </row>
    <row r="69" spans="1:10" ht="18" customHeight="1" x14ac:dyDescent="0.3">
      <c r="B69" s="199"/>
      <c r="C69" s="186"/>
      <c r="D69" s="186"/>
      <c r="E69" s="186"/>
      <c r="F69" s="186"/>
      <c r="G69" s="186"/>
      <c r="H69" s="195"/>
      <c r="J69" s="142"/>
    </row>
    <row r="70" spans="1:10" ht="18" customHeight="1" thickBot="1" x14ac:dyDescent="0.35">
      <c r="B70" s="507" t="s">
        <v>633</v>
      </c>
      <c r="C70" s="287"/>
      <c r="D70" s="248"/>
      <c r="E70" s="248"/>
      <c r="F70" s="248"/>
      <c r="G70" s="248"/>
      <c r="H70" s="249"/>
      <c r="J70" s="142"/>
    </row>
    <row r="71" spans="1:10" ht="18" customHeight="1" x14ac:dyDescent="0.3">
      <c r="B71" s="186"/>
      <c r="C71" s="186"/>
      <c r="D71" s="186"/>
      <c r="E71" s="186"/>
      <c r="F71" s="186"/>
      <c r="G71" s="186"/>
      <c r="H71" s="186"/>
      <c r="J71" s="142"/>
    </row>
    <row r="72" spans="1:10" ht="18" customHeight="1" x14ac:dyDescent="0.3">
      <c r="A72" s="142"/>
      <c r="B72" s="523"/>
      <c r="C72" s="523"/>
      <c r="D72" s="523"/>
      <c r="E72" s="523"/>
      <c r="F72" s="523"/>
      <c r="G72" s="523"/>
      <c r="H72" s="523"/>
      <c r="I72" s="142"/>
      <c r="J72" s="142"/>
    </row>
  </sheetData>
  <sheetProtection algorithmName="SHA-512" hashValue="Wvd9O2K8wgAsbl56N2uJQrW6UVAqGWUU47j/D7N/++3n0JxzUIHdZjNdJH24SrL/q5vzLIVBHw6JoYtOhlrb5A==" saltValue="9tQRuxKQWfoxi/iwWReLPA==" spinCount="100000" sheet="1" selectLockedCells="1"/>
  <mergeCells count="11">
    <mergeCell ref="B61:H61"/>
    <mergeCell ref="B48:H48"/>
    <mergeCell ref="B56:H56"/>
    <mergeCell ref="B11:H11"/>
    <mergeCell ref="B12:H12"/>
    <mergeCell ref="B14:H14"/>
    <mergeCell ref="B2:C2"/>
    <mergeCell ref="B27:H27"/>
    <mergeCell ref="B36:H36"/>
    <mergeCell ref="B39:H39"/>
    <mergeCell ref="B44:H44"/>
  </mergeCells>
  <conditionalFormatting sqref="B27:H70">
    <cfRule type="expression" dxfId="7" priority="1">
      <formula>$C$25&lt;&gt;"See procedure below"</formula>
    </cfRule>
  </conditionalFormatting>
  <dataValidations count="1">
    <dataValidation type="list" allowBlank="1" showInputMessage="1" showErrorMessage="1" sqref="C70" xr:uid="{765ADE70-0D3B-4D2B-BEBF-60E9E0D2C31E}">
      <formula1>$B$63:$B$67</formula1>
    </dataValidation>
  </dataValidations>
  <hyperlinks>
    <hyperlink ref="G2" location="Instructions!B37" display="Back to Instructions tab" xr:uid="{47DAC51A-31C0-4D25-98B1-81484A0FBC1A}"/>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C741615B-3339-4ECA-A2A9-964CB6F6AEE1}">
          <x14:formula1>
            <xm:f>'Drop-downs'!$B$116:$B$118</xm:f>
          </x14:formula1>
          <xm:sqref>C28</xm:sqref>
        </x14:dataValidation>
        <x14:dataValidation type="list" allowBlank="1" showInputMessage="1" showErrorMessage="1" xr:uid="{99AF4536-E353-4844-821F-76E55E4BC03F}">
          <x14:formula1>
            <xm:f>'Drop-downs'!$B$121:$B$124</xm:f>
          </x14:formula1>
          <xm:sqref>C33</xm:sqref>
        </x14:dataValidation>
        <x14:dataValidation type="list" allowBlank="1" showInputMessage="1" showErrorMessage="1" xr:uid="{C068C498-C5AC-410D-91EC-75B9BFB83921}">
          <x14:formula1>
            <xm:f>'Drop-downs'!$B$127:$B$128</xm:f>
          </x14:formula1>
          <xm:sqref>C37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E90A-B644-4184-BB77-9EDC32556200}">
  <sheetPr>
    <tabColor rgb="FF0070C0"/>
  </sheetPr>
  <dimension ref="A1:M204"/>
  <sheetViews>
    <sheetView showGridLines="0" zoomScale="80" zoomScaleNormal="80" workbookViewId="0">
      <selection activeCell="C14" sqref="C14"/>
    </sheetView>
  </sheetViews>
  <sheetFormatPr defaultColWidth="8.7109375" defaultRowHeight="16.5" x14ac:dyDescent="0.3"/>
  <cols>
    <col min="1" max="1" width="8.7109375" style="141"/>
    <col min="2" max="2" width="40.140625" style="141" customWidth="1"/>
    <col min="3" max="3" width="40.5703125" style="141" customWidth="1"/>
    <col min="4" max="4" width="27.42578125" style="141" customWidth="1"/>
    <col min="5" max="5" width="42.140625" style="141" customWidth="1"/>
    <col min="6" max="6" width="24.42578125" style="141" customWidth="1"/>
    <col min="7" max="7" width="37.7109375" style="141" customWidth="1"/>
    <col min="8" max="8" width="28" style="141" customWidth="1"/>
    <col min="9" max="9" width="18.140625" style="141" customWidth="1"/>
    <col min="10" max="10" width="4.42578125" style="141" customWidth="1"/>
    <col min="11" max="11" width="28.5703125" style="141" customWidth="1"/>
    <col min="12" max="12" width="38.5703125" style="141" customWidth="1"/>
    <col min="13" max="13" width="25.7109375" style="141" customWidth="1"/>
    <col min="14" max="16384" width="8.7109375" style="141"/>
  </cols>
  <sheetData>
    <row r="1" spans="2:10" ht="20.45" customHeight="1" thickBot="1" x14ac:dyDescent="0.7">
      <c r="B1" s="594"/>
      <c r="C1" s="594"/>
      <c r="D1" s="594"/>
      <c r="E1" s="594"/>
      <c r="F1" s="594"/>
      <c r="G1" s="594"/>
      <c r="H1" s="594"/>
      <c r="I1" s="594"/>
      <c r="J1" s="595"/>
    </row>
    <row r="2" spans="2:10" ht="23.1" customHeight="1" thickBot="1" x14ac:dyDescent="0.7">
      <c r="B2" s="752" t="str">
        <f>'Version Control'!$B$2</f>
        <v>Title Block</v>
      </c>
      <c r="C2" s="752"/>
      <c r="D2" s="594"/>
      <c r="E2" s="594"/>
      <c r="F2" s="594"/>
      <c r="G2" s="1" t="s">
        <v>37</v>
      </c>
      <c r="H2" s="594"/>
      <c r="I2" s="594"/>
      <c r="J2" s="595"/>
    </row>
    <row r="3" spans="2:10" ht="23.1" customHeight="1" x14ac:dyDescent="0.65">
      <c r="B3" s="336" t="str">
        <f>'Version Control'!$B$3</f>
        <v>Test Report Template Name:</v>
      </c>
      <c r="C3" s="338" t="str">
        <f>'Version Control'!C3</f>
        <v>Electric Motors</v>
      </c>
      <c r="D3" s="594"/>
      <c r="E3" s="603"/>
      <c r="F3" s="594"/>
      <c r="G3" s="594"/>
      <c r="H3" s="594"/>
      <c r="I3" s="594"/>
      <c r="J3" s="595"/>
    </row>
    <row r="4" spans="2:10" ht="18.600000000000001" customHeight="1" x14ac:dyDescent="0.65">
      <c r="B4" s="335" t="str">
        <f>'Version Control'!$B$4</f>
        <v>Version Number:</v>
      </c>
      <c r="C4" s="105" t="str">
        <f>'Version Control'!C4</f>
        <v>v1.0</v>
      </c>
      <c r="D4" s="594"/>
      <c r="E4" s="594"/>
      <c r="F4" s="594"/>
      <c r="G4" s="594"/>
      <c r="H4" s="594"/>
      <c r="I4" s="594"/>
      <c r="J4" s="595"/>
    </row>
    <row r="5" spans="2:10" ht="27" customHeight="1" x14ac:dyDescent="0.65">
      <c r="B5" s="335" t="str">
        <f>'Version Control'!$B$5</f>
        <v xml:space="preserve">Latest Template Revision: </v>
      </c>
      <c r="C5" s="106">
        <f>'Version Control'!C5</f>
        <v>45567</v>
      </c>
      <c r="D5" s="594"/>
      <c r="E5" s="594"/>
      <c r="F5" s="594"/>
      <c r="G5" s="594"/>
      <c r="H5" s="594"/>
      <c r="I5" s="594"/>
      <c r="J5" s="595"/>
    </row>
    <row r="6" spans="2:10" ht="22.5" customHeight="1" x14ac:dyDescent="0.65">
      <c r="B6" s="335" t="str">
        <f>'Version Control'!$B$6</f>
        <v>Tab Name:</v>
      </c>
      <c r="C6" s="107" t="str">
        <f ca="1">MID(CELL("filename",A1), FIND("]", CELL("filename", A1))+ 1, 255)</f>
        <v>CSA C390-10</v>
      </c>
      <c r="D6" s="594"/>
      <c r="E6" s="594"/>
      <c r="F6" s="594"/>
      <c r="G6" s="594"/>
      <c r="H6" s="594"/>
      <c r="I6" s="594"/>
      <c r="J6" s="595"/>
    </row>
    <row r="7" spans="2:10" ht="26.45" customHeight="1" x14ac:dyDescent="0.65">
      <c r="B7" s="335" t="str">
        <f>'Version Control'!$B$7</f>
        <v>File Name:</v>
      </c>
      <c r="C7" s="149" t="str">
        <f ca="1">'Version Control'!C7</f>
        <v>Electric Motors -  v1.0.xlsx</v>
      </c>
      <c r="D7" s="594"/>
      <c r="E7" s="594"/>
      <c r="F7" s="594"/>
      <c r="G7" s="594"/>
      <c r="H7" s="594"/>
      <c r="I7" s="594"/>
      <c r="J7" s="595"/>
    </row>
    <row r="8" spans="2:10" ht="25.5" customHeight="1" x14ac:dyDescent="0.65">
      <c r="B8" s="150" t="s">
        <v>42</v>
      </c>
      <c r="C8" s="151" t="str">
        <f>'General Info &amp; Test Results'!C17</f>
        <v>[MM/DD/YYYY]</v>
      </c>
      <c r="D8" s="594"/>
      <c r="E8" s="594"/>
      <c r="F8" s="594"/>
      <c r="G8" s="594"/>
      <c r="H8" s="594"/>
      <c r="I8" s="594"/>
      <c r="J8" s="595"/>
    </row>
    <row r="9" spans="2:10" ht="21.6" customHeight="1" thickBot="1" x14ac:dyDescent="0.7">
      <c r="B9" s="337" t="str">
        <f>'Version Control'!$B$9</f>
        <v>Date Test Finished:</v>
      </c>
      <c r="C9" s="339" t="str">
        <f>'Version Control'!C9</f>
        <v>[MM/DD/YYYY]</v>
      </c>
      <c r="D9" s="594"/>
      <c r="E9" s="594"/>
      <c r="F9" s="594"/>
      <c r="G9" s="594"/>
      <c r="H9" s="594"/>
      <c r="I9" s="594"/>
      <c r="J9" s="595"/>
    </row>
    <row r="10" spans="2:10" ht="21.6" customHeight="1" thickBot="1" x14ac:dyDescent="0.7">
      <c r="B10" s="484"/>
      <c r="C10" s="485"/>
      <c r="D10" s="594"/>
      <c r="E10" s="486"/>
      <c r="F10" s="594"/>
      <c r="G10" s="594"/>
      <c r="H10" s="594"/>
      <c r="I10" s="594"/>
      <c r="J10" s="595"/>
    </row>
    <row r="11" spans="2:10" ht="18" thickBot="1" x14ac:dyDescent="0.4">
      <c r="B11" s="830" t="s">
        <v>586</v>
      </c>
      <c r="C11" s="830"/>
      <c r="D11" s="830"/>
      <c r="E11" s="830"/>
      <c r="F11" s="830"/>
      <c r="G11" s="830"/>
      <c r="H11" s="831"/>
      <c r="J11" s="142"/>
    </row>
    <row r="12" spans="2:10" ht="205.5" customHeight="1" thickBot="1" x14ac:dyDescent="0.35">
      <c r="B12" s="832" t="s">
        <v>588</v>
      </c>
      <c r="C12" s="833"/>
      <c r="D12" s="833"/>
      <c r="E12" s="833"/>
      <c r="F12" s="833"/>
      <c r="G12" s="833"/>
      <c r="H12" s="834"/>
      <c r="J12" s="142"/>
    </row>
    <row r="13" spans="2:10" ht="18.95" customHeight="1" x14ac:dyDescent="0.3">
      <c r="B13" s="604"/>
      <c r="C13" s="601"/>
      <c r="D13" s="601"/>
      <c r="E13" s="601"/>
      <c r="F13" s="601"/>
      <c r="G13" s="601"/>
      <c r="H13" s="601"/>
      <c r="J13" s="142"/>
    </row>
    <row r="14" spans="2:10" ht="31.5" customHeight="1" x14ac:dyDescent="0.3">
      <c r="B14" s="602" t="s">
        <v>587</v>
      </c>
      <c r="C14" s="605"/>
      <c r="D14" s="601"/>
      <c r="E14" s="601"/>
      <c r="F14" s="601"/>
      <c r="G14" s="601"/>
      <c r="H14" s="601"/>
      <c r="J14" s="142"/>
    </row>
    <row r="15" spans="2:10" ht="21.6" customHeight="1" thickBot="1" x14ac:dyDescent="0.7">
      <c r="B15" s="484"/>
      <c r="C15" s="485"/>
      <c r="D15" s="594"/>
      <c r="E15" s="594"/>
      <c r="F15" s="594"/>
      <c r="G15" s="594"/>
      <c r="H15" s="594"/>
      <c r="I15" s="594"/>
      <c r="J15" s="595"/>
    </row>
    <row r="16" spans="2:10" ht="18" thickBot="1" x14ac:dyDescent="0.4">
      <c r="B16" s="808" t="s">
        <v>181</v>
      </c>
      <c r="C16" s="808"/>
      <c r="D16" s="808"/>
      <c r="E16" s="808"/>
      <c r="F16" s="808"/>
      <c r="G16" s="808"/>
      <c r="H16" s="844"/>
      <c r="J16" s="142"/>
    </row>
    <row r="17" spans="2:10" ht="45.95" customHeight="1" thickBot="1" x14ac:dyDescent="0.35">
      <c r="B17" s="811" t="s">
        <v>609</v>
      </c>
      <c r="C17" s="811"/>
      <c r="D17" s="811"/>
      <c r="E17" s="811"/>
      <c r="F17" s="811"/>
      <c r="G17" s="811"/>
      <c r="H17" s="845"/>
      <c r="J17" s="142"/>
    </row>
    <row r="18" spans="2:10" ht="17.25" thickBot="1" x14ac:dyDescent="0.35">
      <c r="J18" s="142"/>
    </row>
    <row r="19" spans="2:10" ht="18" thickBot="1" x14ac:dyDescent="0.4">
      <c r="B19" s="808" t="s">
        <v>183</v>
      </c>
      <c r="C19" s="808"/>
      <c r="D19" s="808"/>
      <c r="E19" s="808"/>
      <c r="F19" s="808"/>
      <c r="G19" s="808"/>
      <c r="H19" s="844"/>
      <c r="J19" s="142"/>
    </row>
    <row r="20" spans="2:10" ht="17.45" customHeight="1" x14ac:dyDescent="0.3">
      <c r="B20" s="544" t="s">
        <v>69</v>
      </c>
      <c r="C20" s="596" t="s">
        <v>70</v>
      </c>
      <c r="D20" s="186"/>
      <c r="E20" s="186"/>
      <c r="F20" s="186"/>
      <c r="G20" s="186"/>
      <c r="H20" s="195"/>
      <c r="J20" s="142"/>
    </row>
    <row r="21" spans="2:10" x14ac:dyDescent="0.3">
      <c r="B21" s="212" t="s">
        <v>577</v>
      </c>
      <c r="C21" s="597">
        <f>'General Info &amp; Test Results'!C50</f>
        <v>0</v>
      </c>
      <c r="D21" s="186"/>
      <c r="E21" s="186"/>
      <c r="F21" s="186"/>
      <c r="G21" s="186"/>
      <c r="H21" s="195"/>
      <c r="J21" s="142"/>
    </row>
    <row r="22" spans="2:10" x14ac:dyDescent="0.3">
      <c r="B22" s="212" t="s">
        <v>362</v>
      </c>
      <c r="C22" s="559">
        <f>'General Info &amp; Test Results'!C52</f>
        <v>0</v>
      </c>
      <c r="D22" s="186"/>
      <c r="E22" s="186"/>
      <c r="F22" s="186"/>
      <c r="G22" s="186"/>
      <c r="H22" s="195"/>
      <c r="J22" s="142"/>
    </row>
    <row r="23" spans="2:10" x14ac:dyDescent="0.3">
      <c r="B23" s="212" t="s">
        <v>361</v>
      </c>
      <c r="C23" s="559">
        <f>'General Info &amp; Test Results'!C51</f>
        <v>0</v>
      </c>
      <c r="D23" s="186"/>
      <c r="E23" s="186"/>
      <c r="F23" s="186"/>
      <c r="G23" s="186"/>
      <c r="H23" s="195"/>
      <c r="J23" s="142"/>
    </row>
    <row r="24" spans="2:10" x14ac:dyDescent="0.3">
      <c r="B24" s="212" t="s">
        <v>225</v>
      </c>
      <c r="C24" s="559">
        <f>'General Info &amp; Test Results'!C55</f>
        <v>0</v>
      </c>
      <c r="D24" s="186"/>
      <c r="E24" s="186"/>
      <c r="F24" s="186"/>
      <c r="G24" s="186"/>
      <c r="H24" s="195"/>
      <c r="J24" s="142"/>
    </row>
    <row r="25" spans="2:10" x14ac:dyDescent="0.3">
      <c r="B25" s="320" t="s">
        <v>290</v>
      </c>
      <c r="C25" s="559">
        <f>'General Info &amp; Test Results'!C40</f>
        <v>0</v>
      </c>
      <c r="D25" s="186"/>
      <c r="E25" s="186"/>
      <c r="F25" s="186"/>
      <c r="G25" s="186"/>
      <c r="H25" s="195"/>
      <c r="J25" s="142"/>
    </row>
    <row r="26" spans="2:10" ht="17.25" thickBot="1" x14ac:dyDescent="0.35">
      <c r="B26" s="319" t="s">
        <v>585</v>
      </c>
      <c r="C26" s="598" t="str">
        <f>IF(C25="Aluminum",224.6,IF(C25="Copper",234.5,"Winding material needed"))</f>
        <v>Winding material needed</v>
      </c>
      <c r="D26" s="248"/>
      <c r="E26" s="248"/>
      <c r="F26" s="248"/>
      <c r="G26" s="248"/>
      <c r="H26" s="249"/>
      <c r="J26" s="142"/>
    </row>
    <row r="27" spans="2:10" ht="17.25" thickBot="1" x14ac:dyDescent="0.35">
      <c r="J27" s="142"/>
    </row>
    <row r="28" spans="2:10" ht="18" thickBot="1" x14ac:dyDescent="0.4">
      <c r="B28" s="808" t="s">
        <v>537</v>
      </c>
      <c r="C28" s="808"/>
      <c r="D28" s="808"/>
      <c r="E28" s="808"/>
      <c r="F28" s="808"/>
      <c r="G28" s="808"/>
      <c r="H28" s="844"/>
      <c r="I28" s="549"/>
      <c r="J28" s="553"/>
    </row>
    <row r="29" spans="2:10" s="183" customFormat="1" ht="17.25" x14ac:dyDescent="0.35">
      <c r="B29" s="599" t="s">
        <v>536</v>
      </c>
      <c r="C29" s="562"/>
      <c r="D29" s="562"/>
      <c r="E29" s="562"/>
      <c r="F29" s="562"/>
      <c r="G29" s="562"/>
      <c r="H29" s="563"/>
      <c r="I29" s="600"/>
      <c r="J29" s="553"/>
    </row>
    <row r="30" spans="2:10" ht="17.25" x14ac:dyDescent="0.3">
      <c r="B30" s="544" t="s">
        <v>69</v>
      </c>
      <c r="C30" s="545" t="s">
        <v>70</v>
      </c>
      <c r="D30" s="551"/>
      <c r="E30" s="551"/>
      <c r="F30" s="551"/>
      <c r="G30" s="551"/>
      <c r="H30" s="552"/>
      <c r="I30" s="549"/>
      <c r="J30" s="553"/>
    </row>
    <row r="31" spans="2:10" ht="21.6" customHeight="1" x14ac:dyDescent="0.3">
      <c r="B31" s="370" t="s">
        <v>426</v>
      </c>
      <c r="C31" s="606"/>
      <c r="D31" s="551"/>
      <c r="E31" s="551"/>
      <c r="F31" s="551"/>
      <c r="G31" s="551"/>
      <c r="H31" s="552"/>
      <c r="I31" s="549"/>
      <c r="J31" s="553"/>
    </row>
    <row r="32" spans="2:10" ht="17.25" thickBot="1" x14ac:dyDescent="0.35">
      <c r="B32" s="261" t="s">
        <v>427</v>
      </c>
      <c r="C32" s="607"/>
      <c r="D32" s="574"/>
      <c r="E32" s="574"/>
      <c r="F32" s="574"/>
      <c r="G32" s="574"/>
      <c r="H32" s="575"/>
      <c r="I32" s="549"/>
      <c r="J32" s="553"/>
    </row>
    <row r="33" spans="2:13" ht="17.25" thickBot="1" x14ac:dyDescent="0.35">
      <c r="B33" s="549"/>
      <c r="C33" s="549"/>
      <c r="D33" s="549"/>
      <c r="J33" s="142"/>
    </row>
    <row r="34" spans="2:13" ht="18" thickBot="1" x14ac:dyDescent="0.4">
      <c r="B34" s="808" t="s">
        <v>401</v>
      </c>
      <c r="C34" s="808"/>
      <c r="D34" s="808"/>
      <c r="E34" s="808"/>
      <c r="F34" s="808"/>
      <c r="G34" s="808"/>
      <c r="H34" s="844"/>
      <c r="J34" s="142"/>
    </row>
    <row r="35" spans="2:13" ht="23.1" customHeight="1" x14ac:dyDescent="0.3">
      <c r="B35" s="848" t="s">
        <v>490</v>
      </c>
      <c r="C35" s="849"/>
      <c r="D35" s="849"/>
      <c r="E35" s="849"/>
      <c r="F35" s="849"/>
      <c r="G35" s="591"/>
      <c r="H35" s="592"/>
      <c r="J35" s="142"/>
      <c r="L35" s="186"/>
      <c r="M35" s="186"/>
    </row>
    <row r="36" spans="2:13" x14ac:dyDescent="0.3">
      <c r="B36" s="850"/>
      <c r="C36" s="851"/>
      <c r="D36" s="851"/>
      <c r="E36" s="851"/>
      <c r="F36" s="851"/>
      <c r="G36" s="582"/>
      <c r="H36" s="583"/>
      <c r="J36" s="142"/>
    </row>
    <row r="37" spans="2:13" ht="17.25" x14ac:dyDescent="0.3">
      <c r="B37" s="544" t="s">
        <v>69</v>
      </c>
      <c r="C37" s="545" t="s">
        <v>70</v>
      </c>
      <c r="D37" s="186"/>
      <c r="E37" s="186"/>
      <c r="F37" s="186"/>
      <c r="G37" s="186"/>
      <c r="H37" s="195"/>
      <c r="J37" s="142"/>
    </row>
    <row r="38" spans="2:13" ht="24.95" customHeight="1" x14ac:dyDescent="0.3">
      <c r="B38" s="370" t="s">
        <v>428</v>
      </c>
      <c r="C38" s="593" t="str">
        <f>IF(C21=0,"Provide rated hp", IF(C21&lt;=50,30,IF(AND(C21&gt;50,C21&lt;=200),90,IF(C21&gt;200,120,"Provide rated hp"))))</f>
        <v>Provide rated hp</v>
      </c>
      <c r="D38" s="400"/>
      <c r="E38" s="186"/>
      <c r="F38" s="186"/>
      <c r="G38" s="186"/>
      <c r="H38" s="195"/>
      <c r="J38" s="142"/>
    </row>
    <row r="39" spans="2:13" x14ac:dyDescent="0.3">
      <c r="B39" s="420" t="s">
        <v>429</v>
      </c>
      <c r="C39" s="606"/>
      <c r="D39" s="186"/>
      <c r="E39" s="186"/>
      <c r="F39" s="186"/>
      <c r="G39" s="186"/>
      <c r="H39" s="195"/>
      <c r="J39" s="142"/>
    </row>
    <row r="40" spans="2:13" ht="15" customHeight="1" x14ac:dyDescent="0.3">
      <c r="B40" s="590" t="s">
        <v>487</v>
      </c>
      <c r="C40" s="606"/>
      <c r="D40" s="186"/>
      <c r="E40" s="551"/>
      <c r="F40" s="551"/>
      <c r="G40" s="186"/>
      <c r="H40" s="195"/>
      <c r="J40" s="142"/>
    </row>
    <row r="41" spans="2:13" ht="16.5" customHeight="1" x14ac:dyDescent="0.3">
      <c r="B41" s="197" t="s">
        <v>488</v>
      </c>
      <c r="C41" s="606"/>
      <c r="D41" s="186"/>
      <c r="E41" s="551"/>
      <c r="F41" s="551"/>
      <c r="G41" s="186"/>
      <c r="H41" s="195"/>
      <c r="J41" s="142"/>
    </row>
    <row r="42" spans="2:13" x14ac:dyDescent="0.3">
      <c r="B42" s="197" t="s">
        <v>489</v>
      </c>
      <c r="C42" s="606"/>
      <c r="D42" s="186"/>
      <c r="E42" s="551"/>
      <c r="F42" s="551"/>
      <c r="G42" s="186"/>
      <c r="H42" s="195"/>
      <c r="J42" s="142"/>
    </row>
    <row r="43" spans="2:13" x14ac:dyDescent="0.3">
      <c r="B43" s="197" t="s">
        <v>492</v>
      </c>
      <c r="C43" s="291" t="str">
        <f>IFERROR((C40/C32)*(C31+C26)-C26, " ")</f>
        <v xml:space="preserve"> </v>
      </c>
      <c r="D43" s="186"/>
      <c r="E43" s="551"/>
      <c r="F43" s="551"/>
      <c r="G43" s="186"/>
      <c r="H43" s="195"/>
      <c r="J43" s="142"/>
    </row>
    <row r="44" spans="2:13" x14ac:dyDescent="0.3">
      <c r="B44" s="197" t="s">
        <v>441</v>
      </c>
      <c r="C44" s="291" t="str">
        <f>IFERROR(C43-C42, " ")</f>
        <v xml:space="preserve"> </v>
      </c>
      <c r="D44" s="186"/>
      <c r="E44" s="186"/>
      <c r="F44" s="186"/>
      <c r="G44" s="186"/>
      <c r="H44" s="195"/>
      <c r="J44" s="142"/>
    </row>
    <row r="45" spans="2:13" ht="17.25" thickBot="1" x14ac:dyDescent="0.35">
      <c r="B45" s="507" t="s">
        <v>444</v>
      </c>
      <c r="C45" s="349" t="str">
        <f>IFERROR(C40*(C44+25-C42+C26)/(C44+C26), " ")</f>
        <v xml:space="preserve"> </v>
      </c>
      <c r="D45" s="248"/>
      <c r="E45" s="248"/>
      <c r="F45" s="248"/>
      <c r="G45" s="248"/>
      <c r="H45" s="249"/>
      <c r="J45" s="142"/>
    </row>
    <row r="46" spans="2:13" ht="17.25" thickBot="1" x14ac:dyDescent="0.35">
      <c r="B46" s="549"/>
      <c r="C46" s="549"/>
      <c r="D46" s="549"/>
      <c r="E46" s="549"/>
      <c r="F46" s="549"/>
      <c r="J46" s="142"/>
    </row>
    <row r="47" spans="2:13" ht="18" thickBot="1" x14ac:dyDescent="0.4">
      <c r="B47" s="808" t="s">
        <v>433</v>
      </c>
      <c r="C47" s="808"/>
      <c r="D47" s="808"/>
      <c r="E47" s="808"/>
      <c r="F47" s="808"/>
      <c r="G47" s="808"/>
      <c r="H47" s="844"/>
      <c r="J47" s="142"/>
    </row>
    <row r="48" spans="2:13" ht="17.25" x14ac:dyDescent="0.35">
      <c r="B48" s="554" t="s">
        <v>185</v>
      </c>
      <c r="C48" s="588" t="s">
        <v>286</v>
      </c>
      <c r="D48" s="589" t="s">
        <v>408</v>
      </c>
      <c r="E48" s="186"/>
      <c r="F48" s="186"/>
      <c r="G48" s="186"/>
      <c r="H48" s="195"/>
      <c r="J48" s="142"/>
    </row>
    <row r="49" spans="2:10" ht="17.100000000000001" customHeight="1" x14ac:dyDescent="0.35">
      <c r="B49" s="197">
        <v>1</v>
      </c>
      <c r="C49" s="608"/>
      <c r="D49" s="578" t="s">
        <v>292</v>
      </c>
      <c r="E49" s="186"/>
      <c r="F49" s="186"/>
      <c r="G49" s="186"/>
      <c r="H49" s="195"/>
      <c r="J49" s="142"/>
    </row>
    <row r="50" spans="2:10" ht="17.25" x14ac:dyDescent="0.35">
      <c r="B50" s="197">
        <v>2</v>
      </c>
      <c r="C50" s="608"/>
      <c r="D50" s="578" t="s">
        <v>293</v>
      </c>
      <c r="E50" s="186"/>
      <c r="F50" s="186"/>
      <c r="G50" s="186"/>
      <c r="H50" s="195"/>
      <c r="J50" s="142"/>
    </row>
    <row r="51" spans="2:10" ht="17.25" x14ac:dyDescent="0.35">
      <c r="B51" s="197">
        <v>3</v>
      </c>
      <c r="C51" s="608"/>
      <c r="D51" s="578" t="s">
        <v>294</v>
      </c>
      <c r="E51" s="186"/>
      <c r="F51" s="186"/>
      <c r="G51" s="186"/>
      <c r="H51" s="195"/>
      <c r="J51" s="142"/>
    </row>
    <row r="52" spans="2:10" ht="17.25" x14ac:dyDescent="0.35">
      <c r="B52" s="197">
        <v>4</v>
      </c>
      <c r="C52" s="608"/>
      <c r="D52" s="578" t="s">
        <v>295</v>
      </c>
      <c r="E52" s="186"/>
      <c r="F52" s="186"/>
      <c r="G52" s="186"/>
      <c r="H52" s="195"/>
      <c r="J52" s="142"/>
    </row>
    <row r="53" spans="2:10" ht="17.25" x14ac:dyDescent="0.35">
      <c r="B53" s="197">
        <v>5</v>
      </c>
      <c r="C53" s="608"/>
      <c r="D53" s="578" t="s">
        <v>296</v>
      </c>
      <c r="E53" s="186"/>
      <c r="F53" s="186"/>
      <c r="G53" s="186"/>
      <c r="H53" s="195"/>
      <c r="J53" s="142"/>
    </row>
    <row r="54" spans="2:10" ht="17.25" x14ac:dyDescent="0.35">
      <c r="B54" s="197">
        <v>6</v>
      </c>
      <c r="C54" s="608"/>
      <c r="D54" s="578" t="s">
        <v>297</v>
      </c>
      <c r="E54" s="186"/>
      <c r="F54" s="186"/>
      <c r="G54" s="186"/>
      <c r="H54" s="195"/>
      <c r="J54" s="142"/>
    </row>
    <row r="55" spans="2:10" x14ac:dyDescent="0.3">
      <c r="B55" s="550"/>
      <c r="C55" s="551"/>
      <c r="D55" s="186"/>
      <c r="E55" s="186"/>
      <c r="F55" s="186"/>
      <c r="G55" s="186"/>
      <c r="H55" s="195"/>
      <c r="J55" s="142"/>
    </row>
    <row r="56" spans="2:10" ht="17.25" x14ac:dyDescent="0.35">
      <c r="B56" s="550"/>
      <c r="C56" s="837" t="s">
        <v>185</v>
      </c>
      <c r="D56" s="837"/>
      <c r="E56" s="837"/>
      <c r="F56" s="837"/>
      <c r="G56" s="837"/>
      <c r="H56" s="847"/>
      <c r="J56" s="142"/>
    </row>
    <row r="57" spans="2:10" ht="17.25" x14ac:dyDescent="0.35">
      <c r="B57" s="568" t="s">
        <v>430</v>
      </c>
      <c r="C57" s="569">
        <v>1</v>
      </c>
      <c r="D57" s="569">
        <v>2</v>
      </c>
      <c r="E57" s="569">
        <v>3</v>
      </c>
      <c r="F57" s="569">
        <v>4</v>
      </c>
      <c r="G57" s="569">
        <v>5</v>
      </c>
      <c r="H57" s="570">
        <v>6</v>
      </c>
      <c r="J57" s="142"/>
    </row>
    <row r="58" spans="2:10" x14ac:dyDescent="0.3">
      <c r="B58" s="197" t="s">
        <v>346</v>
      </c>
      <c r="C58" s="606"/>
      <c r="D58" s="606"/>
      <c r="E58" s="606"/>
      <c r="F58" s="606"/>
      <c r="G58" s="606"/>
      <c r="H58" s="609"/>
      <c r="J58" s="142"/>
    </row>
    <row r="59" spans="2:10" x14ac:dyDescent="0.3">
      <c r="B59" s="197" t="s">
        <v>512</v>
      </c>
      <c r="C59" s="606"/>
      <c r="D59" s="606"/>
      <c r="E59" s="606"/>
      <c r="F59" s="606"/>
      <c r="G59" s="606"/>
      <c r="H59" s="609"/>
      <c r="J59" s="142"/>
    </row>
    <row r="60" spans="2:10" x14ac:dyDescent="0.3">
      <c r="B60" s="197" t="s">
        <v>438</v>
      </c>
      <c r="C60" s="606"/>
      <c r="D60" s="606"/>
      <c r="E60" s="606"/>
      <c r="F60" s="606"/>
      <c r="G60" s="606"/>
      <c r="H60" s="609"/>
      <c r="J60" s="142"/>
    </row>
    <row r="61" spans="2:10" x14ac:dyDescent="0.3">
      <c r="B61" s="197" t="s">
        <v>439</v>
      </c>
      <c r="C61" s="606"/>
      <c r="D61" s="606"/>
      <c r="E61" s="606"/>
      <c r="F61" s="606"/>
      <c r="G61" s="606"/>
      <c r="H61" s="609"/>
      <c r="J61" s="142"/>
    </row>
    <row r="62" spans="2:10" x14ac:dyDescent="0.3">
      <c r="B62" s="197" t="s">
        <v>440</v>
      </c>
      <c r="C62" s="606"/>
      <c r="D62" s="606"/>
      <c r="E62" s="606"/>
      <c r="F62" s="606"/>
      <c r="G62" s="606"/>
      <c r="H62" s="609"/>
      <c r="J62" s="142"/>
    </row>
    <row r="63" spans="2:10" x14ac:dyDescent="0.3">
      <c r="B63" s="197" t="s">
        <v>187</v>
      </c>
      <c r="C63" s="606"/>
      <c r="D63" s="606"/>
      <c r="E63" s="606"/>
      <c r="F63" s="606"/>
      <c r="G63" s="606"/>
      <c r="H63" s="609"/>
      <c r="J63" s="142"/>
    </row>
    <row r="64" spans="2:10" x14ac:dyDescent="0.3">
      <c r="B64" s="197" t="s">
        <v>513</v>
      </c>
      <c r="C64" s="606"/>
      <c r="D64" s="606"/>
      <c r="E64" s="606"/>
      <c r="F64" s="606"/>
      <c r="G64" s="606"/>
      <c r="H64" s="609"/>
      <c r="J64" s="142"/>
    </row>
    <row r="65" spans="2:10" x14ac:dyDescent="0.3">
      <c r="B65" s="197" t="s">
        <v>432</v>
      </c>
      <c r="C65" s="606"/>
      <c r="D65" s="606"/>
      <c r="E65" s="606"/>
      <c r="F65" s="606"/>
      <c r="G65" s="606"/>
      <c r="H65" s="609"/>
      <c r="J65" s="142"/>
    </row>
    <row r="66" spans="2:10" x14ac:dyDescent="0.3">
      <c r="B66" s="197" t="s">
        <v>434</v>
      </c>
      <c r="C66" s="606"/>
      <c r="D66" s="606"/>
      <c r="E66" s="606"/>
      <c r="F66" s="606"/>
      <c r="G66" s="606"/>
      <c r="H66" s="609"/>
      <c r="J66" s="142"/>
    </row>
    <row r="67" spans="2:10" x14ac:dyDescent="0.3">
      <c r="B67" s="197" t="s">
        <v>435</v>
      </c>
      <c r="C67" s="606"/>
      <c r="D67" s="606"/>
      <c r="E67" s="606"/>
      <c r="F67" s="606"/>
      <c r="G67" s="606"/>
      <c r="H67" s="609"/>
      <c r="J67" s="142"/>
    </row>
    <row r="68" spans="2:10" x14ac:dyDescent="0.3">
      <c r="B68" s="197" t="s">
        <v>436</v>
      </c>
      <c r="C68" s="606"/>
      <c r="D68" s="606"/>
      <c r="E68" s="606"/>
      <c r="F68" s="606"/>
      <c r="G68" s="606"/>
      <c r="H68" s="609"/>
      <c r="J68" s="142"/>
    </row>
    <row r="69" spans="2:10" x14ac:dyDescent="0.3">
      <c r="B69" s="197" t="s">
        <v>201</v>
      </c>
      <c r="C69" s="606"/>
      <c r="D69" s="606"/>
      <c r="E69" s="606"/>
      <c r="F69" s="606"/>
      <c r="G69" s="606"/>
      <c r="H69" s="609"/>
      <c r="J69" s="142"/>
    </row>
    <row r="70" spans="2:10" x14ac:dyDescent="0.3">
      <c r="B70" s="197" t="s">
        <v>282</v>
      </c>
      <c r="C70" s="606"/>
      <c r="D70" s="606"/>
      <c r="E70" s="606"/>
      <c r="F70" s="606"/>
      <c r="G70" s="606"/>
      <c r="H70" s="609"/>
      <c r="J70" s="142"/>
    </row>
    <row r="71" spans="2:10" x14ac:dyDescent="0.3">
      <c r="B71" s="197" t="s">
        <v>497</v>
      </c>
      <c r="C71" s="304">
        <f t="shared" ref="C71:H71" si="0">(C60+C61+C62)/3</f>
        <v>0</v>
      </c>
      <c r="D71" s="304">
        <f t="shared" si="0"/>
        <v>0</v>
      </c>
      <c r="E71" s="304">
        <f t="shared" si="0"/>
        <v>0</v>
      </c>
      <c r="F71" s="304">
        <f t="shared" si="0"/>
        <v>0</v>
      </c>
      <c r="G71" s="304">
        <f t="shared" si="0"/>
        <v>0</v>
      </c>
      <c r="H71" s="558">
        <f t="shared" si="0"/>
        <v>0</v>
      </c>
      <c r="J71" s="142"/>
    </row>
    <row r="72" spans="2:10" x14ac:dyDescent="0.3">
      <c r="B72" s="197" t="s">
        <v>518</v>
      </c>
      <c r="C72" s="304">
        <f>(C66+C67+C68)/3</f>
        <v>0</v>
      </c>
      <c r="D72" s="304">
        <f t="shared" ref="D72:H72" si="1">(D66+D67+D68)/3</f>
        <v>0</v>
      </c>
      <c r="E72" s="304">
        <f t="shared" si="1"/>
        <v>0</v>
      </c>
      <c r="F72" s="304">
        <f t="shared" si="1"/>
        <v>0</v>
      </c>
      <c r="G72" s="304">
        <f t="shared" si="1"/>
        <v>0</v>
      </c>
      <c r="H72" s="304">
        <f t="shared" si="1"/>
        <v>0</v>
      </c>
      <c r="J72" s="142"/>
    </row>
    <row r="73" spans="2:10" x14ac:dyDescent="0.3">
      <c r="B73" s="197" t="s">
        <v>516</v>
      </c>
      <c r="C73" s="291" t="str">
        <f>IFERROR(ABS(100*(MAX(ABS(C66-C72), ABS(C67-C72), ABS(C68-C72))/C72)), " ")</f>
        <v xml:space="preserve"> </v>
      </c>
      <c r="D73" s="291" t="str">
        <f t="shared" ref="D73:H73" si="2">IFERROR(ABS(100*(MAX(ABS(D66-D72), ABS(D67-D72), ABS(D68-D72))/D72)), " ")</f>
        <v xml:space="preserve"> </v>
      </c>
      <c r="E73" s="291" t="str">
        <f t="shared" si="2"/>
        <v xml:space="preserve"> </v>
      </c>
      <c r="F73" s="291" t="str">
        <f t="shared" si="2"/>
        <v xml:space="preserve"> </v>
      </c>
      <c r="G73" s="291" t="str">
        <f t="shared" si="2"/>
        <v xml:space="preserve"> </v>
      </c>
      <c r="H73" s="291" t="str">
        <f t="shared" si="2"/>
        <v xml:space="preserve"> </v>
      </c>
      <c r="J73" s="142"/>
    </row>
    <row r="74" spans="2:10" x14ac:dyDescent="0.3">
      <c r="B74" s="197" t="s">
        <v>517</v>
      </c>
      <c r="C74" s="291" t="str">
        <f>IFERROR(ABS(100*(($C$22-C69)/$C$22)), " ")</f>
        <v xml:space="preserve"> </v>
      </c>
      <c r="D74" s="291" t="str">
        <f t="shared" ref="D74:H74" si="3">IFERROR(ABS(100*(($C$22-D69)/$C$22)), " ")</f>
        <v xml:space="preserve"> </v>
      </c>
      <c r="E74" s="291" t="str">
        <f t="shared" si="3"/>
        <v xml:space="preserve"> </v>
      </c>
      <c r="F74" s="291" t="str">
        <f t="shared" si="3"/>
        <v xml:space="preserve"> </v>
      </c>
      <c r="G74" s="291" t="str">
        <f t="shared" si="3"/>
        <v xml:space="preserve"> </v>
      </c>
      <c r="H74" s="291" t="str">
        <f t="shared" si="3"/>
        <v xml:space="preserve"> </v>
      </c>
      <c r="J74" s="142"/>
    </row>
    <row r="75" spans="2:10" x14ac:dyDescent="0.3">
      <c r="B75" s="197" t="s">
        <v>349</v>
      </c>
      <c r="C75" s="304">
        <f t="shared" ref="C75:H75" si="4">C58+$C$201</f>
        <v>0</v>
      </c>
      <c r="D75" s="304">
        <f t="shared" si="4"/>
        <v>0</v>
      </c>
      <c r="E75" s="304">
        <f t="shared" si="4"/>
        <v>0</v>
      </c>
      <c r="F75" s="304">
        <f t="shared" si="4"/>
        <v>0</v>
      </c>
      <c r="G75" s="304">
        <f t="shared" si="4"/>
        <v>0</v>
      </c>
      <c r="H75" s="304">
        <f t="shared" si="4"/>
        <v>0</v>
      </c>
      <c r="J75" s="142"/>
    </row>
    <row r="76" spans="2:10" ht="18" x14ac:dyDescent="0.3">
      <c r="B76" s="197" t="s">
        <v>590</v>
      </c>
      <c r="C76" s="304">
        <f>C75^2</f>
        <v>0</v>
      </c>
      <c r="D76" s="304">
        <f t="shared" ref="D76:H76" si="5">D75^2</f>
        <v>0</v>
      </c>
      <c r="E76" s="304">
        <f t="shared" si="5"/>
        <v>0</v>
      </c>
      <c r="F76" s="304">
        <f t="shared" si="5"/>
        <v>0</v>
      </c>
      <c r="G76" s="304">
        <f t="shared" si="5"/>
        <v>0</v>
      </c>
      <c r="H76" s="558">
        <f t="shared" si="5"/>
        <v>0</v>
      </c>
      <c r="J76" s="142"/>
    </row>
    <row r="77" spans="2:10" x14ac:dyDescent="0.3">
      <c r="B77" s="197" t="s">
        <v>498</v>
      </c>
      <c r="C77" s="304" t="str">
        <f>IFERROR(SQRT((C72-(SQRT(3)/2)*C71*C80)^2 + ((SQRT(3)/2)*C71*C79*(C81))^2), " ")</f>
        <v xml:space="preserve"> </v>
      </c>
      <c r="D77" s="304" t="str">
        <f t="shared" ref="D77:H77" si="6">IFERROR(SQRT((D72-(SQRT(3)/2)*D71*D80)^2 + ((SQRT(3)/2)*D71*D79*(D81))^2), " ")</f>
        <v xml:space="preserve"> </v>
      </c>
      <c r="E77" s="304" t="str">
        <f t="shared" si="6"/>
        <v xml:space="preserve"> </v>
      </c>
      <c r="F77" s="304" t="str">
        <f t="shared" si="6"/>
        <v xml:space="preserve"> </v>
      </c>
      <c r="G77" s="304" t="str">
        <f t="shared" si="6"/>
        <v xml:space="preserve"> </v>
      </c>
      <c r="H77" s="304" t="str">
        <f t="shared" si="6"/>
        <v xml:space="preserve"> </v>
      </c>
      <c r="J77" s="142"/>
    </row>
    <row r="78" spans="2:10" x14ac:dyDescent="0.3">
      <c r="B78" s="197" t="s">
        <v>442</v>
      </c>
      <c r="C78" s="304" t="str">
        <f>IFERROR((C64-C142)/(C141)*C143+C144, " ")</f>
        <v xml:space="preserve"> </v>
      </c>
      <c r="D78" s="304" t="str">
        <f t="shared" ref="D78:H78" si="7">IFERROR((D64-D142)/(D141)*D143+D144, " ")</f>
        <v xml:space="preserve"> </v>
      </c>
      <c r="E78" s="304" t="str">
        <f t="shared" si="7"/>
        <v xml:space="preserve"> </v>
      </c>
      <c r="F78" s="304" t="str">
        <f t="shared" si="7"/>
        <v xml:space="preserve"> </v>
      </c>
      <c r="G78" s="304" t="str">
        <f t="shared" si="7"/>
        <v xml:space="preserve"> </v>
      </c>
      <c r="H78" s="304" t="str">
        <f t="shared" si="7"/>
        <v xml:space="preserve"> </v>
      </c>
      <c r="J78" s="142"/>
    </row>
    <row r="79" spans="2:10" x14ac:dyDescent="0.3">
      <c r="B79" s="197" t="s">
        <v>493</v>
      </c>
      <c r="C79" s="304" t="str">
        <f>IFERROR($C$32*((C78+$C$26)/($C$31+$C$26)), " ")</f>
        <v xml:space="preserve"> </v>
      </c>
      <c r="D79" s="304" t="str">
        <f t="shared" ref="D79:H79" si="8">IFERROR($C$32*((D78+$C$26)/($C$31+$C$26)), " ")</f>
        <v xml:space="preserve"> </v>
      </c>
      <c r="E79" s="304" t="str">
        <f t="shared" si="8"/>
        <v xml:space="preserve"> </v>
      </c>
      <c r="F79" s="304" t="str">
        <f t="shared" si="8"/>
        <v xml:space="preserve"> </v>
      </c>
      <c r="G79" s="304" t="str">
        <f t="shared" si="8"/>
        <v xml:space="preserve"> </v>
      </c>
      <c r="H79" s="304" t="str">
        <f t="shared" si="8"/>
        <v xml:space="preserve"> </v>
      </c>
      <c r="J79" s="142"/>
    </row>
    <row r="80" spans="2:10" x14ac:dyDescent="0.3">
      <c r="B80" s="197" t="s">
        <v>499</v>
      </c>
      <c r="C80" s="304" t="str">
        <f>IFERROR((C59)/(SQRT(3)*C72*C71), " ")</f>
        <v xml:space="preserve"> </v>
      </c>
      <c r="D80" s="304" t="str">
        <f t="shared" ref="D80:H80" si="9">IFERROR((D59)/(SQRT(3)*D72*D71), " ")</f>
        <v xml:space="preserve"> </v>
      </c>
      <c r="E80" s="304" t="str">
        <f t="shared" si="9"/>
        <v xml:space="preserve"> </v>
      </c>
      <c r="F80" s="304" t="str">
        <f t="shared" si="9"/>
        <v xml:space="preserve"> </v>
      </c>
      <c r="G80" s="304" t="str">
        <f t="shared" si="9"/>
        <v xml:space="preserve"> </v>
      </c>
      <c r="H80" s="304" t="str">
        <f t="shared" si="9"/>
        <v xml:space="preserve"> </v>
      </c>
      <c r="J80" s="142"/>
    </row>
    <row r="81" spans="2:10" x14ac:dyDescent="0.3">
      <c r="B81" s="197" t="s">
        <v>500</v>
      </c>
      <c r="C81" s="304" t="str">
        <f>IFERROR(SQRT((1-C80)^2), " ")</f>
        <v xml:space="preserve"> </v>
      </c>
      <c r="D81" s="304" t="str">
        <f t="shared" ref="D81:H81" si="10">IFERROR(SQRT((1-D80)^2), " ")</f>
        <v xml:space="preserve"> </v>
      </c>
      <c r="E81" s="304" t="str">
        <f t="shared" si="10"/>
        <v xml:space="preserve"> </v>
      </c>
      <c r="F81" s="304" t="str">
        <f t="shared" si="10"/>
        <v xml:space="preserve"> </v>
      </c>
      <c r="G81" s="304" t="str">
        <f t="shared" si="10"/>
        <v xml:space="preserve"> </v>
      </c>
      <c r="H81" s="304" t="str">
        <f t="shared" si="10"/>
        <v xml:space="preserve"> </v>
      </c>
      <c r="J81" s="142"/>
    </row>
    <row r="82" spans="2:10" x14ac:dyDescent="0.3">
      <c r="B82" s="197" t="s">
        <v>495</v>
      </c>
      <c r="C82" s="304" t="str">
        <f>IFERROR(_xlfn.FORECAST.LINEAR(C77,$C$151:$H$151,$C$131:$H$131), " ")</f>
        <v xml:space="preserve"> </v>
      </c>
      <c r="D82" s="304" t="str">
        <f t="shared" ref="D82:H82" si="11">IFERROR(_xlfn.FORECAST.LINEAR(D77,$C$151:$H$151,$C$131:$H$131), " ")</f>
        <v xml:space="preserve"> </v>
      </c>
      <c r="E82" s="304" t="str">
        <f t="shared" si="11"/>
        <v xml:space="preserve"> </v>
      </c>
      <c r="F82" s="304" t="str">
        <f t="shared" si="11"/>
        <v xml:space="preserve"> </v>
      </c>
      <c r="G82" s="304" t="str">
        <f t="shared" si="11"/>
        <v xml:space="preserve"> </v>
      </c>
      <c r="H82" s="304" t="str">
        <f t="shared" si="11"/>
        <v xml:space="preserve"> </v>
      </c>
      <c r="J82" s="142"/>
    </row>
    <row r="83" spans="2:10" x14ac:dyDescent="0.3">
      <c r="B83" s="199"/>
      <c r="C83" s="186"/>
      <c r="D83" s="186"/>
      <c r="E83" s="186"/>
      <c r="F83" s="186"/>
      <c r="G83" s="186"/>
      <c r="H83" s="195"/>
      <c r="J83" s="142"/>
    </row>
    <row r="84" spans="2:10" ht="42.6" customHeight="1" x14ac:dyDescent="0.3">
      <c r="B84" s="543" t="s">
        <v>538</v>
      </c>
      <c r="C84" s="842" t="str">
        <f>IF((COUNTIF(C70:H70, "&gt;5")+COUNTIF(C73:H73, "&gt;0.5")+COUNTIF(C74:H74, "&gt;0.5"))&gt;=1, "Supply requirements unmet - ensure that THD does not exceed 5%, and both voltage unbalance and frequency variation are within 0.5%", "Data is permissible - may proceed with testing")</f>
        <v>Data is permissible - may proceed with testing</v>
      </c>
      <c r="D84" s="843"/>
      <c r="E84" s="843"/>
      <c r="F84" s="843"/>
      <c r="G84" s="186"/>
      <c r="H84" s="195"/>
      <c r="J84" s="142"/>
    </row>
    <row r="85" spans="2:10" x14ac:dyDescent="0.3">
      <c r="B85" s="199"/>
      <c r="D85" s="186"/>
      <c r="E85" s="186"/>
      <c r="F85" s="186"/>
      <c r="G85" s="186"/>
      <c r="H85" s="195"/>
      <c r="J85" s="142"/>
    </row>
    <row r="86" spans="2:10" ht="18" thickBot="1" x14ac:dyDescent="0.4">
      <c r="B86" s="827" t="s">
        <v>191</v>
      </c>
      <c r="C86" s="828"/>
      <c r="D86" s="828"/>
      <c r="E86" s="828"/>
      <c r="F86" s="828"/>
      <c r="G86" s="828"/>
      <c r="H86" s="846"/>
      <c r="J86" s="142"/>
    </row>
    <row r="87" spans="2:10" ht="17.25" x14ac:dyDescent="0.35">
      <c r="B87" s="550"/>
      <c r="C87" s="835" t="s">
        <v>185</v>
      </c>
      <c r="D87" s="835"/>
      <c r="E87" s="835"/>
      <c r="F87" s="835"/>
      <c r="G87" s="835"/>
      <c r="H87" s="836"/>
      <c r="J87" s="142"/>
    </row>
    <row r="88" spans="2:10" ht="17.25" x14ac:dyDescent="0.35">
      <c r="B88" s="568" t="s">
        <v>430</v>
      </c>
      <c r="C88" s="569">
        <v>1</v>
      </c>
      <c r="D88" s="569">
        <v>2</v>
      </c>
      <c r="E88" s="569">
        <v>3</v>
      </c>
      <c r="F88" s="569">
        <v>4</v>
      </c>
      <c r="G88" s="569">
        <v>5</v>
      </c>
      <c r="H88" s="570">
        <v>6</v>
      </c>
      <c r="J88" s="142"/>
    </row>
    <row r="89" spans="2:10" x14ac:dyDescent="0.3">
      <c r="B89" s="197" t="s">
        <v>501</v>
      </c>
      <c r="C89" s="304" t="str">
        <f>IFERROR((1.5*(C71)^2*C79)/1000, " ")</f>
        <v xml:space="preserve"> </v>
      </c>
      <c r="D89" s="304" t="str">
        <f t="shared" ref="D89:H89" si="12">IFERROR((1.5*(D71)^2*D79)/1000, " ")</f>
        <v xml:space="preserve"> </v>
      </c>
      <c r="E89" s="304" t="str">
        <f t="shared" si="12"/>
        <v xml:space="preserve"> </v>
      </c>
      <c r="F89" s="304" t="str">
        <f t="shared" si="12"/>
        <v xml:space="preserve"> </v>
      </c>
      <c r="G89" s="304" t="str">
        <f t="shared" si="12"/>
        <v xml:space="preserve"> </v>
      </c>
      <c r="H89" s="304" t="str">
        <f t="shared" si="12"/>
        <v xml:space="preserve"> </v>
      </c>
      <c r="J89" s="142"/>
    </row>
    <row r="90" spans="2:10" x14ac:dyDescent="0.3">
      <c r="B90" s="197" t="s">
        <v>264</v>
      </c>
      <c r="C90" s="304" t="str">
        <f>IFERROR(120*(C69/$C$24), " ")</f>
        <v xml:space="preserve"> </v>
      </c>
      <c r="D90" s="304" t="str">
        <f t="shared" ref="D90:H90" si="13">IFERROR(120*(D69/$C$24), " ")</f>
        <v xml:space="preserve"> </v>
      </c>
      <c r="E90" s="304" t="str">
        <f t="shared" si="13"/>
        <v xml:space="preserve"> </v>
      </c>
      <c r="F90" s="304" t="str">
        <f t="shared" si="13"/>
        <v xml:space="preserve"> </v>
      </c>
      <c r="G90" s="304" t="str">
        <f t="shared" si="13"/>
        <v xml:space="preserve"> </v>
      </c>
      <c r="H90" s="304" t="str">
        <f t="shared" si="13"/>
        <v xml:space="preserve"> </v>
      </c>
      <c r="J90" s="142"/>
    </row>
    <row r="91" spans="2:10" x14ac:dyDescent="0.3">
      <c r="B91" s="197" t="s">
        <v>443</v>
      </c>
      <c r="C91" s="304" t="str">
        <f>IFERROR((C90-C63)/C90, " ")</f>
        <v xml:space="preserve"> </v>
      </c>
      <c r="D91" s="304" t="str">
        <f t="shared" ref="D91:H91" si="14">IFERROR((D90-D63)/D90, " ")</f>
        <v xml:space="preserve"> </v>
      </c>
      <c r="E91" s="304" t="str">
        <f t="shared" si="14"/>
        <v xml:space="preserve"> </v>
      </c>
      <c r="F91" s="304" t="str">
        <f t="shared" si="14"/>
        <v xml:space="preserve"> </v>
      </c>
      <c r="G91" s="304" t="str">
        <f t="shared" si="14"/>
        <v xml:space="preserve"> </v>
      </c>
      <c r="H91" s="304" t="str">
        <f t="shared" si="14"/>
        <v xml:space="preserve"> </v>
      </c>
      <c r="J91" s="142"/>
    </row>
    <row r="92" spans="2:10" x14ac:dyDescent="0.3">
      <c r="B92" s="197" t="s">
        <v>503</v>
      </c>
      <c r="C92" s="585" t="str">
        <f>IFERROR(_xlfn.FORECAST.LINEAR(C72,$C$153:$F$153,$C$131:$F$131), " ")</f>
        <v xml:space="preserve"> </v>
      </c>
      <c r="D92" s="585" t="str">
        <f t="shared" ref="D92:H92" si="15">IFERROR(_xlfn.FORECAST.LINEAR(D72,$C$153:$F$153,$C$131:$F$131), " ")</f>
        <v xml:space="preserve"> </v>
      </c>
      <c r="E92" s="585" t="str">
        <f t="shared" si="15"/>
        <v xml:space="preserve"> </v>
      </c>
      <c r="F92" s="585" t="str">
        <f t="shared" si="15"/>
        <v xml:space="preserve"> </v>
      </c>
      <c r="G92" s="585" t="str">
        <f t="shared" si="15"/>
        <v xml:space="preserve"> </v>
      </c>
      <c r="H92" s="585" t="str">
        <f t="shared" si="15"/>
        <v xml:space="preserve"> </v>
      </c>
      <c r="J92" s="142"/>
    </row>
    <row r="93" spans="2:10" x14ac:dyDescent="0.3">
      <c r="B93" s="197" t="s">
        <v>502</v>
      </c>
      <c r="C93" s="586" t="str">
        <f>IFERROR((C59-C89-C92)*C91, " ")</f>
        <v xml:space="preserve"> </v>
      </c>
      <c r="D93" s="586" t="str">
        <f t="shared" ref="D93:H93" si="16">IFERROR((D59-D89-D92)*D91, " ")</f>
        <v xml:space="preserve"> </v>
      </c>
      <c r="E93" s="586" t="str">
        <f t="shared" si="16"/>
        <v xml:space="preserve"> </v>
      </c>
      <c r="F93" s="586" t="str">
        <f t="shared" si="16"/>
        <v xml:space="preserve"> </v>
      </c>
      <c r="G93" s="586" t="str">
        <f t="shared" si="16"/>
        <v xml:space="preserve"> </v>
      </c>
      <c r="H93" s="586" t="str">
        <f t="shared" si="16"/>
        <v xml:space="preserve"> </v>
      </c>
      <c r="J93" s="142"/>
    </row>
    <row r="94" spans="2:10" x14ac:dyDescent="0.3">
      <c r="B94" s="197" t="s">
        <v>504</v>
      </c>
      <c r="C94" s="304">
        <f t="shared" ref="C94:H94" si="17">(C75*C63)/9549</f>
        <v>0</v>
      </c>
      <c r="D94" s="304">
        <f t="shared" si="17"/>
        <v>0</v>
      </c>
      <c r="E94" s="304">
        <f t="shared" si="17"/>
        <v>0</v>
      </c>
      <c r="F94" s="304">
        <f t="shared" si="17"/>
        <v>0</v>
      </c>
      <c r="G94" s="304">
        <f t="shared" si="17"/>
        <v>0</v>
      </c>
      <c r="H94" s="558">
        <f t="shared" si="17"/>
        <v>0</v>
      </c>
      <c r="J94" s="142"/>
    </row>
    <row r="95" spans="2:10" x14ac:dyDescent="0.3">
      <c r="B95" s="197" t="s">
        <v>505</v>
      </c>
      <c r="C95" s="304" t="str">
        <f>IFERROR(C59-C94-C89-C92-$C$156-C93, " ")</f>
        <v xml:space="preserve"> </v>
      </c>
      <c r="D95" s="304" t="str">
        <f t="shared" ref="D95:H95" si="18">IFERROR(D59-D94-D89-D92-$C$156-D93, " ")</f>
        <v xml:space="preserve"> </v>
      </c>
      <c r="E95" s="304" t="str">
        <f t="shared" si="18"/>
        <v xml:space="preserve"> </v>
      </c>
      <c r="F95" s="304" t="str">
        <f t="shared" si="18"/>
        <v xml:space="preserve"> </v>
      </c>
      <c r="G95" s="304" t="str">
        <f t="shared" si="18"/>
        <v xml:space="preserve"> </v>
      </c>
      <c r="H95" s="304" t="str">
        <f t="shared" si="18"/>
        <v xml:space="preserve"> </v>
      </c>
      <c r="J95" s="142"/>
    </row>
    <row r="96" spans="2:10" x14ac:dyDescent="0.3">
      <c r="B96" s="587" t="s">
        <v>514</v>
      </c>
      <c r="C96" s="304" t="str">
        <f>IFERROR($C$104*C76, " ")</f>
        <v xml:space="preserve"> </v>
      </c>
      <c r="D96" s="304" t="str">
        <f t="shared" ref="D96:H96" si="19">IFERROR($C$104*D76, " ")</f>
        <v xml:space="preserve"> </v>
      </c>
      <c r="E96" s="304" t="str">
        <f t="shared" si="19"/>
        <v xml:space="preserve"> </v>
      </c>
      <c r="F96" s="304" t="str">
        <f t="shared" si="19"/>
        <v xml:space="preserve"> </v>
      </c>
      <c r="G96" s="304" t="str">
        <f t="shared" si="19"/>
        <v xml:space="preserve"> </v>
      </c>
      <c r="H96" s="304" t="str">
        <f t="shared" si="19"/>
        <v xml:space="preserve"> </v>
      </c>
      <c r="J96" s="142"/>
    </row>
    <row r="97" spans="2:10" x14ac:dyDescent="0.3">
      <c r="B97" s="197" t="s">
        <v>508</v>
      </c>
      <c r="C97" s="304" t="str">
        <f>IFERROR((1.5*(C71)^2*$C$45)/1000, " ")</f>
        <v xml:space="preserve"> </v>
      </c>
      <c r="D97" s="304" t="str">
        <f t="shared" ref="D97:H97" si="20">IFERROR((1.5*(D71)^2*$C$45)/1000, " ")</f>
        <v xml:space="preserve"> </v>
      </c>
      <c r="E97" s="304" t="str">
        <f t="shared" si="20"/>
        <v xml:space="preserve"> </v>
      </c>
      <c r="F97" s="304" t="str">
        <f t="shared" si="20"/>
        <v xml:space="preserve"> </v>
      </c>
      <c r="G97" s="304" t="str">
        <f t="shared" si="20"/>
        <v xml:space="preserve"> </v>
      </c>
      <c r="H97" s="304" t="str">
        <f t="shared" si="20"/>
        <v xml:space="preserve"> </v>
      </c>
      <c r="J97" s="142"/>
    </row>
    <row r="98" spans="2:10" x14ac:dyDescent="0.3">
      <c r="B98" s="197" t="s">
        <v>509</v>
      </c>
      <c r="C98" s="304" t="str">
        <f>IFERROR(C91*($C$43+25-$C$42+$C$26)/(C78+$C$26), " ")</f>
        <v xml:space="preserve"> </v>
      </c>
      <c r="D98" s="304" t="str">
        <f t="shared" ref="D98:H98" si="21">IFERROR(D91*($C$43+25-$C$42+$C$26)/(D78+$C$26), " ")</f>
        <v xml:space="preserve"> </v>
      </c>
      <c r="E98" s="304" t="str">
        <f t="shared" si="21"/>
        <v xml:space="preserve"> </v>
      </c>
      <c r="F98" s="304" t="str">
        <f t="shared" si="21"/>
        <v xml:space="preserve"> </v>
      </c>
      <c r="G98" s="304" t="str">
        <f t="shared" si="21"/>
        <v xml:space="preserve"> </v>
      </c>
      <c r="H98" s="304" t="str">
        <f t="shared" si="21"/>
        <v xml:space="preserve"> </v>
      </c>
      <c r="J98" s="142"/>
    </row>
    <row r="99" spans="2:10" x14ac:dyDescent="0.3">
      <c r="B99" s="197" t="s">
        <v>510</v>
      </c>
      <c r="C99" s="304" t="str">
        <f>IFERROR((C59-C97-C92)*C98, " ")</f>
        <v xml:space="preserve"> </v>
      </c>
      <c r="D99" s="304" t="str">
        <f t="shared" ref="D99:H99" si="22">IFERROR((D59-D97-D92)*D98, " ")</f>
        <v xml:space="preserve"> </v>
      </c>
      <c r="E99" s="304" t="str">
        <f t="shared" si="22"/>
        <v xml:space="preserve"> </v>
      </c>
      <c r="F99" s="304" t="str">
        <f t="shared" si="22"/>
        <v xml:space="preserve"> </v>
      </c>
      <c r="G99" s="304" t="str">
        <f t="shared" si="22"/>
        <v xml:space="preserve"> </v>
      </c>
      <c r="H99" s="304" t="str">
        <f t="shared" si="22"/>
        <v xml:space="preserve"> </v>
      </c>
      <c r="J99" s="142"/>
    </row>
    <row r="100" spans="2:10" x14ac:dyDescent="0.3">
      <c r="B100" s="197" t="s">
        <v>511</v>
      </c>
      <c r="C100" s="304" t="str">
        <f>IFERROR(C59-C92-$C$156-C96-C97-C99, " ")</f>
        <v xml:space="preserve"> </v>
      </c>
      <c r="D100" s="304" t="str">
        <f t="shared" ref="D100:H100" si="23">IFERROR(D59-D92-$C$156-D96-D97-D99, " ")</f>
        <v xml:space="preserve"> </v>
      </c>
      <c r="E100" s="304" t="str">
        <f t="shared" si="23"/>
        <v xml:space="preserve"> </v>
      </c>
      <c r="F100" s="304" t="str">
        <f t="shared" si="23"/>
        <v xml:space="preserve"> </v>
      </c>
      <c r="G100" s="304" t="str">
        <f t="shared" si="23"/>
        <v xml:space="preserve"> </v>
      </c>
      <c r="H100" s="304" t="str">
        <f t="shared" si="23"/>
        <v xml:space="preserve"> </v>
      </c>
      <c r="J100" s="142"/>
    </row>
    <row r="101" spans="2:10" x14ac:dyDescent="0.3">
      <c r="B101" s="197" t="s">
        <v>222</v>
      </c>
      <c r="C101" s="291" t="str">
        <f>IFERROR(C100/C59, " ")</f>
        <v xml:space="preserve"> </v>
      </c>
      <c r="D101" s="291" t="str">
        <f t="shared" ref="D101:H101" si="24">IFERROR(D100/D59, " ")</f>
        <v xml:space="preserve"> </v>
      </c>
      <c r="E101" s="291" t="str">
        <f t="shared" si="24"/>
        <v xml:space="preserve"> </v>
      </c>
      <c r="F101" s="291" t="str">
        <f t="shared" si="24"/>
        <v xml:space="preserve"> </v>
      </c>
      <c r="G101" s="291" t="str">
        <f t="shared" si="24"/>
        <v xml:space="preserve"> </v>
      </c>
      <c r="H101" s="291" t="str">
        <f t="shared" si="24"/>
        <v xml:space="preserve"> </v>
      </c>
      <c r="J101" s="142"/>
    </row>
    <row r="102" spans="2:10" x14ac:dyDescent="0.3">
      <c r="B102" s="199"/>
      <c r="C102" s="186"/>
      <c r="D102" s="186"/>
      <c r="E102" s="186"/>
      <c r="F102" s="186"/>
      <c r="G102" s="186"/>
      <c r="H102" s="195"/>
      <c r="J102" s="142"/>
    </row>
    <row r="103" spans="2:10" ht="18.75" x14ac:dyDescent="0.35">
      <c r="B103" s="199" t="s">
        <v>589</v>
      </c>
      <c r="C103" s="186"/>
      <c r="D103" s="186"/>
      <c r="E103" s="186"/>
      <c r="F103" s="186"/>
      <c r="G103" s="186"/>
      <c r="H103" s="195"/>
      <c r="J103" s="142"/>
    </row>
    <row r="104" spans="2:10" x14ac:dyDescent="0.3">
      <c r="B104" s="197" t="s">
        <v>192</v>
      </c>
      <c r="C104" s="291" t="str">
        <f>IFERROR(SLOPE(C95:H95,C76:H76), " ")</f>
        <v xml:space="preserve"> </v>
      </c>
      <c r="D104" s="186"/>
      <c r="E104" s="186"/>
      <c r="F104" s="186"/>
      <c r="G104" s="186"/>
      <c r="H104" s="195"/>
      <c r="J104" s="142"/>
    </row>
    <row r="105" spans="2:10" x14ac:dyDescent="0.3">
      <c r="B105" s="197" t="s">
        <v>196</v>
      </c>
      <c r="C105" s="291" t="str">
        <f>IFERROR(INTERCEPT(C95:H95,C76:H76), " ")</f>
        <v xml:space="preserve"> </v>
      </c>
      <c r="D105" s="186"/>
      <c r="E105" s="186"/>
      <c r="F105" s="186"/>
      <c r="G105" s="186"/>
      <c r="H105" s="195"/>
      <c r="J105" s="142"/>
    </row>
    <row r="106" spans="2:10" x14ac:dyDescent="0.3">
      <c r="B106" s="197" t="s">
        <v>179</v>
      </c>
      <c r="C106" s="291" t="str">
        <f>IFERROR(CORREL(C76:H76,C95:H95), " ")</f>
        <v xml:space="preserve"> </v>
      </c>
      <c r="D106" s="186"/>
      <c r="E106" s="186"/>
      <c r="F106" s="186"/>
      <c r="G106" s="186"/>
      <c r="H106" s="195"/>
      <c r="J106" s="142"/>
    </row>
    <row r="107" spans="2:10" x14ac:dyDescent="0.3">
      <c r="B107" s="197" t="s">
        <v>506</v>
      </c>
      <c r="C107" s="291" t="str">
        <f>IF(C106&gt;=0.95, "Yes", "No")</f>
        <v>Yes</v>
      </c>
      <c r="D107" s="186"/>
      <c r="E107" s="186"/>
      <c r="F107" s="186"/>
      <c r="G107" s="186"/>
      <c r="H107" s="195"/>
      <c r="J107" s="142"/>
    </row>
    <row r="108" spans="2:10" ht="17.25" thickBot="1" x14ac:dyDescent="0.35">
      <c r="B108" s="261" t="s">
        <v>507</v>
      </c>
      <c r="C108" s="610"/>
      <c r="D108" s="248"/>
      <c r="E108" s="248"/>
      <c r="F108" s="248"/>
      <c r="G108" s="248"/>
      <c r="H108" s="249"/>
      <c r="J108" s="142"/>
    </row>
    <row r="109" spans="2:10" ht="17.25" thickBot="1" x14ac:dyDescent="0.35">
      <c r="J109" s="142"/>
    </row>
    <row r="110" spans="2:10" ht="18" thickBot="1" x14ac:dyDescent="0.4">
      <c r="B110" s="808" t="s">
        <v>437</v>
      </c>
      <c r="C110" s="808"/>
      <c r="D110" s="808"/>
      <c r="E110" s="808"/>
      <c r="F110" s="808"/>
      <c r="G110" s="808"/>
      <c r="H110" s="844"/>
      <c r="J110" s="142"/>
    </row>
    <row r="111" spans="2:10" s="579" customFormat="1" ht="34.5" x14ac:dyDescent="0.25">
      <c r="B111" s="580" t="s">
        <v>244</v>
      </c>
      <c r="C111" s="581" t="s">
        <v>291</v>
      </c>
      <c r="D111" s="581" t="s">
        <v>409</v>
      </c>
      <c r="E111" s="582"/>
      <c r="F111" s="582"/>
      <c r="G111" s="582"/>
      <c r="H111" s="583"/>
      <c r="J111" s="584"/>
    </row>
    <row r="112" spans="2:10" ht="17.25" x14ac:dyDescent="0.35">
      <c r="B112" s="213">
        <v>1</v>
      </c>
      <c r="C112" s="608"/>
      <c r="D112" s="578" t="s">
        <v>292</v>
      </c>
      <c r="E112" s="186"/>
      <c r="F112" s="186"/>
      <c r="G112" s="186"/>
      <c r="H112" s="195"/>
      <c r="J112" s="142"/>
    </row>
    <row r="113" spans="2:10" ht="17.25" x14ac:dyDescent="0.35">
      <c r="B113" s="213">
        <v>2</v>
      </c>
      <c r="C113" s="608"/>
      <c r="D113" s="578" t="s">
        <v>293</v>
      </c>
      <c r="E113" s="186"/>
      <c r="F113" s="186"/>
      <c r="G113" s="186"/>
      <c r="H113" s="195"/>
      <c r="J113" s="142"/>
    </row>
    <row r="114" spans="2:10" ht="17.25" x14ac:dyDescent="0.35">
      <c r="B114" s="213">
        <v>3</v>
      </c>
      <c r="C114" s="608"/>
      <c r="D114" s="578" t="s">
        <v>294</v>
      </c>
      <c r="E114" s="186"/>
      <c r="F114" s="186"/>
      <c r="G114" s="186"/>
      <c r="H114" s="195"/>
      <c r="J114" s="142"/>
    </row>
    <row r="115" spans="2:10" ht="17.25" x14ac:dyDescent="0.35">
      <c r="B115" s="213">
        <v>4</v>
      </c>
      <c r="C115" s="608"/>
      <c r="D115" s="578" t="s">
        <v>295</v>
      </c>
      <c r="E115" s="186"/>
      <c r="F115" s="186"/>
      <c r="G115" s="186"/>
      <c r="H115" s="195"/>
      <c r="J115" s="142"/>
    </row>
    <row r="116" spans="2:10" ht="17.25" x14ac:dyDescent="0.35">
      <c r="B116" s="213">
        <v>5</v>
      </c>
      <c r="C116" s="608"/>
      <c r="D116" s="578" t="s">
        <v>296</v>
      </c>
      <c r="E116" s="186"/>
      <c r="F116" s="186"/>
      <c r="G116" s="186"/>
      <c r="H116" s="195"/>
      <c r="J116" s="142"/>
    </row>
    <row r="117" spans="2:10" ht="17.25" x14ac:dyDescent="0.35">
      <c r="B117" s="213">
        <v>6</v>
      </c>
      <c r="C117" s="608"/>
      <c r="D117" s="578" t="s">
        <v>297</v>
      </c>
      <c r="E117" s="186"/>
      <c r="F117" s="186"/>
      <c r="G117" s="186"/>
      <c r="H117" s="195"/>
      <c r="J117" s="142"/>
    </row>
    <row r="118" spans="2:10" x14ac:dyDescent="0.3">
      <c r="B118" s="550"/>
      <c r="C118" s="186"/>
      <c r="D118" s="186"/>
      <c r="E118" s="186"/>
      <c r="F118" s="186"/>
      <c r="G118" s="186"/>
      <c r="H118" s="195"/>
      <c r="J118" s="142"/>
    </row>
    <row r="119" spans="2:10" ht="17.25" x14ac:dyDescent="0.35">
      <c r="B119" s="550"/>
      <c r="C119" s="837" t="s">
        <v>244</v>
      </c>
      <c r="D119" s="837"/>
      <c r="E119" s="837"/>
      <c r="F119" s="837"/>
      <c r="G119" s="837"/>
      <c r="H119" s="847"/>
      <c r="J119" s="142"/>
    </row>
    <row r="120" spans="2:10" s="576" customFormat="1" ht="17.25" x14ac:dyDescent="0.35">
      <c r="B120" s="260" t="s">
        <v>430</v>
      </c>
      <c r="C120" s="569">
        <v>1</v>
      </c>
      <c r="D120" s="569">
        <v>2</v>
      </c>
      <c r="E120" s="569">
        <v>3</v>
      </c>
      <c r="F120" s="569">
        <v>4</v>
      </c>
      <c r="G120" s="569">
        <v>5</v>
      </c>
      <c r="H120" s="570">
        <v>6</v>
      </c>
      <c r="J120" s="577"/>
    </row>
    <row r="121" spans="2:10" x14ac:dyDescent="0.3">
      <c r="B121" s="197" t="s">
        <v>434</v>
      </c>
      <c r="C121" s="606"/>
      <c r="D121" s="606"/>
      <c r="E121" s="606"/>
      <c r="F121" s="606"/>
      <c r="G121" s="606"/>
      <c r="H121" s="609"/>
      <c r="J121" s="142"/>
    </row>
    <row r="122" spans="2:10" x14ac:dyDescent="0.3">
      <c r="B122" s="197" t="s">
        <v>435</v>
      </c>
      <c r="C122" s="606"/>
      <c r="D122" s="606"/>
      <c r="E122" s="606"/>
      <c r="F122" s="606"/>
      <c r="G122" s="606"/>
      <c r="H122" s="609"/>
      <c r="J122" s="142"/>
    </row>
    <row r="123" spans="2:10" x14ac:dyDescent="0.3">
      <c r="B123" s="197" t="s">
        <v>436</v>
      </c>
      <c r="C123" s="606"/>
      <c r="D123" s="606"/>
      <c r="E123" s="606"/>
      <c r="F123" s="606"/>
      <c r="G123" s="606"/>
      <c r="H123" s="609"/>
      <c r="J123" s="142"/>
    </row>
    <row r="124" spans="2:10" x14ac:dyDescent="0.3">
      <c r="B124" s="197" t="s">
        <v>438</v>
      </c>
      <c r="C124" s="606"/>
      <c r="D124" s="606"/>
      <c r="E124" s="606"/>
      <c r="F124" s="606"/>
      <c r="G124" s="606"/>
      <c r="H124" s="609"/>
      <c r="J124" s="142"/>
    </row>
    <row r="125" spans="2:10" x14ac:dyDescent="0.3">
      <c r="B125" s="197" t="s">
        <v>439</v>
      </c>
      <c r="C125" s="606"/>
      <c r="D125" s="606"/>
      <c r="E125" s="606"/>
      <c r="F125" s="606"/>
      <c r="G125" s="606"/>
      <c r="H125" s="609"/>
      <c r="J125" s="142"/>
    </row>
    <row r="126" spans="2:10" x14ac:dyDescent="0.3">
      <c r="B126" s="197" t="s">
        <v>440</v>
      </c>
      <c r="C126" s="606"/>
      <c r="D126" s="606"/>
      <c r="E126" s="606"/>
      <c r="F126" s="606"/>
      <c r="G126" s="606"/>
      <c r="H126" s="609"/>
      <c r="J126" s="142"/>
    </row>
    <row r="127" spans="2:10" x14ac:dyDescent="0.3">
      <c r="B127" s="197" t="s">
        <v>424</v>
      </c>
      <c r="C127" s="606"/>
      <c r="D127" s="606"/>
      <c r="E127" s="606"/>
      <c r="F127" s="606"/>
      <c r="G127" s="606"/>
      <c r="H127" s="609"/>
      <c r="J127" s="142"/>
    </row>
    <row r="128" spans="2:10" x14ac:dyDescent="0.3">
      <c r="B128" s="197" t="s">
        <v>423</v>
      </c>
      <c r="C128" s="606"/>
      <c r="D128" s="606"/>
      <c r="E128" s="606"/>
      <c r="F128" s="606"/>
      <c r="G128" s="606"/>
      <c r="H128" s="609"/>
      <c r="J128" s="142"/>
    </row>
    <row r="129" spans="2:10" x14ac:dyDescent="0.3">
      <c r="B129" s="197" t="s">
        <v>425</v>
      </c>
      <c r="C129" s="606"/>
      <c r="D129" s="606"/>
      <c r="E129" s="606"/>
      <c r="F129" s="606"/>
      <c r="G129" s="606"/>
      <c r="H129" s="609"/>
      <c r="J129" s="142"/>
    </row>
    <row r="130" spans="2:10" x14ac:dyDescent="0.3">
      <c r="B130" s="197" t="s">
        <v>282</v>
      </c>
      <c r="C130" s="606"/>
      <c r="D130" s="606"/>
      <c r="E130" s="606"/>
      <c r="F130" s="606"/>
      <c r="G130" s="606"/>
      <c r="H130" s="609"/>
      <c r="J130" s="142"/>
    </row>
    <row r="131" spans="2:10" x14ac:dyDescent="0.3">
      <c r="B131" s="197" t="s">
        <v>431</v>
      </c>
      <c r="C131" s="304">
        <f>(C121+C122+C123)/3</f>
        <v>0</v>
      </c>
      <c r="D131" s="304">
        <f t="shared" ref="D131:H131" si="25">(D121+D122+D123)/3</f>
        <v>0</v>
      </c>
      <c r="E131" s="304">
        <f t="shared" si="25"/>
        <v>0</v>
      </c>
      <c r="F131" s="304">
        <f t="shared" si="25"/>
        <v>0</v>
      </c>
      <c r="G131" s="304">
        <f t="shared" si="25"/>
        <v>0</v>
      </c>
      <c r="H131" s="558">
        <f t="shared" si="25"/>
        <v>0</v>
      </c>
      <c r="J131" s="142"/>
    </row>
    <row r="132" spans="2:10" x14ac:dyDescent="0.3">
      <c r="B132" s="197" t="s">
        <v>519</v>
      </c>
      <c r="C132" s="559">
        <f t="shared" ref="C132:H132" si="26">(C124+C125+C126)/3</f>
        <v>0</v>
      </c>
      <c r="D132" s="559">
        <f t="shared" si="26"/>
        <v>0</v>
      </c>
      <c r="E132" s="559">
        <f t="shared" si="26"/>
        <v>0</v>
      </c>
      <c r="F132" s="559">
        <f t="shared" si="26"/>
        <v>0</v>
      </c>
      <c r="G132" s="559">
        <f t="shared" si="26"/>
        <v>0</v>
      </c>
      <c r="H132" s="560">
        <f t="shared" si="26"/>
        <v>0</v>
      </c>
      <c r="J132" s="142"/>
    </row>
    <row r="133" spans="2:10" x14ac:dyDescent="0.3">
      <c r="B133" s="197" t="s">
        <v>516</v>
      </c>
      <c r="C133" s="291" t="str">
        <f>IFERROR(ABS(100*(MAX(ABS(C121-C131), ABS(C122-C131), ABS(C123-C131))/C131)), " ")</f>
        <v xml:space="preserve"> </v>
      </c>
      <c r="D133" s="291" t="str">
        <f t="shared" ref="D133:H133" si="27">IFERROR(ABS(100*(MAX(ABS(D121-D131), ABS(D122-D131), ABS(D123-D131))/D131)), " ")</f>
        <v xml:space="preserve"> </v>
      </c>
      <c r="E133" s="291" t="str">
        <f t="shared" si="27"/>
        <v xml:space="preserve"> </v>
      </c>
      <c r="F133" s="291" t="str">
        <f t="shared" si="27"/>
        <v xml:space="preserve"> </v>
      </c>
      <c r="G133" s="291" t="str">
        <f t="shared" si="27"/>
        <v xml:space="preserve"> </v>
      </c>
      <c r="H133" s="291" t="str">
        <f t="shared" si="27"/>
        <v xml:space="preserve"> </v>
      </c>
      <c r="J133" s="142"/>
    </row>
    <row r="134" spans="2:10" x14ac:dyDescent="0.3">
      <c r="B134" s="197" t="s">
        <v>517</v>
      </c>
      <c r="C134" s="291" t="str">
        <f>IFERROR(ABS(100*(($C$22-C127)/$C$22)), " ")</f>
        <v xml:space="preserve"> </v>
      </c>
      <c r="D134" s="291" t="str">
        <f t="shared" ref="D134:H134" si="28">IFERROR(ABS(100*(($C$22-D127)/$C$22)), " ")</f>
        <v xml:space="preserve"> </v>
      </c>
      <c r="E134" s="291" t="str">
        <f t="shared" si="28"/>
        <v xml:space="preserve"> </v>
      </c>
      <c r="F134" s="291" t="str">
        <f t="shared" si="28"/>
        <v xml:space="preserve"> </v>
      </c>
      <c r="G134" s="291" t="str">
        <f t="shared" si="28"/>
        <v xml:space="preserve"> </v>
      </c>
      <c r="H134" s="291" t="str">
        <f t="shared" si="28"/>
        <v xml:space="preserve"> </v>
      </c>
      <c r="J134" s="142"/>
    </row>
    <row r="135" spans="2:10" x14ac:dyDescent="0.3">
      <c r="B135" s="199"/>
      <c r="C135" s="186"/>
      <c r="D135" s="186"/>
      <c r="E135" s="186"/>
      <c r="F135" s="186"/>
      <c r="G135" s="186"/>
      <c r="H135" s="195"/>
      <c r="J135" s="142"/>
    </row>
    <row r="136" spans="2:10" ht="38.1" customHeight="1" x14ac:dyDescent="0.3">
      <c r="B136" s="543" t="s">
        <v>538</v>
      </c>
      <c r="C136" s="842" t="str">
        <f>IF((COUNTIF(C130:H130, "&gt;5")+COUNTIF(C133:H133, "&gt;0.5")+COUNTIF(C134:H134, "&gt;0.5"))&gt;=1, "Supply requirements unmet - ensure that THD does not exceed 5%, and both voltage unbalance and frequency variation are within 0.5%", "Data is permissible - may proceed with testing")</f>
        <v>Data is permissible - may proceed with testing</v>
      </c>
      <c r="D136" s="843"/>
      <c r="E136" s="843"/>
      <c r="F136" s="843"/>
      <c r="G136" s="186"/>
      <c r="H136" s="195"/>
      <c r="J136" s="142"/>
    </row>
    <row r="137" spans="2:10" x14ac:dyDescent="0.3">
      <c r="B137" s="199"/>
      <c r="C137" s="186"/>
      <c r="D137" s="186"/>
      <c r="E137" s="186"/>
      <c r="F137" s="186"/>
      <c r="G137" s="186"/>
      <c r="H137" s="195"/>
      <c r="J137" s="142"/>
    </row>
    <row r="138" spans="2:10" ht="18" thickBot="1" x14ac:dyDescent="0.4">
      <c r="B138" s="827" t="s">
        <v>400</v>
      </c>
      <c r="C138" s="827"/>
      <c r="D138" s="827"/>
      <c r="E138" s="827"/>
      <c r="F138" s="827"/>
      <c r="G138" s="827"/>
      <c r="H138" s="829"/>
      <c r="J138" s="142"/>
    </row>
    <row r="139" spans="2:10" s="183" customFormat="1" ht="17.25" x14ac:dyDescent="0.35">
      <c r="B139" s="561"/>
      <c r="C139" s="562"/>
      <c r="D139" s="562"/>
      <c r="E139" s="562"/>
      <c r="F139" s="562"/>
      <c r="G139" s="562"/>
      <c r="H139" s="563"/>
      <c r="J139" s="142"/>
    </row>
    <row r="140" spans="2:10" s="183" customFormat="1" ht="17.25" x14ac:dyDescent="0.35">
      <c r="B140" s="564" t="s">
        <v>69</v>
      </c>
      <c r="C140" s="565" t="s">
        <v>70</v>
      </c>
      <c r="D140" s="562"/>
      <c r="E140" s="562"/>
      <c r="F140" s="562"/>
      <c r="G140" s="562"/>
      <c r="H140" s="563"/>
      <c r="J140" s="142"/>
    </row>
    <row r="141" spans="2:10" x14ac:dyDescent="0.3">
      <c r="B141" s="197" t="s">
        <v>522</v>
      </c>
      <c r="C141" s="291" t="str">
        <f>IFERROR((C41-C31)/(C40-C32), " ")</f>
        <v xml:space="preserve"> </v>
      </c>
      <c r="D141" s="186"/>
      <c r="E141" s="186"/>
      <c r="F141" s="186"/>
      <c r="G141" s="186"/>
      <c r="H141" s="195"/>
      <c r="J141" s="142"/>
    </row>
    <row r="142" spans="2:10" x14ac:dyDescent="0.3">
      <c r="B142" s="197" t="s">
        <v>523</v>
      </c>
      <c r="C142" s="291" t="str">
        <f>IFERROR(C31-(C32*C141), " ")</f>
        <v xml:space="preserve"> </v>
      </c>
      <c r="D142" s="186"/>
      <c r="E142" s="186"/>
      <c r="F142" s="186"/>
      <c r="G142" s="186"/>
      <c r="H142" s="195"/>
      <c r="J142" s="142"/>
    </row>
    <row r="143" spans="2:10" x14ac:dyDescent="0.3">
      <c r="B143" s="197" t="s">
        <v>520</v>
      </c>
      <c r="C143" s="291" t="str">
        <f>IFERROR((C43-C31)/(C40-C32), " ")</f>
        <v xml:space="preserve"> </v>
      </c>
      <c r="D143" s="186"/>
      <c r="E143" s="186"/>
      <c r="F143" s="186"/>
      <c r="G143" s="186"/>
      <c r="H143" s="195"/>
      <c r="J143" s="142"/>
    </row>
    <row r="144" spans="2:10" x14ac:dyDescent="0.3">
      <c r="B144" s="197" t="s">
        <v>521</v>
      </c>
      <c r="C144" s="291" t="str">
        <f>IFERROR(C31-(C32*C143), " ")</f>
        <v xml:space="preserve"> </v>
      </c>
      <c r="D144" s="186"/>
      <c r="E144" s="186"/>
      <c r="F144" s="186"/>
      <c r="G144" s="186"/>
      <c r="H144" s="195"/>
      <c r="J144" s="142"/>
    </row>
    <row r="145" spans="1:10" x14ac:dyDescent="0.3">
      <c r="A145" s="186"/>
      <c r="B145" s="566"/>
      <c r="C145" s="567"/>
      <c r="D145" s="186"/>
      <c r="E145" s="186"/>
      <c r="F145" s="186"/>
      <c r="G145" s="186"/>
      <c r="H145" s="195"/>
      <c r="J145" s="142"/>
    </row>
    <row r="146" spans="1:10" ht="17.25" x14ac:dyDescent="0.35">
      <c r="B146" s="550"/>
      <c r="C146" s="837" t="s">
        <v>244</v>
      </c>
      <c r="D146" s="837"/>
      <c r="E146" s="837"/>
      <c r="F146" s="837"/>
      <c r="G146" s="837"/>
      <c r="H146" s="847"/>
      <c r="J146" s="142"/>
    </row>
    <row r="147" spans="1:10" ht="17.25" x14ac:dyDescent="0.35">
      <c r="B147" s="568" t="s">
        <v>430</v>
      </c>
      <c r="C147" s="569">
        <v>1</v>
      </c>
      <c r="D147" s="569">
        <v>2</v>
      </c>
      <c r="E147" s="569">
        <v>3</v>
      </c>
      <c r="F147" s="569">
        <v>4</v>
      </c>
      <c r="G147" s="569">
        <v>5</v>
      </c>
      <c r="H147" s="570">
        <v>6</v>
      </c>
      <c r="J147" s="142"/>
    </row>
    <row r="148" spans="1:10" x14ac:dyDescent="0.3">
      <c r="B148" s="197" t="s">
        <v>491</v>
      </c>
      <c r="C148" s="559" t="str">
        <f>IFERROR((C129-C142)/C141*C143+C144, " ")</f>
        <v xml:space="preserve"> </v>
      </c>
      <c r="D148" s="559" t="str">
        <f t="shared" ref="D148:H148" si="29">IFERROR((D129-D142)/D141*D143+D144, " ")</f>
        <v xml:space="preserve"> </v>
      </c>
      <c r="E148" s="559" t="str">
        <f t="shared" si="29"/>
        <v xml:space="preserve"> </v>
      </c>
      <c r="F148" s="559" t="str">
        <f t="shared" si="29"/>
        <v xml:space="preserve"> </v>
      </c>
      <c r="G148" s="559" t="str">
        <f t="shared" si="29"/>
        <v xml:space="preserve"> </v>
      </c>
      <c r="H148" s="559" t="str">
        <f t="shared" si="29"/>
        <v xml:space="preserve"> </v>
      </c>
      <c r="J148" s="142"/>
    </row>
    <row r="149" spans="1:10" x14ac:dyDescent="0.3">
      <c r="B149" s="197" t="s">
        <v>493</v>
      </c>
      <c r="C149" s="559" t="str">
        <f>IFERROR($C$32*((C148+$C$26)/($C$31+$C$26)), " ")</f>
        <v xml:space="preserve"> </v>
      </c>
      <c r="D149" s="559" t="str">
        <f t="shared" ref="D149:H149" si="30">IFERROR($C$32*((D148+$C$26)/($C$31+$C$26)), " ")</f>
        <v xml:space="preserve"> </v>
      </c>
      <c r="E149" s="559" t="str">
        <f t="shared" si="30"/>
        <v xml:space="preserve"> </v>
      </c>
      <c r="F149" s="559" t="str">
        <f t="shared" si="30"/>
        <v xml:space="preserve"> </v>
      </c>
      <c r="G149" s="559" t="str">
        <f t="shared" si="30"/>
        <v xml:space="preserve"> </v>
      </c>
      <c r="H149" s="559" t="str">
        <f t="shared" si="30"/>
        <v xml:space="preserve"> </v>
      </c>
      <c r="J149" s="142"/>
    </row>
    <row r="150" spans="1:10" x14ac:dyDescent="0.3">
      <c r="B150" s="197" t="s">
        <v>494</v>
      </c>
      <c r="C150" s="559" t="str">
        <f>IFERROR((1.5*(C132)^2*C149)/1000, " ")</f>
        <v xml:space="preserve"> </v>
      </c>
      <c r="D150" s="559" t="str">
        <f t="shared" ref="D150:H150" si="31">IFERROR((1.5*(D132)^2*D149)/1000, " ")</f>
        <v xml:space="preserve"> </v>
      </c>
      <c r="E150" s="559" t="str">
        <f t="shared" si="31"/>
        <v xml:space="preserve"> </v>
      </c>
      <c r="F150" s="559" t="str">
        <f t="shared" si="31"/>
        <v xml:space="preserve"> </v>
      </c>
      <c r="G150" s="559" t="str">
        <f t="shared" si="31"/>
        <v xml:space="preserve"> </v>
      </c>
      <c r="H150" s="559" t="str">
        <f t="shared" si="31"/>
        <v xml:space="preserve"> </v>
      </c>
      <c r="J150" s="142"/>
    </row>
    <row r="151" spans="1:10" x14ac:dyDescent="0.3">
      <c r="B151" s="197" t="s">
        <v>495</v>
      </c>
      <c r="C151" s="559" t="str">
        <f>IFERROR(C128-C150, " ")</f>
        <v xml:space="preserve"> </v>
      </c>
      <c r="D151" s="559" t="str">
        <f t="shared" ref="D151:H151" si="32">IFERROR(D128-D150, " ")</f>
        <v xml:space="preserve"> </v>
      </c>
      <c r="E151" s="559" t="str">
        <f t="shared" si="32"/>
        <v xml:space="preserve"> </v>
      </c>
      <c r="F151" s="559" t="str">
        <f t="shared" si="32"/>
        <v xml:space="preserve"> </v>
      </c>
      <c r="G151" s="559" t="str">
        <f t="shared" si="32"/>
        <v xml:space="preserve"> </v>
      </c>
      <c r="H151" s="559" t="str">
        <f t="shared" si="32"/>
        <v xml:space="preserve"> </v>
      </c>
      <c r="J151" s="142"/>
    </row>
    <row r="152" spans="1:10" ht="18" x14ac:dyDescent="0.3">
      <c r="B152" s="477" t="s">
        <v>613</v>
      </c>
      <c r="C152" s="571">
        <f t="shared" ref="C152:H152" si="33">C131^2</f>
        <v>0</v>
      </c>
      <c r="D152" s="571">
        <f t="shared" si="33"/>
        <v>0</v>
      </c>
      <c r="E152" s="571">
        <f t="shared" si="33"/>
        <v>0</v>
      </c>
      <c r="F152" s="571">
        <f t="shared" si="33"/>
        <v>0</v>
      </c>
      <c r="G152" s="571">
        <f t="shared" si="33"/>
        <v>0</v>
      </c>
      <c r="H152" s="571">
        <f t="shared" si="33"/>
        <v>0</v>
      </c>
      <c r="J152" s="142"/>
    </row>
    <row r="153" spans="1:10" x14ac:dyDescent="0.3">
      <c r="B153" s="197" t="s">
        <v>515</v>
      </c>
      <c r="C153" s="559" t="str">
        <f>IFERROR(C151-$C$156, " ")</f>
        <v xml:space="preserve"> </v>
      </c>
      <c r="D153" s="559" t="str">
        <f t="shared" ref="D153:H153" si="34">IFERROR(D151-$C$156, " ")</f>
        <v xml:space="preserve"> </v>
      </c>
      <c r="E153" s="559" t="str">
        <f t="shared" si="34"/>
        <v xml:space="preserve"> </v>
      </c>
      <c r="F153" s="559" t="str">
        <f t="shared" si="34"/>
        <v xml:space="preserve"> </v>
      </c>
      <c r="G153" s="559" t="str">
        <f t="shared" si="34"/>
        <v xml:space="preserve"> </v>
      </c>
      <c r="H153" s="559" t="str">
        <f t="shared" si="34"/>
        <v xml:space="preserve"> </v>
      </c>
      <c r="J153" s="142"/>
    </row>
    <row r="154" spans="1:10" x14ac:dyDescent="0.3">
      <c r="B154" s="541"/>
      <c r="C154" s="572"/>
      <c r="D154" s="572"/>
      <c r="E154" s="572"/>
      <c r="F154" s="572"/>
      <c r="G154" s="572"/>
      <c r="H154" s="573"/>
      <c r="J154" s="142"/>
    </row>
    <row r="155" spans="1:10" s="183" customFormat="1" ht="18.75" x14ac:dyDescent="0.35">
      <c r="B155" s="199" t="s">
        <v>614</v>
      </c>
      <c r="C155" s="572"/>
      <c r="D155" s="572"/>
      <c r="E155" s="572"/>
      <c r="F155" s="572"/>
      <c r="G155" s="572"/>
      <c r="H155" s="573"/>
      <c r="J155" s="142"/>
    </row>
    <row r="156" spans="1:10" x14ac:dyDescent="0.3">
      <c r="B156" s="197" t="s">
        <v>496</v>
      </c>
      <c r="C156" s="291" t="str">
        <f>IFERROR(INTERCEPT(G151:H151,G152:H152), " ")</f>
        <v xml:space="preserve"> </v>
      </c>
      <c r="D156" s="551"/>
      <c r="E156" s="551"/>
      <c r="F156" s="551"/>
      <c r="G156" s="551"/>
      <c r="H156" s="552"/>
      <c r="J156" s="142"/>
    </row>
    <row r="157" spans="1:10" x14ac:dyDescent="0.3">
      <c r="B157" s="197" t="s">
        <v>179</v>
      </c>
      <c r="C157" s="291" t="str">
        <f>IFERROR(CORREL(G151:H151,G152:H152), " ")</f>
        <v xml:space="preserve"> </v>
      </c>
      <c r="D157" s="551"/>
      <c r="E157" s="551"/>
      <c r="F157" s="551"/>
      <c r="G157" s="551"/>
      <c r="H157" s="552"/>
      <c r="J157" s="142"/>
    </row>
    <row r="158" spans="1:10" ht="17.25" thickBot="1" x14ac:dyDescent="0.35">
      <c r="B158" s="261" t="s">
        <v>180</v>
      </c>
      <c r="C158" s="295" t="str">
        <f>IF(C157&gt;=0.9, "Yes", "No")</f>
        <v>Yes</v>
      </c>
      <c r="D158" s="574"/>
      <c r="E158" s="574"/>
      <c r="F158" s="574"/>
      <c r="G158" s="574"/>
      <c r="H158" s="575"/>
      <c r="J158" s="142"/>
    </row>
    <row r="159" spans="1:10" ht="17.25" thickBot="1" x14ac:dyDescent="0.35">
      <c r="J159" s="142"/>
    </row>
    <row r="160" spans="1:10" ht="18" thickBot="1" x14ac:dyDescent="0.4">
      <c r="B160" s="808" t="s">
        <v>188</v>
      </c>
      <c r="C160" s="809"/>
      <c r="D160" s="809"/>
      <c r="E160" s="809"/>
      <c r="F160" s="809"/>
      <c r="G160" s="809"/>
      <c r="H160" s="810"/>
      <c r="J160" s="142"/>
    </row>
    <row r="161" spans="2:12" s="549" customFormat="1" ht="15" x14ac:dyDescent="0.25">
      <c r="B161" s="550"/>
      <c r="C161" s="551"/>
      <c r="D161" s="551"/>
      <c r="E161" s="551"/>
      <c r="F161" s="551"/>
      <c r="G161" s="551"/>
      <c r="H161" s="552"/>
      <c r="J161" s="553"/>
    </row>
    <row r="162" spans="2:12" s="549" customFormat="1" ht="33" customHeight="1" x14ac:dyDescent="0.3">
      <c r="B162" s="557" t="s">
        <v>178</v>
      </c>
      <c r="C162" s="606"/>
      <c r="D162" s="551"/>
      <c r="E162" s="551"/>
      <c r="F162" s="551"/>
      <c r="G162" s="551"/>
      <c r="H162" s="552"/>
      <c r="J162" s="553"/>
    </row>
    <row r="163" spans="2:12" s="549" customFormat="1" ht="15.95" customHeight="1" x14ac:dyDescent="0.25">
      <c r="B163" s="550"/>
      <c r="C163" s="551"/>
      <c r="D163" s="551"/>
      <c r="E163" s="551"/>
      <c r="F163" s="551"/>
      <c r="G163" s="551"/>
      <c r="H163" s="552"/>
      <c r="J163" s="553"/>
    </row>
    <row r="164" spans="2:12" ht="18" customHeight="1" x14ac:dyDescent="0.35">
      <c r="B164" s="554" t="s">
        <v>205</v>
      </c>
      <c r="C164" s="837" t="s">
        <v>210</v>
      </c>
      <c r="D164" s="837"/>
      <c r="E164" s="837"/>
      <c r="F164" s="546"/>
      <c r="G164" s="547"/>
      <c r="H164" s="548"/>
      <c r="J164" s="142"/>
      <c r="L164" s="186"/>
    </row>
    <row r="165" spans="2:12" ht="35.450000000000003" customHeight="1" x14ac:dyDescent="0.3">
      <c r="B165" s="212" t="s">
        <v>175</v>
      </c>
      <c r="C165" s="838" t="s">
        <v>524</v>
      </c>
      <c r="D165" s="838"/>
      <c r="E165" s="838"/>
      <c r="F165" s="555"/>
      <c r="G165" s="186"/>
      <c r="H165" s="195"/>
      <c r="J165" s="142"/>
      <c r="L165" s="186"/>
    </row>
    <row r="166" spans="2:12" ht="18" customHeight="1" x14ac:dyDescent="0.3">
      <c r="B166" s="212" t="s">
        <v>209</v>
      </c>
      <c r="C166" s="839" t="s">
        <v>525</v>
      </c>
      <c r="D166" s="839"/>
      <c r="E166" s="839"/>
      <c r="F166" s="556"/>
      <c r="G166" s="186"/>
      <c r="H166" s="195"/>
      <c r="J166" s="142"/>
      <c r="L166" s="186"/>
    </row>
    <row r="167" spans="2:12" ht="18" customHeight="1" x14ac:dyDescent="0.3">
      <c r="B167" s="199"/>
      <c r="C167" s="186"/>
      <c r="D167" s="186"/>
      <c r="E167" s="186"/>
      <c r="F167" s="186"/>
      <c r="G167" s="186"/>
      <c r="H167" s="195"/>
      <c r="J167" s="142"/>
    </row>
    <row r="168" spans="2:12" ht="18" customHeight="1" x14ac:dyDescent="0.35">
      <c r="B168" s="346"/>
      <c r="C168" s="840" t="s">
        <v>205</v>
      </c>
      <c r="D168" s="841"/>
      <c r="E168" s="186"/>
      <c r="F168" s="186"/>
      <c r="G168" s="186"/>
      <c r="H168" s="195"/>
      <c r="J168" s="142"/>
    </row>
    <row r="169" spans="2:12" ht="18" customHeight="1" x14ac:dyDescent="0.35">
      <c r="B169" s="260" t="s">
        <v>203</v>
      </c>
      <c r="C169" s="193" t="s">
        <v>175</v>
      </c>
      <c r="D169" s="193" t="s">
        <v>209</v>
      </c>
      <c r="E169" s="186"/>
      <c r="F169" s="186"/>
      <c r="G169" s="186"/>
      <c r="H169" s="195"/>
      <c r="J169" s="142"/>
    </row>
    <row r="170" spans="2:12" ht="18" customHeight="1" x14ac:dyDescent="0.3">
      <c r="B170" s="197" t="s">
        <v>512</v>
      </c>
      <c r="C170" s="606"/>
      <c r="D170" s="606"/>
      <c r="E170" s="186"/>
      <c r="F170" s="186"/>
      <c r="G170" s="186"/>
      <c r="H170" s="195"/>
      <c r="J170" s="142"/>
    </row>
    <row r="171" spans="2:12" ht="18" customHeight="1" x14ac:dyDescent="0.3">
      <c r="B171" s="197" t="s">
        <v>438</v>
      </c>
      <c r="C171" s="606"/>
      <c r="D171" s="606"/>
      <c r="E171" s="186"/>
      <c r="F171" s="186"/>
      <c r="G171" s="186"/>
      <c r="H171" s="195"/>
      <c r="J171" s="142"/>
    </row>
    <row r="172" spans="2:12" ht="18" customHeight="1" x14ac:dyDescent="0.3">
      <c r="B172" s="197" t="s">
        <v>439</v>
      </c>
      <c r="C172" s="606"/>
      <c r="D172" s="606"/>
      <c r="E172" s="186"/>
      <c r="F172" s="186"/>
      <c r="G172" s="186"/>
      <c r="H172" s="195"/>
      <c r="J172" s="523"/>
    </row>
    <row r="173" spans="2:12" ht="18" customHeight="1" x14ac:dyDescent="0.3">
      <c r="B173" s="197" t="s">
        <v>440</v>
      </c>
      <c r="C173" s="606"/>
      <c r="D173" s="611"/>
      <c r="E173" s="186"/>
      <c r="F173" s="186"/>
      <c r="G173" s="186"/>
      <c r="H173" s="195"/>
      <c r="J173" s="142"/>
    </row>
    <row r="174" spans="2:12" ht="18" customHeight="1" x14ac:dyDescent="0.3">
      <c r="B174" s="197" t="s">
        <v>513</v>
      </c>
      <c r="C174" s="606"/>
      <c r="D174" s="606"/>
      <c r="E174" s="186"/>
      <c r="F174" s="186"/>
      <c r="G174" s="186"/>
      <c r="H174" s="195"/>
      <c r="J174" s="142"/>
    </row>
    <row r="175" spans="2:12" ht="18" customHeight="1" x14ac:dyDescent="0.3">
      <c r="B175" s="197" t="s">
        <v>489</v>
      </c>
      <c r="C175" s="606"/>
      <c r="D175" s="606"/>
      <c r="E175" s="186"/>
      <c r="F175" s="186"/>
      <c r="G175" s="186"/>
      <c r="H175" s="195"/>
      <c r="J175" s="142"/>
    </row>
    <row r="176" spans="2:12" ht="20.100000000000001" customHeight="1" x14ac:dyDescent="0.3">
      <c r="B176" s="197" t="s">
        <v>434</v>
      </c>
      <c r="C176" s="612"/>
      <c r="D176" s="606"/>
      <c r="E176" s="186"/>
      <c r="F176" s="186"/>
      <c r="G176" s="186"/>
      <c r="H176" s="195"/>
      <c r="J176" s="142"/>
    </row>
    <row r="177" spans="2:13" ht="20.45" customHeight="1" x14ac:dyDescent="0.3">
      <c r="B177" s="197" t="s">
        <v>435</v>
      </c>
      <c r="C177" s="613"/>
      <c r="D177" s="606"/>
      <c r="E177" s="186"/>
      <c r="F177" s="186"/>
      <c r="G177" s="186"/>
      <c r="H177" s="195"/>
      <c r="J177" s="142"/>
    </row>
    <row r="178" spans="2:13" ht="17.100000000000001" customHeight="1" x14ac:dyDescent="0.3">
      <c r="B178" s="197" t="s">
        <v>436</v>
      </c>
      <c r="C178" s="606"/>
      <c r="D178" s="606"/>
      <c r="E178" s="186"/>
      <c r="F178" s="186"/>
      <c r="G178" s="186"/>
      <c r="H178" s="195"/>
      <c r="J178" s="142"/>
    </row>
    <row r="179" spans="2:13" ht="17.100000000000001" customHeight="1" x14ac:dyDescent="0.3">
      <c r="B179" s="197" t="s">
        <v>282</v>
      </c>
      <c r="C179" s="606"/>
      <c r="D179" s="606" t="s">
        <v>651</v>
      </c>
      <c r="E179" s="186"/>
      <c r="F179" s="186"/>
      <c r="G179" s="186"/>
      <c r="H179" s="195"/>
      <c r="J179" s="142"/>
    </row>
    <row r="180" spans="2:13" ht="17.100000000000001" customHeight="1" x14ac:dyDescent="0.3">
      <c r="B180" s="197" t="s">
        <v>201</v>
      </c>
      <c r="C180" s="606"/>
      <c r="D180" s="606"/>
      <c r="E180" s="186"/>
      <c r="F180" s="186"/>
      <c r="G180" s="186"/>
      <c r="H180" s="195"/>
      <c r="J180" s="142"/>
    </row>
    <row r="181" spans="2:13" ht="18" customHeight="1" x14ac:dyDescent="0.3">
      <c r="B181" s="197" t="s">
        <v>527</v>
      </c>
      <c r="C181" s="606"/>
      <c r="D181" s="315"/>
      <c r="E181" s="186"/>
      <c r="F181" s="186"/>
      <c r="G181" s="186"/>
      <c r="H181" s="195"/>
      <c r="J181" s="142"/>
    </row>
    <row r="182" spans="2:13" ht="18" customHeight="1" x14ac:dyDescent="0.3">
      <c r="B182" s="412" t="s">
        <v>526</v>
      </c>
      <c r="C182" s="614"/>
      <c r="D182" s="315"/>
      <c r="E182" s="186"/>
      <c r="F182" s="186"/>
      <c r="G182" s="186"/>
      <c r="H182" s="195"/>
      <c r="J182" s="142"/>
    </row>
    <row r="183" spans="2:13" x14ac:dyDescent="0.3">
      <c r="B183" s="197" t="s">
        <v>431</v>
      </c>
      <c r="C183" s="304">
        <f>(C176+C177+C178)/3</f>
        <v>0</v>
      </c>
      <c r="D183" s="304">
        <f>(D176+D177+D178)/3</f>
        <v>0</v>
      </c>
      <c r="E183" s="186"/>
      <c r="F183" s="186"/>
      <c r="G183" s="186"/>
      <c r="H183" s="195"/>
      <c r="J183" s="142"/>
    </row>
    <row r="184" spans="2:13" x14ac:dyDescent="0.3">
      <c r="B184" s="197" t="s">
        <v>519</v>
      </c>
      <c r="C184" s="304">
        <f>(C171+C172+C173)/3</f>
        <v>0</v>
      </c>
      <c r="D184" s="304">
        <f>(D171+D172+D173)/3</f>
        <v>0</v>
      </c>
      <c r="E184" s="186"/>
      <c r="F184" s="186"/>
      <c r="G184" s="186"/>
      <c r="H184" s="195"/>
      <c r="J184" s="142"/>
    </row>
    <row r="185" spans="2:13" x14ac:dyDescent="0.3">
      <c r="B185" s="197" t="s">
        <v>516</v>
      </c>
      <c r="C185" s="291" t="str">
        <f>IFERROR(ABS(100*(MAX(ABS(C172-C183), ABS(C173-C183), ABS(C174-C183))/C183)), " ")</f>
        <v xml:space="preserve"> </v>
      </c>
      <c r="D185" s="291" t="str">
        <f>IFERROR(ABS(100*(MAX(ABS(D172-D183), ABS(D173-D183), ABS(D174-D183))/D183)), " ")</f>
        <v xml:space="preserve"> </v>
      </c>
      <c r="E185" s="186"/>
      <c r="F185" s="186"/>
      <c r="G185" s="186"/>
      <c r="H185" s="195"/>
      <c r="J185" s="142"/>
    </row>
    <row r="186" spans="2:13" x14ac:dyDescent="0.3">
      <c r="B186" s="197" t="s">
        <v>517</v>
      </c>
      <c r="C186" s="291" t="str">
        <f>IFERROR(ABS(100*(($C$22-C180)/$C$22)), " ")</f>
        <v xml:space="preserve"> </v>
      </c>
      <c r="D186" s="291" t="str">
        <f>IFERROR(ABS(100*(($C$22-D180)/$C$22)), " ")</f>
        <v xml:space="preserve"> </v>
      </c>
      <c r="E186" s="186"/>
      <c r="F186" s="186"/>
      <c r="G186" s="186"/>
      <c r="H186" s="195"/>
      <c r="J186" s="142"/>
    </row>
    <row r="187" spans="2:13" x14ac:dyDescent="0.3">
      <c r="B187" s="541"/>
      <c r="C187" s="542"/>
      <c r="D187" s="542"/>
      <c r="E187" s="186"/>
      <c r="F187" s="186"/>
      <c r="G187" s="186"/>
      <c r="H187" s="195"/>
      <c r="J187" s="142"/>
    </row>
    <row r="188" spans="2:13" ht="33.6" customHeight="1" x14ac:dyDescent="0.3">
      <c r="B188" s="543" t="s">
        <v>538</v>
      </c>
      <c r="C188" s="842" t="str">
        <f>IF((COUNTIF(C179:D179, "&gt;5")+COUNTIF(C185:D185, "&gt;0.5")+COUNTIF(C186:D186, "&gt;0.5"))&gt;=1, "Supply requirements unmet - ensure that THD does not exceed 5%, and both voltage unbalance and frequency variation are within 0.5%", "Data is permissible - may proceed with testing")</f>
        <v>Data is permissible - may proceed with testing</v>
      </c>
      <c r="D188" s="843"/>
      <c r="E188" s="843"/>
      <c r="F188" s="843"/>
      <c r="H188" s="195"/>
      <c r="J188" s="142"/>
    </row>
    <row r="189" spans="2:13" x14ac:dyDescent="0.3">
      <c r="B189" s="199"/>
      <c r="H189" s="195"/>
      <c r="J189" s="142"/>
    </row>
    <row r="190" spans="2:13" ht="18" customHeight="1" thickBot="1" x14ac:dyDescent="0.4">
      <c r="B190" s="827" t="s">
        <v>191</v>
      </c>
      <c r="C190" s="828"/>
      <c r="D190" s="828"/>
      <c r="E190" s="828"/>
      <c r="F190" s="828"/>
      <c r="G190" s="248"/>
      <c r="H190" s="249"/>
      <c r="J190" s="142"/>
    </row>
    <row r="191" spans="2:13" ht="18" customHeight="1" x14ac:dyDescent="0.35">
      <c r="B191" s="544" t="s">
        <v>69</v>
      </c>
      <c r="C191" s="545" t="s">
        <v>70</v>
      </c>
      <c r="D191" s="546"/>
      <c r="E191" s="546"/>
      <c r="F191" s="546"/>
      <c r="G191" s="547"/>
      <c r="H191" s="548"/>
      <c r="J191" s="142"/>
      <c r="L191" s="186"/>
      <c r="M191" s="186"/>
    </row>
    <row r="192" spans="2:13" x14ac:dyDescent="0.3">
      <c r="B192" s="197" t="s">
        <v>226</v>
      </c>
      <c r="C192" s="304" t="str">
        <f>IFERROR(120*(C180/C24), " ")</f>
        <v xml:space="preserve"> </v>
      </c>
      <c r="D192" s="186"/>
      <c r="E192" s="186"/>
      <c r="F192" s="186"/>
      <c r="G192" s="186"/>
      <c r="H192" s="195"/>
      <c r="J192" s="142"/>
    </row>
    <row r="193" spans="1:10" x14ac:dyDescent="0.3">
      <c r="B193" s="197" t="s">
        <v>528</v>
      </c>
      <c r="C193" s="304" t="str">
        <f>IFERROR((C192-C181)/C192, " ")</f>
        <v xml:space="preserve"> </v>
      </c>
      <c r="D193" s="186"/>
      <c r="E193" s="186"/>
      <c r="F193" s="186"/>
      <c r="G193" s="186"/>
      <c r="H193" s="195"/>
      <c r="J193" s="142"/>
    </row>
    <row r="194" spans="1:10" x14ac:dyDescent="0.3">
      <c r="B194" s="541" t="s">
        <v>533</v>
      </c>
      <c r="C194" s="304" t="str">
        <f>IFERROR((C174-C142)/C141*C143+C144, " ")</f>
        <v xml:space="preserve"> </v>
      </c>
      <c r="D194" s="186"/>
      <c r="E194" s="186"/>
      <c r="F194" s="186"/>
      <c r="G194" s="186"/>
      <c r="H194" s="195"/>
      <c r="J194" s="142"/>
    </row>
    <row r="195" spans="1:10" x14ac:dyDescent="0.3">
      <c r="B195" s="197" t="s">
        <v>534</v>
      </c>
      <c r="C195" s="304" t="str">
        <f>IFERROR(C32*((C194+C26)/(C31+C26)), " ")</f>
        <v xml:space="preserve"> </v>
      </c>
      <c r="D195" s="186"/>
      <c r="E195" s="186"/>
      <c r="F195" s="186"/>
      <c r="G195" s="186"/>
      <c r="H195" s="195"/>
      <c r="J195" s="142"/>
    </row>
    <row r="196" spans="1:10" x14ac:dyDescent="0.3">
      <c r="B196" s="197" t="s">
        <v>529</v>
      </c>
      <c r="C196" s="304" t="str">
        <f>IFERROR((1.5*C184^2*C195)/1000, " ")</f>
        <v xml:space="preserve"> </v>
      </c>
      <c r="D196" s="186"/>
      <c r="E196" s="186"/>
      <c r="F196" s="186"/>
      <c r="G196" s="186"/>
      <c r="H196" s="195"/>
      <c r="J196" s="142"/>
    </row>
    <row r="197" spans="1:10" x14ac:dyDescent="0.3">
      <c r="B197" s="541" t="s">
        <v>531</v>
      </c>
      <c r="C197" s="304" t="str">
        <f>IFERROR((D174-C142)/C141*C143+C144, " ")</f>
        <v xml:space="preserve"> </v>
      </c>
      <c r="D197" s="186"/>
      <c r="E197" s="186"/>
      <c r="F197" s="186"/>
      <c r="G197" s="186"/>
      <c r="H197" s="195"/>
      <c r="J197" s="142"/>
    </row>
    <row r="198" spans="1:10" x14ac:dyDescent="0.3">
      <c r="B198" s="197" t="s">
        <v>532</v>
      </c>
      <c r="C198" s="304" t="str">
        <f>IFERROR(C32*((C197+C26)/(C31+C26)), " ")</f>
        <v xml:space="preserve"> </v>
      </c>
      <c r="D198" s="186"/>
      <c r="E198" s="186"/>
      <c r="F198" s="186"/>
      <c r="G198" s="186"/>
      <c r="H198" s="195"/>
      <c r="J198" s="142"/>
    </row>
    <row r="199" spans="1:10" x14ac:dyDescent="0.3">
      <c r="B199" s="197" t="s">
        <v>530</v>
      </c>
      <c r="C199" s="304" t="str">
        <f>IFERROR((1.5*D184^2*C198)/1000, " ")</f>
        <v xml:space="preserve"> </v>
      </c>
      <c r="D199" s="186"/>
      <c r="E199" s="186"/>
      <c r="F199" s="186"/>
      <c r="G199" s="186"/>
      <c r="H199" s="195"/>
      <c r="J199" s="142"/>
    </row>
    <row r="200" spans="1:10" x14ac:dyDescent="0.3">
      <c r="B200" s="197" t="s">
        <v>535</v>
      </c>
      <c r="C200" s="304" t="str">
        <f>IFERROR(_xlfn.FORECAST.LINEAR(C23,C153:F153,C131:F131), " ")</f>
        <v xml:space="preserve"> </v>
      </c>
      <c r="D200" s="186"/>
      <c r="E200" s="186"/>
      <c r="F200" s="186"/>
      <c r="G200" s="186"/>
      <c r="H200" s="195"/>
      <c r="J200" s="142"/>
    </row>
    <row r="201" spans="1:10" ht="17.25" thickBot="1" x14ac:dyDescent="0.35">
      <c r="B201" s="261" t="s">
        <v>383</v>
      </c>
      <c r="C201" s="349">
        <f>IF(C162="Yes", (9549/C181)*((C170-C196-C200)*(1-C193)-(D170-C199-C200))-C182, 0)</f>
        <v>0</v>
      </c>
      <c r="D201" s="248"/>
      <c r="E201" s="248"/>
      <c r="F201" s="248"/>
      <c r="G201" s="248"/>
      <c r="H201" s="249"/>
      <c r="J201" s="142"/>
    </row>
    <row r="202" spans="1:10" x14ac:dyDescent="0.3">
      <c r="J202" s="142"/>
    </row>
    <row r="203" spans="1:10" x14ac:dyDescent="0.3">
      <c r="J203" s="142"/>
    </row>
    <row r="204" spans="1:10" x14ac:dyDescent="0.3">
      <c r="A204" s="142"/>
      <c r="B204" s="142"/>
      <c r="C204" s="142"/>
      <c r="D204" s="142"/>
      <c r="E204" s="142"/>
      <c r="F204" s="142"/>
      <c r="G204" s="142"/>
      <c r="H204" s="142"/>
      <c r="I204" s="142"/>
      <c r="J204" s="142"/>
    </row>
  </sheetData>
  <sheetProtection algorithmName="SHA-512" hashValue="3rWSt/XcXT2a+qLhFiQRp+4m4gi2fn58H0G2iYkuwjhLLCBJJKZm1aXjBVrzg/skzXRAIZ3xZwGDq0QqhLVexw==" saltValue="fiQctYcXaUkCDC2N19JcSg==" spinCount="100000" sheet="1" selectLockedCells="1"/>
  <mergeCells count="26">
    <mergeCell ref="B2:C2"/>
    <mergeCell ref="B16:H16"/>
    <mergeCell ref="B17:H17"/>
    <mergeCell ref="B19:H19"/>
    <mergeCell ref="B160:H160"/>
    <mergeCell ref="B28:H28"/>
    <mergeCell ref="B34:H34"/>
    <mergeCell ref="B47:H47"/>
    <mergeCell ref="B110:H110"/>
    <mergeCell ref="B86:H86"/>
    <mergeCell ref="C56:H56"/>
    <mergeCell ref="B35:F36"/>
    <mergeCell ref="C119:H119"/>
    <mergeCell ref="C146:H146"/>
    <mergeCell ref="B190:F190"/>
    <mergeCell ref="B138:H138"/>
    <mergeCell ref="B11:H11"/>
    <mergeCell ref="B12:H12"/>
    <mergeCell ref="C87:H87"/>
    <mergeCell ref="C164:E164"/>
    <mergeCell ref="C165:E165"/>
    <mergeCell ref="C166:E166"/>
    <mergeCell ref="C168:D168"/>
    <mergeCell ref="C84:F84"/>
    <mergeCell ref="C136:F136"/>
    <mergeCell ref="C188:F188"/>
  </mergeCells>
  <conditionalFormatting sqref="B164:H189">
    <cfRule type="expression" dxfId="6" priority="1">
      <formula>$C$162="No"</formula>
    </cfRule>
  </conditionalFormatting>
  <hyperlinks>
    <hyperlink ref="G2" location="Instructions!B37" display="Back to Instructions tab" xr:uid="{F3A9B3C7-1475-4F27-A313-230243BDCDD0}"/>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BD63027-7342-43C6-83C2-6181C166BDA1}">
          <x14:formula1>
            <xm:f>'Drop-downs'!$B$33:$B$34</xm:f>
          </x14:formula1>
          <xm:sqref>C162 C14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094A8-9045-4ABF-AEBD-782129F1654A}">
  <sheetPr>
    <tabColor rgb="FF0070C0"/>
  </sheetPr>
  <dimension ref="A1:M99"/>
  <sheetViews>
    <sheetView showGridLines="0" zoomScale="80" zoomScaleNormal="80" workbookViewId="0">
      <selection activeCell="C14" sqref="C14"/>
    </sheetView>
  </sheetViews>
  <sheetFormatPr defaultColWidth="9.140625" defaultRowHeight="18" customHeight="1" x14ac:dyDescent="0.3"/>
  <cols>
    <col min="1" max="1" width="9.140625" style="141"/>
    <col min="2" max="2" width="36.28515625" style="141" customWidth="1"/>
    <col min="3" max="3" width="42.85546875" style="141" customWidth="1"/>
    <col min="4" max="4" width="38.7109375" style="141" customWidth="1"/>
    <col min="5" max="5" width="36.85546875" style="141" customWidth="1"/>
    <col min="6" max="6" width="51" style="141" customWidth="1"/>
    <col min="7" max="7" width="11.42578125" style="141" customWidth="1"/>
    <col min="8" max="8" width="3.5703125" style="141" customWidth="1"/>
    <col min="9" max="9" width="12.42578125" style="183" customWidth="1"/>
    <col min="10" max="10" width="15" style="141" customWidth="1"/>
    <col min="11" max="16384" width="9.140625" style="141"/>
  </cols>
  <sheetData>
    <row r="1" spans="2:10" ht="18" customHeight="1" thickBot="1" x14ac:dyDescent="0.35">
      <c r="H1" s="142"/>
    </row>
    <row r="2" spans="2:10" ht="18" customHeight="1" thickBot="1" x14ac:dyDescent="0.35">
      <c r="B2" s="752" t="str">
        <f>'Version Control'!$B$2</f>
        <v>Title Block</v>
      </c>
      <c r="C2" s="753"/>
      <c r="E2" s="158" t="s">
        <v>37</v>
      </c>
      <c r="H2" s="142"/>
    </row>
    <row r="3" spans="2:10" ht="18" customHeight="1" x14ac:dyDescent="0.3">
      <c r="B3" s="143" t="str">
        <f>'Version Control'!$B$3</f>
        <v>Test Report Template Name:</v>
      </c>
      <c r="C3" s="144" t="str">
        <f>'Version Control'!C3</f>
        <v>Electric Motors</v>
      </c>
      <c r="H3" s="142"/>
    </row>
    <row r="4" spans="2:10" ht="18" customHeight="1" x14ac:dyDescent="0.3">
      <c r="B4" s="145" t="str">
        <f>'Version Control'!$B$4</f>
        <v>Version Number:</v>
      </c>
      <c r="C4" s="146" t="str">
        <f>'Version Control'!C4</f>
        <v>v1.0</v>
      </c>
      <c r="H4" s="142"/>
    </row>
    <row r="5" spans="2:10" ht="18" customHeight="1" x14ac:dyDescent="0.3">
      <c r="B5" s="145" t="str">
        <f>'Version Control'!$B$5</f>
        <v xml:space="preserve">Latest Template Revision: </v>
      </c>
      <c r="C5" s="147">
        <f>'Version Control'!C5</f>
        <v>45567</v>
      </c>
      <c r="H5" s="142"/>
    </row>
    <row r="6" spans="2:10" ht="18" customHeight="1" x14ac:dyDescent="0.3">
      <c r="B6" s="145" t="str">
        <f>'Version Control'!$B$6</f>
        <v>Tab Name:</v>
      </c>
      <c r="C6" s="148" t="str">
        <f ca="1">MID(CELL("filename",A1), FIND("]", CELL("filename", A1))+ 1, 255)</f>
        <v>IEC 60034-2-1 Method 2-1-1A</v>
      </c>
      <c r="H6" s="142"/>
    </row>
    <row r="7" spans="2:10" ht="36" customHeight="1" x14ac:dyDescent="0.3">
      <c r="B7" s="104" t="str">
        <f>'Version Control'!$B$7</f>
        <v>File Name:</v>
      </c>
      <c r="C7" s="149" t="str">
        <f ca="1">'Version Control'!C7</f>
        <v>Electric Motors -  v1.0.xlsx</v>
      </c>
      <c r="H7" s="142"/>
    </row>
    <row r="8" spans="2:10" ht="16.5" x14ac:dyDescent="0.3">
      <c r="B8" s="150" t="s">
        <v>42</v>
      </c>
      <c r="C8" s="151" t="str">
        <f>'General Info &amp; Test Results'!C17</f>
        <v>[MM/DD/YYYY]</v>
      </c>
      <c r="H8" s="142"/>
    </row>
    <row r="9" spans="2:10" ht="18" customHeight="1" thickBot="1" x14ac:dyDescent="0.35">
      <c r="B9" s="152" t="str">
        <f>'Version Control'!$B$9</f>
        <v>Date Test Finished:</v>
      </c>
      <c r="C9" s="153" t="str">
        <f>'Version Control'!C9</f>
        <v>[MM/DD/YYYY]</v>
      </c>
      <c r="H9" s="142"/>
    </row>
    <row r="10" spans="2:10" ht="18" customHeight="1" thickBot="1" x14ac:dyDescent="0.35">
      <c r="B10" s="154"/>
      <c r="C10" s="155"/>
      <c r="H10" s="142"/>
    </row>
    <row r="11" spans="2:10" s="22" customFormat="1" thickBot="1" x14ac:dyDescent="0.4">
      <c r="B11" s="808" t="s">
        <v>586</v>
      </c>
      <c r="C11" s="809"/>
      <c r="D11" s="809"/>
      <c r="E11" s="809"/>
      <c r="F11" s="810"/>
      <c r="G11" s="491"/>
      <c r="H11" s="526"/>
    </row>
    <row r="12" spans="2:10" s="22" customFormat="1" ht="135.6" customHeight="1" thickBot="1" x14ac:dyDescent="0.35">
      <c r="B12" s="855" t="s">
        <v>591</v>
      </c>
      <c r="C12" s="856"/>
      <c r="D12" s="856"/>
      <c r="E12" s="856"/>
      <c r="F12" s="857"/>
      <c r="G12" s="445"/>
      <c r="H12" s="527"/>
    </row>
    <row r="13" spans="2:10" s="22" customFormat="1" ht="18.95" customHeight="1" x14ac:dyDescent="0.3">
      <c r="B13" s="487"/>
      <c r="C13" s="488"/>
      <c r="D13" s="488"/>
      <c r="E13" s="488"/>
      <c r="F13" s="488"/>
      <c r="G13" s="488"/>
      <c r="H13" s="528"/>
    </row>
    <row r="14" spans="2:10" s="22" customFormat="1" ht="58.5" customHeight="1" x14ac:dyDescent="0.3">
      <c r="B14" s="489" t="s">
        <v>587</v>
      </c>
      <c r="C14" s="605"/>
      <c r="D14" s="488"/>
      <c r="E14" s="488"/>
      <c r="F14" s="488"/>
      <c r="G14" s="488"/>
      <c r="H14" s="528"/>
    </row>
    <row r="15" spans="2:10" s="22" customFormat="1" ht="21.6" customHeight="1" thickBot="1" x14ac:dyDescent="0.7">
      <c r="B15" s="484"/>
      <c r="C15" s="485"/>
      <c r="D15" s="208"/>
      <c r="E15" s="208"/>
      <c r="F15" s="208"/>
      <c r="G15" s="208"/>
      <c r="H15" s="524"/>
      <c r="I15" s="208"/>
      <c r="J15" s="208"/>
    </row>
    <row r="16" spans="2:10" ht="18" customHeight="1" thickBot="1" x14ac:dyDescent="0.4">
      <c r="B16" s="808" t="s">
        <v>181</v>
      </c>
      <c r="C16" s="809"/>
      <c r="D16" s="809"/>
      <c r="E16" s="809"/>
      <c r="F16" s="810"/>
      <c r="H16" s="142"/>
    </row>
    <row r="17" spans="2:13" ht="38.450000000000003" customHeight="1" thickBot="1" x14ac:dyDescent="0.35">
      <c r="B17" s="852" t="s">
        <v>610</v>
      </c>
      <c r="C17" s="853"/>
      <c r="D17" s="853"/>
      <c r="E17" s="853"/>
      <c r="F17" s="854"/>
      <c r="H17" s="142"/>
    </row>
    <row r="18" spans="2:13" ht="20.45" customHeight="1" thickBot="1" x14ac:dyDescent="0.35">
      <c r="B18" s="307"/>
      <c r="C18" s="307"/>
      <c r="D18" s="307"/>
      <c r="E18" s="307"/>
      <c r="F18" s="307"/>
      <c r="H18" s="142"/>
    </row>
    <row r="19" spans="2:13" s="22" customFormat="1" ht="18" customHeight="1" thickBot="1" x14ac:dyDescent="0.4">
      <c r="B19" s="818" t="s">
        <v>183</v>
      </c>
      <c r="C19" s="819"/>
      <c r="D19" s="819"/>
      <c r="E19" s="819"/>
      <c r="F19" s="820"/>
      <c r="G19" s="184"/>
      <c r="H19" s="529"/>
      <c r="I19" s="173"/>
      <c r="J19" s="173"/>
    </row>
    <row r="20" spans="2:13" ht="20.100000000000001" customHeight="1" x14ac:dyDescent="0.3">
      <c r="B20" s="273" t="s">
        <v>69</v>
      </c>
      <c r="C20" s="233" t="s">
        <v>70</v>
      </c>
      <c r="D20" s="307"/>
      <c r="E20" s="307"/>
      <c r="F20" s="328"/>
      <c r="H20" s="142"/>
    </row>
    <row r="21" spans="2:13" ht="20.45" customHeight="1" thickBot="1" x14ac:dyDescent="0.35">
      <c r="B21" s="321" t="s">
        <v>360</v>
      </c>
      <c r="C21" s="534">
        <f>'General Info &amp; Test Results'!C50*745.7</f>
        <v>0</v>
      </c>
      <c r="D21" s="329"/>
      <c r="E21" s="329"/>
      <c r="F21" s="330"/>
      <c r="H21" s="142"/>
    </row>
    <row r="22" spans="2:13" ht="18" customHeight="1" thickBot="1" x14ac:dyDescent="0.35">
      <c r="B22" s="154"/>
      <c r="C22" s="155"/>
      <c r="H22" s="142"/>
    </row>
    <row r="23" spans="2:13" ht="18" customHeight="1" thickBot="1" x14ac:dyDescent="0.4">
      <c r="B23" s="818" t="s">
        <v>652</v>
      </c>
      <c r="C23" s="819"/>
      <c r="D23" s="819"/>
      <c r="E23" s="819"/>
      <c r="F23" s="820"/>
      <c r="H23" s="142"/>
    </row>
    <row r="24" spans="2:13" ht="18" customHeight="1" x14ac:dyDescent="0.3">
      <c r="B24" s="401" t="s">
        <v>69</v>
      </c>
      <c r="C24" s="245" t="s">
        <v>70</v>
      </c>
      <c r="D24" s="186"/>
      <c r="E24" s="186"/>
      <c r="F24" s="195"/>
      <c r="G24" s="183"/>
      <c r="H24" s="142"/>
      <c r="I24" s="141"/>
    </row>
    <row r="25" spans="2:13" ht="21.95" customHeight="1" x14ac:dyDescent="0.3">
      <c r="B25" s="409" t="s">
        <v>414</v>
      </c>
      <c r="C25" s="285"/>
      <c r="D25" s="186"/>
      <c r="E25" s="186"/>
      <c r="F25" s="195"/>
      <c r="G25" s="183"/>
      <c r="H25" s="142"/>
      <c r="I25" s="141"/>
    </row>
    <row r="26" spans="2:13" ht="17.100000000000001" customHeight="1" x14ac:dyDescent="0.3">
      <c r="B26" s="397" t="s">
        <v>415</v>
      </c>
      <c r="C26" s="399"/>
      <c r="D26" s="400"/>
      <c r="E26" s="186"/>
      <c r="F26" s="195"/>
      <c r="G26" s="183"/>
      <c r="H26" s="142"/>
      <c r="I26" s="141"/>
    </row>
    <row r="27" spans="2:13" ht="19.5" customHeight="1" x14ac:dyDescent="0.3">
      <c r="B27" s="397" t="s">
        <v>259</v>
      </c>
      <c r="C27" s="222"/>
      <c r="D27" s="186"/>
      <c r="E27" s="186"/>
      <c r="F27" s="195"/>
      <c r="G27" s="183"/>
      <c r="H27" s="142"/>
      <c r="I27" s="141"/>
    </row>
    <row r="28" spans="2:13" ht="18" customHeight="1" x14ac:dyDescent="0.3">
      <c r="B28" s="397" t="s">
        <v>416</v>
      </c>
      <c r="C28" s="285"/>
      <c r="D28" s="186"/>
      <c r="E28" s="186"/>
      <c r="F28" s="195"/>
      <c r="G28" s="183"/>
      <c r="H28" s="142"/>
      <c r="I28" s="141"/>
    </row>
    <row r="29" spans="2:13" ht="18" customHeight="1" x14ac:dyDescent="0.3">
      <c r="B29" s="397" t="s">
        <v>346</v>
      </c>
      <c r="C29" s="285"/>
      <c r="D29" s="186" t="s">
        <v>569</v>
      </c>
      <c r="E29" s="186"/>
      <c r="F29" s="195"/>
      <c r="G29" s="183"/>
      <c r="H29" s="142"/>
      <c r="I29" s="141"/>
    </row>
    <row r="30" spans="2:13" ht="35.25" customHeight="1" x14ac:dyDescent="0.3">
      <c r="B30" s="270" t="s">
        <v>418</v>
      </c>
      <c r="C30" s="285"/>
      <c r="D30" s="186"/>
      <c r="E30" s="186"/>
      <c r="F30" s="195"/>
      <c r="G30" s="183"/>
      <c r="H30" s="142"/>
      <c r="I30" s="141"/>
    </row>
    <row r="31" spans="2:13" ht="23.1" customHeight="1" thickBot="1" x14ac:dyDescent="0.35">
      <c r="B31" s="398" t="s">
        <v>222</v>
      </c>
      <c r="C31" s="323" t="str">
        <f>IFERROR((2*PI()*C29*C28)/C27, " ")</f>
        <v xml:space="preserve"> </v>
      </c>
      <c r="D31" s="248"/>
      <c r="E31" s="248"/>
      <c r="F31" s="249"/>
      <c r="G31" s="186"/>
      <c r="H31" s="523"/>
      <c r="I31" s="185"/>
      <c r="J31" s="186"/>
      <c r="K31" s="186"/>
      <c r="L31" s="186"/>
      <c r="M31" s="186"/>
    </row>
    <row r="32" spans="2:13" ht="27.6" customHeight="1" x14ac:dyDescent="0.3">
      <c r="F32" s="186"/>
      <c r="G32" s="186"/>
      <c r="H32" s="523"/>
      <c r="I32" s="185"/>
      <c r="J32" s="186"/>
      <c r="K32" s="186"/>
      <c r="L32" s="186"/>
      <c r="M32" s="186"/>
    </row>
    <row r="33" spans="1:8" ht="17.100000000000001" customHeight="1" x14ac:dyDescent="0.3">
      <c r="A33" s="142"/>
      <c r="B33" s="142"/>
      <c r="C33" s="142"/>
      <c r="D33" s="142"/>
      <c r="E33" s="142"/>
      <c r="F33" s="142"/>
      <c r="G33" s="142"/>
      <c r="H33" s="142"/>
    </row>
    <row r="34" spans="1:8" ht="66.95" customHeight="1" x14ac:dyDescent="0.3"/>
    <row r="35" spans="1:8" ht="66.95" customHeight="1" x14ac:dyDescent="0.3"/>
    <row r="36" spans="1:8" ht="66.95" customHeight="1" x14ac:dyDescent="0.3"/>
    <row r="37" spans="1:8" ht="66.95" customHeight="1" x14ac:dyDescent="0.3"/>
    <row r="38" spans="1:8" ht="66.95" customHeight="1" x14ac:dyDescent="0.3"/>
    <row r="39" spans="1:8" ht="41.45" customHeight="1" x14ac:dyDescent="0.3"/>
    <row r="45" spans="1:8" ht="57.6" customHeight="1" x14ac:dyDescent="0.3"/>
    <row r="46" spans="1:8" ht="84.6" customHeight="1" x14ac:dyDescent="0.3"/>
    <row r="47" spans="1:8" ht="75.95" customHeight="1" x14ac:dyDescent="0.3"/>
    <row r="48" spans="1:8" ht="75.95" customHeight="1" x14ac:dyDescent="0.3"/>
    <row r="49" spans="2:3" ht="75.95" customHeight="1" x14ac:dyDescent="0.3"/>
    <row r="50" spans="2:3" ht="63.6" customHeight="1" x14ac:dyDescent="0.3"/>
    <row r="51" spans="2:3" ht="63.6" customHeight="1" x14ac:dyDescent="0.3"/>
    <row r="52" spans="2:3" ht="53.45" customHeight="1" x14ac:dyDescent="0.3"/>
    <row r="57" spans="2:3" ht="57.95" customHeight="1" x14ac:dyDescent="0.3"/>
    <row r="62" spans="2:3" ht="18" customHeight="1" thickBot="1" x14ac:dyDescent="0.35"/>
    <row r="63" spans="2:3" ht="18" customHeight="1" x14ac:dyDescent="0.35">
      <c r="B63" s="214"/>
      <c r="C63" s="214"/>
    </row>
    <row r="64" spans="2:3" ht="18" customHeight="1" x14ac:dyDescent="0.3">
      <c r="C64" s="215"/>
    </row>
    <row r="65" spans="2:4" ht="18" customHeight="1" x14ac:dyDescent="0.3">
      <c r="B65" s="211">
        <v>0.4</v>
      </c>
      <c r="C65" s="211">
        <v>0.3</v>
      </c>
    </row>
    <row r="66" spans="2:4" ht="18" customHeight="1" x14ac:dyDescent="0.3">
      <c r="B66" s="220"/>
      <c r="C66" s="220"/>
    </row>
    <row r="67" spans="2:4" ht="18" customHeight="1" x14ac:dyDescent="0.3">
      <c r="B67" s="220"/>
      <c r="C67" s="220"/>
    </row>
    <row r="68" spans="2:4" ht="18" customHeight="1" x14ac:dyDescent="0.3">
      <c r="B68" s="220"/>
      <c r="C68" s="220"/>
    </row>
    <row r="69" spans="2:4" ht="18" customHeight="1" thickBot="1" x14ac:dyDescent="0.35">
      <c r="B69" s="221"/>
      <c r="C69" s="221"/>
    </row>
    <row r="70" spans="2:4" ht="18" customHeight="1" x14ac:dyDescent="0.35">
      <c r="B70" s="221"/>
      <c r="C70" s="221"/>
      <c r="D70" s="214"/>
    </row>
    <row r="71" spans="2:4" ht="18" customHeight="1" x14ac:dyDescent="0.3">
      <c r="B71" s="211" t="s">
        <v>193</v>
      </c>
      <c r="C71" s="211" t="s">
        <v>193</v>
      </c>
    </row>
    <row r="73" spans="2:4" ht="18" customHeight="1" thickBot="1" x14ac:dyDescent="0.35"/>
    <row r="74" spans="2:4" ht="18" customHeight="1" x14ac:dyDescent="0.35">
      <c r="B74" s="214"/>
      <c r="C74" s="214"/>
    </row>
    <row r="75" spans="2:4" ht="18" customHeight="1" x14ac:dyDescent="0.3">
      <c r="C75" s="215"/>
    </row>
    <row r="76" spans="2:4" ht="18" customHeight="1" x14ac:dyDescent="0.3">
      <c r="B76" s="211">
        <v>0.4</v>
      </c>
      <c r="C76" s="211">
        <v>0.3</v>
      </c>
    </row>
    <row r="77" spans="2:4" ht="18" customHeight="1" x14ac:dyDescent="0.3">
      <c r="B77" s="221" t="e">
        <f>1.5*(B67)^2*B71</f>
        <v>#VALUE!</v>
      </c>
      <c r="C77" s="221" t="e">
        <f>1.5*(C67)^2*C71</f>
        <v>#VALUE!</v>
      </c>
    </row>
    <row r="78" spans="2:4" ht="18" customHeight="1" x14ac:dyDescent="0.3">
      <c r="B78" s="221" t="e">
        <f>B68-B77</f>
        <v>#VALUE!</v>
      </c>
      <c r="C78" s="221" t="e">
        <f>C68-C77</f>
        <v>#VALUE!</v>
      </c>
    </row>
    <row r="80" spans="2:4" ht="18" customHeight="1" thickBot="1" x14ac:dyDescent="0.35"/>
    <row r="81" spans="4:4" ht="18" customHeight="1" x14ac:dyDescent="0.35">
      <c r="D81" s="214"/>
    </row>
    <row r="99" ht="33.950000000000003" customHeight="1" x14ac:dyDescent="0.3"/>
  </sheetData>
  <sheetProtection algorithmName="SHA-512" hashValue="ASk/myCG/4frJwb83jxDeaSpfSiDXnF1BIMZpbJF5RWQ3m+wRGWY+kHnDQx4lIiJ45uEZZl1G56Vt+4SItWnPw==" saltValue="1lUiJ6a4mG4hTYg2ksSZiw==" spinCount="100000" sheet="1" selectLockedCells="1"/>
  <mergeCells count="7">
    <mergeCell ref="B2:C2"/>
    <mergeCell ref="B16:F16"/>
    <mergeCell ref="B17:F17"/>
    <mergeCell ref="B23:F23"/>
    <mergeCell ref="B19:F19"/>
    <mergeCell ref="B12:F12"/>
    <mergeCell ref="B11:F11"/>
  </mergeCells>
  <hyperlinks>
    <hyperlink ref="E2" location="Instructions!B37" display="Back to Instructions tab" xr:uid="{0E3E36A1-72D8-4B27-B8C3-06D6232D3B70}"/>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C59F8EC-3420-4BB2-B26C-A2E0EF465BBC}">
          <x14:formula1>
            <xm:f>'Drop-downs'!$B$33:$B$34</xm:f>
          </x14:formula1>
          <xm:sqref>C14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D63F0-E4CE-4349-BC74-F70833ED5B8E}">
  <sheetPr>
    <tabColor rgb="FF0070C0"/>
  </sheetPr>
  <dimension ref="A1:L140"/>
  <sheetViews>
    <sheetView showGridLines="0" zoomScale="80" zoomScaleNormal="80" workbookViewId="0">
      <selection activeCell="C14" sqref="C14"/>
    </sheetView>
  </sheetViews>
  <sheetFormatPr defaultColWidth="9.140625" defaultRowHeight="18" customHeight="1" x14ac:dyDescent="0.3"/>
  <cols>
    <col min="1" max="1" width="9.140625" style="141"/>
    <col min="2" max="2" width="45.140625" style="141" customWidth="1"/>
    <col min="3" max="3" width="53.42578125" style="141" customWidth="1"/>
    <col min="4" max="4" width="36.140625" style="141" customWidth="1"/>
    <col min="5" max="5" width="33.5703125" style="141" customWidth="1"/>
    <col min="6" max="6" width="31" style="141" customWidth="1"/>
    <col min="7" max="7" width="22.42578125" style="141" customWidth="1"/>
    <col min="8" max="8" width="20" style="141" customWidth="1"/>
    <col min="9" max="9" width="12.42578125" style="141" customWidth="1"/>
    <col min="10" max="10" width="15" style="141" customWidth="1"/>
    <col min="11" max="11" width="10.7109375" style="141" customWidth="1"/>
    <col min="12" max="12" width="4.140625" style="141" customWidth="1"/>
    <col min="13" max="16384" width="9.140625" style="141"/>
  </cols>
  <sheetData>
    <row r="1" spans="2:12" ht="18" customHeight="1" thickBot="1" x14ac:dyDescent="0.35">
      <c r="I1" s="183"/>
      <c r="L1" s="142"/>
    </row>
    <row r="2" spans="2:12" ht="18" customHeight="1" thickBot="1" x14ac:dyDescent="0.35">
      <c r="B2" s="752" t="str">
        <f>'Version Control'!$B$2</f>
        <v>Title Block</v>
      </c>
      <c r="C2" s="752"/>
      <c r="G2" s="158" t="s">
        <v>37</v>
      </c>
      <c r="I2" s="183"/>
      <c r="L2" s="142"/>
    </row>
    <row r="3" spans="2:12" ht="18" customHeight="1" x14ac:dyDescent="0.3">
      <c r="B3" s="143" t="str">
        <f>'Version Control'!$B$3</f>
        <v>Test Report Template Name:</v>
      </c>
      <c r="C3" s="144" t="str">
        <f>'Version Control'!C3</f>
        <v>Electric Motors</v>
      </c>
      <c r="I3" s="183"/>
      <c r="L3" s="142"/>
    </row>
    <row r="4" spans="2:12" ht="18" customHeight="1" x14ac:dyDescent="0.3">
      <c r="B4" s="145" t="str">
        <f>'Version Control'!$B$4</f>
        <v>Version Number:</v>
      </c>
      <c r="C4" s="146" t="str">
        <f>'Version Control'!C4</f>
        <v>v1.0</v>
      </c>
      <c r="I4" s="183"/>
      <c r="L4" s="142"/>
    </row>
    <row r="5" spans="2:12" ht="18" customHeight="1" x14ac:dyDescent="0.3">
      <c r="B5" s="145" t="str">
        <f>'Version Control'!$B$5</f>
        <v xml:space="preserve">Latest Template Revision: </v>
      </c>
      <c r="C5" s="147">
        <f>'Version Control'!C5</f>
        <v>45567</v>
      </c>
      <c r="I5" s="183"/>
      <c r="L5" s="142"/>
    </row>
    <row r="6" spans="2:12" ht="18" customHeight="1" x14ac:dyDescent="0.3">
      <c r="B6" s="145" t="str">
        <f>'Version Control'!$B$6</f>
        <v>Tab Name:</v>
      </c>
      <c r="C6" s="148" t="str">
        <f ca="1">MID(CELL("filename",A1), FIND("]", CELL("filename", A1))+ 1, 255)</f>
        <v>IEC 60034-2-1 Method 2-1-1B</v>
      </c>
      <c r="I6" s="183"/>
      <c r="L6" s="142"/>
    </row>
    <row r="7" spans="2:12" ht="36" customHeight="1" x14ac:dyDescent="0.3">
      <c r="B7" s="104" t="str">
        <f>'Version Control'!$B$7</f>
        <v>File Name:</v>
      </c>
      <c r="C7" s="149" t="str">
        <f ca="1">'Version Control'!C7</f>
        <v>Electric Motors -  v1.0.xlsx</v>
      </c>
      <c r="I7" s="183"/>
      <c r="L7" s="142"/>
    </row>
    <row r="8" spans="2:12" ht="16.5" x14ac:dyDescent="0.3">
      <c r="B8" s="150" t="s">
        <v>42</v>
      </c>
      <c r="C8" s="151" t="str">
        <f>'General Info &amp; Test Results'!C17</f>
        <v>[MM/DD/YYYY]</v>
      </c>
      <c r="I8" s="183"/>
      <c r="L8" s="142"/>
    </row>
    <row r="9" spans="2:12" ht="18" customHeight="1" thickBot="1" x14ac:dyDescent="0.35">
      <c r="B9" s="152" t="str">
        <f>'Version Control'!$B$9</f>
        <v>Date Test Finished:</v>
      </c>
      <c r="C9" s="153" t="str">
        <f>'Version Control'!C9</f>
        <v>[MM/DD/YYYY]</v>
      </c>
      <c r="I9" s="183"/>
      <c r="L9" s="142"/>
    </row>
    <row r="10" spans="2:12" ht="18" customHeight="1" thickBot="1" x14ac:dyDescent="0.35">
      <c r="B10" s="154"/>
      <c r="C10" s="155"/>
      <c r="I10" s="183"/>
      <c r="L10" s="142"/>
    </row>
    <row r="11" spans="2:12" s="22" customFormat="1" thickBot="1" x14ac:dyDescent="0.4">
      <c r="B11" s="808" t="s">
        <v>586</v>
      </c>
      <c r="C11" s="809"/>
      <c r="D11" s="809"/>
      <c r="E11" s="809"/>
      <c r="F11" s="809"/>
      <c r="G11" s="809"/>
      <c r="H11" s="809"/>
      <c r="I11" s="809"/>
      <c r="J11" s="810"/>
      <c r="L11" s="23"/>
    </row>
    <row r="12" spans="2:12" s="22" customFormat="1" ht="135.6" customHeight="1" thickBot="1" x14ac:dyDescent="0.35">
      <c r="B12" s="855" t="s">
        <v>591</v>
      </c>
      <c r="C12" s="856"/>
      <c r="D12" s="856"/>
      <c r="E12" s="856"/>
      <c r="F12" s="856"/>
      <c r="G12" s="856"/>
      <c r="H12" s="856"/>
      <c r="I12" s="856"/>
      <c r="J12" s="857"/>
      <c r="L12" s="23"/>
    </row>
    <row r="13" spans="2:12" s="22" customFormat="1" ht="18.95" customHeight="1" x14ac:dyDescent="0.3">
      <c r="B13" s="487"/>
      <c r="C13" s="488"/>
      <c r="D13" s="488"/>
      <c r="E13" s="488"/>
      <c r="F13" s="488"/>
      <c r="G13" s="488"/>
      <c r="H13" s="488"/>
      <c r="L13" s="23"/>
    </row>
    <row r="14" spans="2:12" s="22" customFormat="1" ht="45.95" customHeight="1" x14ac:dyDescent="0.3">
      <c r="B14" s="489" t="s">
        <v>587</v>
      </c>
      <c r="C14" s="605"/>
      <c r="D14" s="488"/>
      <c r="E14" s="488"/>
      <c r="F14" s="488"/>
      <c r="G14" s="488"/>
      <c r="H14" s="488"/>
      <c r="L14" s="23"/>
    </row>
    <row r="15" spans="2:12" s="22" customFormat="1" ht="21.6" customHeight="1" thickBot="1" x14ac:dyDescent="0.7">
      <c r="B15" s="484"/>
      <c r="C15" s="485"/>
      <c r="D15" s="208"/>
      <c r="E15" s="208"/>
      <c r="F15" s="208"/>
      <c r="G15" s="208"/>
      <c r="H15" s="208"/>
      <c r="I15" s="208"/>
      <c r="J15" s="208"/>
      <c r="L15" s="23"/>
    </row>
    <row r="16" spans="2:12" ht="18" customHeight="1" thickBot="1" x14ac:dyDescent="0.4">
      <c r="B16" s="808" t="s">
        <v>181</v>
      </c>
      <c r="C16" s="808"/>
      <c r="D16" s="808"/>
      <c r="E16" s="808"/>
      <c r="F16" s="808"/>
      <c r="G16" s="808"/>
      <c r="H16" s="808"/>
      <c r="I16" s="808"/>
      <c r="J16" s="844"/>
      <c r="L16" s="142"/>
    </row>
    <row r="17" spans="2:12" ht="38.450000000000003" customHeight="1" thickBot="1" x14ac:dyDescent="0.35">
      <c r="B17" s="811" t="s">
        <v>611</v>
      </c>
      <c r="C17" s="811"/>
      <c r="D17" s="811"/>
      <c r="E17" s="811"/>
      <c r="F17" s="811"/>
      <c r="G17" s="811"/>
      <c r="H17" s="811"/>
      <c r="I17" s="811"/>
      <c r="J17" s="845"/>
      <c r="L17" s="142"/>
    </row>
    <row r="18" spans="2:12" ht="18" customHeight="1" thickBot="1" x14ac:dyDescent="0.35">
      <c r="B18" s="154"/>
      <c r="C18" s="155"/>
      <c r="I18" s="183"/>
      <c r="L18" s="142"/>
    </row>
    <row r="19" spans="2:12" ht="18" customHeight="1" thickBot="1" x14ac:dyDescent="0.4">
      <c r="B19" s="818" t="s">
        <v>183</v>
      </c>
      <c r="C19" s="818"/>
      <c r="D19" s="818"/>
      <c r="E19" s="818"/>
      <c r="F19" s="818"/>
      <c r="G19" s="818"/>
      <c r="H19" s="818"/>
      <c r="I19" s="818"/>
      <c r="J19" s="862"/>
      <c r="L19" s="142"/>
    </row>
    <row r="20" spans="2:12" ht="18" customHeight="1" x14ac:dyDescent="0.3">
      <c r="B20" s="511" t="s">
        <v>69</v>
      </c>
      <c r="C20" s="245" t="s">
        <v>70</v>
      </c>
      <c r="D20" s="186"/>
      <c r="E20" s="186"/>
      <c r="F20" s="186"/>
      <c r="G20" s="186"/>
      <c r="H20" s="186"/>
      <c r="I20" s="185"/>
      <c r="J20" s="195"/>
      <c r="L20" s="142"/>
    </row>
    <row r="21" spans="2:12" ht="18" customHeight="1" x14ac:dyDescent="0.3">
      <c r="B21" s="213" t="s">
        <v>577</v>
      </c>
      <c r="C21" s="532">
        <f>'General Info &amp; Test Results'!C50</f>
        <v>0</v>
      </c>
      <c r="D21" s="186"/>
      <c r="E21" s="186"/>
      <c r="F21" s="186"/>
      <c r="G21" s="186"/>
      <c r="H21" s="186"/>
      <c r="I21" s="186"/>
      <c r="J21" s="195"/>
      <c r="L21" s="142"/>
    </row>
    <row r="22" spans="2:12" ht="18" customHeight="1" thickBot="1" x14ac:dyDescent="0.35">
      <c r="B22" s="319" t="s">
        <v>485</v>
      </c>
      <c r="C22" s="349">
        <f>'General Info &amp; Test Results'!C55</f>
        <v>0</v>
      </c>
      <c r="D22" s="247"/>
      <c r="E22" s="248"/>
      <c r="F22" s="248"/>
      <c r="G22" s="248"/>
      <c r="H22" s="248"/>
      <c r="I22" s="248"/>
      <c r="J22" s="249"/>
      <c r="L22" s="142"/>
    </row>
    <row r="23" spans="2:12" ht="18" customHeight="1" thickBot="1" x14ac:dyDescent="0.35">
      <c r="L23" s="142"/>
    </row>
    <row r="24" spans="2:12" ht="18" customHeight="1" thickBot="1" x14ac:dyDescent="0.4">
      <c r="B24" s="818" t="s">
        <v>483</v>
      </c>
      <c r="C24" s="818"/>
      <c r="D24" s="818"/>
      <c r="E24" s="818"/>
      <c r="F24" s="818"/>
      <c r="G24" s="818"/>
      <c r="H24" s="818"/>
      <c r="I24" s="818"/>
      <c r="J24" s="862"/>
      <c r="L24" s="142"/>
    </row>
    <row r="25" spans="2:12" ht="18" customHeight="1" x14ac:dyDescent="0.3">
      <c r="B25" s="401" t="s">
        <v>69</v>
      </c>
      <c r="C25" s="245" t="s">
        <v>70</v>
      </c>
      <c r="D25" s="186"/>
      <c r="E25" s="186"/>
      <c r="F25" s="186"/>
      <c r="G25" s="186"/>
      <c r="H25" s="186"/>
      <c r="I25" s="185"/>
      <c r="J25" s="195"/>
      <c r="L25" s="142"/>
    </row>
    <row r="26" spans="2:12" ht="20.100000000000001" customHeight="1" x14ac:dyDescent="0.3">
      <c r="B26" s="435" t="s">
        <v>202</v>
      </c>
      <c r="C26" s="285"/>
      <c r="D26" s="186"/>
      <c r="E26" s="186"/>
      <c r="F26" s="186"/>
      <c r="G26" s="186"/>
      <c r="H26" s="186"/>
      <c r="I26" s="186"/>
      <c r="J26" s="195"/>
      <c r="L26" s="142"/>
    </row>
    <row r="27" spans="2:12" ht="20.45" customHeight="1" thickBot="1" x14ac:dyDescent="0.35">
      <c r="B27" s="432" t="s">
        <v>419</v>
      </c>
      <c r="C27" s="350"/>
      <c r="D27" s="248"/>
      <c r="E27" s="248"/>
      <c r="F27" s="248"/>
      <c r="G27" s="248"/>
      <c r="H27" s="248"/>
      <c r="I27" s="248"/>
      <c r="J27" s="249"/>
      <c r="L27" s="142"/>
    </row>
    <row r="28" spans="2:12" ht="18" customHeight="1" thickBot="1" x14ac:dyDescent="0.35">
      <c r="L28" s="142"/>
    </row>
    <row r="29" spans="2:12" ht="18" customHeight="1" thickBot="1" x14ac:dyDescent="0.4">
      <c r="B29" s="818" t="s">
        <v>482</v>
      </c>
      <c r="C29" s="818"/>
      <c r="D29" s="818"/>
      <c r="E29" s="818"/>
      <c r="F29" s="818"/>
      <c r="G29" s="818"/>
      <c r="H29" s="818"/>
      <c r="I29" s="818"/>
      <c r="J29" s="862"/>
      <c r="L29" s="142"/>
    </row>
    <row r="30" spans="2:12" ht="18" customHeight="1" x14ac:dyDescent="0.3">
      <c r="B30" s="401" t="s">
        <v>69</v>
      </c>
      <c r="C30" s="245" t="s">
        <v>70</v>
      </c>
      <c r="D30" s="186"/>
      <c r="E30" s="186"/>
      <c r="F30" s="186"/>
      <c r="G30" s="186"/>
      <c r="H30" s="186"/>
      <c r="I30" s="186"/>
      <c r="J30" s="195"/>
      <c r="L30" s="142"/>
    </row>
    <row r="31" spans="2:12" ht="21.6" customHeight="1" x14ac:dyDescent="0.3">
      <c r="B31" s="196" t="s">
        <v>259</v>
      </c>
      <c r="C31" s="285"/>
      <c r="D31" s="186"/>
      <c r="E31" s="186"/>
      <c r="F31" s="186"/>
      <c r="G31" s="186"/>
      <c r="H31" s="186"/>
      <c r="I31" s="186"/>
      <c r="J31" s="195"/>
      <c r="L31" s="142"/>
    </row>
    <row r="32" spans="2:12" ht="18.95" customHeight="1" x14ac:dyDescent="0.3">
      <c r="B32" s="196" t="s">
        <v>346</v>
      </c>
      <c r="C32" s="285"/>
      <c r="D32" s="186"/>
      <c r="E32" s="186"/>
      <c r="F32" s="186"/>
      <c r="G32" s="186"/>
      <c r="H32" s="186"/>
      <c r="I32" s="186"/>
      <c r="J32" s="195"/>
      <c r="L32" s="142"/>
    </row>
    <row r="33" spans="2:12" ht="21.6" customHeight="1" x14ac:dyDescent="0.3">
      <c r="B33" s="196" t="s">
        <v>376</v>
      </c>
      <c r="C33" s="285"/>
      <c r="D33" s="186"/>
      <c r="E33" s="186"/>
      <c r="F33" s="186"/>
      <c r="G33" s="186"/>
      <c r="H33" s="186"/>
      <c r="I33" s="186"/>
      <c r="J33" s="195"/>
      <c r="L33" s="142"/>
    </row>
    <row r="34" spans="2:12" ht="21.6" customHeight="1" x14ac:dyDescent="0.3">
      <c r="B34" s="196" t="s">
        <v>258</v>
      </c>
      <c r="C34" s="285"/>
      <c r="D34" s="186"/>
      <c r="E34" s="186"/>
      <c r="F34" s="186"/>
      <c r="G34" s="186"/>
      <c r="H34" s="186"/>
      <c r="I34" s="186"/>
      <c r="J34" s="195"/>
      <c r="L34" s="142"/>
    </row>
    <row r="35" spans="2:12" ht="18" customHeight="1" x14ac:dyDescent="0.3">
      <c r="B35" s="196" t="s">
        <v>416</v>
      </c>
      <c r="C35" s="285"/>
      <c r="D35" s="186"/>
      <c r="E35" s="186"/>
      <c r="F35" s="186"/>
      <c r="G35" s="186"/>
      <c r="H35" s="186"/>
      <c r="I35" s="186"/>
      <c r="J35" s="195"/>
      <c r="L35" s="142"/>
    </row>
    <row r="36" spans="2:12" ht="23.45" customHeight="1" x14ac:dyDescent="0.3">
      <c r="B36" s="196" t="s">
        <v>201</v>
      </c>
      <c r="C36" s="285"/>
      <c r="D36" s="186"/>
      <c r="E36" s="186"/>
      <c r="F36" s="186"/>
      <c r="G36" s="186"/>
      <c r="H36" s="186"/>
      <c r="I36" s="186"/>
      <c r="J36" s="195"/>
      <c r="L36" s="142"/>
    </row>
    <row r="37" spans="2:12" ht="23.45" customHeight="1" x14ac:dyDescent="0.3">
      <c r="B37" s="270" t="s">
        <v>447</v>
      </c>
      <c r="C37" s="285"/>
      <c r="D37" s="186"/>
      <c r="E37" s="186"/>
      <c r="F37" s="186"/>
      <c r="G37" s="186"/>
      <c r="H37" s="186"/>
      <c r="I37" s="186"/>
      <c r="J37" s="195"/>
      <c r="L37" s="142"/>
    </row>
    <row r="38" spans="2:12" ht="24.6" customHeight="1" x14ac:dyDescent="0.3">
      <c r="B38" s="270" t="s">
        <v>422</v>
      </c>
      <c r="C38" s="285"/>
      <c r="D38" s="186"/>
      <c r="E38" s="186"/>
      <c r="F38" s="186"/>
      <c r="G38" s="186"/>
      <c r="H38" s="186"/>
      <c r="I38" s="186"/>
      <c r="J38" s="195"/>
      <c r="L38" s="142"/>
    </row>
    <row r="39" spans="2:12" ht="22.5" customHeight="1" x14ac:dyDescent="0.3">
      <c r="B39" s="436" t="s">
        <v>421</v>
      </c>
      <c r="C39" s="285"/>
      <c r="D39" s="186"/>
      <c r="E39" s="186"/>
      <c r="F39" s="186"/>
      <c r="G39" s="186"/>
      <c r="H39" s="186"/>
      <c r="I39" s="186"/>
      <c r="J39" s="195"/>
      <c r="L39" s="142"/>
    </row>
    <row r="40" spans="2:12" ht="25.5" customHeight="1" x14ac:dyDescent="0.3">
      <c r="B40" s="382" t="s">
        <v>473</v>
      </c>
      <c r="C40" s="288">
        <f>1.5*(C33)^2*C39</f>
        <v>0</v>
      </c>
      <c r="D40" s="434"/>
      <c r="E40" s="186"/>
      <c r="F40" s="186"/>
      <c r="G40" s="186"/>
      <c r="H40" s="186"/>
      <c r="I40" s="186"/>
      <c r="J40" s="195"/>
      <c r="L40" s="142"/>
    </row>
    <row r="41" spans="2:12" ht="35.1" customHeight="1" x14ac:dyDescent="0.3">
      <c r="B41" s="433" t="s">
        <v>480</v>
      </c>
      <c r="C41" s="723">
        <f>(235+C38+25-C37)/(235+C38)</f>
        <v>1.1063829787234043</v>
      </c>
      <c r="D41" s="160"/>
      <c r="E41" s="186"/>
      <c r="F41" s="186"/>
      <c r="G41" s="186"/>
      <c r="H41" s="186"/>
      <c r="I41" s="186"/>
      <c r="J41" s="195"/>
      <c r="L41" s="142"/>
    </row>
    <row r="42" spans="2:12" ht="30.95" customHeight="1" x14ac:dyDescent="0.3">
      <c r="B42" s="382" t="s">
        <v>484</v>
      </c>
      <c r="C42" s="288">
        <f>C40*C41</f>
        <v>0</v>
      </c>
      <c r="D42" s="160"/>
      <c r="E42" s="186"/>
      <c r="F42" s="186"/>
      <c r="G42" s="186"/>
      <c r="H42" s="186"/>
      <c r="I42" s="186"/>
      <c r="J42" s="195"/>
      <c r="L42" s="142"/>
    </row>
    <row r="43" spans="2:12" ht="30" customHeight="1" x14ac:dyDescent="0.3">
      <c r="B43" s="382" t="s">
        <v>449</v>
      </c>
      <c r="C43" s="288" t="str">
        <f>IFERROR(1-(C22*C35)/C36, " ")</f>
        <v xml:space="preserve"> </v>
      </c>
      <c r="D43" s="160"/>
      <c r="E43" s="186"/>
      <c r="F43" s="186"/>
      <c r="G43" s="186"/>
      <c r="H43" s="186"/>
      <c r="I43" s="186"/>
      <c r="J43" s="195"/>
      <c r="L43" s="142"/>
    </row>
    <row r="44" spans="2:12" ht="34.5" customHeight="1" x14ac:dyDescent="0.3">
      <c r="B44" s="382" t="s">
        <v>450</v>
      </c>
      <c r="C44" s="288" t="str">
        <f>IFERROR(C43*C41, " ")</f>
        <v xml:space="preserve"> </v>
      </c>
      <c r="D44" s="160"/>
      <c r="E44" s="186"/>
      <c r="F44" s="186"/>
      <c r="G44" s="186"/>
      <c r="H44" s="186"/>
      <c r="I44" s="186"/>
      <c r="J44" s="195"/>
      <c r="L44" s="142"/>
    </row>
    <row r="45" spans="2:12" ht="31.5" customHeight="1" x14ac:dyDescent="0.3">
      <c r="B45" s="382" t="s">
        <v>486</v>
      </c>
      <c r="C45" s="288" t="str">
        <f>IFERROR((C31-C40-C110)*C43, " ")</f>
        <v xml:space="preserve"> </v>
      </c>
      <c r="D45" s="160"/>
      <c r="E45" s="186"/>
      <c r="F45" s="186"/>
      <c r="G45" s="186"/>
      <c r="H45" s="186"/>
      <c r="I45" s="186"/>
      <c r="J45" s="195"/>
      <c r="L45" s="142"/>
    </row>
    <row r="46" spans="2:12" ht="25.5" customHeight="1" x14ac:dyDescent="0.3">
      <c r="B46" s="382" t="s">
        <v>448</v>
      </c>
      <c r="C46" s="288" t="str">
        <f>IFERROR((C31-C42-C110)*C44, " ")</f>
        <v xml:space="preserve"> </v>
      </c>
      <c r="D46" s="160"/>
      <c r="E46" s="186"/>
      <c r="F46" s="186"/>
      <c r="G46" s="186"/>
      <c r="H46" s="186"/>
      <c r="I46" s="186"/>
      <c r="J46" s="195"/>
      <c r="L46" s="142"/>
    </row>
    <row r="47" spans="2:12" ht="29.1" customHeight="1" thickBot="1" x14ac:dyDescent="0.35">
      <c r="B47" s="437" t="s">
        <v>481</v>
      </c>
      <c r="C47" s="438" t="str">
        <f>IFERROR(C31-(C40-C42+C45-C46), " ")</f>
        <v xml:space="preserve"> </v>
      </c>
      <c r="D47" s="439"/>
      <c r="E47" s="248"/>
      <c r="F47" s="248"/>
      <c r="G47" s="248"/>
      <c r="H47" s="248"/>
      <c r="I47" s="248"/>
      <c r="J47" s="249"/>
      <c r="L47" s="142"/>
    </row>
    <row r="48" spans="2:12" ht="18" customHeight="1" thickBot="1" x14ac:dyDescent="0.35">
      <c r="L48" s="142"/>
    </row>
    <row r="49" spans="2:12" ht="18" customHeight="1" thickBot="1" x14ac:dyDescent="0.4">
      <c r="B49" s="818" t="s">
        <v>413</v>
      </c>
      <c r="C49" s="818"/>
      <c r="D49" s="818"/>
      <c r="E49" s="818"/>
      <c r="F49" s="818"/>
      <c r="G49" s="818"/>
      <c r="H49" s="818"/>
      <c r="I49" s="818"/>
      <c r="J49" s="862"/>
      <c r="L49" s="142"/>
    </row>
    <row r="50" spans="2:12" ht="18" customHeight="1" x14ac:dyDescent="0.3">
      <c r="B50" s="199"/>
      <c r="C50" s="186"/>
      <c r="D50" s="186"/>
      <c r="E50" s="186"/>
      <c r="F50" s="186"/>
      <c r="G50" s="186"/>
      <c r="H50" s="186"/>
      <c r="I50" s="186"/>
      <c r="J50" s="195"/>
      <c r="L50" s="142"/>
    </row>
    <row r="51" spans="2:12" ht="18" customHeight="1" x14ac:dyDescent="0.35">
      <c r="B51" s="216" t="s">
        <v>185</v>
      </c>
      <c r="C51" s="300" t="s">
        <v>286</v>
      </c>
      <c r="D51" s="217" t="s">
        <v>288</v>
      </c>
      <c r="E51" s="186"/>
      <c r="F51" s="186"/>
      <c r="G51" s="186"/>
      <c r="H51" s="186"/>
      <c r="I51" s="186"/>
      <c r="J51" s="195"/>
      <c r="L51" s="142"/>
    </row>
    <row r="52" spans="2:12" ht="18" customHeight="1" x14ac:dyDescent="0.35">
      <c r="B52" s="274">
        <v>1</v>
      </c>
      <c r="C52" s="608"/>
      <c r="D52" s="410">
        <v>1.25</v>
      </c>
      <c r="E52" s="186"/>
      <c r="F52" s="186"/>
      <c r="G52" s="186"/>
      <c r="H52" s="186"/>
      <c r="I52" s="186"/>
      <c r="J52" s="195"/>
      <c r="L52" s="142"/>
    </row>
    <row r="53" spans="2:12" ht="18" customHeight="1" x14ac:dyDescent="0.35">
      <c r="B53" s="274">
        <v>2</v>
      </c>
      <c r="C53" s="608"/>
      <c r="D53" s="410">
        <v>1.1499999999999999</v>
      </c>
      <c r="E53" s="186"/>
      <c r="F53" s="186"/>
      <c r="G53" s="186"/>
      <c r="H53" s="186"/>
      <c r="I53" s="186"/>
      <c r="J53" s="195"/>
      <c r="L53" s="142"/>
    </row>
    <row r="54" spans="2:12" ht="18" customHeight="1" x14ac:dyDescent="0.35">
      <c r="B54" s="274">
        <v>3</v>
      </c>
      <c r="C54" s="608"/>
      <c r="D54" s="410">
        <v>1</v>
      </c>
      <c r="E54" s="186"/>
      <c r="F54" s="186"/>
      <c r="G54" s="186"/>
      <c r="H54" s="186"/>
      <c r="I54" s="186"/>
      <c r="J54" s="195"/>
      <c r="L54" s="142"/>
    </row>
    <row r="55" spans="2:12" ht="18" customHeight="1" x14ac:dyDescent="0.35">
      <c r="B55" s="274">
        <v>4</v>
      </c>
      <c r="C55" s="608"/>
      <c r="D55" s="410">
        <v>0.75</v>
      </c>
      <c r="E55" s="186"/>
      <c r="F55" s="186"/>
      <c r="G55" s="186"/>
      <c r="H55" s="186"/>
      <c r="I55" s="186"/>
      <c r="J55" s="195"/>
      <c r="L55" s="142"/>
    </row>
    <row r="56" spans="2:12" ht="18" customHeight="1" x14ac:dyDescent="0.35">
      <c r="B56" s="274">
        <v>5</v>
      </c>
      <c r="C56" s="608"/>
      <c r="D56" s="410">
        <v>0.5</v>
      </c>
      <c r="E56" s="186"/>
      <c r="F56" s="186"/>
      <c r="G56" s="186"/>
      <c r="H56" s="186"/>
      <c r="I56" s="186"/>
      <c r="J56" s="195"/>
      <c r="L56" s="142"/>
    </row>
    <row r="57" spans="2:12" ht="18" customHeight="1" x14ac:dyDescent="0.35">
      <c r="B57" s="274">
        <v>6</v>
      </c>
      <c r="C57" s="608"/>
      <c r="D57" s="410">
        <v>0.25</v>
      </c>
      <c r="E57" s="186"/>
      <c r="F57" s="186"/>
      <c r="G57" s="186"/>
      <c r="H57" s="186"/>
      <c r="I57" s="186"/>
      <c r="J57" s="195"/>
      <c r="L57" s="142"/>
    </row>
    <row r="58" spans="2:12" ht="18" customHeight="1" x14ac:dyDescent="0.3">
      <c r="B58" s="199"/>
      <c r="C58" s="186"/>
      <c r="D58" s="186"/>
      <c r="E58" s="186"/>
      <c r="F58" s="186"/>
      <c r="G58" s="186"/>
      <c r="H58" s="186"/>
      <c r="I58" s="186"/>
      <c r="J58" s="195"/>
      <c r="L58" s="142"/>
    </row>
    <row r="59" spans="2:12" ht="18" customHeight="1" x14ac:dyDescent="0.35">
      <c r="B59" s="199"/>
      <c r="C59" s="837" t="s">
        <v>185</v>
      </c>
      <c r="D59" s="837"/>
      <c r="E59" s="837"/>
      <c r="F59" s="837"/>
      <c r="G59" s="837"/>
      <c r="H59" s="837"/>
      <c r="I59" s="186"/>
      <c r="J59" s="195"/>
      <c r="L59" s="142"/>
    </row>
    <row r="60" spans="2:12" ht="16.5" customHeight="1" x14ac:dyDescent="0.35">
      <c r="B60" s="260" t="s">
        <v>69</v>
      </c>
      <c r="C60" s="308">
        <v>1</v>
      </c>
      <c r="D60" s="308">
        <v>2</v>
      </c>
      <c r="E60" s="309">
        <v>3</v>
      </c>
      <c r="F60" s="308">
        <v>4</v>
      </c>
      <c r="G60" s="308">
        <v>5</v>
      </c>
      <c r="H60" s="308">
        <v>6</v>
      </c>
      <c r="I60" s="186"/>
      <c r="J60" s="195"/>
      <c r="L60" s="142"/>
    </row>
    <row r="61" spans="2:12" ht="18" customHeight="1" x14ac:dyDescent="0.3">
      <c r="B61" s="412" t="s">
        <v>414</v>
      </c>
      <c r="C61" s="615"/>
      <c r="D61" s="616"/>
      <c r="E61" s="617"/>
      <c r="F61" s="616"/>
      <c r="G61" s="616"/>
      <c r="H61" s="616"/>
      <c r="I61" s="186"/>
      <c r="J61" s="195"/>
      <c r="L61" s="142"/>
    </row>
    <row r="62" spans="2:12" ht="18" customHeight="1" x14ac:dyDescent="0.3">
      <c r="B62" s="370" t="s">
        <v>415</v>
      </c>
      <c r="C62" s="618"/>
      <c r="D62" s="614"/>
      <c r="E62" s="619"/>
      <c r="F62" s="616"/>
      <c r="G62" s="616"/>
      <c r="H62" s="616"/>
      <c r="I62" s="186"/>
      <c r="J62" s="195"/>
      <c r="L62" s="142"/>
    </row>
    <row r="63" spans="2:12" ht="18" customHeight="1" x14ac:dyDescent="0.3">
      <c r="B63" s="397" t="s">
        <v>259</v>
      </c>
      <c r="C63" s="618"/>
      <c r="D63" s="614"/>
      <c r="E63" s="619"/>
      <c r="F63" s="616"/>
      <c r="G63" s="616"/>
      <c r="H63" s="616"/>
      <c r="I63" s="186"/>
      <c r="J63" s="195"/>
      <c r="L63" s="142"/>
    </row>
    <row r="64" spans="2:12" ht="18" customHeight="1" x14ac:dyDescent="0.3">
      <c r="B64" s="397" t="s">
        <v>451</v>
      </c>
      <c r="C64" s="618"/>
      <c r="D64" s="614"/>
      <c r="E64" s="619"/>
      <c r="F64" s="616"/>
      <c r="G64" s="616"/>
      <c r="H64" s="616"/>
      <c r="I64" s="186"/>
      <c r="J64" s="195"/>
      <c r="L64" s="142"/>
    </row>
    <row r="65" spans="2:12" ht="18" customHeight="1" x14ac:dyDescent="0.3">
      <c r="B65" s="397" t="s">
        <v>420</v>
      </c>
      <c r="C65" s="618"/>
      <c r="D65" s="614"/>
      <c r="E65" s="619"/>
      <c r="F65" s="616"/>
      <c r="G65" s="616"/>
      <c r="H65" s="616"/>
      <c r="I65" s="186"/>
      <c r="J65" s="195"/>
      <c r="L65" s="142"/>
    </row>
    <row r="66" spans="2:12" ht="18" customHeight="1" x14ac:dyDescent="0.3">
      <c r="B66" s="196" t="s">
        <v>417</v>
      </c>
      <c r="C66" s="618"/>
      <c r="D66" s="614"/>
      <c r="E66" s="619"/>
      <c r="F66" s="616"/>
      <c r="G66" s="616"/>
      <c r="H66" s="616"/>
      <c r="I66" s="186"/>
      <c r="J66" s="195"/>
      <c r="L66" s="142"/>
    </row>
    <row r="67" spans="2:12" ht="18" customHeight="1" x14ac:dyDescent="0.3">
      <c r="B67" s="196" t="s">
        <v>452</v>
      </c>
      <c r="C67" s="618"/>
      <c r="D67" s="614"/>
      <c r="E67" s="619"/>
      <c r="F67" s="616"/>
      <c r="G67" s="616"/>
      <c r="H67" s="616"/>
      <c r="I67" s="186"/>
      <c r="J67" s="195"/>
      <c r="L67" s="142"/>
    </row>
    <row r="68" spans="2:12" s="411" customFormat="1" ht="18" customHeight="1" x14ac:dyDescent="0.3">
      <c r="B68" s="413" t="s">
        <v>473</v>
      </c>
      <c r="C68" s="353">
        <f>1.5*(C62)^2*C39</f>
        <v>0</v>
      </c>
      <c r="D68" s="353">
        <f>1.5*(D62)^2*C39</f>
        <v>0</v>
      </c>
      <c r="E68" s="353">
        <f>1.5*(E62)^2*C39</f>
        <v>0</v>
      </c>
      <c r="F68" s="353">
        <f>1.5*(F62)^2*C39</f>
        <v>0</v>
      </c>
      <c r="G68" s="353">
        <f>1.5*(G62)^2*C39</f>
        <v>0</v>
      </c>
      <c r="H68" s="353">
        <f>1.5*(H62)^2*C39</f>
        <v>0</v>
      </c>
      <c r="I68" s="440"/>
      <c r="J68" s="441"/>
      <c r="L68" s="530"/>
    </row>
    <row r="69" spans="2:12" ht="18" customHeight="1" x14ac:dyDescent="0.3">
      <c r="B69" s="196" t="s">
        <v>449</v>
      </c>
      <c r="C69" s="351" t="str">
        <f>IFERROR(1-(C22*C64)/C65, " ")</f>
        <v xml:space="preserve"> </v>
      </c>
      <c r="D69" s="351" t="str">
        <f t="shared" ref="D69:H69" si="0">IFERROR(1-(D22*D64)/D65, " ")</f>
        <v xml:space="preserve"> </v>
      </c>
      <c r="E69" s="351" t="str">
        <f t="shared" si="0"/>
        <v xml:space="preserve"> </v>
      </c>
      <c r="F69" s="351" t="str">
        <f t="shared" si="0"/>
        <v xml:space="preserve"> </v>
      </c>
      <c r="G69" s="351" t="str">
        <f t="shared" si="0"/>
        <v xml:space="preserve"> </v>
      </c>
      <c r="H69" s="351" t="str">
        <f t="shared" si="0"/>
        <v xml:space="preserve"> </v>
      </c>
      <c r="I69" s="186"/>
      <c r="J69" s="195"/>
      <c r="L69" s="142"/>
    </row>
    <row r="70" spans="2:12" ht="18" customHeight="1" x14ac:dyDescent="0.3">
      <c r="B70" s="397" t="s">
        <v>474</v>
      </c>
      <c r="C70" s="352" t="str">
        <f>IFERROR((C63-C68-C71)*C69, " ")</f>
        <v xml:space="preserve"> </v>
      </c>
      <c r="D70" s="352" t="str">
        <f t="shared" ref="D70:H70" si="1">IFERROR((D63-D68-D71)*D69, " ")</f>
        <v xml:space="preserve"> </v>
      </c>
      <c r="E70" s="352" t="str">
        <f t="shared" si="1"/>
        <v xml:space="preserve"> </v>
      </c>
      <c r="F70" s="352" t="str">
        <f t="shared" si="1"/>
        <v xml:space="preserve"> </v>
      </c>
      <c r="G70" s="352" t="str">
        <f t="shared" si="1"/>
        <v xml:space="preserve"> </v>
      </c>
      <c r="H70" s="352" t="str">
        <f t="shared" si="1"/>
        <v xml:space="preserve"> </v>
      </c>
      <c r="I70" s="186"/>
      <c r="J70" s="195"/>
      <c r="L70" s="142"/>
    </row>
    <row r="71" spans="2:12" ht="18" customHeight="1" x14ac:dyDescent="0.3">
      <c r="B71" s="397" t="s">
        <v>475</v>
      </c>
      <c r="C71" s="352" t="str">
        <f>IFERROR(FORECAST(C61,C99:F99,C94:F94), " ")</f>
        <v xml:space="preserve"> </v>
      </c>
      <c r="D71" s="352" t="str">
        <f>IFERROR(FORECAST(D61,C99:F99,C94:F94), " ")</f>
        <v xml:space="preserve"> </v>
      </c>
      <c r="E71" s="352" t="str">
        <f>IFERROR(FORECAST(E61,C99:F99,C94:F94), " ")</f>
        <v xml:space="preserve"> </v>
      </c>
      <c r="F71" s="352" t="str">
        <f>IFERROR(FORECAST(F61,C99:F99,C94:F94), " ")</f>
        <v xml:space="preserve"> </v>
      </c>
      <c r="G71" s="352" t="str">
        <f>IFERROR(FORECAST(G61,C99:F99,C94:F94), " ")</f>
        <v xml:space="preserve"> </v>
      </c>
      <c r="H71" s="352" t="str">
        <f>IFERROR(FORECAST(H61,C99:F99,C94:F94), " ")</f>
        <v xml:space="preserve"> </v>
      </c>
      <c r="I71" s="186"/>
      <c r="J71" s="195"/>
      <c r="L71" s="142"/>
    </row>
    <row r="72" spans="2:12" s="22" customFormat="1" ht="16.5" x14ac:dyDescent="0.3">
      <c r="B72" s="200" t="s">
        <v>517</v>
      </c>
      <c r="C72" s="292" t="str">
        <f>IFERROR((ABS(C65-C36)/$C$36)*100, " ")</f>
        <v xml:space="preserve"> </v>
      </c>
      <c r="D72" s="292" t="str">
        <f t="shared" ref="D72:H72" si="2">IFERROR((ABS(D65-D36)/$C$36)*100, " ")</f>
        <v xml:space="preserve"> </v>
      </c>
      <c r="E72" s="292" t="str">
        <f t="shared" si="2"/>
        <v xml:space="preserve"> </v>
      </c>
      <c r="F72" s="292" t="str">
        <f t="shared" si="2"/>
        <v xml:space="preserve"> </v>
      </c>
      <c r="G72" s="292" t="str">
        <f t="shared" si="2"/>
        <v xml:space="preserve"> </v>
      </c>
      <c r="H72" s="292" t="str">
        <f t="shared" si="2"/>
        <v xml:space="preserve"> </v>
      </c>
      <c r="I72" s="134"/>
      <c r="J72" s="61"/>
      <c r="L72" s="23"/>
    </row>
    <row r="73" spans="2:12" s="210" customFormat="1" ht="16.5" x14ac:dyDescent="0.3">
      <c r="B73" s="469"/>
      <c r="C73" s="407"/>
      <c r="D73" s="408"/>
      <c r="E73" s="408"/>
      <c r="F73" s="408"/>
      <c r="G73" s="408"/>
      <c r="H73" s="408"/>
      <c r="I73" s="173"/>
      <c r="J73" s="265"/>
      <c r="L73" s="23"/>
    </row>
    <row r="74" spans="2:12" s="22" customFormat="1" ht="42.6" customHeight="1" thickBot="1" x14ac:dyDescent="0.35">
      <c r="B74" s="462" t="s">
        <v>538</v>
      </c>
      <c r="C74" s="868" t="str">
        <f>IF(COUNTIF(C72:H72,"&gt;0.1")&gt;=1, "Frequency shall be maintained within 0.1% of rated frequency", "Data is permissible - may proceed with testing")</f>
        <v>Data is permissible - may proceed with testing</v>
      </c>
      <c r="D74" s="869"/>
      <c r="E74" s="869"/>
      <c r="F74" s="869"/>
      <c r="G74" s="257"/>
      <c r="H74" s="257"/>
      <c r="I74" s="257"/>
      <c r="J74" s="258"/>
      <c r="L74" s="23"/>
    </row>
    <row r="75" spans="2:12" ht="18" customHeight="1" thickBot="1" x14ac:dyDescent="0.35">
      <c r="L75" s="142"/>
    </row>
    <row r="76" spans="2:12" ht="18" customHeight="1" thickBot="1" x14ac:dyDescent="0.4">
      <c r="B76" s="818" t="s">
        <v>446</v>
      </c>
      <c r="C76" s="818"/>
      <c r="D76" s="818"/>
      <c r="E76" s="818"/>
      <c r="F76" s="818"/>
      <c r="G76" s="818"/>
      <c r="H76" s="818"/>
      <c r="I76" s="818"/>
      <c r="J76" s="862"/>
      <c r="K76" s="184"/>
      <c r="L76" s="142"/>
    </row>
    <row r="77" spans="2:12" s="22" customFormat="1" ht="18" customHeight="1" x14ac:dyDescent="0.3">
      <c r="B77" s="176"/>
      <c r="C77" s="134"/>
      <c r="D77" s="134"/>
      <c r="E77" s="134"/>
      <c r="F77" s="134"/>
      <c r="G77" s="134"/>
      <c r="H77" s="134"/>
      <c r="I77" s="134"/>
      <c r="J77" s="61"/>
      <c r="L77" s="23"/>
    </row>
    <row r="78" spans="2:12" s="22" customFormat="1" ht="18" customHeight="1" x14ac:dyDescent="0.3">
      <c r="B78" s="273" t="s">
        <v>69</v>
      </c>
      <c r="C78" s="406" t="s">
        <v>70</v>
      </c>
      <c r="D78" s="134"/>
      <c r="E78" s="134"/>
      <c r="F78" s="134"/>
      <c r="G78" s="134"/>
      <c r="H78" s="134"/>
      <c r="I78" s="134"/>
      <c r="J78" s="61"/>
      <c r="L78" s="23"/>
    </row>
    <row r="79" spans="2:12" s="22" customFormat="1" ht="18" customHeight="1" x14ac:dyDescent="0.3">
      <c r="B79" s="200" t="s">
        <v>453</v>
      </c>
      <c r="C79" s="606"/>
      <c r="D79" s="134"/>
      <c r="E79" s="134"/>
      <c r="F79" s="134"/>
      <c r="G79" s="134"/>
      <c r="H79" s="134"/>
      <c r="I79" s="134"/>
      <c r="J79" s="61"/>
      <c r="L79" s="23"/>
    </row>
    <row r="80" spans="2:12" s="22" customFormat="1" ht="18" customHeight="1" x14ac:dyDescent="0.3">
      <c r="B80" s="176"/>
      <c r="C80" s="134"/>
      <c r="D80" s="134"/>
      <c r="E80" s="134"/>
      <c r="F80" s="134"/>
      <c r="G80" s="134"/>
      <c r="H80" s="134"/>
      <c r="I80" s="134"/>
      <c r="J80" s="61"/>
      <c r="L80" s="23"/>
    </row>
    <row r="81" spans="2:12" s="22" customFormat="1" ht="18" customHeight="1" x14ac:dyDescent="0.35">
      <c r="B81" s="216" t="s">
        <v>244</v>
      </c>
      <c r="C81" s="300" t="s">
        <v>461</v>
      </c>
      <c r="D81" s="217" t="s">
        <v>462</v>
      </c>
      <c r="E81" s="134"/>
      <c r="F81" s="134"/>
      <c r="G81" s="134"/>
      <c r="H81" s="134"/>
      <c r="I81" s="134"/>
      <c r="J81" s="61"/>
      <c r="L81" s="23"/>
    </row>
    <row r="82" spans="2:12" ht="18" customHeight="1" x14ac:dyDescent="0.35">
      <c r="B82" s="274">
        <v>1</v>
      </c>
      <c r="C82" s="608"/>
      <c r="D82" s="410">
        <v>1.1000000000000001</v>
      </c>
      <c r="E82" s="186"/>
      <c r="F82" s="186"/>
      <c r="G82" s="186"/>
      <c r="H82" s="186"/>
      <c r="I82" s="186"/>
      <c r="J82" s="195"/>
      <c r="L82" s="142"/>
    </row>
    <row r="83" spans="2:12" ht="18" customHeight="1" x14ac:dyDescent="0.35">
      <c r="B83" s="274">
        <v>2</v>
      </c>
      <c r="C83" s="608"/>
      <c r="D83" s="410">
        <v>1</v>
      </c>
      <c r="E83" s="186"/>
      <c r="F83" s="186"/>
      <c r="G83" s="186"/>
      <c r="H83" s="186"/>
      <c r="I83" s="186"/>
      <c r="J83" s="195"/>
      <c r="L83" s="142"/>
    </row>
    <row r="84" spans="2:12" ht="18" customHeight="1" x14ac:dyDescent="0.35">
      <c r="B84" s="274">
        <v>3</v>
      </c>
      <c r="C84" s="608"/>
      <c r="D84" s="410">
        <v>0.95</v>
      </c>
      <c r="E84" s="186"/>
      <c r="F84" s="186"/>
      <c r="G84" s="186"/>
      <c r="H84" s="186"/>
      <c r="I84" s="186"/>
      <c r="J84" s="195"/>
      <c r="L84" s="142"/>
    </row>
    <row r="85" spans="2:12" ht="18" customHeight="1" x14ac:dyDescent="0.35">
      <c r="B85" s="274">
        <v>4</v>
      </c>
      <c r="C85" s="608"/>
      <c r="D85" s="410">
        <v>0.9</v>
      </c>
      <c r="E85" s="186"/>
      <c r="F85" s="186"/>
      <c r="G85" s="186"/>
      <c r="H85" s="186"/>
      <c r="I85" s="186"/>
      <c r="J85" s="195"/>
      <c r="L85" s="142"/>
    </row>
    <row r="86" spans="2:12" ht="18" customHeight="1" x14ac:dyDescent="0.35">
      <c r="B86" s="274">
        <v>5</v>
      </c>
      <c r="C86" s="608"/>
      <c r="D86" s="410">
        <v>0.6</v>
      </c>
      <c r="E86" s="186"/>
      <c r="F86" s="416" t="s">
        <v>463</v>
      </c>
      <c r="G86" s="160"/>
      <c r="H86" s="186"/>
      <c r="I86" s="186"/>
      <c r="J86" s="195"/>
      <c r="L86" s="142"/>
    </row>
    <row r="87" spans="2:12" ht="18" customHeight="1" x14ac:dyDescent="0.35">
      <c r="B87" s="274">
        <v>6</v>
      </c>
      <c r="C87" s="608"/>
      <c r="D87" s="410">
        <v>0.5</v>
      </c>
      <c r="E87" s="186"/>
      <c r="F87" s="415" t="s">
        <v>259</v>
      </c>
      <c r="G87" s="192" t="s">
        <v>452</v>
      </c>
      <c r="H87" s="186"/>
      <c r="I87" s="186"/>
      <c r="J87" s="195"/>
      <c r="L87" s="142"/>
    </row>
    <row r="88" spans="2:12" ht="18" customHeight="1" x14ac:dyDescent="0.35">
      <c r="B88" s="274">
        <v>7</v>
      </c>
      <c r="C88" s="608"/>
      <c r="D88" s="410">
        <v>0.4</v>
      </c>
      <c r="E88" s="186"/>
      <c r="F88" s="363">
        <f>C93</f>
        <v>0</v>
      </c>
      <c r="G88" s="362">
        <f>C79</f>
        <v>0</v>
      </c>
      <c r="H88" s="186"/>
      <c r="I88" s="186"/>
      <c r="J88" s="195"/>
      <c r="L88" s="142"/>
    </row>
    <row r="89" spans="2:12" ht="18" customHeight="1" x14ac:dyDescent="0.35">
      <c r="B89" s="274">
        <v>8</v>
      </c>
      <c r="C89" s="608"/>
      <c r="D89" s="410">
        <v>0.3</v>
      </c>
      <c r="E89" s="186"/>
      <c r="F89" s="363">
        <f>J93</f>
        <v>0</v>
      </c>
      <c r="G89" s="362">
        <f>C102</f>
        <v>0</v>
      </c>
      <c r="H89" s="186"/>
      <c r="I89" s="186"/>
      <c r="J89" s="195"/>
      <c r="L89" s="142"/>
    </row>
    <row r="90" spans="2:12" s="22" customFormat="1" ht="18" customHeight="1" x14ac:dyDescent="0.3">
      <c r="B90" s="161"/>
      <c r="C90" s="160"/>
      <c r="D90" s="160"/>
      <c r="E90" s="134"/>
      <c r="F90" s="134"/>
      <c r="G90" s="134"/>
      <c r="H90" s="134"/>
      <c r="I90" s="134"/>
      <c r="J90" s="61"/>
      <c r="L90" s="23"/>
    </row>
    <row r="91" spans="2:12" s="22" customFormat="1" ht="18" customHeight="1" x14ac:dyDescent="0.35">
      <c r="B91" s="161"/>
      <c r="C91" s="863" t="s">
        <v>244</v>
      </c>
      <c r="D91" s="864"/>
      <c r="E91" s="864"/>
      <c r="F91" s="864"/>
      <c r="G91" s="864"/>
      <c r="H91" s="864"/>
      <c r="I91" s="864"/>
      <c r="J91" s="865"/>
      <c r="L91" s="23"/>
    </row>
    <row r="92" spans="2:12" s="22" customFormat="1" ht="18" customHeight="1" x14ac:dyDescent="0.35">
      <c r="B92" s="218" t="s">
        <v>69</v>
      </c>
      <c r="C92" s="89">
        <v>1</v>
      </c>
      <c r="D92" s="89">
        <v>2</v>
      </c>
      <c r="E92" s="201">
        <v>3</v>
      </c>
      <c r="F92" s="201">
        <v>4</v>
      </c>
      <c r="G92" s="201">
        <v>5</v>
      </c>
      <c r="H92" s="201">
        <v>6</v>
      </c>
      <c r="I92" s="201">
        <v>7</v>
      </c>
      <c r="J92" s="159">
        <v>8</v>
      </c>
      <c r="L92" s="23"/>
    </row>
    <row r="93" spans="2:12" ht="18" customHeight="1" x14ac:dyDescent="0.3">
      <c r="B93" s="412" t="s">
        <v>459</v>
      </c>
      <c r="C93" s="615"/>
      <c r="D93" s="615"/>
      <c r="E93" s="620"/>
      <c r="F93" s="615"/>
      <c r="G93" s="615"/>
      <c r="H93" s="615"/>
      <c r="I93" s="615"/>
      <c r="J93" s="621"/>
      <c r="L93" s="142"/>
    </row>
    <row r="94" spans="2:12" ht="18" customHeight="1" x14ac:dyDescent="0.3">
      <c r="B94" s="412" t="s">
        <v>465</v>
      </c>
      <c r="C94" s="615"/>
      <c r="D94" s="615"/>
      <c r="E94" s="620"/>
      <c r="F94" s="615"/>
      <c r="G94" s="615"/>
      <c r="H94" s="615"/>
      <c r="I94" s="615"/>
      <c r="J94" s="621"/>
      <c r="L94" s="142"/>
    </row>
    <row r="95" spans="2:12" s="411" customFormat="1" ht="18" customHeight="1" x14ac:dyDescent="0.3">
      <c r="B95" s="417" t="s">
        <v>466</v>
      </c>
      <c r="C95" s="353">
        <f t="shared" ref="C95:J95" si="3">(C94)^2</f>
        <v>0</v>
      </c>
      <c r="D95" s="353">
        <f t="shared" si="3"/>
        <v>0</v>
      </c>
      <c r="E95" s="353">
        <f t="shared" si="3"/>
        <v>0</v>
      </c>
      <c r="F95" s="353">
        <f t="shared" si="3"/>
        <v>0</v>
      </c>
      <c r="G95" s="353">
        <f t="shared" si="3"/>
        <v>0</v>
      </c>
      <c r="H95" s="353">
        <f t="shared" si="3"/>
        <v>0</v>
      </c>
      <c r="I95" s="353">
        <f t="shared" si="3"/>
        <v>0</v>
      </c>
      <c r="J95" s="423">
        <f t="shared" si="3"/>
        <v>0</v>
      </c>
      <c r="L95" s="530"/>
    </row>
    <row r="96" spans="2:12" ht="18" customHeight="1" x14ac:dyDescent="0.3">
      <c r="B96" s="414" t="s">
        <v>460</v>
      </c>
      <c r="C96" s="351" t="str">
        <f>IFERROR(_xlfn.FORECAST.LINEAR(C93,$G$88:$G$89,$F$88:$F$89), " ")</f>
        <v xml:space="preserve"> </v>
      </c>
      <c r="D96" s="351" t="str">
        <f t="shared" ref="D96:J96" si="4">IFERROR(_xlfn.FORECAST.LINEAR(D93,$G$88:$G$89,$F$88:$F$89), " ")</f>
        <v xml:space="preserve"> </v>
      </c>
      <c r="E96" s="351" t="str">
        <f t="shared" si="4"/>
        <v xml:space="preserve"> </v>
      </c>
      <c r="F96" s="351" t="str">
        <f t="shared" si="4"/>
        <v xml:space="preserve"> </v>
      </c>
      <c r="G96" s="351" t="str">
        <f t="shared" si="4"/>
        <v xml:space="preserve"> </v>
      </c>
      <c r="H96" s="351" t="str">
        <f t="shared" si="4"/>
        <v xml:space="preserve"> </v>
      </c>
      <c r="I96" s="351" t="str">
        <f t="shared" si="4"/>
        <v xml:space="preserve"> </v>
      </c>
      <c r="J96" s="351" t="str">
        <f t="shared" si="4"/>
        <v xml:space="preserve"> </v>
      </c>
      <c r="L96" s="142"/>
    </row>
    <row r="97" spans="1:12" ht="18" customHeight="1" x14ac:dyDescent="0.3">
      <c r="B97" s="197" t="s">
        <v>455</v>
      </c>
      <c r="C97" s="351" t="str">
        <f>IFERROR(1.5*(C92)^2*C96, " ")</f>
        <v xml:space="preserve"> </v>
      </c>
      <c r="D97" s="351" t="str">
        <f t="shared" ref="D97:J97" si="5">IFERROR(1.5*(D92)^2*D96, " ")</f>
        <v xml:space="preserve"> </v>
      </c>
      <c r="E97" s="351" t="str">
        <f t="shared" si="5"/>
        <v xml:space="preserve"> </v>
      </c>
      <c r="F97" s="351" t="str">
        <f t="shared" si="5"/>
        <v xml:space="preserve"> </v>
      </c>
      <c r="G97" s="351" t="str">
        <f t="shared" si="5"/>
        <v xml:space="preserve"> </v>
      </c>
      <c r="H97" s="351" t="str">
        <f t="shared" si="5"/>
        <v xml:space="preserve"> </v>
      </c>
      <c r="I97" s="351" t="str">
        <f t="shared" si="5"/>
        <v xml:space="preserve"> </v>
      </c>
      <c r="J97" s="351" t="str">
        <f t="shared" si="5"/>
        <v xml:space="preserve"> </v>
      </c>
      <c r="L97" s="142"/>
    </row>
    <row r="98" spans="1:12" ht="18" customHeight="1" x14ac:dyDescent="0.3">
      <c r="B98" s="197" t="s">
        <v>456</v>
      </c>
      <c r="C98" s="418" t="str">
        <f>IFERROR(C93-C97, " ")</f>
        <v xml:space="preserve"> </v>
      </c>
      <c r="D98" s="418" t="str">
        <f t="shared" ref="D98:J98" si="6">IFERROR(D93-D97, " ")</f>
        <v xml:space="preserve"> </v>
      </c>
      <c r="E98" s="418" t="str">
        <f t="shared" si="6"/>
        <v xml:space="preserve"> </v>
      </c>
      <c r="F98" s="418" t="str">
        <f t="shared" si="6"/>
        <v xml:space="preserve"> </v>
      </c>
      <c r="G98" s="418" t="str">
        <f t="shared" si="6"/>
        <v xml:space="preserve"> </v>
      </c>
      <c r="H98" s="418" t="str">
        <f t="shared" si="6"/>
        <v xml:space="preserve"> </v>
      </c>
      <c r="I98" s="418" t="str">
        <f t="shared" si="6"/>
        <v xml:space="preserve"> </v>
      </c>
      <c r="J98" s="418" t="str">
        <f t="shared" si="6"/>
        <v xml:space="preserve"> </v>
      </c>
      <c r="L98" s="142"/>
    </row>
    <row r="99" spans="1:12" ht="19.5" customHeight="1" x14ac:dyDescent="0.3">
      <c r="B99" s="420" t="s">
        <v>469</v>
      </c>
      <c r="C99" s="351" t="str">
        <f>IFERROR(C98-$C$103, " ")</f>
        <v xml:space="preserve"> </v>
      </c>
      <c r="D99" s="351" t="str">
        <f t="shared" ref="D99:F99" si="7">IFERROR(D98-$C$103, " ")</f>
        <v xml:space="preserve"> </v>
      </c>
      <c r="E99" s="351" t="str">
        <f t="shared" si="7"/>
        <v xml:space="preserve"> </v>
      </c>
      <c r="F99" s="351" t="str">
        <f t="shared" si="7"/>
        <v xml:space="preserve"> </v>
      </c>
      <c r="G99" s="426"/>
      <c r="H99" s="426"/>
      <c r="I99" s="426"/>
      <c r="J99" s="427"/>
      <c r="L99" s="142"/>
    </row>
    <row r="100" spans="1:12" ht="18" customHeight="1" x14ac:dyDescent="0.3">
      <c r="A100" s="22"/>
      <c r="B100" s="161"/>
      <c r="C100" s="160"/>
      <c r="D100" s="160"/>
      <c r="E100" s="134"/>
      <c r="F100" s="134"/>
      <c r="G100" s="134"/>
      <c r="H100" s="134"/>
      <c r="I100" s="134"/>
      <c r="J100" s="61"/>
      <c r="K100" s="22"/>
      <c r="L100" s="142"/>
    </row>
    <row r="101" spans="1:12" ht="18" customHeight="1" x14ac:dyDescent="0.3">
      <c r="A101" s="22"/>
      <c r="B101" s="273" t="s">
        <v>69</v>
      </c>
      <c r="C101" s="406" t="s">
        <v>70</v>
      </c>
      <c r="D101" s="160"/>
      <c r="E101" s="134"/>
      <c r="F101" s="134"/>
      <c r="G101" s="134"/>
      <c r="H101" s="134"/>
      <c r="I101" s="134"/>
      <c r="J101" s="61"/>
      <c r="K101" s="22"/>
      <c r="L101" s="142"/>
    </row>
    <row r="102" spans="1:12" ht="18" customHeight="1" x14ac:dyDescent="0.3">
      <c r="A102" s="22"/>
      <c r="B102" s="414" t="s">
        <v>454</v>
      </c>
      <c r="C102" s="622"/>
      <c r="D102" s="160"/>
      <c r="E102" s="134"/>
      <c r="F102" s="134"/>
      <c r="G102" s="134"/>
      <c r="H102" s="134"/>
      <c r="I102" s="134"/>
      <c r="J102" s="61"/>
      <c r="K102" s="22"/>
      <c r="L102" s="142"/>
    </row>
    <row r="103" spans="1:12" ht="18" customHeight="1" thickBot="1" x14ac:dyDescent="0.35">
      <c r="B103" s="261" t="s">
        <v>457</v>
      </c>
      <c r="C103" s="424" t="str">
        <f>IFERROR(INTERCEPT(G95:J95,G98:J98), " ")</f>
        <v xml:space="preserve"> </v>
      </c>
      <c r="D103" s="425"/>
      <c r="E103" s="425"/>
      <c r="F103" s="425"/>
      <c r="G103" s="248"/>
      <c r="H103" s="248"/>
      <c r="I103" s="248"/>
      <c r="J103" s="249"/>
      <c r="L103" s="142"/>
    </row>
    <row r="104" spans="1:12" ht="18" customHeight="1" thickBot="1" x14ac:dyDescent="0.35">
      <c r="A104" s="22"/>
      <c r="B104" s="483"/>
      <c r="C104" s="160"/>
      <c r="D104" s="160"/>
      <c r="E104" s="134"/>
      <c r="F104" s="134"/>
      <c r="G104" s="134"/>
      <c r="H104" s="134"/>
      <c r="I104" s="134"/>
      <c r="J104" s="134"/>
      <c r="K104" s="134"/>
      <c r="L104" s="142"/>
    </row>
    <row r="105" spans="1:12" ht="18" customHeight="1" thickBot="1" x14ac:dyDescent="0.4">
      <c r="B105" s="818" t="s">
        <v>467</v>
      </c>
      <c r="C105" s="819"/>
      <c r="D105" s="819"/>
      <c r="E105" s="819"/>
      <c r="F105" s="819"/>
      <c r="G105" s="819"/>
      <c r="H105" s="819"/>
      <c r="I105" s="819"/>
      <c r="J105" s="820"/>
      <c r="L105" s="142"/>
    </row>
    <row r="106" spans="1:12" s="183" customFormat="1" ht="18" customHeight="1" x14ac:dyDescent="0.35">
      <c r="B106" s="401" t="s">
        <v>69</v>
      </c>
      <c r="C106" s="245" t="s">
        <v>70</v>
      </c>
      <c r="D106" s="184"/>
      <c r="E106" s="184"/>
      <c r="F106" s="184"/>
      <c r="G106" s="184"/>
      <c r="H106" s="185"/>
      <c r="I106" s="185"/>
      <c r="J106" s="250"/>
      <c r="L106" s="142"/>
    </row>
    <row r="107" spans="1:12" ht="18" customHeight="1" x14ac:dyDescent="0.35">
      <c r="B107" s="428" t="s">
        <v>194</v>
      </c>
      <c r="C107" s="421" t="str">
        <f>IFERROR((C31)/((SQRT(3)*C34*C33)), " ")</f>
        <v xml:space="preserve"> </v>
      </c>
      <c r="D107" s="419"/>
      <c r="E107" s="419"/>
      <c r="F107" s="419"/>
      <c r="G107" s="186"/>
      <c r="H107" s="186"/>
      <c r="I107" s="186"/>
      <c r="J107" s="195"/>
      <c r="L107" s="142"/>
    </row>
    <row r="108" spans="1:12" ht="18" customHeight="1" x14ac:dyDescent="0.35">
      <c r="B108" s="428" t="s">
        <v>195</v>
      </c>
      <c r="C108" s="421" t="str">
        <f>IFERROR(SQRT(1-(C107)^2), " ")</f>
        <v xml:space="preserve"> </v>
      </c>
      <c r="D108" s="419"/>
      <c r="E108" s="419"/>
      <c r="F108" s="419"/>
      <c r="G108" s="186"/>
      <c r="H108" s="186"/>
      <c r="I108" s="186"/>
      <c r="J108" s="195"/>
      <c r="L108" s="142"/>
    </row>
    <row r="109" spans="1:12" ht="18" customHeight="1" x14ac:dyDescent="0.3">
      <c r="B109" s="263" t="s">
        <v>458</v>
      </c>
      <c r="C109" s="422" t="str">
        <f>IFERROR(SQRT((C34-(SQRT(3/2)*C33*C39*C107))^2+(SQRT(3/2)*C33*C39*C108)^2), " ")</f>
        <v xml:space="preserve"> </v>
      </c>
      <c r="D109" s="419"/>
      <c r="E109" s="419"/>
      <c r="F109" s="419"/>
      <c r="G109" s="186"/>
      <c r="H109" s="186"/>
      <c r="I109" s="186"/>
      <c r="J109" s="195"/>
      <c r="L109" s="142"/>
    </row>
    <row r="110" spans="1:12" ht="18" customHeight="1" thickBot="1" x14ac:dyDescent="0.35">
      <c r="B110" s="261" t="s">
        <v>468</v>
      </c>
      <c r="C110" s="295" t="str">
        <f>IFERROR(FORECAST(C109,C99:F99,C94:F94), " ")</f>
        <v xml:space="preserve"> </v>
      </c>
      <c r="D110" s="248"/>
      <c r="E110" s="248"/>
      <c r="F110" s="248"/>
      <c r="G110" s="248"/>
      <c r="H110" s="248"/>
      <c r="I110" s="248"/>
      <c r="J110" s="249"/>
      <c r="L110" s="142"/>
    </row>
    <row r="111" spans="1:12" ht="18" customHeight="1" thickBot="1" x14ac:dyDescent="0.35">
      <c r="L111" s="142"/>
    </row>
    <row r="112" spans="1:12" ht="18" customHeight="1" thickBot="1" x14ac:dyDescent="0.4">
      <c r="B112" s="818" t="s">
        <v>470</v>
      </c>
      <c r="C112" s="819"/>
      <c r="D112" s="819"/>
      <c r="E112" s="819"/>
      <c r="F112" s="819"/>
      <c r="G112" s="819"/>
      <c r="H112" s="819"/>
      <c r="I112" s="819"/>
      <c r="J112" s="820"/>
      <c r="L112" s="142"/>
    </row>
    <row r="113" spans="2:12" ht="18" customHeight="1" x14ac:dyDescent="0.35">
      <c r="B113" s="442"/>
      <c r="C113" s="429"/>
      <c r="D113" s="429"/>
      <c r="E113" s="443"/>
      <c r="F113" s="429"/>
      <c r="G113" s="429"/>
      <c r="H113" s="429"/>
      <c r="I113" s="430"/>
      <c r="J113" s="195"/>
      <c r="L113" s="142"/>
    </row>
    <row r="114" spans="2:12" s="22" customFormat="1" ht="18" customHeight="1" x14ac:dyDescent="0.35">
      <c r="B114" s="161"/>
      <c r="C114" s="863" t="s">
        <v>185</v>
      </c>
      <c r="D114" s="864"/>
      <c r="E114" s="864"/>
      <c r="F114" s="864"/>
      <c r="G114" s="864"/>
      <c r="H114" s="864"/>
      <c r="I114" s="866"/>
      <c r="J114" s="867"/>
      <c r="K114" s="134"/>
      <c r="L114" s="23"/>
    </row>
    <row r="115" spans="2:12" s="22" customFormat="1" ht="18" customHeight="1" x14ac:dyDescent="0.35">
      <c r="B115" s="218" t="s">
        <v>69</v>
      </c>
      <c r="C115" s="89">
        <v>1</v>
      </c>
      <c r="D115" s="89">
        <v>2</v>
      </c>
      <c r="E115" s="201">
        <v>3</v>
      </c>
      <c r="F115" s="201">
        <v>4</v>
      </c>
      <c r="G115" s="201">
        <v>5</v>
      </c>
      <c r="H115" s="201">
        <v>6</v>
      </c>
      <c r="I115" s="134"/>
      <c r="J115" s="61"/>
      <c r="L115" s="23"/>
    </row>
    <row r="116" spans="2:12" s="411" customFormat="1" ht="18" customHeight="1" x14ac:dyDescent="0.3">
      <c r="B116" s="417" t="s">
        <v>257</v>
      </c>
      <c r="C116" s="431">
        <f t="shared" ref="C116:H116" si="8">2*PI()*C66*C64</f>
        <v>0</v>
      </c>
      <c r="D116" s="431">
        <f t="shared" si="8"/>
        <v>0</v>
      </c>
      <c r="E116" s="431">
        <f t="shared" si="8"/>
        <v>0</v>
      </c>
      <c r="F116" s="431">
        <f t="shared" si="8"/>
        <v>0</v>
      </c>
      <c r="G116" s="431">
        <f t="shared" si="8"/>
        <v>0</v>
      </c>
      <c r="H116" s="431">
        <f t="shared" si="8"/>
        <v>0</v>
      </c>
      <c r="I116" s="440"/>
      <c r="J116" s="441"/>
      <c r="L116" s="530"/>
    </row>
    <row r="117" spans="2:12" ht="18" customHeight="1" x14ac:dyDescent="0.3">
      <c r="B117" s="197" t="s">
        <v>471</v>
      </c>
      <c r="C117" s="351" t="str">
        <f>IFERROR($C$103*(1-C69)^2.5, " ")</f>
        <v xml:space="preserve"> </v>
      </c>
      <c r="D117" s="351" t="str">
        <f t="shared" ref="D117:H117" si="9">IFERROR($C$103*(1-D69)^2.5, " ")</f>
        <v xml:space="preserve"> </v>
      </c>
      <c r="E117" s="351" t="str">
        <f t="shared" si="9"/>
        <v xml:space="preserve"> </v>
      </c>
      <c r="F117" s="351" t="str">
        <f t="shared" si="9"/>
        <v xml:space="preserve"> </v>
      </c>
      <c r="G117" s="351" t="str">
        <f t="shared" si="9"/>
        <v xml:space="preserve"> </v>
      </c>
      <c r="H117" s="351" t="str">
        <f t="shared" si="9"/>
        <v xml:space="preserve"> </v>
      </c>
      <c r="I117" s="186"/>
      <c r="J117" s="195"/>
      <c r="L117" s="142"/>
    </row>
    <row r="118" spans="2:12" ht="18" customHeight="1" x14ac:dyDescent="0.3">
      <c r="B118" s="197" t="s">
        <v>472</v>
      </c>
      <c r="C118" s="351" t="str">
        <f>IFERROR(C63-C116-C68-C70-C71-C117, " ")</f>
        <v xml:space="preserve"> </v>
      </c>
      <c r="D118" s="351" t="str">
        <f t="shared" ref="D118:H118" si="10">IFERROR(D63-D116-D68-D70-D71-D117, " ")</f>
        <v xml:space="preserve"> </v>
      </c>
      <c r="E118" s="351" t="str">
        <f t="shared" si="10"/>
        <v xml:space="preserve"> </v>
      </c>
      <c r="F118" s="351" t="str">
        <f t="shared" si="10"/>
        <v xml:space="preserve"> </v>
      </c>
      <c r="G118" s="351" t="str">
        <f t="shared" si="10"/>
        <v xml:space="preserve"> </v>
      </c>
      <c r="H118" s="351" t="str">
        <f t="shared" si="10"/>
        <v xml:space="preserve"> </v>
      </c>
      <c r="I118" s="186"/>
      <c r="J118" s="195"/>
      <c r="L118" s="142"/>
    </row>
    <row r="119" spans="2:12" ht="18" customHeight="1" x14ac:dyDescent="0.3">
      <c r="B119" s="199"/>
      <c r="C119" s="186"/>
      <c r="D119" s="186"/>
      <c r="E119" s="186"/>
      <c r="F119" s="186"/>
      <c r="G119" s="186"/>
      <c r="H119" s="186"/>
      <c r="I119" s="186"/>
      <c r="J119" s="195"/>
      <c r="L119" s="142"/>
    </row>
    <row r="120" spans="2:12" ht="18" customHeight="1" thickBot="1" x14ac:dyDescent="0.4">
      <c r="B120" s="444" t="s">
        <v>197</v>
      </c>
      <c r="C120" s="248"/>
      <c r="D120" s="248"/>
      <c r="E120" s="248"/>
      <c r="F120" s="248"/>
      <c r="G120" s="248"/>
      <c r="H120" s="248"/>
      <c r="I120" s="248"/>
      <c r="J120" s="249"/>
      <c r="L120" s="142"/>
    </row>
    <row r="121" spans="2:12" s="22" customFormat="1" ht="18" customHeight="1" x14ac:dyDescent="0.35">
      <c r="B121" s="161"/>
      <c r="C121" s="858" t="s">
        <v>185</v>
      </c>
      <c r="D121" s="859"/>
      <c r="E121" s="859"/>
      <c r="F121" s="859"/>
      <c r="G121" s="859"/>
      <c r="H121" s="859"/>
      <c r="I121" s="860"/>
      <c r="J121" s="861"/>
      <c r="K121" s="134"/>
      <c r="L121" s="23"/>
    </row>
    <row r="122" spans="2:12" s="22" customFormat="1" ht="18" customHeight="1" x14ac:dyDescent="0.35">
      <c r="B122" s="218" t="s">
        <v>69</v>
      </c>
      <c r="C122" s="89">
        <v>1</v>
      </c>
      <c r="D122" s="89">
        <v>2</v>
      </c>
      <c r="E122" s="201">
        <v>3</v>
      </c>
      <c r="F122" s="201">
        <v>4</v>
      </c>
      <c r="G122" s="201">
        <v>5</v>
      </c>
      <c r="H122" s="201">
        <v>6</v>
      </c>
      <c r="I122" s="134"/>
      <c r="J122" s="61"/>
      <c r="L122" s="23"/>
    </row>
    <row r="123" spans="2:12" s="411" customFormat="1" ht="18" customHeight="1" x14ac:dyDescent="0.3">
      <c r="B123" s="417" t="s">
        <v>476</v>
      </c>
      <c r="C123" s="353">
        <f t="shared" ref="C123:H123" si="11">C66^2</f>
        <v>0</v>
      </c>
      <c r="D123" s="353">
        <f t="shared" si="11"/>
        <v>0</v>
      </c>
      <c r="E123" s="353">
        <f t="shared" si="11"/>
        <v>0</v>
      </c>
      <c r="F123" s="431">
        <f t="shared" si="11"/>
        <v>0</v>
      </c>
      <c r="G123" s="431">
        <f t="shared" si="11"/>
        <v>0</v>
      </c>
      <c r="H123" s="431">
        <f t="shared" si="11"/>
        <v>0</v>
      </c>
      <c r="I123" s="440"/>
      <c r="J123" s="441"/>
      <c r="L123" s="530"/>
    </row>
    <row r="124" spans="2:12" ht="18" customHeight="1" x14ac:dyDescent="0.3">
      <c r="B124" s="263" t="s">
        <v>477</v>
      </c>
      <c r="C124" s="351" t="str">
        <f>IFERROR($C$127*C123, " ")</f>
        <v xml:space="preserve"> </v>
      </c>
      <c r="D124" s="351" t="str">
        <f t="shared" ref="D124:H124" si="12">IFERROR($C$127*D123, " ")</f>
        <v xml:space="preserve"> </v>
      </c>
      <c r="E124" s="351" t="str">
        <f t="shared" si="12"/>
        <v xml:space="preserve"> </v>
      </c>
      <c r="F124" s="351" t="str">
        <f t="shared" si="12"/>
        <v xml:space="preserve"> </v>
      </c>
      <c r="G124" s="351" t="str">
        <f t="shared" si="12"/>
        <v xml:space="preserve"> </v>
      </c>
      <c r="H124" s="351" t="str">
        <f t="shared" si="12"/>
        <v xml:space="preserve"> </v>
      </c>
      <c r="I124" s="186"/>
      <c r="J124" s="195"/>
      <c r="L124" s="142"/>
    </row>
    <row r="125" spans="2:12" ht="18" customHeight="1" x14ac:dyDescent="0.3">
      <c r="B125" s="199"/>
      <c r="C125" s="186"/>
      <c r="D125" s="186"/>
      <c r="E125" s="186"/>
      <c r="F125" s="186"/>
      <c r="G125" s="186"/>
      <c r="H125" s="186"/>
      <c r="I125" s="186"/>
      <c r="J125" s="195"/>
      <c r="L125" s="142"/>
    </row>
    <row r="126" spans="2:12" s="183" customFormat="1" ht="18" customHeight="1" x14ac:dyDescent="0.35">
      <c r="B126" s="273" t="s">
        <v>69</v>
      </c>
      <c r="C126" s="406" t="s">
        <v>70</v>
      </c>
      <c r="D126" s="184"/>
      <c r="E126" s="184"/>
      <c r="F126" s="184"/>
      <c r="G126" s="184"/>
      <c r="H126" s="185"/>
      <c r="I126" s="185"/>
      <c r="J126" s="250"/>
      <c r="L126" s="142"/>
    </row>
    <row r="127" spans="2:12" ht="18" customHeight="1" x14ac:dyDescent="0.3">
      <c r="B127" s="263" t="s">
        <v>192</v>
      </c>
      <c r="C127" s="351" t="str">
        <f>IFERROR(SLOPE(C118:H118,C123:H123), " ")</f>
        <v xml:space="preserve"> </v>
      </c>
      <c r="D127" s="419"/>
      <c r="E127" s="419"/>
      <c r="F127" s="419"/>
      <c r="G127" s="186"/>
      <c r="H127" s="186"/>
      <c r="I127" s="186"/>
      <c r="J127" s="195"/>
      <c r="L127" s="142"/>
    </row>
    <row r="128" spans="2:12" ht="18" customHeight="1" x14ac:dyDescent="0.3">
      <c r="B128" s="263" t="s">
        <v>196</v>
      </c>
      <c r="C128" s="291" t="str">
        <f>IFERROR(INTERCEPT(C118:H118,C123:H123), " ")</f>
        <v xml:space="preserve"> </v>
      </c>
      <c r="D128" s="419"/>
      <c r="E128" s="419"/>
      <c r="F128" s="419"/>
      <c r="G128" s="186"/>
      <c r="H128" s="186"/>
      <c r="I128" s="186"/>
      <c r="J128" s="195"/>
      <c r="L128" s="142"/>
    </row>
    <row r="129" spans="1:12" ht="18" customHeight="1" x14ac:dyDescent="0.3">
      <c r="B129" s="263" t="s">
        <v>574</v>
      </c>
      <c r="C129" s="291" t="str">
        <f>IFERROR(IF(C128&lt;(0.5*E124), "Yes", "No"), " ")</f>
        <v xml:space="preserve"> </v>
      </c>
      <c r="D129" s="419"/>
      <c r="E129" s="419"/>
      <c r="F129" s="419"/>
      <c r="G129" s="186"/>
      <c r="H129" s="186"/>
      <c r="I129" s="186"/>
      <c r="J129" s="195"/>
      <c r="L129" s="142"/>
    </row>
    <row r="130" spans="1:12" ht="18" customHeight="1" x14ac:dyDescent="0.3">
      <c r="B130" s="263" t="s">
        <v>573</v>
      </c>
      <c r="C130" s="291" t="str">
        <f>IFERROR(CORREL(C123:H123,C118:H118), " ")</f>
        <v xml:space="preserve"> </v>
      </c>
      <c r="D130" s="186"/>
      <c r="E130" s="186"/>
      <c r="F130" s="186"/>
      <c r="G130" s="186"/>
      <c r="H130" s="186"/>
      <c r="I130" s="186"/>
      <c r="J130" s="195"/>
      <c r="L130" s="142"/>
    </row>
    <row r="131" spans="1:12" ht="18" customHeight="1" x14ac:dyDescent="0.3">
      <c r="B131" s="263" t="s">
        <v>204</v>
      </c>
      <c r="C131" s="291" t="str">
        <f>IF(C130&gt;=0.95, "Yes", "No")</f>
        <v>Yes</v>
      </c>
      <c r="D131" s="186"/>
      <c r="E131" s="186"/>
      <c r="F131" s="186"/>
      <c r="G131" s="186"/>
      <c r="H131" s="186"/>
      <c r="I131" s="186"/>
      <c r="J131" s="195"/>
      <c r="L131" s="142"/>
    </row>
    <row r="132" spans="1:12" ht="18" customHeight="1" thickBot="1" x14ac:dyDescent="0.35">
      <c r="B132" s="261" t="s">
        <v>478</v>
      </c>
      <c r="C132" s="607"/>
      <c r="D132" s="248"/>
      <c r="E132" s="248"/>
      <c r="F132" s="248"/>
      <c r="G132" s="248"/>
      <c r="H132" s="248"/>
      <c r="I132" s="248"/>
      <c r="J132" s="249"/>
      <c r="L132" s="142"/>
    </row>
    <row r="133" spans="1:12" ht="18" customHeight="1" thickBot="1" x14ac:dyDescent="0.35">
      <c r="L133" s="142"/>
    </row>
    <row r="134" spans="1:12" ht="18" customHeight="1" thickBot="1" x14ac:dyDescent="0.4">
      <c r="B134" s="808" t="s">
        <v>445</v>
      </c>
      <c r="C134" s="809"/>
      <c r="D134" s="809"/>
      <c r="E134" s="809"/>
      <c r="F134" s="809"/>
      <c r="G134" s="809"/>
      <c r="H134" s="809"/>
      <c r="I134" s="809"/>
      <c r="J134" s="810"/>
      <c r="L134" s="142"/>
    </row>
    <row r="135" spans="1:12" s="22" customFormat="1" ht="18" customHeight="1" x14ac:dyDescent="0.35">
      <c r="B135" s="161"/>
      <c r="C135" s="858" t="s">
        <v>185</v>
      </c>
      <c r="D135" s="859"/>
      <c r="E135" s="859"/>
      <c r="F135" s="859"/>
      <c r="G135" s="859"/>
      <c r="H135" s="859"/>
      <c r="I135" s="860"/>
      <c r="J135" s="861"/>
      <c r="K135" s="134"/>
      <c r="L135" s="23"/>
    </row>
    <row r="136" spans="1:12" s="22" customFormat="1" ht="18" customHeight="1" x14ac:dyDescent="0.35">
      <c r="B136" s="218" t="s">
        <v>69</v>
      </c>
      <c r="C136" s="89">
        <v>1</v>
      </c>
      <c r="D136" s="89">
        <v>2</v>
      </c>
      <c r="E136" s="201">
        <v>3</v>
      </c>
      <c r="F136" s="201">
        <v>4</v>
      </c>
      <c r="G136" s="201">
        <v>5</v>
      </c>
      <c r="H136" s="201">
        <v>6</v>
      </c>
      <c r="I136" s="134"/>
      <c r="J136" s="61"/>
      <c r="L136" s="23"/>
    </row>
    <row r="137" spans="1:12" ht="18" customHeight="1" x14ac:dyDescent="0.3">
      <c r="B137" s="414" t="s">
        <v>479</v>
      </c>
      <c r="C137" s="354" t="str">
        <f>IFERROR(C71+C117+$C$42+$C$46+C124, " ")</f>
        <v xml:space="preserve"> </v>
      </c>
      <c r="D137" s="354" t="str">
        <f t="shared" ref="D137:H137" si="13">IFERROR(D71+D117+$C$42+$C$46+D124, " ")</f>
        <v xml:space="preserve"> </v>
      </c>
      <c r="E137" s="354" t="str">
        <f t="shared" si="13"/>
        <v xml:space="preserve"> </v>
      </c>
      <c r="F137" s="354" t="str">
        <f t="shared" si="13"/>
        <v xml:space="preserve"> </v>
      </c>
      <c r="G137" s="354" t="str">
        <f t="shared" si="13"/>
        <v xml:space="preserve"> </v>
      </c>
      <c r="H137" s="354" t="str">
        <f t="shared" si="13"/>
        <v xml:space="preserve"> </v>
      </c>
      <c r="I137" s="186"/>
      <c r="J137" s="195"/>
      <c r="L137" s="142"/>
    </row>
    <row r="138" spans="1:12" ht="18" customHeight="1" thickBot="1" x14ac:dyDescent="0.35">
      <c r="B138" s="261" t="s">
        <v>222</v>
      </c>
      <c r="C138" s="424" t="str">
        <f>IFERROR(($C$47-C137)/$C$47, " ")</f>
        <v xml:space="preserve"> </v>
      </c>
      <c r="D138" s="424" t="str">
        <f t="shared" ref="D138:H138" si="14">IFERROR(($C$47-D137)/$C$47, " ")</f>
        <v xml:space="preserve"> </v>
      </c>
      <c r="E138" s="424" t="str">
        <f t="shared" si="14"/>
        <v xml:space="preserve"> </v>
      </c>
      <c r="F138" s="424" t="str">
        <f t="shared" si="14"/>
        <v xml:space="preserve"> </v>
      </c>
      <c r="G138" s="424" t="str">
        <f t="shared" si="14"/>
        <v xml:space="preserve"> </v>
      </c>
      <c r="H138" s="424" t="str">
        <f t="shared" si="14"/>
        <v xml:space="preserve"> </v>
      </c>
      <c r="I138" s="248"/>
      <c r="J138" s="249"/>
      <c r="L138" s="142"/>
    </row>
    <row r="139" spans="1:12" ht="18" customHeight="1" x14ac:dyDescent="0.3">
      <c r="L139" s="142"/>
    </row>
    <row r="140" spans="1:12" ht="18" customHeight="1" x14ac:dyDescent="0.3">
      <c r="A140" s="142"/>
      <c r="B140" s="142"/>
      <c r="C140" s="142"/>
      <c r="D140" s="142"/>
      <c r="E140" s="142"/>
      <c r="F140" s="142"/>
      <c r="G140" s="142"/>
      <c r="H140" s="142"/>
      <c r="I140" s="142"/>
      <c r="J140" s="142"/>
      <c r="K140" s="142"/>
      <c r="L140" s="142"/>
    </row>
  </sheetData>
  <sheetProtection algorithmName="SHA-512" hashValue="J6Dub/M29pg32R9NvSXI9SJufSULPkEdpuilzT02fVIR7PSKmbSWtfvo08YxsZ5z64udywiSt2rUeV9Gfh44/Q==" saltValue="/YoNg8x+JqT7BAD/J5a1vw==" spinCount="100000" sheet="1" selectLockedCells="1"/>
  <mergeCells count="19">
    <mergeCell ref="B2:C2"/>
    <mergeCell ref="B76:J76"/>
    <mergeCell ref="B49:J49"/>
    <mergeCell ref="B29:J29"/>
    <mergeCell ref="B16:J16"/>
    <mergeCell ref="B17:J17"/>
    <mergeCell ref="C59:H59"/>
    <mergeCell ref="B12:J12"/>
    <mergeCell ref="B11:J11"/>
    <mergeCell ref="C74:F74"/>
    <mergeCell ref="C135:J135"/>
    <mergeCell ref="B24:J24"/>
    <mergeCell ref="B105:J105"/>
    <mergeCell ref="B112:J112"/>
    <mergeCell ref="B19:J19"/>
    <mergeCell ref="C91:J91"/>
    <mergeCell ref="C114:J114"/>
    <mergeCell ref="C121:J121"/>
    <mergeCell ref="B134:J134"/>
  </mergeCells>
  <hyperlinks>
    <hyperlink ref="G2" location="Instructions!B37" display="Back to Instructions tab" xr:uid="{E38C8B94-A52A-4F30-B133-4E6CE6E3F5CF}"/>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F52912-5D9B-4ADB-85DA-6ED811464689}">
          <x14:formula1>
            <xm:f>'Drop-downs'!$B$33:$B$34</xm:f>
          </x14:formula1>
          <xm:sqref>C14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E04E9-D3E9-456C-A5C2-CC88A280E2F2}">
  <sheetPr>
    <tabColor rgb="FF0070C0"/>
  </sheetPr>
  <dimension ref="A1:O156"/>
  <sheetViews>
    <sheetView showGridLines="0" zoomScale="80" zoomScaleNormal="80" workbookViewId="0">
      <selection activeCell="C14" sqref="C14"/>
    </sheetView>
  </sheetViews>
  <sheetFormatPr defaultColWidth="9.140625" defaultRowHeight="18" customHeight="1" x14ac:dyDescent="0.3"/>
  <cols>
    <col min="1" max="1" width="9.140625" style="22"/>
    <col min="2" max="2" width="46.85546875" style="22" customWidth="1"/>
    <col min="3" max="3" width="34.85546875" style="22" customWidth="1"/>
    <col min="4" max="4" width="29.42578125" style="22" customWidth="1"/>
    <col min="5" max="5" width="25.140625" style="22" bestFit="1" customWidth="1"/>
    <col min="6" max="6" width="22.85546875" style="22" customWidth="1"/>
    <col min="7" max="7" width="19.85546875" style="22" customWidth="1"/>
    <col min="8" max="8" width="20.28515625" style="22" customWidth="1"/>
    <col min="9" max="9" width="8.28515625" style="22" customWidth="1"/>
    <col min="10" max="10" width="3.140625" style="22" customWidth="1"/>
    <col min="11" max="16384" width="9.140625" style="22"/>
  </cols>
  <sheetData>
    <row r="1" spans="2:10" ht="18" customHeight="1" thickBot="1" x14ac:dyDescent="0.35">
      <c r="J1" s="23"/>
    </row>
    <row r="2" spans="2:10" ht="18" customHeight="1" thickBot="1" x14ac:dyDescent="0.35">
      <c r="B2" s="872" t="str">
        <f>'Version Control'!$B$2</f>
        <v>Title Block</v>
      </c>
      <c r="C2" s="873"/>
      <c r="G2" s="158" t="s">
        <v>37</v>
      </c>
      <c r="J2" s="23"/>
    </row>
    <row r="3" spans="2:10" ht="18" customHeight="1" x14ac:dyDescent="0.3">
      <c r="B3" s="24" t="str">
        <f>'Version Control'!$B$3</f>
        <v>Test Report Template Name:</v>
      </c>
      <c r="C3" s="25" t="str">
        <f>'Version Control'!C3</f>
        <v>Electric Motors</v>
      </c>
      <c r="J3" s="23"/>
    </row>
    <row r="4" spans="2:10" ht="18" customHeight="1" x14ac:dyDescent="0.3">
      <c r="B4" s="26" t="str">
        <f>'Version Control'!$B$4</f>
        <v>Version Number:</v>
      </c>
      <c r="C4" s="27" t="str">
        <f>'Version Control'!C4</f>
        <v>v1.0</v>
      </c>
      <c r="J4" s="23"/>
    </row>
    <row r="5" spans="2:10" ht="18" customHeight="1" x14ac:dyDescent="0.3">
      <c r="B5" s="26" t="str">
        <f>'Version Control'!$B$5</f>
        <v xml:space="preserve">Latest Template Revision: </v>
      </c>
      <c r="C5" s="28">
        <f>'Version Control'!C5</f>
        <v>45567</v>
      </c>
      <c r="J5" s="23"/>
    </row>
    <row r="6" spans="2:10" ht="18" customHeight="1" x14ac:dyDescent="0.3">
      <c r="B6" s="26" t="str">
        <f>'Version Control'!$B$6</f>
        <v>Tab Name:</v>
      </c>
      <c r="C6" s="29" t="str">
        <f ca="1">MID(CELL("filename",A1), FIND("]", CELL("filename", A1))+ 1, 255)</f>
        <v>IEEE 112-2017 Method A</v>
      </c>
      <c r="J6" s="23"/>
    </row>
    <row r="7" spans="2:10" ht="36" customHeight="1" x14ac:dyDescent="0.3">
      <c r="B7" s="19" t="str">
        <f>'Version Control'!$B$7</f>
        <v>File Name:</v>
      </c>
      <c r="C7" s="50" t="str">
        <f ca="1">'Version Control'!C7</f>
        <v>Electric Motors -  v1.0.xlsx</v>
      </c>
      <c r="J7" s="23"/>
    </row>
    <row r="8" spans="2:10" ht="16.5" x14ac:dyDescent="0.3">
      <c r="B8" s="58" t="s">
        <v>42</v>
      </c>
      <c r="C8" s="52" t="str">
        <f>'General Info &amp; Test Results'!C17</f>
        <v>[MM/DD/YYYY]</v>
      </c>
      <c r="J8" s="23"/>
    </row>
    <row r="9" spans="2:10" ht="18" customHeight="1" thickBot="1" x14ac:dyDescent="0.35">
      <c r="B9" s="53" t="str">
        <f>'Version Control'!$B$9</f>
        <v>Date Test Finished:</v>
      </c>
      <c r="C9" s="54" t="str">
        <f>'Version Control'!C9</f>
        <v>[MM/DD/YYYY]</v>
      </c>
      <c r="J9" s="23"/>
    </row>
    <row r="10" spans="2:10" ht="18" customHeight="1" thickBot="1" x14ac:dyDescent="0.35">
      <c r="B10" s="30"/>
      <c r="C10" s="31"/>
      <c r="J10" s="23"/>
    </row>
    <row r="11" spans="2:10" thickBot="1" x14ac:dyDescent="0.4">
      <c r="B11" s="808" t="s">
        <v>586</v>
      </c>
      <c r="C11" s="808"/>
      <c r="D11" s="808"/>
      <c r="E11" s="808"/>
      <c r="F11" s="808"/>
      <c r="G11" s="808"/>
      <c r="H11" s="844"/>
      <c r="J11" s="23"/>
    </row>
    <row r="12" spans="2:10" ht="226.5" customHeight="1" thickBot="1" x14ac:dyDescent="0.35">
      <c r="B12" s="855" t="s">
        <v>592</v>
      </c>
      <c r="C12" s="870"/>
      <c r="D12" s="870"/>
      <c r="E12" s="870"/>
      <c r="F12" s="870"/>
      <c r="G12" s="870"/>
      <c r="H12" s="871"/>
      <c r="J12" s="23"/>
    </row>
    <row r="13" spans="2:10" ht="18.95" customHeight="1" x14ac:dyDescent="0.3">
      <c r="B13" s="487"/>
      <c r="C13" s="488"/>
      <c r="D13" s="488"/>
      <c r="E13" s="488"/>
      <c r="F13" s="488"/>
      <c r="G13" s="488"/>
      <c r="H13" s="488"/>
      <c r="J13" s="23"/>
    </row>
    <row r="14" spans="2:10" ht="31.5" customHeight="1" x14ac:dyDescent="0.3">
      <c r="B14" s="489" t="s">
        <v>587</v>
      </c>
      <c r="C14" s="605"/>
      <c r="D14" s="488"/>
      <c r="E14" s="488"/>
      <c r="F14" s="488"/>
      <c r="G14" s="488"/>
      <c r="H14" s="488"/>
      <c r="J14" s="23"/>
    </row>
    <row r="15" spans="2:10" ht="21.6" customHeight="1" thickBot="1" x14ac:dyDescent="0.7">
      <c r="B15" s="484"/>
      <c r="C15" s="485"/>
      <c r="D15" s="208"/>
      <c r="E15" s="208"/>
      <c r="F15" s="208"/>
      <c r="G15" s="208"/>
      <c r="H15" s="208"/>
      <c r="I15" s="208"/>
      <c r="J15" s="524"/>
    </row>
    <row r="16" spans="2:10" ht="18" customHeight="1" thickBot="1" x14ac:dyDescent="0.4">
      <c r="B16" s="875" t="s">
        <v>181</v>
      </c>
      <c r="C16" s="876"/>
      <c r="D16" s="876"/>
      <c r="E16" s="876"/>
      <c r="F16" s="876"/>
      <c r="G16" s="876"/>
      <c r="H16" s="877"/>
      <c r="J16" s="23"/>
    </row>
    <row r="17" spans="2:10" ht="38.450000000000003" customHeight="1" thickBot="1" x14ac:dyDescent="0.35">
      <c r="B17" s="878" t="s">
        <v>612</v>
      </c>
      <c r="C17" s="879"/>
      <c r="D17" s="879"/>
      <c r="E17" s="879"/>
      <c r="F17" s="879"/>
      <c r="G17" s="879"/>
      <c r="H17" s="880"/>
      <c r="J17" s="23"/>
    </row>
    <row r="18" spans="2:10" ht="18" customHeight="1" thickBot="1" x14ac:dyDescent="0.35">
      <c r="B18" s="30"/>
      <c r="C18" s="31"/>
      <c r="J18" s="23"/>
    </row>
    <row r="19" spans="2:10" ht="18" customHeight="1" thickBot="1" x14ac:dyDescent="0.4">
      <c r="B19" s="818" t="s">
        <v>183</v>
      </c>
      <c r="C19" s="819"/>
      <c r="D19" s="819"/>
      <c r="E19" s="819"/>
      <c r="F19" s="819"/>
      <c r="G19" s="819"/>
      <c r="H19" s="820"/>
      <c r="J19" s="23"/>
    </row>
    <row r="20" spans="2:10" ht="18" customHeight="1" x14ac:dyDescent="0.3">
      <c r="B20" s="237" t="s">
        <v>69</v>
      </c>
      <c r="C20" s="203" t="s">
        <v>70</v>
      </c>
      <c r="D20" s="134"/>
      <c r="E20" s="134"/>
      <c r="F20" s="134"/>
      <c r="G20" s="134"/>
      <c r="H20" s="61"/>
      <c r="J20" s="23"/>
    </row>
    <row r="21" spans="2:10" ht="18" customHeight="1" x14ac:dyDescent="0.3">
      <c r="B21" s="90" t="s">
        <v>361</v>
      </c>
      <c r="C21" s="289">
        <f>'General Info &amp; Test Results'!C51</f>
        <v>0</v>
      </c>
      <c r="D21" s="134"/>
      <c r="E21" s="134"/>
      <c r="F21" s="134"/>
      <c r="G21" s="134"/>
      <c r="H21" s="61"/>
      <c r="J21" s="23"/>
    </row>
    <row r="22" spans="2:10" ht="18" customHeight="1" x14ac:dyDescent="0.3">
      <c r="B22" s="90" t="s">
        <v>254</v>
      </c>
      <c r="C22" s="289">
        <f>'General Info &amp; Test Results'!C58</f>
        <v>0</v>
      </c>
      <c r="D22" s="134"/>
      <c r="E22" s="134"/>
      <c r="F22" s="134"/>
      <c r="G22" s="134"/>
      <c r="H22" s="61"/>
      <c r="J22" s="23"/>
    </row>
    <row r="23" spans="2:10" ht="18" customHeight="1" x14ac:dyDescent="0.3">
      <c r="B23" s="90" t="s">
        <v>362</v>
      </c>
      <c r="C23" s="289">
        <f>'General Info &amp; Test Results'!C52</f>
        <v>0</v>
      </c>
      <c r="D23" s="134"/>
      <c r="E23" s="134"/>
      <c r="F23" s="134"/>
      <c r="G23" s="134"/>
      <c r="H23" s="61"/>
      <c r="J23" s="23"/>
    </row>
    <row r="24" spans="2:10" ht="18" customHeight="1" x14ac:dyDescent="0.3">
      <c r="B24" s="90" t="s">
        <v>360</v>
      </c>
      <c r="C24" s="533">
        <f>'General Info &amp; Test Results'!C50*745.7</f>
        <v>0</v>
      </c>
      <c r="D24" s="223"/>
      <c r="E24" s="134"/>
      <c r="F24" s="134"/>
      <c r="G24" s="134"/>
      <c r="H24" s="61"/>
      <c r="J24" s="23"/>
    </row>
    <row r="25" spans="2:10" ht="18" customHeight="1" x14ac:dyDescent="0.3">
      <c r="B25" s="90" t="s">
        <v>241</v>
      </c>
      <c r="C25" s="289">
        <f>'General Info &amp; Test Results'!C40</f>
        <v>0</v>
      </c>
      <c r="D25" s="134"/>
      <c r="E25" s="134"/>
      <c r="F25" s="134"/>
      <c r="G25" s="134"/>
      <c r="H25" s="61"/>
      <c r="J25" s="23"/>
    </row>
    <row r="26" spans="2:10" ht="18" customHeight="1" thickBot="1" x14ac:dyDescent="0.35">
      <c r="B26" s="91" t="s">
        <v>585</v>
      </c>
      <c r="C26" s="290" t="str">
        <f>IF(C25="Aluminum",225,IF(C25="Copper",234.5,"Winding material needed"))</f>
        <v>Winding material needed</v>
      </c>
      <c r="D26" s="257"/>
      <c r="E26" s="257"/>
      <c r="F26" s="257"/>
      <c r="G26" s="257"/>
      <c r="H26" s="258"/>
      <c r="J26" s="23"/>
    </row>
    <row r="27" spans="2:10" ht="18" customHeight="1" thickBot="1" x14ac:dyDescent="0.35">
      <c r="J27" s="23"/>
    </row>
    <row r="28" spans="2:10" ht="18" customHeight="1" thickBot="1" x14ac:dyDescent="0.4">
      <c r="B28" s="818" t="s">
        <v>240</v>
      </c>
      <c r="C28" s="819"/>
      <c r="D28" s="819"/>
      <c r="E28" s="819"/>
      <c r="F28" s="819"/>
      <c r="G28" s="819"/>
      <c r="H28" s="820"/>
      <c r="J28" s="23"/>
    </row>
    <row r="29" spans="2:10" ht="18" customHeight="1" x14ac:dyDescent="0.3">
      <c r="B29" s="355" t="s">
        <v>69</v>
      </c>
      <c r="C29" s="203" t="s">
        <v>70</v>
      </c>
      <c r="D29" s="223"/>
      <c r="E29" s="134"/>
      <c r="F29" s="134"/>
      <c r="G29" s="134"/>
      <c r="H29" s="61"/>
      <c r="J29" s="23"/>
    </row>
    <row r="30" spans="2:10" ht="18" customHeight="1" x14ac:dyDescent="0.3">
      <c r="B30" s="270" t="s">
        <v>202</v>
      </c>
      <c r="C30" s="623"/>
      <c r="D30" s="207"/>
      <c r="E30" s="134"/>
      <c r="F30" s="134"/>
      <c r="G30" s="134"/>
      <c r="H30" s="61"/>
      <c r="J30" s="23"/>
    </row>
    <row r="31" spans="2:10" ht="18" customHeight="1" thickBot="1" x14ac:dyDescent="0.35">
      <c r="B31" s="380" t="s">
        <v>355</v>
      </c>
      <c r="C31" s="624"/>
      <c r="D31" s="251"/>
      <c r="E31" s="257"/>
      <c r="F31" s="257"/>
      <c r="G31" s="257"/>
      <c r="H31" s="258"/>
      <c r="J31" s="23"/>
    </row>
    <row r="32" spans="2:10" ht="18" customHeight="1" thickBot="1" x14ac:dyDescent="0.35">
      <c r="B32" s="205"/>
      <c r="C32" s="631"/>
      <c r="D32" s="281"/>
      <c r="E32" s="231"/>
      <c r="F32" s="207"/>
      <c r="J32" s="23"/>
    </row>
    <row r="33" spans="2:15" ht="18" customHeight="1" thickBot="1" x14ac:dyDescent="0.4">
      <c r="B33" s="818" t="s">
        <v>239</v>
      </c>
      <c r="C33" s="819"/>
      <c r="D33" s="819"/>
      <c r="E33" s="819"/>
      <c r="F33" s="819"/>
      <c r="G33" s="819"/>
      <c r="H33" s="820"/>
      <c r="J33" s="23"/>
    </row>
    <row r="34" spans="2:15" ht="18" customHeight="1" x14ac:dyDescent="0.35">
      <c r="B34" s="238"/>
      <c r="C34" s="188"/>
      <c r="D34" s="188"/>
      <c r="E34" s="188"/>
      <c r="F34" s="188"/>
      <c r="G34" s="134"/>
      <c r="H34" s="61"/>
      <c r="J34" s="23"/>
    </row>
    <row r="35" spans="2:15" ht="18" customHeight="1" x14ac:dyDescent="0.35">
      <c r="B35" s="283" t="s">
        <v>242</v>
      </c>
      <c r="C35" s="625"/>
      <c r="D35" s="188"/>
      <c r="E35" s="188"/>
      <c r="F35" s="188"/>
      <c r="G35" s="134"/>
      <c r="H35" s="61"/>
      <c r="J35" s="23"/>
    </row>
    <row r="36" spans="2:15" ht="18" customHeight="1" x14ac:dyDescent="0.35">
      <c r="B36" s="238"/>
      <c r="C36" s="188"/>
      <c r="D36" s="188"/>
      <c r="E36" s="188"/>
      <c r="F36" s="188"/>
      <c r="G36" s="134"/>
      <c r="H36" s="61"/>
      <c r="J36" s="23"/>
    </row>
    <row r="37" spans="2:15" ht="18" customHeight="1" x14ac:dyDescent="0.3">
      <c r="B37" s="273" t="s">
        <v>69</v>
      </c>
      <c r="C37" s="233" t="s">
        <v>70</v>
      </c>
      <c r="D37" s="223"/>
      <c r="E37" s="134"/>
      <c r="F37" s="134"/>
      <c r="G37" s="134"/>
      <c r="H37" s="61"/>
      <c r="J37" s="23"/>
    </row>
    <row r="38" spans="2:15" ht="18" customHeight="1" x14ac:dyDescent="0.3">
      <c r="B38" s="196" t="s">
        <v>356</v>
      </c>
      <c r="C38" s="623"/>
      <c r="D38" s="207"/>
      <c r="E38" s="134"/>
      <c r="F38" s="134"/>
      <c r="G38" s="134"/>
      <c r="H38" s="61"/>
      <c r="J38" s="23"/>
    </row>
    <row r="39" spans="2:15" ht="18" customHeight="1" x14ac:dyDescent="0.3">
      <c r="B39" s="196" t="s">
        <v>202</v>
      </c>
      <c r="C39" s="623"/>
      <c r="D39" s="207"/>
      <c r="E39" s="134"/>
      <c r="F39" s="134"/>
      <c r="G39" s="134"/>
      <c r="H39" s="61"/>
      <c r="J39" s="23"/>
    </row>
    <row r="40" spans="2:15" ht="18" customHeight="1" x14ac:dyDescent="0.3">
      <c r="B40" s="196" t="s">
        <v>357</v>
      </c>
      <c r="C40" s="289" t="str">
        <f>IFERROR(((C38/C31)*(C26+C30))-C26, " ")</f>
        <v xml:space="preserve"> </v>
      </c>
      <c r="D40" s="456"/>
      <c r="H40" s="61"/>
      <c r="J40" s="23"/>
    </row>
    <row r="41" spans="2:15" ht="18" customHeight="1" x14ac:dyDescent="0.3">
      <c r="B41" s="196" t="s">
        <v>344</v>
      </c>
      <c r="C41" s="289" t="str">
        <f>IFERROR(C40-C39, " ")</f>
        <v xml:space="preserve"> </v>
      </c>
      <c r="D41" s="207"/>
      <c r="E41" s="134"/>
      <c r="F41" s="134"/>
      <c r="G41" s="134"/>
      <c r="H41" s="61"/>
      <c r="J41" s="23"/>
    </row>
    <row r="42" spans="2:15" ht="18" customHeight="1" x14ac:dyDescent="0.35">
      <c r="B42" s="200" t="s">
        <v>358</v>
      </c>
      <c r="C42" s="297">
        <f>IFERROR((C41-C39)+25,0)</f>
        <v>0</v>
      </c>
      <c r="D42" s="207"/>
      <c r="E42" s="230"/>
      <c r="F42" s="230"/>
      <c r="G42" s="134"/>
      <c r="H42" s="61"/>
      <c r="I42" s="134"/>
      <c r="J42" s="525"/>
      <c r="K42" s="134"/>
      <c r="L42" s="134"/>
      <c r="M42" s="134"/>
    </row>
    <row r="43" spans="2:15" ht="18" customHeight="1" thickBot="1" x14ac:dyDescent="0.4">
      <c r="B43" s="342" t="s">
        <v>359</v>
      </c>
      <c r="C43" s="626"/>
      <c r="D43" s="275"/>
      <c r="E43" s="275"/>
      <c r="F43" s="275"/>
      <c r="G43" s="257"/>
      <c r="H43" s="258"/>
      <c r="I43" s="134"/>
      <c r="J43" s="525"/>
      <c r="K43" s="134"/>
      <c r="L43" s="134"/>
      <c r="M43" s="134"/>
    </row>
    <row r="44" spans="2:15" ht="18" customHeight="1" thickBot="1" x14ac:dyDescent="0.4">
      <c r="B44" s="230"/>
      <c r="C44" s="232"/>
      <c r="D44" s="230"/>
      <c r="E44" s="231"/>
      <c r="F44" s="230"/>
      <c r="G44" s="230"/>
      <c r="H44" s="230"/>
      <c r="I44" s="134"/>
      <c r="J44" s="525"/>
      <c r="K44" s="134"/>
      <c r="L44" s="134"/>
      <c r="M44" s="134"/>
      <c r="N44" s="134"/>
      <c r="O44" s="134"/>
    </row>
    <row r="45" spans="2:15" ht="18" customHeight="1" thickBot="1" x14ac:dyDescent="0.4">
      <c r="B45" s="818" t="s">
        <v>404</v>
      </c>
      <c r="C45" s="819"/>
      <c r="D45" s="819"/>
      <c r="E45" s="819"/>
      <c r="F45" s="819"/>
      <c r="G45" s="819"/>
      <c r="H45" s="820"/>
      <c r="I45" s="134"/>
      <c r="J45" s="525"/>
      <c r="K45" s="134"/>
      <c r="L45" s="134"/>
    </row>
    <row r="46" spans="2:15" ht="18" customHeight="1" x14ac:dyDescent="0.35">
      <c r="B46" s="446"/>
      <c r="C46" s="447"/>
      <c r="D46" s="447"/>
      <c r="E46" s="447"/>
      <c r="F46" s="447"/>
      <c r="G46" s="234"/>
      <c r="H46" s="267"/>
      <c r="I46" s="134"/>
      <c r="J46" s="525"/>
      <c r="K46" s="134"/>
      <c r="L46" s="134"/>
    </row>
    <row r="47" spans="2:15" ht="18" customHeight="1" x14ac:dyDescent="0.35">
      <c r="B47" s="216" t="s">
        <v>185</v>
      </c>
      <c r="C47" s="217" t="s">
        <v>286</v>
      </c>
      <c r="D47" s="217" t="s">
        <v>408</v>
      </c>
      <c r="E47" s="447"/>
      <c r="F47" s="447"/>
      <c r="G47" s="234"/>
      <c r="H47" s="267"/>
      <c r="I47" s="134"/>
      <c r="J47" s="525"/>
      <c r="K47" s="134"/>
      <c r="L47" s="134"/>
    </row>
    <row r="48" spans="2:15" ht="18" customHeight="1" x14ac:dyDescent="0.3">
      <c r="B48" s="90">
        <v>1</v>
      </c>
      <c r="C48" s="627"/>
      <c r="D48" s="89" t="s">
        <v>402</v>
      </c>
      <c r="E48" s="268"/>
      <c r="F48" s="223"/>
      <c r="G48" s="134"/>
      <c r="H48" s="61"/>
      <c r="I48" s="134"/>
      <c r="J48" s="525"/>
      <c r="K48" s="134"/>
      <c r="L48" s="134"/>
    </row>
    <row r="49" spans="2:13" ht="18" customHeight="1" x14ac:dyDescent="0.3">
      <c r="B49" s="90">
        <v>2</v>
      </c>
      <c r="C49" s="606"/>
      <c r="D49" s="89" t="s">
        <v>402</v>
      </c>
      <c r="E49" s="231"/>
      <c r="F49" s="207"/>
      <c r="G49" s="134"/>
      <c r="H49" s="61"/>
      <c r="I49" s="134"/>
      <c r="J49" s="525"/>
      <c r="K49" s="134"/>
      <c r="L49" s="134"/>
    </row>
    <row r="50" spans="2:13" ht="18" customHeight="1" x14ac:dyDescent="0.3">
      <c r="B50" s="274">
        <v>3</v>
      </c>
      <c r="C50" s="285"/>
      <c r="D50" s="89" t="s">
        <v>403</v>
      </c>
      <c r="E50" s="231"/>
      <c r="F50" s="207"/>
      <c r="G50" s="134"/>
      <c r="H50" s="61"/>
      <c r="I50" s="134"/>
      <c r="J50" s="525"/>
      <c r="K50" s="134"/>
      <c r="L50" s="134"/>
    </row>
    <row r="51" spans="2:13" ht="18" customHeight="1" x14ac:dyDescent="0.3">
      <c r="B51" s="90">
        <v>4</v>
      </c>
      <c r="C51" s="285"/>
      <c r="D51" s="89" t="s">
        <v>403</v>
      </c>
      <c r="E51" s="206"/>
      <c r="F51" s="207"/>
      <c r="G51" s="134"/>
      <c r="H51" s="61"/>
      <c r="I51" s="134"/>
      <c r="J51" s="525"/>
      <c r="K51" s="134"/>
      <c r="L51" s="134"/>
    </row>
    <row r="52" spans="2:13" ht="18" customHeight="1" x14ac:dyDescent="0.3">
      <c r="B52" s="90">
        <v>5</v>
      </c>
      <c r="C52" s="285"/>
      <c r="D52" s="89" t="s">
        <v>403</v>
      </c>
      <c r="E52" s="231"/>
      <c r="F52" s="207"/>
      <c r="G52" s="134"/>
      <c r="H52" s="61"/>
      <c r="I52" s="134"/>
      <c r="J52" s="525"/>
      <c r="K52" s="134"/>
      <c r="L52" s="134"/>
      <c r="M52" s="134"/>
    </row>
    <row r="53" spans="2:13" ht="18" customHeight="1" x14ac:dyDescent="0.3">
      <c r="B53" s="90">
        <v>6</v>
      </c>
      <c r="C53" s="285"/>
      <c r="D53" s="89" t="s">
        <v>403</v>
      </c>
      <c r="E53" s="231"/>
      <c r="F53" s="207"/>
      <c r="G53" s="134"/>
      <c r="H53" s="61"/>
      <c r="I53" s="134"/>
      <c r="J53" s="525"/>
      <c r="K53" s="134"/>
      <c r="L53" s="134"/>
      <c r="M53" s="134"/>
    </row>
    <row r="54" spans="2:13" ht="18" customHeight="1" x14ac:dyDescent="0.3">
      <c r="B54" s="198"/>
      <c r="C54" s="632"/>
      <c r="D54" s="236"/>
      <c r="E54" s="206"/>
      <c r="F54" s="207"/>
      <c r="G54" s="269"/>
      <c r="H54" s="61"/>
      <c r="J54" s="23"/>
      <c r="L54" s="134"/>
      <c r="M54" s="134"/>
    </row>
    <row r="55" spans="2:13" ht="18" customHeight="1" x14ac:dyDescent="0.35">
      <c r="B55" s="282"/>
      <c r="C55" s="883" t="s">
        <v>185</v>
      </c>
      <c r="D55" s="883"/>
      <c r="E55" s="883"/>
      <c r="F55" s="883"/>
      <c r="G55" s="883"/>
      <c r="H55" s="884"/>
      <c r="J55" s="23"/>
      <c r="L55" s="134"/>
      <c r="M55" s="134"/>
    </row>
    <row r="56" spans="2:13" ht="18" customHeight="1" x14ac:dyDescent="0.35">
      <c r="B56" s="218" t="s">
        <v>69</v>
      </c>
      <c r="C56" s="404">
        <v>1</v>
      </c>
      <c r="D56" s="404">
        <v>2</v>
      </c>
      <c r="E56" s="219">
        <v>3</v>
      </c>
      <c r="F56" s="404">
        <v>4</v>
      </c>
      <c r="G56" s="404">
        <v>5</v>
      </c>
      <c r="H56" s="405">
        <v>6</v>
      </c>
      <c r="J56" s="23"/>
      <c r="L56" s="134"/>
      <c r="M56" s="134"/>
    </row>
    <row r="57" spans="2:13" ht="18" customHeight="1" x14ac:dyDescent="0.35">
      <c r="B57" s="197" t="s">
        <v>224</v>
      </c>
      <c r="C57" s="614"/>
      <c r="D57" s="614"/>
      <c r="E57" s="619"/>
      <c r="F57" s="614"/>
      <c r="G57" s="614"/>
      <c r="H57" s="628"/>
      <c r="J57" s="23"/>
      <c r="L57" s="134"/>
      <c r="M57" s="134"/>
    </row>
    <row r="58" spans="2:13" ht="18" customHeight="1" x14ac:dyDescent="0.3">
      <c r="B58" s="197" t="s">
        <v>202</v>
      </c>
      <c r="C58" s="614"/>
      <c r="D58" s="614"/>
      <c r="E58" s="619"/>
      <c r="F58" s="614"/>
      <c r="G58" s="614"/>
      <c r="H58" s="628"/>
      <c r="J58" s="23"/>
      <c r="L58" s="134"/>
      <c r="M58" s="134"/>
    </row>
    <row r="59" spans="2:13" ht="18" customHeight="1" x14ac:dyDescent="0.3">
      <c r="B59" s="197" t="s">
        <v>414</v>
      </c>
      <c r="C59" s="614"/>
      <c r="D59" s="614"/>
      <c r="E59" s="619"/>
      <c r="F59" s="614"/>
      <c r="G59" s="614"/>
      <c r="H59" s="628"/>
      <c r="J59" s="23"/>
      <c r="L59" s="134"/>
      <c r="M59" s="134"/>
    </row>
    <row r="60" spans="2:13" ht="18" customHeight="1" x14ac:dyDescent="0.3">
      <c r="B60" s="197" t="s">
        <v>201</v>
      </c>
      <c r="C60" s="629"/>
      <c r="D60" s="614"/>
      <c r="E60" s="619"/>
      <c r="F60" s="614"/>
      <c r="G60" s="614"/>
      <c r="H60" s="628"/>
      <c r="J60" s="23"/>
      <c r="L60" s="134"/>
      <c r="M60" s="134"/>
    </row>
    <row r="61" spans="2:13" ht="18" customHeight="1" x14ac:dyDescent="0.3">
      <c r="B61" s="197" t="s">
        <v>346</v>
      </c>
      <c r="C61" s="606"/>
      <c r="D61" s="606"/>
      <c r="E61" s="606"/>
      <c r="F61" s="606"/>
      <c r="G61" s="606"/>
      <c r="H61" s="609"/>
      <c r="J61" s="23"/>
      <c r="L61" s="134"/>
      <c r="M61" s="134"/>
    </row>
    <row r="62" spans="2:13" ht="18" customHeight="1" x14ac:dyDescent="0.3">
      <c r="B62" s="197" t="s">
        <v>415</v>
      </c>
      <c r="C62" s="606"/>
      <c r="D62" s="606"/>
      <c r="E62" s="606"/>
      <c r="F62" s="606"/>
      <c r="G62" s="606"/>
      <c r="H62" s="609"/>
      <c r="J62" s="23"/>
      <c r="L62" s="134"/>
      <c r="M62" s="134"/>
    </row>
    <row r="63" spans="2:13" ht="18" customHeight="1" x14ac:dyDescent="0.3">
      <c r="B63" s="197" t="s">
        <v>199</v>
      </c>
      <c r="C63" s="606"/>
      <c r="D63" s="606"/>
      <c r="E63" s="606"/>
      <c r="F63" s="606"/>
      <c r="G63" s="606"/>
      <c r="H63" s="609"/>
      <c r="J63" s="23"/>
      <c r="L63" s="134"/>
      <c r="M63" s="134"/>
    </row>
    <row r="64" spans="2:13" ht="18" customHeight="1" x14ac:dyDescent="0.3">
      <c r="B64" s="200" t="s">
        <v>215</v>
      </c>
      <c r="C64" s="614"/>
      <c r="D64" s="614"/>
      <c r="E64" s="619"/>
      <c r="F64" s="614"/>
      <c r="G64" s="614"/>
      <c r="H64" s="628"/>
      <c r="J64" s="23"/>
      <c r="L64" s="134"/>
      <c r="M64" s="134"/>
    </row>
    <row r="65" spans="2:13" ht="18" customHeight="1" x14ac:dyDescent="0.3">
      <c r="B65" s="200" t="s">
        <v>282</v>
      </c>
      <c r="C65" s="614"/>
      <c r="D65" s="614"/>
      <c r="E65" s="619"/>
      <c r="F65" s="614"/>
      <c r="G65" s="614"/>
      <c r="H65" s="628"/>
      <c r="J65" s="23"/>
      <c r="L65" s="134"/>
      <c r="M65" s="134"/>
    </row>
    <row r="66" spans="2:13" ht="18" customHeight="1" x14ac:dyDescent="0.3">
      <c r="B66" s="200" t="s">
        <v>516</v>
      </c>
      <c r="C66" s="614"/>
      <c r="D66" s="614"/>
      <c r="E66" s="619"/>
      <c r="F66" s="614"/>
      <c r="G66" s="614"/>
      <c r="H66" s="628"/>
      <c r="J66" s="23"/>
      <c r="L66" s="134"/>
      <c r="M66" s="134"/>
    </row>
    <row r="67" spans="2:13" ht="18" customHeight="1" x14ac:dyDescent="0.3">
      <c r="B67" s="200" t="s">
        <v>580</v>
      </c>
      <c r="C67" s="297" t="str">
        <f>IFERROR(ABS(100*((AVERAGE(C60:H60)-C60)/AVERAGE(C60:H60))), " ")</f>
        <v xml:space="preserve"> </v>
      </c>
      <c r="D67" s="297" t="str">
        <f>IFERROR(ABS(100*((AVERAGE(C60:H60)-D60)/AVERAGE(C60:H60))), " ")</f>
        <v xml:space="preserve"> </v>
      </c>
      <c r="E67" s="297" t="str">
        <f>IFERROR(ABS(100*((AVERAGE(C60:H60)-E60)/AVERAGE(C60:H60))), " ")</f>
        <v xml:space="preserve"> </v>
      </c>
      <c r="F67" s="297" t="str">
        <f>IFERROR(ABS(100*((AVERAGE(C60:H60)-F60)/AVERAGE(C60:H60))), " ")</f>
        <v xml:space="preserve"> </v>
      </c>
      <c r="G67" s="297" t="str">
        <f>IFERROR(ABS(100*((AVERAGE(C60:H60)-G60)/AVERAGE(C60:H60))), " ")</f>
        <v xml:space="preserve"> </v>
      </c>
      <c r="H67" s="297" t="str">
        <f>IFERROR(ABS(100*((AVERAGE(C60:H60)-H60)/AVERAGE(C60:H60))), " ")</f>
        <v xml:space="preserve"> </v>
      </c>
      <c r="J67" s="23"/>
      <c r="L67" s="134"/>
      <c r="M67" s="134"/>
    </row>
    <row r="68" spans="2:13" ht="18" customHeight="1" x14ac:dyDescent="0.3">
      <c r="B68" s="200" t="s">
        <v>216</v>
      </c>
      <c r="C68" s="297">
        <f>IFERROR($C$22-C64, " ")</f>
        <v>0</v>
      </c>
      <c r="D68" s="297">
        <f t="shared" ref="D68:H68" si="0">$C$22-D64</f>
        <v>0</v>
      </c>
      <c r="E68" s="297">
        <f t="shared" si="0"/>
        <v>0</v>
      </c>
      <c r="F68" s="297">
        <f t="shared" si="0"/>
        <v>0</v>
      </c>
      <c r="G68" s="297">
        <f t="shared" si="0"/>
        <v>0</v>
      </c>
      <c r="H68" s="298">
        <f t="shared" si="0"/>
        <v>0</v>
      </c>
      <c r="J68" s="23"/>
      <c r="L68" s="134"/>
      <c r="M68" s="134"/>
    </row>
    <row r="69" spans="2:13" ht="18" customHeight="1" x14ac:dyDescent="0.3">
      <c r="B69" s="200" t="s">
        <v>217</v>
      </c>
      <c r="C69" s="297" t="str">
        <f>IFERROR(C68/$C$22, " ")</f>
        <v xml:space="preserve"> </v>
      </c>
      <c r="D69" s="297" t="str">
        <f t="shared" ref="D69:H69" si="1">IFERROR(D68/$C$22, " ")</f>
        <v xml:space="preserve"> </v>
      </c>
      <c r="E69" s="297" t="str">
        <f t="shared" si="1"/>
        <v xml:space="preserve"> </v>
      </c>
      <c r="F69" s="297" t="str">
        <f t="shared" si="1"/>
        <v xml:space="preserve"> </v>
      </c>
      <c r="G69" s="297" t="str">
        <f t="shared" si="1"/>
        <v xml:space="preserve"> </v>
      </c>
      <c r="H69" s="297" t="str">
        <f t="shared" si="1"/>
        <v xml:space="preserve"> </v>
      </c>
      <c r="J69" s="23"/>
      <c r="L69" s="134"/>
      <c r="M69" s="134"/>
    </row>
    <row r="70" spans="2:13" ht="18" customHeight="1" x14ac:dyDescent="0.3">
      <c r="B70" s="200" t="s">
        <v>218</v>
      </c>
      <c r="C70" s="297" t="str">
        <f>IFERROR((C68*($C$42+$C$43+$C$26))/(C57+$C$26), " ")</f>
        <v xml:space="preserve"> </v>
      </c>
      <c r="D70" s="297" t="str">
        <f t="shared" ref="D70:H70" si="2">IFERROR((D68*($C$42+$C$43+$C$26))/(D57+$C$26), " ")</f>
        <v xml:space="preserve"> </v>
      </c>
      <c r="E70" s="297" t="str">
        <f t="shared" si="2"/>
        <v xml:space="preserve"> </v>
      </c>
      <c r="F70" s="297" t="str">
        <f t="shared" si="2"/>
        <v xml:space="preserve"> </v>
      </c>
      <c r="G70" s="297" t="str">
        <f t="shared" si="2"/>
        <v xml:space="preserve"> </v>
      </c>
      <c r="H70" s="297" t="str">
        <f t="shared" si="2"/>
        <v xml:space="preserve"> </v>
      </c>
      <c r="J70" s="23"/>
      <c r="L70" s="134"/>
      <c r="M70" s="134"/>
    </row>
    <row r="71" spans="2:13" ht="18" customHeight="1" x14ac:dyDescent="0.3">
      <c r="B71" s="200" t="s">
        <v>219</v>
      </c>
      <c r="C71" s="297" t="str">
        <f>IFERROR($C$22*(1-C70), " ")</f>
        <v xml:space="preserve"> </v>
      </c>
      <c r="D71" s="297" t="str">
        <f t="shared" ref="D71:H71" si="3">IFERROR($C$22*(1-D70), " ")</f>
        <v xml:space="preserve"> </v>
      </c>
      <c r="E71" s="297" t="str">
        <f t="shared" si="3"/>
        <v xml:space="preserve"> </v>
      </c>
      <c r="F71" s="297" t="str">
        <f t="shared" si="3"/>
        <v xml:space="preserve"> </v>
      </c>
      <c r="G71" s="297" t="str">
        <f t="shared" si="3"/>
        <v xml:space="preserve"> </v>
      </c>
      <c r="H71" s="297" t="str">
        <f t="shared" si="3"/>
        <v xml:space="preserve"> </v>
      </c>
      <c r="J71" s="23"/>
      <c r="L71" s="134"/>
      <c r="M71" s="134"/>
    </row>
    <row r="72" spans="2:13" ht="18" customHeight="1" x14ac:dyDescent="0.3">
      <c r="B72" s="200" t="s">
        <v>349</v>
      </c>
      <c r="C72" s="297">
        <f>IFERROR(C61+$C$153, " ")</f>
        <v>0</v>
      </c>
      <c r="D72" s="297">
        <f t="shared" ref="D72:H72" si="4">D61+$C$153</f>
        <v>0</v>
      </c>
      <c r="E72" s="297">
        <f t="shared" si="4"/>
        <v>0</v>
      </c>
      <c r="F72" s="297">
        <f t="shared" si="4"/>
        <v>0</v>
      </c>
      <c r="G72" s="297">
        <f t="shared" si="4"/>
        <v>0</v>
      </c>
      <c r="H72" s="298">
        <f t="shared" si="4"/>
        <v>0</v>
      </c>
      <c r="J72" s="23"/>
      <c r="L72" s="134"/>
      <c r="M72" s="134"/>
    </row>
    <row r="73" spans="2:13" ht="18" customHeight="1" x14ac:dyDescent="0.3">
      <c r="B73" s="200" t="s">
        <v>220</v>
      </c>
      <c r="C73" s="292" t="str">
        <f>IFERROR(C72*(C71/9.549), " ")</f>
        <v xml:space="preserve"> </v>
      </c>
      <c r="D73" s="292" t="str">
        <f t="shared" ref="D73:H73" si="5">IFERROR(D72*(D71/9.549), " ")</f>
        <v xml:space="preserve"> </v>
      </c>
      <c r="E73" s="292" t="str">
        <f t="shared" si="5"/>
        <v xml:space="preserve"> </v>
      </c>
      <c r="F73" s="292" t="str">
        <f t="shared" si="5"/>
        <v xml:space="preserve"> </v>
      </c>
      <c r="G73" s="292" t="str">
        <f t="shared" si="5"/>
        <v xml:space="preserve"> </v>
      </c>
      <c r="H73" s="292" t="str">
        <f t="shared" si="5"/>
        <v xml:space="preserve"> </v>
      </c>
      <c r="J73" s="23"/>
      <c r="L73" s="134"/>
      <c r="M73" s="134"/>
    </row>
    <row r="74" spans="2:13" ht="18" customHeight="1" x14ac:dyDescent="0.35">
      <c r="B74" s="197" t="s">
        <v>391</v>
      </c>
      <c r="C74" s="292" t="str">
        <f>IFERROR(1.5*(C62)^2*$C$31*(($C$26+C57)/($C$26+$C$30)), " ")</f>
        <v xml:space="preserve"> </v>
      </c>
      <c r="D74" s="292" t="str">
        <f t="shared" ref="D74:H74" si="6">IFERROR(1.5*(D62)^2*$C$31*(($C$26+D57)/($C$26+$C$30)), " ")</f>
        <v xml:space="preserve"> </v>
      </c>
      <c r="E74" s="292" t="str">
        <f t="shared" si="6"/>
        <v xml:space="preserve"> </v>
      </c>
      <c r="F74" s="292" t="str">
        <f t="shared" si="6"/>
        <v xml:space="preserve"> </v>
      </c>
      <c r="G74" s="292" t="str">
        <f t="shared" si="6"/>
        <v xml:space="preserve"> </v>
      </c>
      <c r="H74" s="292" t="str">
        <f t="shared" si="6"/>
        <v xml:space="preserve"> </v>
      </c>
      <c r="J74" s="23"/>
      <c r="L74" s="134"/>
      <c r="M74" s="134"/>
    </row>
    <row r="75" spans="2:13" ht="18" customHeight="1" x14ac:dyDescent="0.35">
      <c r="B75" s="197" t="s">
        <v>392</v>
      </c>
      <c r="C75" s="292" t="str">
        <f>IFERROR($C$31*(($C$26+($C$42+$C$43))/($C$26+$C$30)), " ")</f>
        <v xml:space="preserve"> </v>
      </c>
      <c r="D75" s="292" t="str">
        <f t="shared" ref="D75:H75" si="7">IFERROR($C$31*(($C$26+($C$42+$C$43))/($C$26+$C$30)), " ")</f>
        <v xml:space="preserve"> </v>
      </c>
      <c r="E75" s="292" t="str">
        <f t="shared" si="7"/>
        <v xml:space="preserve"> </v>
      </c>
      <c r="F75" s="292" t="str">
        <f t="shared" si="7"/>
        <v xml:space="preserve"> </v>
      </c>
      <c r="G75" s="292" t="str">
        <f t="shared" si="7"/>
        <v xml:space="preserve"> </v>
      </c>
      <c r="H75" s="292" t="str">
        <f t="shared" si="7"/>
        <v xml:space="preserve"> </v>
      </c>
      <c r="J75" s="23"/>
      <c r="L75" s="134"/>
      <c r="M75" s="134"/>
    </row>
    <row r="76" spans="2:13" ht="18" customHeight="1" x14ac:dyDescent="0.35">
      <c r="B76" s="197" t="s">
        <v>393</v>
      </c>
      <c r="C76" s="292" t="str">
        <f>IFERROR(1.5*C62^2*C75, " ")</f>
        <v xml:space="preserve"> </v>
      </c>
      <c r="D76" s="292" t="str">
        <f t="shared" ref="D76:H76" si="8">IFERROR(1.5*D62^2*D75, " ")</f>
        <v xml:space="preserve"> </v>
      </c>
      <c r="E76" s="292" t="str">
        <f t="shared" si="8"/>
        <v xml:space="preserve"> </v>
      </c>
      <c r="F76" s="292" t="str">
        <f t="shared" si="8"/>
        <v xml:space="preserve"> </v>
      </c>
      <c r="G76" s="292" t="str">
        <f t="shared" si="8"/>
        <v xml:space="preserve"> </v>
      </c>
      <c r="H76" s="292" t="str">
        <f t="shared" si="8"/>
        <v xml:space="preserve"> </v>
      </c>
      <c r="J76" s="23"/>
      <c r="L76" s="134"/>
      <c r="M76" s="134"/>
    </row>
    <row r="77" spans="2:13" ht="18" customHeight="1" x14ac:dyDescent="0.3">
      <c r="B77" s="197" t="s">
        <v>372</v>
      </c>
      <c r="C77" s="292" t="str">
        <f>IFERROR(C76-C74, " ")</f>
        <v xml:space="preserve"> </v>
      </c>
      <c r="D77" s="292" t="str">
        <f t="shared" ref="D77:H77" si="9">IFERROR(D76-D74, " ")</f>
        <v xml:space="preserve"> </v>
      </c>
      <c r="E77" s="292" t="str">
        <f t="shared" si="9"/>
        <v xml:space="preserve"> </v>
      </c>
      <c r="F77" s="292" t="str">
        <f t="shared" si="9"/>
        <v xml:space="preserve"> </v>
      </c>
      <c r="G77" s="292" t="str">
        <f t="shared" si="9"/>
        <v xml:space="preserve"> </v>
      </c>
      <c r="H77" s="292" t="str">
        <f t="shared" si="9"/>
        <v xml:space="preserve"> </v>
      </c>
      <c r="J77" s="23"/>
      <c r="L77" s="134"/>
      <c r="M77" s="134"/>
    </row>
    <row r="78" spans="2:13" ht="18" customHeight="1" x14ac:dyDescent="0.3">
      <c r="B78" s="197" t="s">
        <v>221</v>
      </c>
      <c r="C78" s="292" t="str">
        <f>IFERROR(C63+C77, " ")</f>
        <v xml:space="preserve"> </v>
      </c>
      <c r="D78" s="292" t="str">
        <f t="shared" ref="D78:H78" si="10">IFERROR(D63+D77, " ")</f>
        <v xml:space="preserve"> </v>
      </c>
      <c r="E78" s="292" t="str">
        <f t="shared" si="10"/>
        <v xml:space="preserve"> </v>
      </c>
      <c r="F78" s="292" t="str">
        <f t="shared" si="10"/>
        <v xml:space="preserve"> </v>
      </c>
      <c r="G78" s="292" t="str">
        <f t="shared" si="10"/>
        <v xml:space="preserve"> </v>
      </c>
      <c r="H78" s="292" t="str">
        <f t="shared" si="10"/>
        <v xml:space="preserve"> </v>
      </c>
      <c r="J78" s="23"/>
      <c r="L78" s="134"/>
      <c r="M78" s="134"/>
    </row>
    <row r="79" spans="2:13" ht="18" customHeight="1" x14ac:dyDescent="0.3">
      <c r="B79" s="197" t="s">
        <v>222</v>
      </c>
      <c r="C79" s="292" t="str">
        <f>IFERROR(100*(C73/C78), " ")</f>
        <v xml:space="preserve"> </v>
      </c>
      <c r="D79" s="292" t="str">
        <f t="shared" ref="D79:H79" si="11">IFERROR(100*(D73/D78), " ")</f>
        <v xml:space="preserve"> </v>
      </c>
      <c r="E79" s="292" t="str">
        <f t="shared" si="11"/>
        <v xml:space="preserve"> </v>
      </c>
      <c r="F79" s="292" t="str">
        <f t="shared" si="11"/>
        <v xml:space="preserve"> </v>
      </c>
      <c r="G79" s="292" t="str">
        <f t="shared" si="11"/>
        <v xml:space="preserve"> </v>
      </c>
      <c r="H79" s="292" t="str">
        <f t="shared" si="11"/>
        <v xml:space="preserve"> </v>
      </c>
      <c r="J79" s="23"/>
      <c r="L79" s="134"/>
      <c r="M79" s="134"/>
    </row>
    <row r="80" spans="2:13" ht="18" customHeight="1" x14ac:dyDescent="0.3">
      <c r="B80" s="477" t="s">
        <v>223</v>
      </c>
      <c r="C80" s="478" t="str">
        <f>IFERROR(100*C78/(1.732*C59*C62), " ")</f>
        <v xml:space="preserve"> </v>
      </c>
      <c r="D80" s="478" t="str">
        <f t="shared" ref="D80:H80" si="12">IFERROR(100*D78/(1.732*D59*D62), " ")</f>
        <v xml:space="preserve"> </v>
      </c>
      <c r="E80" s="478" t="str">
        <f t="shared" si="12"/>
        <v xml:space="preserve"> </v>
      </c>
      <c r="F80" s="478" t="str">
        <f t="shared" si="12"/>
        <v xml:space="preserve"> </v>
      </c>
      <c r="G80" s="478" t="str">
        <f t="shared" si="12"/>
        <v xml:space="preserve"> </v>
      </c>
      <c r="H80" s="478" t="str">
        <f t="shared" si="12"/>
        <v xml:space="preserve"> </v>
      </c>
      <c r="J80" s="23"/>
    </row>
    <row r="81" spans="2:13" s="210" customFormat="1" ht="18" customHeight="1" x14ac:dyDescent="0.3">
      <c r="B81" s="480"/>
      <c r="C81" s="407"/>
      <c r="D81" s="407"/>
      <c r="E81" s="407"/>
      <c r="F81" s="407"/>
      <c r="G81" s="407"/>
      <c r="H81" s="481"/>
      <c r="J81" s="23"/>
    </row>
    <row r="82" spans="2:13" ht="42.6" customHeight="1" thickBot="1" x14ac:dyDescent="0.35">
      <c r="B82" s="462" t="s">
        <v>538</v>
      </c>
      <c r="C82" s="888" t="str">
        <f>IF((COUNTIF(C66:H66, "&gt;0.5")+COUNTIF(C65:H65, "&gt;0.05")+COUNTIF(C67:H67, "&gt;0.33"))&gt;=1, "Supply requirements unmet - ensure that THD does not exceed .05%, voltage unbalance is below 0.5%, and the variation from average frequency remains within 0.33%", "Data is permissible - may proceed with testing")</f>
        <v>Data is permissible - may proceed with testing</v>
      </c>
      <c r="D82" s="889"/>
      <c r="E82" s="889"/>
      <c r="F82" s="889"/>
      <c r="G82" s="257"/>
      <c r="H82" s="258"/>
      <c r="J82" s="23"/>
    </row>
    <row r="83" spans="2:13" ht="16.5" x14ac:dyDescent="0.3">
      <c r="B83" s="255"/>
      <c r="D83" s="134"/>
      <c r="E83" s="134"/>
      <c r="F83" s="134"/>
      <c r="G83" s="134"/>
      <c r="H83" s="134"/>
      <c r="I83" s="134"/>
      <c r="J83" s="23"/>
    </row>
    <row r="84" spans="2:13" s="210" customFormat="1" ht="18" customHeight="1" thickBot="1" x14ac:dyDescent="0.35">
      <c r="B84" s="475"/>
      <c r="C84" s="476"/>
      <c r="D84" s="408"/>
      <c r="E84" s="408"/>
      <c r="F84" s="408"/>
      <c r="G84" s="408"/>
      <c r="H84" s="408"/>
      <c r="J84" s="23"/>
    </row>
    <row r="85" spans="2:13" ht="18" customHeight="1" thickBot="1" x14ac:dyDescent="0.4">
      <c r="B85" s="818" t="s">
        <v>188</v>
      </c>
      <c r="C85" s="819"/>
      <c r="D85" s="819"/>
      <c r="E85" s="819"/>
      <c r="F85" s="819"/>
      <c r="G85" s="819"/>
      <c r="H85" s="820"/>
      <c r="J85" s="23"/>
    </row>
    <row r="86" spans="2:13" ht="18" customHeight="1" x14ac:dyDescent="0.35">
      <c r="B86" s="446"/>
      <c r="C86" s="447"/>
      <c r="D86" s="447"/>
      <c r="E86" s="447"/>
      <c r="F86" s="447"/>
      <c r="G86" s="134"/>
      <c r="H86" s="61"/>
      <c r="J86" s="23"/>
    </row>
    <row r="87" spans="2:13" ht="38.450000000000003" customHeight="1" x14ac:dyDescent="0.35">
      <c r="B87" s="347" t="s">
        <v>208</v>
      </c>
      <c r="C87" s="630"/>
      <c r="D87" s="447"/>
      <c r="E87" s="447"/>
      <c r="F87" s="447"/>
      <c r="G87" s="134"/>
      <c r="H87" s="61"/>
      <c r="J87" s="23"/>
    </row>
    <row r="88" spans="2:13" ht="18" customHeight="1" x14ac:dyDescent="0.35">
      <c r="B88" s="446"/>
      <c r="C88" s="447"/>
      <c r="D88" s="447"/>
      <c r="E88" s="447"/>
      <c r="F88" s="447"/>
      <c r="G88" s="134"/>
      <c r="H88" s="61"/>
      <c r="J88" s="23"/>
    </row>
    <row r="89" spans="2:13" ht="18" customHeight="1" x14ac:dyDescent="0.35">
      <c r="B89" s="446"/>
      <c r="C89" s="447"/>
      <c r="D89" s="447"/>
      <c r="E89" s="447"/>
      <c r="F89" s="447"/>
      <c r="G89" s="134"/>
      <c r="H89" s="61"/>
      <c r="J89" s="23"/>
    </row>
    <row r="90" spans="2:13" ht="18" customHeight="1" thickBot="1" x14ac:dyDescent="0.4">
      <c r="B90" s="886" t="s">
        <v>252</v>
      </c>
      <c r="C90" s="887"/>
      <c r="D90" s="887"/>
      <c r="E90" s="887"/>
      <c r="F90" s="887"/>
      <c r="G90" s="257"/>
      <c r="H90" s="258"/>
      <c r="J90" s="23"/>
    </row>
    <row r="91" spans="2:13" ht="18" customHeight="1" x14ac:dyDescent="0.35">
      <c r="B91" s="446"/>
      <c r="C91" s="447"/>
      <c r="D91" s="447"/>
      <c r="E91" s="447"/>
      <c r="F91" s="447"/>
      <c r="G91" s="234"/>
      <c r="H91" s="267"/>
      <c r="J91" s="23"/>
      <c r="L91" s="134"/>
      <c r="M91" s="134"/>
    </row>
    <row r="92" spans="2:13" ht="18" customHeight="1" x14ac:dyDescent="0.3">
      <c r="B92" s="276" t="s">
        <v>245</v>
      </c>
      <c r="C92" s="228"/>
      <c r="D92" s="228"/>
      <c r="E92" s="228"/>
      <c r="F92" s="228"/>
      <c r="G92" s="134"/>
      <c r="H92" s="61"/>
      <c r="J92" s="23"/>
    </row>
    <row r="93" spans="2:13" ht="18" customHeight="1" x14ac:dyDescent="0.3">
      <c r="B93" s="273" t="s">
        <v>69</v>
      </c>
      <c r="C93" s="233" t="s">
        <v>70</v>
      </c>
      <c r="D93" s="223"/>
      <c r="E93" s="134"/>
      <c r="F93" s="134"/>
      <c r="G93" s="134"/>
      <c r="H93" s="61"/>
      <c r="J93" s="23"/>
    </row>
    <row r="94" spans="2:13" ht="18" customHeight="1" x14ac:dyDescent="0.3">
      <c r="B94" s="196" t="s">
        <v>363</v>
      </c>
      <c r="C94" s="623"/>
      <c r="D94" s="207"/>
      <c r="E94" s="134"/>
      <c r="F94" s="134"/>
      <c r="G94" s="134"/>
      <c r="H94" s="61"/>
      <c r="J94" s="23"/>
    </row>
    <row r="95" spans="2:13" ht="18" customHeight="1" x14ac:dyDescent="0.3">
      <c r="B95" s="200" t="s">
        <v>415</v>
      </c>
      <c r="C95" s="606"/>
      <c r="D95" s="134"/>
      <c r="E95" s="134"/>
      <c r="F95" s="134"/>
      <c r="G95" s="134"/>
      <c r="H95" s="61"/>
      <c r="J95" s="23"/>
    </row>
    <row r="96" spans="2:13" ht="18" customHeight="1" x14ac:dyDescent="0.3">
      <c r="B96" s="200" t="s">
        <v>259</v>
      </c>
      <c r="C96" s="606"/>
      <c r="D96" s="134"/>
      <c r="E96" s="134"/>
      <c r="F96" s="134"/>
      <c r="G96" s="134"/>
      <c r="H96" s="61"/>
      <c r="J96" s="23"/>
    </row>
    <row r="97" spans="2:13" ht="18" customHeight="1" x14ac:dyDescent="0.3">
      <c r="B97" s="176"/>
      <c r="C97" s="134"/>
      <c r="D97" s="134"/>
      <c r="E97" s="134"/>
      <c r="F97" s="134"/>
      <c r="G97" s="134"/>
      <c r="H97" s="61"/>
      <c r="J97" s="23"/>
    </row>
    <row r="98" spans="2:13" ht="18" customHeight="1" x14ac:dyDescent="0.3">
      <c r="B98" s="176" t="s">
        <v>410</v>
      </c>
      <c r="C98" s="134"/>
      <c r="D98" s="134"/>
      <c r="E98" s="134"/>
      <c r="F98" s="134"/>
      <c r="G98" s="134"/>
      <c r="H98" s="61"/>
      <c r="J98" s="23"/>
    </row>
    <row r="99" spans="2:13" ht="18" customHeight="1" x14ac:dyDescent="0.35">
      <c r="B99" s="216" t="s">
        <v>244</v>
      </c>
      <c r="C99" s="217" t="s">
        <v>364</v>
      </c>
      <c r="D99" s="217" t="s">
        <v>409</v>
      </c>
      <c r="E99" s="447"/>
      <c r="F99" s="447"/>
      <c r="G99" s="234"/>
      <c r="H99" s="267"/>
      <c r="J99" s="23"/>
      <c r="L99" s="134"/>
      <c r="M99" s="134"/>
    </row>
    <row r="100" spans="2:13" ht="18" customHeight="1" x14ac:dyDescent="0.3">
      <c r="B100" s="196">
        <v>1</v>
      </c>
      <c r="C100" s="627"/>
      <c r="D100" s="89" t="s">
        <v>405</v>
      </c>
      <c r="E100" s="268"/>
      <c r="F100" s="223"/>
      <c r="G100" s="134"/>
      <c r="H100" s="61"/>
      <c r="J100" s="23"/>
      <c r="L100" s="134"/>
    </row>
    <row r="101" spans="2:13" ht="18" customHeight="1" x14ac:dyDescent="0.3">
      <c r="B101" s="196">
        <v>2</v>
      </c>
      <c r="C101" s="606"/>
      <c r="D101" s="89">
        <v>100</v>
      </c>
      <c r="E101" s="231"/>
      <c r="F101" s="207"/>
      <c r="G101" s="134"/>
      <c r="H101" s="61"/>
      <c r="J101" s="23"/>
      <c r="L101" s="134"/>
    </row>
    <row r="102" spans="2:13" ht="18" customHeight="1" x14ac:dyDescent="0.3">
      <c r="B102" s="200">
        <v>3</v>
      </c>
      <c r="C102" s="285"/>
      <c r="D102" s="89" t="s">
        <v>406</v>
      </c>
      <c r="E102" s="231"/>
      <c r="F102" s="207"/>
      <c r="G102" s="134"/>
      <c r="H102" s="61"/>
      <c r="J102" s="23"/>
      <c r="L102" s="134"/>
    </row>
    <row r="103" spans="2:13" ht="18" customHeight="1" x14ac:dyDescent="0.3">
      <c r="B103" s="196">
        <v>4</v>
      </c>
      <c r="C103" s="285"/>
      <c r="D103" s="89" t="s">
        <v>407</v>
      </c>
      <c r="E103" s="206"/>
      <c r="F103" s="207"/>
      <c r="G103" s="134"/>
      <c r="H103" s="61"/>
      <c r="J103" s="23"/>
      <c r="L103" s="134"/>
    </row>
    <row r="104" spans="2:13" ht="18" customHeight="1" x14ac:dyDescent="0.3">
      <c r="B104" s="196">
        <v>5</v>
      </c>
      <c r="C104" s="285"/>
      <c r="D104" s="89" t="s">
        <v>407</v>
      </c>
      <c r="E104" s="231"/>
      <c r="F104" s="207"/>
      <c r="G104" s="134"/>
      <c r="H104" s="61"/>
      <c r="J104" s="23"/>
      <c r="L104" s="134"/>
    </row>
    <row r="105" spans="2:13" ht="18" customHeight="1" x14ac:dyDescent="0.3">
      <c r="B105" s="196">
        <v>6</v>
      </c>
      <c r="C105" s="285"/>
      <c r="D105" s="89" t="s">
        <v>407</v>
      </c>
      <c r="E105" s="231"/>
      <c r="F105" s="207"/>
      <c r="G105" s="134"/>
      <c r="H105" s="61"/>
      <c r="J105" s="23"/>
      <c r="L105" s="134"/>
    </row>
    <row r="106" spans="2:13" ht="18" customHeight="1" x14ac:dyDescent="0.3">
      <c r="B106" s="198"/>
      <c r="C106" s="632"/>
      <c r="D106" s="236"/>
      <c r="E106" s="206"/>
      <c r="F106" s="207"/>
      <c r="G106" s="269"/>
      <c r="H106" s="61"/>
      <c r="J106" s="23"/>
      <c r="L106" s="134"/>
    </row>
    <row r="107" spans="2:13" ht="18" customHeight="1" x14ac:dyDescent="0.35">
      <c r="B107" s="282"/>
      <c r="C107" s="883" t="s">
        <v>244</v>
      </c>
      <c r="D107" s="883"/>
      <c r="E107" s="883"/>
      <c r="F107" s="883"/>
      <c r="G107" s="883"/>
      <c r="H107" s="884"/>
      <c r="J107" s="23"/>
      <c r="L107" s="134"/>
    </row>
    <row r="108" spans="2:13" ht="18" customHeight="1" x14ac:dyDescent="0.35">
      <c r="B108" s="218" t="s">
        <v>203</v>
      </c>
      <c r="C108" s="404">
        <v>1</v>
      </c>
      <c r="D108" s="404">
        <v>2</v>
      </c>
      <c r="E108" s="219">
        <v>3</v>
      </c>
      <c r="F108" s="404">
        <v>4</v>
      </c>
      <c r="G108" s="404">
        <v>5</v>
      </c>
      <c r="H108" s="405">
        <v>6</v>
      </c>
      <c r="J108" s="23"/>
      <c r="L108" s="134"/>
    </row>
    <row r="109" spans="2:13" ht="18" customHeight="1" x14ac:dyDescent="0.3">
      <c r="B109" s="200" t="s">
        <v>363</v>
      </c>
      <c r="C109" s="614"/>
      <c r="D109" s="614"/>
      <c r="E109" s="619"/>
      <c r="F109" s="614"/>
      <c r="G109" s="614"/>
      <c r="H109" s="628"/>
      <c r="J109" s="23"/>
      <c r="L109" s="134"/>
    </row>
    <row r="110" spans="2:13" ht="18" customHeight="1" x14ac:dyDescent="0.3">
      <c r="B110" s="200" t="s">
        <v>414</v>
      </c>
      <c r="C110" s="614"/>
      <c r="D110" s="614"/>
      <c r="E110" s="619"/>
      <c r="F110" s="614"/>
      <c r="G110" s="614"/>
      <c r="H110" s="628"/>
      <c r="J110" s="23"/>
      <c r="L110" s="134"/>
    </row>
    <row r="111" spans="2:13" ht="18" customHeight="1" x14ac:dyDescent="0.3">
      <c r="B111" s="226" t="s">
        <v>415</v>
      </c>
      <c r="C111" s="614"/>
      <c r="D111" s="614"/>
      <c r="E111" s="619"/>
      <c r="F111" s="614"/>
      <c r="G111" s="614"/>
      <c r="H111" s="628"/>
      <c r="J111" s="23"/>
      <c r="L111" s="134"/>
    </row>
    <row r="112" spans="2:13" ht="18" customHeight="1" x14ac:dyDescent="0.3">
      <c r="B112" s="200" t="s">
        <v>377</v>
      </c>
      <c r="C112" s="629"/>
      <c r="D112" s="614"/>
      <c r="E112" s="619"/>
      <c r="F112" s="614"/>
      <c r="G112" s="614"/>
      <c r="H112" s="628"/>
      <c r="J112" s="23"/>
      <c r="L112" s="134"/>
    </row>
    <row r="113" spans="2:13" ht="18" customHeight="1" x14ac:dyDescent="0.3">
      <c r="B113" s="200" t="s">
        <v>579</v>
      </c>
      <c r="C113" s="606"/>
      <c r="D113" s="606"/>
      <c r="E113" s="606"/>
      <c r="F113" s="606"/>
      <c r="G113" s="606"/>
      <c r="H113" s="609"/>
      <c r="J113" s="23"/>
      <c r="L113" s="134"/>
    </row>
    <row r="114" spans="2:13" ht="18" customHeight="1" x14ac:dyDescent="0.3">
      <c r="B114" s="200" t="s">
        <v>282</v>
      </c>
      <c r="C114" s="614"/>
      <c r="D114" s="614"/>
      <c r="E114" s="619"/>
      <c r="F114" s="614"/>
      <c r="G114" s="614"/>
      <c r="H114" s="628"/>
      <c r="J114" s="23"/>
      <c r="L114" s="134"/>
      <c r="M114" s="134"/>
    </row>
    <row r="115" spans="2:13" ht="18" customHeight="1" x14ac:dyDescent="0.3">
      <c r="B115" s="200" t="s">
        <v>516</v>
      </c>
      <c r="C115" s="614"/>
      <c r="D115" s="614"/>
      <c r="E115" s="619"/>
      <c r="F115" s="614"/>
      <c r="G115" s="614"/>
      <c r="H115" s="628"/>
      <c r="J115" s="23"/>
      <c r="L115" s="134"/>
      <c r="M115" s="134"/>
    </row>
    <row r="116" spans="2:13" ht="18" customHeight="1" x14ac:dyDescent="0.3">
      <c r="B116" s="200" t="s">
        <v>373</v>
      </c>
      <c r="C116" s="292" t="str">
        <f>IFERROR(($C$31*(C109+$C$26))/($C$30+$C$26), " ")</f>
        <v xml:space="preserve"> </v>
      </c>
      <c r="D116" s="292" t="str">
        <f t="shared" ref="D116:H116" si="13">IFERROR(($C$31*(D109+$C$26))/($C$30+$C$26), " ")</f>
        <v xml:space="preserve"> </v>
      </c>
      <c r="E116" s="292" t="str">
        <f t="shared" si="13"/>
        <v xml:space="preserve"> </v>
      </c>
      <c r="F116" s="292" t="str">
        <f t="shared" si="13"/>
        <v xml:space="preserve"> </v>
      </c>
      <c r="G116" s="292" t="str">
        <f t="shared" si="13"/>
        <v xml:space="preserve"> </v>
      </c>
      <c r="H116" s="292" t="str">
        <f t="shared" si="13"/>
        <v xml:space="preserve"> </v>
      </c>
      <c r="J116" s="23"/>
      <c r="L116" s="134"/>
    </row>
    <row r="117" spans="2:13" s="134" customFormat="1" ht="18" customHeight="1" x14ac:dyDescent="0.3">
      <c r="B117" s="200" t="s">
        <v>378</v>
      </c>
      <c r="C117" s="292" t="str">
        <f>IFERROR(1.5*(C111)^2*C116, " ")</f>
        <v xml:space="preserve"> </v>
      </c>
      <c r="D117" s="292" t="str">
        <f t="shared" ref="D117:H117" si="14">IFERROR(1.5*(D111)^2*D116, " ")</f>
        <v xml:space="preserve"> </v>
      </c>
      <c r="E117" s="292" t="str">
        <f t="shared" si="14"/>
        <v xml:space="preserve"> </v>
      </c>
      <c r="F117" s="292" t="str">
        <f t="shared" si="14"/>
        <v xml:space="preserve"> </v>
      </c>
      <c r="G117" s="292" t="str">
        <f t="shared" si="14"/>
        <v xml:space="preserve"> </v>
      </c>
      <c r="H117" s="292" t="str">
        <f t="shared" si="14"/>
        <v xml:space="preserve"> </v>
      </c>
      <c r="J117" s="525"/>
    </row>
    <row r="118" spans="2:13" ht="38.450000000000003" customHeight="1" x14ac:dyDescent="0.3">
      <c r="B118" s="277" t="s">
        <v>379</v>
      </c>
      <c r="C118" s="297" t="str">
        <f>IFERROR(C112-C117, " ")</f>
        <v xml:space="preserve"> </v>
      </c>
      <c r="D118" s="297" t="str">
        <f t="shared" ref="D118:H118" si="15">IFERROR(D112-D117, " ")</f>
        <v xml:space="preserve"> </v>
      </c>
      <c r="E118" s="297" t="str">
        <f t="shared" si="15"/>
        <v xml:space="preserve"> </v>
      </c>
      <c r="F118" s="297" t="str">
        <f t="shared" si="15"/>
        <v xml:space="preserve"> </v>
      </c>
      <c r="G118" s="297" t="str">
        <f t="shared" si="15"/>
        <v xml:space="preserve"> </v>
      </c>
      <c r="H118" s="297" t="str">
        <f t="shared" si="15"/>
        <v xml:space="preserve"> </v>
      </c>
      <c r="J118" s="23"/>
    </row>
    <row r="119" spans="2:13" ht="38.450000000000003" customHeight="1" x14ac:dyDescent="0.3">
      <c r="B119" s="277" t="s">
        <v>229</v>
      </c>
      <c r="C119" s="297" t="str">
        <f>IFERROR(C118-$C$128, " ")</f>
        <v xml:space="preserve"> </v>
      </c>
      <c r="D119" s="297" t="str">
        <f t="shared" ref="D119:H119" si="16">IFERROR(D118-$C$128, " ")</f>
        <v xml:space="preserve"> </v>
      </c>
      <c r="E119" s="297" t="str">
        <f t="shared" si="16"/>
        <v xml:space="preserve"> </v>
      </c>
      <c r="F119" s="297" t="str">
        <f t="shared" si="16"/>
        <v xml:space="preserve"> </v>
      </c>
      <c r="G119" s="297" t="str">
        <f t="shared" si="16"/>
        <v xml:space="preserve"> </v>
      </c>
      <c r="H119" s="297" t="str">
        <f t="shared" si="16"/>
        <v xml:space="preserve"> </v>
      </c>
      <c r="J119" s="23"/>
    </row>
    <row r="120" spans="2:13" ht="18" customHeight="1" x14ac:dyDescent="0.3">
      <c r="B120" s="200" t="s">
        <v>580</v>
      </c>
      <c r="C120" s="297" t="str">
        <f>IFERROR(ABS(100*(($C$122-C113)/$C$122)), " ")</f>
        <v xml:space="preserve"> </v>
      </c>
      <c r="D120" s="297" t="str">
        <f t="shared" ref="D120:H120" si="17">IFERROR(ABS(100*(($C$122-D113)/$C$122)), " ")</f>
        <v xml:space="preserve"> </v>
      </c>
      <c r="E120" s="297" t="str">
        <f t="shared" si="17"/>
        <v xml:space="preserve"> </v>
      </c>
      <c r="F120" s="297" t="str">
        <f t="shared" si="17"/>
        <v xml:space="preserve"> </v>
      </c>
      <c r="G120" s="297" t="str">
        <f t="shared" si="17"/>
        <v xml:space="preserve"> </v>
      </c>
      <c r="H120" s="297" t="str">
        <f t="shared" si="17"/>
        <v xml:space="preserve"> </v>
      </c>
      <c r="J120" s="23"/>
      <c r="L120" s="134"/>
      <c r="M120" s="134"/>
    </row>
    <row r="121" spans="2:13" s="210" customFormat="1" ht="18" customHeight="1" x14ac:dyDescent="0.3">
      <c r="B121" s="480"/>
      <c r="C121" s="407"/>
      <c r="D121" s="407"/>
      <c r="E121" s="407"/>
      <c r="F121" s="407"/>
      <c r="G121" s="407"/>
      <c r="H121" s="481"/>
      <c r="J121" s="23"/>
    </row>
    <row r="122" spans="2:13" s="210" customFormat="1" ht="18" customHeight="1" x14ac:dyDescent="0.3">
      <c r="B122" s="414" t="s">
        <v>581</v>
      </c>
      <c r="C122" s="292" t="str">
        <f>IFERROR(AVERAGE(C113:H113), " ")</f>
        <v xml:space="preserve"> </v>
      </c>
      <c r="D122" s="408"/>
      <c r="E122" s="408"/>
      <c r="F122" s="408"/>
      <c r="G122" s="408"/>
      <c r="H122" s="459"/>
      <c r="J122" s="23"/>
    </row>
    <row r="123" spans="2:13" s="210" customFormat="1" ht="18" customHeight="1" x14ac:dyDescent="0.3">
      <c r="B123" s="414" t="s">
        <v>582</v>
      </c>
      <c r="C123" s="292" t="str">
        <f>IFERROR(100*(ABS(C122-C23)/C23), " ")</f>
        <v xml:space="preserve"> </v>
      </c>
      <c r="D123" s="408"/>
      <c r="E123" s="408"/>
      <c r="F123" s="408"/>
      <c r="G123" s="408"/>
      <c r="H123" s="459"/>
      <c r="J123" s="23"/>
    </row>
    <row r="124" spans="2:13" ht="42.6" customHeight="1" x14ac:dyDescent="0.3">
      <c r="B124" s="479" t="s">
        <v>583</v>
      </c>
      <c r="C124" s="890" t="str">
        <f>IF((COUNTIF(C115:H115, "&gt;0.5")+COUNTIF(C114:H114, "&gt;0.05")+COUNTIF(C120:H120, "&gt;0.33")+COUNTIF(C123, "&gt;0.1"))&gt;=1, "Supply requirements unmet - ensure that THD does not exceed .05%, voltage unbalance is below 0.5%, variation from average frequency remains within 0.33%, and average test frequency is within 0.1% of rated value", "Data is permissible - may proceed with testing")</f>
        <v>Data is permissible - may proceed with testing</v>
      </c>
      <c r="D124" s="891"/>
      <c r="E124" s="891"/>
      <c r="F124" s="891"/>
      <c r="G124" s="134"/>
      <c r="H124" s="61"/>
      <c r="J124" s="23"/>
    </row>
    <row r="125" spans="2:13" ht="16.5" x14ac:dyDescent="0.3">
      <c r="B125" s="176"/>
      <c r="C125" s="134"/>
      <c r="D125" s="134"/>
      <c r="E125" s="134"/>
      <c r="F125" s="134"/>
      <c r="G125" s="134"/>
      <c r="H125" s="61"/>
      <c r="J125" s="23"/>
    </row>
    <row r="126" spans="2:13" ht="18" customHeight="1" thickBot="1" x14ac:dyDescent="0.4">
      <c r="B126" s="278" t="s">
        <v>246</v>
      </c>
      <c r="C126" s="257"/>
      <c r="D126" s="257"/>
      <c r="E126" s="257"/>
      <c r="F126" s="257"/>
      <c r="G126" s="257"/>
      <c r="H126" s="258"/>
      <c r="I126" s="134"/>
      <c r="J126" s="23"/>
    </row>
    <row r="127" spans="2:13" ht="18" customHeight="1" x14ac:dyDescent="0.35">
      <c r="B127" s="259" t="s">
        <v>69</v>
      </c>
      <c r="C127" s="359" t="s">
        <v>70</v>
      </c>
      <c r="D127" s="255"/>
      <c r="E127" s="255"/>
      <c r="F127" s="255"/>
      <c r="G127" s="255"/>
      <c r="H127" s="61"/>
      <c r="J127" s="23"/>
    </row>
    <row r="128" spans="2:13" ht="18" customHeight="1" x14ac:dyDescent="0.3">
      <c r="B128" s="200" t="s">
        <v>366</v>
      </c>
      <c r="C128" s="292" t="str">
        <f>IFERROR(INTERCEPT(C117:H117,C110:H110), " ")</f>
        <v xml:space="preserve"> </v>
      </c>
      <c r="D128" s="134"/>
      <c r="E128" s="134"/>
      <c r="F128" s="134"/>
      <c r="G128" s="134"/>
      <c r="H128" s="61"/>
      <c r="J128" s="23"/>
    </row>
    <row r="129" spans="2:12" ht="18" customHeight="1" x14ac:dyDescent="0.35">
      <c r="B129" s="200" t="s">
        <v>365</v>
      </c>
      <c r="C129" s="292" t="str">
        <f>IFERROR(FORECAST(C21,C119:H119,C110:H110), " ")</f>
        <v xml:space="preserve"> </v>
      </c>
      <c r="D129" s="134"/>
      <c r="E129" s="134"/>
      <c r="F129" s="134"/>
      <c r="G129" s="134"/>
      <c r="H129" s="61"/>
      <c r="J129" s="23"/>
    </row>
    <row r="130" spans="2:12" ht="18" customHeight="1" x14ac:dyDescent="0.35">
      <c r="B130" s="361"/>
      <c r="C130" s="360"/>
      <c r="D130" s="360"/>
      <c r="E130" s="360"/>
      <c r="F130" s="360"/>
      <c r="G130" s="134"/>
      <c r="H130" s="61"/>
      <c r="J130" s="23"/>
    </row>
    <row r="131" spans="2:12" ht="18" customHeight="1" thickBot="1" x14ac:dyDescent="0.4">
      <c r="B131" s="356" t="s">
        <v>253</v>
      </c>
      <c r="C131" s="357"/>
      <c r="D131" s="357"/>
      <c r="E131" s="357"/>
      <c r="F131" s="357"/>
      <c r="G131" s="257"/>
      <c r="H131" s="258"/>
      <c r="J131" s="23"/>
      <c r="L131" s="134"/>
    </row>
    <row r="132" spans="2:12" ht="18" customHeight="1" x14ac:dyDescent="0.35">
      <c r="B132" s="259" t="s">
        <v>205</v>
      </c>
      <c r="C132" s="885" t="s">
        <v>210</v>
      </c>
      <c r="D132" s="885"/>
      <c r="E132" s="885"/>
      <c r="F132" s="224"/>
      <c r="G132" s="279"/>
      <c r="H132" s="280"/>
      <c r="J132" s="23"/>
      <c r="L132" s="134"/>
    </row>
    <row r="133" spans="2:12" ht="35.450000000000003" customHeight="1" x14ac:dyDescent="0.3">
      <c r="B133" s="90" t="s">
        <v>175</v>
      </c>
      <c r="C133" s="874" t="s">
        <v>206</v>
      </c>
      <c r="D133" s="874"/>
      <c r="E133" s="874"/>
      <c r="F133" s="223"/>
      <c r="G133" s="134"/>
      <c r="H133" s="61"/>
      <c r="J133" s="23"/>
      <c r="L133" s="134"/>
    </row>
    <row r="134" spans="2:12" ht="18" customHeight="1" x14ac:dyDescent="0.3">
      <c r="B134" s="90" t="s">
        <v>209</v>
      </c>
      <c r="C134" s="881" t="s">
        <v>207</v>
      </c>
      <c r="D134" s="881"/>
      <c r="E134" s="881"/>
      <c r="F134" s="207"/>
      <c r="G134" s="134"/>
      <c r="H134" s="61"/>
      <c r="J134" s="23"/>
      <c r="L134" s="134"/>
    </row>
    <row r="135" spans="2:12" ht="18" customHeight="1" x14ac:dyDescent="0.3">
      <c r="B135" s="176"/>
      <c r="C135" s="134"/>
      <c r="D135" s="134"/>
      <c r="E135" s="134"/>
      <c r="F135" s="134"/>
      <c r="G135" s="134"/>
      <c r="H135" s="61"/>
      <c r="J135" s="23"/>
      <c r="L135" s="134"/>
    </row>
    <row r="136" spans="2:12" ht="18" customHeight="1" x14ac:dyDescent="0.35">
      <c r="B136" s="282"/>
      <c r="C136" s="863" t="s">
        <v>205</v>
      </c>
      <c r="D136" s="882"/>
      <c r="E136" s="134"/>
      <c r="F136" s="134"/>
      <c r="G136" s="134"/>
      <c r="H136" s="61"/>
      <c r="J136" s="23"/>
    </row>
    <row r="137" spans="2:12" ht="18" customHeight="1" x14ac:dyDescent="0.35">
      <c r="B137" s="218" t="s">
        <v>203</v>
      </c>
      <c r="C137" s="358" t="s">
        <v>175</v>
      </c>
      <c r="D137" s="358" t="s">
        <v>209</v>
      </c>
      <c r="E137" s="134"/>
      <c r="F137" s="134"/>
      <c r="G137" s="134"/>
      <c r="H137" s="61"/>
      <c r="J137" s="23"/>
    </row>
    <row r="138" spans="2:12" ht="18" customHeight="1" x14ac:dyDescent="0.3">
      <c r="B138" s="200" t="s">
        <v>211</v>
      </c>
      <c r="C138" s="614"/>
      <c r="D138" s="614"/>
      <c r="E138" s="134"/>
      <c r="F138" s="134"/>
      <c r="G138" s="134"/>
      <c r="H138" s="61"/>
      <c r="J138" s="23"/>
    </row>
    <row r="139" spans="2:12" ht="18" customHeight="1" x14ac:dyDescent="0.3">
      <c r="B139" s="200" t="s">
        <v>200</v>
      </c>
      <c r="C139" s="606"/>
      <c r="D139" s="606"/>
      <c r="E139" s="134"/>
      <c r="F139" s="134"/>
      <c r="G139" s="134"/>
      <c r="H139" s="61"/>
      <c r="J139" s="23"/>
    </row>
    <row r="140" spans="2:12" ht="18" customHeight="1" x14ac:dyDescent="0.3">
      <c r="B140" s="200" t="s">
        <v>198</v>
      </c>
      <c r="C140" s="606"/>
      <c r="D140" s="606"/>
      <c r="E140" s="134"/>
      <c r="F140" s="134"/>
      <c r="G140" s="134"/>
      <c r="H140" s="61"/>
      <c r="J140" s="23"/>
    </row>
    <row r="141" spans="2:12" ht="18" customHeight="1" x14ac:dyDescent="0.3">
      <c r="B141" s="200" t="s">
        <v>354</v>
      </c>
      <c r="C141" s="606"/>
      <c r="D141" s="606"/>
      <c r="E141" s="134"/>
      <c r="F141" s="134"/>
      <c r="G141" s="134"/>
      <c r="H141" s="61"/>
      <c r="J141" s="525"/>
    </row>
    <row r="142" spans="2:12" ht="18" customHeight="1" x14ac:dyDescent="0.3">
      <c r="B142" s="200" t="s">
        <v>212</v>
      </c>
      <c r="C142" s="606"/>
      <c r="D142" s="315"/>
      <c r="E142" s="134"/>
      <c r="F142" s="134"/>
      <c r="G142" s="134"/>
      <c r="H142" s="61"/>
      <c r="J142" s="23"/>
    </row>
    <row r="143" spans="2:12" ht="18" customHeight="1" x14ac:dyDescent="0.3">
      <c r="B143" s="200" t="s">
        <v>187</v>
      </c>
      <c r="C143" s="606"/>
      <c r="D143" s="315"/>
      <c r="E143" s="134"/>
      <c r="F143" s="134"/>
      <c r="G143" s="134"/>
      <c r="H143" s="61"/>
      <c r="J143" s="23"/>
    </row>
    <row r="144" spans="2:12" ht="18" customHeight="1" x14ac:dyDescent="0.3">
      <c r="B144" s="200" t="s">
        <v>346</v>
      </c>
      <c r="C144" s="606"/>
      <c r="D144" s="606"/>
      <c r="E144" s="134"/>
      <c r="F144" s="134"/>
      <c r="G144" s="134"/>
      <c r="H144" s="61"/>
      <c r="J144" s="23"/>
    </row>
    <row r="145" spans="1:10" ht="18" customHeight="1" x14ac:dyDescent="0.3">
      <c r="B145" s="229"/>
      <c r="C145" s="134"/>
      <c r="D145" s="134"/>
      <c r="E145" s="134"/>
      <c r="F145" s="134"/>
      <c r="G145" s="134"/>
      <c r="H145" s="61"/>
      <c r="J145" s="23"/>
    </row>
    <row r="146" spans="1:10" ht="18" customHeight="1" thickBot="1" x14ac:dyDescent="0.4">
      <c r="B146" s="162" t="s">
        <v>191</v>
      </c>
      <c r="C146" s="134"/>
      <c r="D146" s="134"/>
      <c r="E146" s="134"/>
      <c r="F146" s="134"/>
      <c r="G146" s="134"/>
      <c r="H146" s="61"/>
      <c r="J146" s="23"/>
    </row>
    <row r="147" spans="1:10" ht="18" customHeight="1" x14ac:dyDescent="0.3">
      <c r="B147" s="187" t="s">
        <v>69</v>
      </c>
      <c r="C147" s="96" t="s">
        <v>70</v>
      </c>
      <c r="D147" s="272"/>
      <c r="E147" s="255"/>
      <c r="F147" s="255"/>
      <c r="G147" s="255"/>
      <c r="H147" s="256"/>
      <c r="J147" s="23"/>
    </row>
    <row r="148" spans="1:10" ht="18" customHeight="1" x14ac:dyDescent="0.3">
      <c r="B148" s="381" t="s">
        <v>367</v>
      </c>
      <c r="C148" s="293">
        <f>1.5*(C140)^2*C141</f>
        <v>0</v>
      </c>
      <c r="D148" s="205"/>
      <c r="E148" s="134"/>
      <c r="F148" s="134"/>
      <c r="G148" s="134"/>
      <c r="H148" s="61"/>
      <c r="J148" s="23"/>
    </row>
    <row r="149" spans="1:10" ht="18" customHeight="1" x14ac:dyDescent="0.3">
      <c r="B149" s="381" t="s">
        <v>368</v>
      </c>
      <c r="C149" s="293">
        <f>1.5*(D140)^2*D141</f>
        <v>0</v>
      </c>
      <c r="D149" s="205"/>
      <c r="E149" s="134"/>
      <c r="F149" s="134"/>
      <c r="G149" s="134"/>
      <c r="H149" s="61"/>
      <c r="J149" s="23"/>
    </row>
    <row r="150" spans="1:10" ht="18" customHeight="1" x14ac:dyDescent="0.3">
      <c r="B150" s="381" t="s">
        <v>229</v>
      </c>
      <c r="C150" s="293" t="str">
        <f>C129</f>
        <v xml:space="preserve"> </v>
      </c>
      <c r="D150" s="235"/>
      <c r="E150" s="134"/>
      <c r="F150" s="134"/>
      <c r="G150" s="134"/>
      <c r="H150" s="61"/>
      <c r="J150" s="23"/>
    </row>
    <row r="151" spans="1:10" ht="18" customHeight="1" x14ac:dyDescent="0.3">
      <c r="B151" s="270" t="s">
        <v>369</v>
      </c>
      <c r="C151" s="182" t="str">
        <f>IFERROR((C138-C148-C150)*(1-C142), " ")</f>
        <v xml:space="preserve"> </v>
      </c>
      <c r="D151" s="207"/>
      <c r="E151" s="134"/>
      <c r="F151" s="134"/>
      <c r="G151" s="134"/>
      <c r="H151" s="61"/>
      <c r="J151" s="23"/>
    </row>
    <row r="152" spans="1:10" ht="18" customHeight="1" x14ac:dyDescent="0.3">
      <c r="B152" s="196" t="s">
        <v>370</v>
      </c>
      <c r="C152" s="182" t="str">
        <f>IFERROR(D138-C149-C150, " ")</f>
        <v xml:space="preserve"> </v>
      </c>
      <c r="D152" s="205"/>
      <c r="E152" s="134"/>
      <c r="F152" s="134"/>
      <c r="G152" s="134"/>
      <c r="H152" s="61"/>
      <c r="J152" s="23"/>
    </row>
    <row r="153" spans="1:10" ht="18" customHeight="1" thickBot="1" x14ac:dyDescent="0.35">
      <c r="B153" s="380" t="s">
        <v>371</v>
      </c>
      <c r="C153" s="294">
        <f>IF(C87="Yes", 9.549*((C151-C152)/C143)-C144, 0)</f>
        <v>0</v>
      </c>
      <c r="D153" s="281"/>
      <c r="E153" s="257"/>
      <c r="F153" s="257"/>
      <c r="G153" s="257"/>
      <c r="H153" s="258"/>
      <c r="J153" s="23"/>
    </row>
    <row r="154" spans="1:10" ht="18" customHeight="1" x14ac:dyDescent="0.3">
      <c r="G154" s="134"/>
      <c r="H154" s="134"/>
      <c r="J154" s="23"/>
    </row>
    <row r="155" spans="1:10" ht="18" customHeight="1" x14ac:dyDescent="0.3">
      <c r="J155" s="23"/>
    </row>
    <row r="156" spans="1:10" ht="18" customHeight="1" x14ac:dyDescent="0.3">
      <c r="A156" s="23"/>
      <c r="B156" s="23"/>
      <c r="C156" s="23"/>
      <c r="D156" s="23"/>
      <c r="E156" s="23"/>
      <c r="F156" s="23"/>
      <c r="G156" s="23"/>
      <c r="H156" s="23"/>
      <c r="I156" s="23"/>
      <c r="J156" s="23"/>
    </row>
  </sheetData>
  <sheetProtection algorithmName="SHA-512" hashValue="HL9X2n584wLdHT12RDH1fxcdwUQEYYMxhJxFpo5IhvRH/632+Zca3J7iq/07ISak7wsT7JVU6FNs7eTk2E37NA==" saltValue="83PbxJehuKr2tq2vwEHW7Q==" spinCount="100000" sheet="1" selectLockedCells="1"/>
  <mergeCells count="19">
    <mergeCell ref="C134:E134"/>
    <mergeCell ref="C136:D136"/>
    <mergeCell ref="C55:H55"/>
    <mergeCell ref="C132:E132"/>
    <mergeCell ref="B90:F90"/>
    <mergeCell ref="C107:H107"/>
    <mergeCell ref="B85:H85"/>
    <mergeCell ref="C82:F82"/>
    <mergeCell ref="C124:F124"/>
    <mergeCell ref="B11:H11"/>
    <mergeCell ref="B12:H12"/>
    <mergeCell ref="B2:C2"/>
    <mergeCell ref="C133:E133"/>
    <mergeCell ref="B16:H16"/>
    <mergeCell ref="B17:H17"/>
    <mergeCell ref="B19:H19"/>
    <mergeCell ref="B33:H33"/>
    <mergeCell ref="B45:H45"/>
    <mergeCell ref="B28:H28"/>
  </mergeCells>
  <conditionalFormatting sqref="B89:H153">
    <cfRule type="expression" dxfId="5" priority="1">
      <formula>$C$87="No"</formula>
    </cfRule>
  </conditionalFormatting>
  <hyperlinks>
    <hyperlink ref="G2" location="Instructions!B37" display="Back to Instructions tab" xr:uid="{B365BA3E-8434-4A2B-A31A-596F92E404C6}"/>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4022B83-9096-4417-BF78-75B736902333}">
          <x14:formula1>
            <xm:f>'Drop-downs'!$B$33:$B$34</xm:f>
          </x14:formula1>
          <xm:sqref>C87 C35 C14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82198A82F10F4CA38173E8137DD222" ma:contentTypeVersion="36" ma:contentTypeDescription="Create a new document." ma:contentTypeScope="" ma:versionID="9c440a12f66f80506b6d12ae5f4315cf">
  <xsd:schema xmlns:xsd="http://www.w3.org/2001/XMLSchema" xmlns:xs="http://www.w3.org/2001/XMLSchema" xmlns:p="http://schemas.microsoft.com/office/2006/metadata/properties" xmlns:ns1="http://schemas.microsoft.com/sharepoint/v3" xmlns:ns2="b2bbb9bb-a183-4739-bba4-e751d3385d89" xmlns:ns3="82898ef5-4066-4946-9253-2ff636535b26" xmlns:ns4="8fa3036a-053c-408c-8edb-96e4bc804954" xmlns:ns5="9410bbf5-83ec-42c5-bce9-77747a55168d" targetNamespace="http://schemas.microsoft.com/office/2006/metadata/properties" ma:root="true" ma:fieldsID="483eba13cb86f356d2a463d8e77c58e7" ns1:_="" ns2:_="" ns3:_="" ns4:_="" ns5:_="">
    <xsd:import namespace="http://schemas.microsoft.com/sharepoint/v3"/>
    <xsd:import namespace="b2bbb9bb-a183-4739-bba4-e751d3385d89"/>
    <xsd:import namespace="82898ef5-4066-4946-9253-2ff636535b26"/>
    <xsd:import namespace="8fa3036a-053c-408c-8edb-96e4bc804954"/>
    <xsd:import namespace="9410bbf5-83ec-42c5-bce9-77747a55168d"/>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4:lcf76f155ced4ddcb4097134ff3c332f" minOccurs="0"/>
                <xsd:element ref="ns5:TaxCatchAll" minOccurs="0"/>
                <xsd:element ref="ns1:_ip_UnifiedCompliancePolicyProperties" minOccurs="0"/>
                <xsd:element ref="ns1:_ip_UnifiedCompliancePolicyUIAction"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bbb9bb-a183-4739-bba4-e751d3385d8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898ef5-4066-4946-9253-2ff636535b2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a3036a-053c-408c-8edb-96e4bc804954"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410bbf5-83ec-42c5-bce9-77747a55168d"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e5271e7-9a16-460d-8468-ac9a89bd1497}" ma:internalName="TaxCatchAll" ma:showField="CatchAllData" ma:web="9410bbf5-83ec-42c5-bce9-77747a5516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fa3036a-053c-408c-8edb-96e4bc804954">
      <Terms xmlns="http://schemas.microsoft.com/office/infopath/2007/PartnerControls"/>
    </lcf76f155ced4ddcb4097134ff3c332f>
    <TaxCatchAll xmlns="9410bbf5-83ec-42c5-bce9-77747a55168d" xsi:nil="true"/>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88E42E-523F-445B-9A15-10F8E1712E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2bbb9bb-a183-4739-bba4-e751d3385d89"/>
    <ds:schemaRef ds:uri="82898ef5-4066-4946-9253-2ff636535b26"/>
    <ds:schemaRef ds:uri="8fa3036a-053c-408c-8edb-96e4bc804954"/>
    <ds:schemaRef ds:uri="9410bbf5-83ec-42c5-bce9-77747a5516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1B1672-8B9F-4B5C-BF09-F493BE5E2951}">
  <ds:schemaRefs>
    <ds:schemaRef ds:uri="http://www.w3.org/XML/1998/namespace"/>
    <ds:schemaRef ds:uri="http://schemas.microsoft.com/office/infopath/2007/PartnerControls"/>
    <ds:schemaRef ds:uri="http://schemas.microsoft.com/office/2006/metadata/properties"/>
    <ds:schemaRef ds:uri="http://schemas.microsoft.com/office/2006/documentManagement/types"/>
    <ds:schemaRef ds:uri="http://purl.org/dc/dcmitype/"/>
    <ds:schemaRef ds:uri="http://schemas.openxmlformats.org/package/2006/metadata/core-properties"/>
    <ds:schemaRef ds:uri="9410bbf5-83ec-42c5-bce9-77747a55168d"/>
    <ds:schemaRef ds:uri="http://schemas.microsoft.com/sharepoint/v3"/>
    <ds:schemaRef ds:uri="b2bbb9bb-a183-4739-bba4-e751d3385d89"/>
    <ds:schemaRef ds:uri="8fa3036a-053c-408c-8edb-96e4bc804954"/>
    <ds:schemaRef ds:uri="82898ef5-4066-4946-9253-2ff636535b26"/>
    <ds:schemaRef ds:uri="http://purl.org/dc/terms/"/>
    <ds:schemaRef ds:uri="http://purl.org/dc/elements/1.1/"/>
  </ds:schemaRefs>
</ds:datastoreItem>
</file>

<file path=customXml/itemProps3.xml><?xml version="1.0" encoding="utf-8"?>
<ds:datastoreItem xmlns:ds="http://schemas.openxmlformats.org/officeDocument/2006/customXml" ds:itemID="{29FF20AF-7BBD-4874-9AA2-8EB56A312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Instructions</vt:lpstr>
      <vt:lpstr>General Info &amp; Test Results</vt:lpstr>
      <vt:lpstr>Determination of Test Method</vt:lpstr>
      <vt:lpstr>Setup &amp; Instrumentation</vt:lpstr>
      <vt:lpstr>NEMA MG 1-2016</vt:lpstr>
      <vt:lpstr>CSA C390-10</vt:lpstr>
      <vt:lpstr>IEC 60034-2-1 Method 2-1-1A</vt:lpstr>
      <vt:lpstr>IEC 60034-2-1 Method 2-1-1B</vt:lpstr>
      <vt:lpstr>IEEE 112-2017 Method A</vt:lpstr>
      <vt:lpstr>IEEE 112-2017 Method B</vt:lpstr>
      <vt:lpstr>IEEE 114-2010</vt:lpstr>
      <vt:lpstr>CSA C747-09</vt:lpstr>
      <vt:lpstr>IEC 61800-9-2</vt:lpstr>
      <vt:lpstr>Photos</vt:lpstr>
      <vt:lpstr>Comments</vt:lpstr>
      <vt:lpstr>Report Sign-Off Block</vt:lpstr>
      <vt:lpstr>Drop-downs</vt:lpstr>
      <vt:lpstr>Version Control</vt:lpstr>
    </vt:vector>
  </TitlesOfParts>
  <Manager/>
  <Company>Navigant Consulting,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Navigant</dc:creator>
  <cp:keywords/>
  <dc:description/>
  <cp:lastModifiedBy>User 939</cp:lastModifiedBy>
  <cp:revision/>
  <dcterms:created xsi:type="dcterms:W3CDTF">2014-09-05T19:18:19Z</dcterms:created>
  <dcterms:modified xsi:type="dcterms:W3CDTF">2025-01-15T22:27:16Z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0x010100C382198A82F10F4CA38173E8137DD222</vt:lpwstr>
  </property>
  <property fmtid="{D5CDD505-2E9C-101B-9397-08002B2CF9AE}" pid="3" name="MediaServiceImageTags">
    <vt:lpwstr/>
  </property>
</Properties>
</file>