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Test Report Template Update 01_15_2025\"/>
    </mc:Choice>
  </mc:AlternateContent>
  <xr:revisionPtr revIDLastSave="0" documentId="13_ncr:1_{6BD42C7F-9542-4EF5-8B87-AD9543D5EFA0}" xr6:coauthVersionLast="47" xr6:coauthVersionMax="47" xr10:uidLastSave="{00000000-0000-0000-0000-000000000000}"/>
  <workbookProtection workbookAlgorithmName="SHA-512" workbookHashValue="GR/84CYk16NckPh9DZ3H0h7Bz0ukP1BU9ZmCeDefZWmf7e3xpbZSAK6F2SreFJ9QdFRTjwG/4+ClL79rzj7o9g==" workbookSaltValue="905J+Ur3wnVFItuwBzDHhg==" workbookSpinCount="100000" lockStructure="1"/>
  <bookViews>
    <workbookView xWindow="-120" yWindow="-120" windowWidth="38640" windowHeight="21120" tabRatio="902" xr2:uid="{00000000-000D-0000-FFFF-FFFF00000000}"/>
  </bookViews>
  <sheets>
    <sheet name="Instructions" sheetId="24" r:id="rId1"/>
    <sheet name="General Info &amp; Test Results" sheetId="30" r:id="rId2"/>
    <sheet name="Sys. # &amp; Product Characteristic" sheetId="45" r:id="rId3"/>
    <sheet name="Instrumentation" sheetId="31" r:id="rId4"/>
    <sheet name="Test Conditions" sheetId="32" r:id="rId5"/>
    <sheet name="Standby &amp; Off Power" sheetId="50" r:id="rId6"/>
    <sheet name="Jacket Loss" sheetId="40" r:id="rId7"/>
    <sheet name="Max Test" sheetId="21" r:id="rId8"/>
    <sheet name="Reduced Test" sheetId="39" r:id="rId9"/>
    <sheet name="Cyclic Timing Calculations" sheetId="49" r:id="rId10"/>
    <sheet name="Electric F, B Calculations" sheetId="11" r:id="rId11"/>
    <sheet name=" Non-Con, Non-Mod Calculations" sheetId="41" r:id="rId12"/>
    <sheet name="Con, Non-Mod Calculations" sheetId="42" r:id="rId13"/>
    <sheet name="Non-Con, Mod Calculations" sheetId="43" r:id="rId14"/>
    <sheet name="Con, Mod Calculations" sheetId="44" r:id="rId15"/>
    <sheet name="Input Steady State Test Data" sheetId="46" r:id="rId16"/>
    <sheet name="Input Cool-Down Test Data" sheetId="48" r:id="rId17"/>
    <sheet name="Input Heat-Up Test Data" sheetId="47" r:id="rId18"/>
    <sheet name="Photos" sheetId="35" r:id="rId19"/>
    <sheet name="Comments" sheetId="36" r:id="rId20"/>
    <sheet name="Report Sign-Off Block" sheetId="29" r:id="rId21"/>
    <sheet name="Drop-Downs and Tables" sheetId="15" r:id="rId22"/>
    <sheet name="Version Control" sheetId="25" r:id="rId23"/>
  </sheets>
  <definedNames>
    <definedName name="_xlnm._FilterDatabase" localSheetId="1" hidden="1">'General Info &amp; Test Results'!$B$43:$D$60</definedName>
    <definedName name="_xlnm._FilterDatabase" localSheetId="2" hidden="1">'Sys. # &amp; Product Characteristic'!$B$12:$E$30</definedName>
    <definedName name="A" localSheetId="11">' Non-Con, Non-Mod Calculations'!$E$20</definedName>
    <definedName name="A" localSheetId="12">'Con, Non-Mod Calculations'!$E$20</definedName>
    <definedName name="A.D" localSheetId="4">'Test Conditions'!$C$83</definedName>
    <definedName name="A.O" localSheetId="4">'Test Conditions'!$C$90</definedName>
    <definedName name="A.OD" localSheetId="4">'Test Conditions'!$C$85</definedName>
    <definedName name="A.OL" localSheetId="4">'Test Conditions'!$C$86</definedName>
    <definedName name="A.S" localSheetId="4">'Test Conditions'!$C$82</definedName>
    <definedName name="A_1" localSheetId="11">' Non-Con, Non-Mod Calculations'!$E$168</definedName>
    <definedName name="A_DOE_Max" localSheetId="14">'Con, Mod Calculations'!$E$180</definedName>
    <definedName name="A_DOE_Max" localSheetId="13">'Non-Con, Mod Calculations'!$E$178</definedName>
    <definedName name="A_DOE_Reduced" localSheetId="14">'Con, Mod Calculations'!$F$180</definedName>
    <definedName name="A_DOE_Reduced" localSheetId="13">'Non-Con, Mod Calculations'!$F$178</definedName>
    <definedName name="A_Max" localSheetId="14">'Con, Mod Calculations'!$E$20</definedName>
    <definedName name="A_Max" localSheetId="13">'Non-Con, Mod Calculations'!$E$20</definedName>
    <definedName name="A_Mod" localSheetId="14">'Con, Mod Calculations'!$E$182</definedName>
    <definedName name="A_Mod" localSheetId="13">'Non-Con, Mod Calculations'!$E$180</definedName>
    <definedName name="A_Reduced" localSheetId="14">'Con, Mod Calculations'!$F$20</definedName>
    <definedName name="A_Reduced" localSheetId="13">'Non-Con, Mod Calculations'!$F$20</definedName>
    <definedName name="AF" localSheetId="11">' Non-Con, Non-Mod Calculations'!$E$42</definedName>
    <definedName name="AF" localSheetId="12">'Con, Non-Mod Calculations'!$E$37</definedName>
    <definedName name="AF_Max" localSheetId="14">'Con, Mod Calculations'!$E$38</definedName>
    <definedName name="AF_Max" localSheetId="13">'Non-Con, Mod Calculations'!$E$42</definedName>
    <definedName name="AF_Reduced" localSheetId="14">'Con, Mod Calculations'!$F$38</definedName>
    <definedName name="AF_Reduced" localSheetId="13">'Non-Con, Mod Calculations'!$F$42</definedName>
    <definedName name="AFUE" localSheetId="11">' Non-Con, Non-Mod Calculations'!$E$132</definedName>
    <definedName name="AFUE" localSheetId="14">'Con, Mod Calculations'!$E$144</definedName>
    <definedName name="AFUE" localSheetId="12">'Con, Non-Mod Calculations'!$E$133</definedName>
    <definedName name="AFUE" localSheetId="10">'Electric F, B Calculations'!$E$31</definedName>
    <definedName name="AFUE" localSheetId="13">'Non-Con, Mod Calculations'!$E$142</definedName>
    <definedName name="alpha" localSheetId="11">' Non-Con, Non-Mod Calculations'!$E$54</definedName>
    <definedName name="alpha" localSheetId="14">'Con, Mod Calculations'!$E$54</definedName>
    <definedName name="alpha" localSheetId="12">'Con, Non-Mod Calculations'!$E$53</definedName>
    <definedName name="alpha" localSheetId="13">'Non-Con, Mod Calculations'!$E$54</definedName>
    <definedName name="Alpha">'Cyclic Timing Calculations'!$E$19</definedName>
    <definedName name="Alpha.R" localSheetId="9">'Cyclic Timing Calculations'!$F$22</definedName>
    <definedName name="alpha_Avg_Air_Temp" localSheetId="14">'Con, Mod Calculations'!#REF!</definedName>
    <definedName name="Alpha_Max" localSheetId="9">'Cyclic Timing Calculations'!$E$19</definedName>
    <definedName name="Alpha_Reduced" localSheetId="9">'Cyclic Timing Calculations'!$F$19</definedName>
    <definedName name="Attached_Barometric_Damper" localSheetId="2">'Sys. # &amp; Product Characteristic'!$C$42</definedName>
    <definedName name="Avg_HDD" localSheetId="14">'Con, Mod Calculations'!$E$141</definedName>
    <definedName name="Avg_HDD" localSheetId="12">'Con, Non-Mod Calculations'!$E$130</definedName>
    <definedName name="Avg_Heating_Load_Hours" localSheetId="10">'Electric F, B Calculations'!$E$35</definedName>
    <definedName name="Avg_Heating_Season_Hrs" localSheetId="11">' Non-Con, Non-Mod Calculations'!$E$197</definedName>
    <definedName name="Avg_Heating_Season_Hrs" localSheetId="14">'Con, Mod Calculations'!$E$211</definedName>
    <definedName name="Avg_Heating_Season_Hrs" localSheetId="12">'Con, Non-Mod Calculations'!$E$195</definedName>
    <definedName name="Avg_Heating_Season_Hrs" localSheetId="10">'Electric F, B Calculations'!$E$54</definedName>
    <definedName name="Avg_Heating_Season_Hrs" localSheetId="13">'Non-Con, Mod Calculations'!$E$209</definedName>
    <definedName name="Avg_HLH" localSheetId="11">' Non-Con, Non-Mod Calculations'!$E$170</definedName>
    <definedName name="Avg_HLH" localSheetId="12">'Con, Non-Mod Calculations'!$E$171</definedName>
    <definedName name="Avg_HLH" localSheetId="13">'Non-Con, Mod Calculations'!$E$182</definedName>
    <definedName name="Avg_HLH">'Con, Mod Calculations'!$E$184</definedName>
    <definedName name="Avg_NonHeating_Season_Hours" localSheetId="13">'Non-Con, Mod Calculations'!$E$140</definedName>
    <definedName name="Avg_NonHeating_Season_Hrs" localSheetId="11">' Non-Con, Non-Mod Calculations'!$E$130</definedName>
    <definedName name="Avg_NonHeating_Season_Hrs" localSheetId="14">'Con, Mod Calculations'!$E$142</definedName>
    <definedName name="Avg_NonHeating_Season_Hrs" localSheetId="12">'Con, Non-Mod Calculations'!$E$131</definedName>
    <definedName name="Avg_NonHeating_Season_Hrs" localSheetId="10">'Electric F, B Calculations'!$E$30</definedName>
    <definedName name="B" localSheetId="11">' Non-Con, Non-Mod Calculations'!$E$21</definedName>
    <definedName name="B" localSheetId="12">'Con, Non-Mod Calculations'!$E$21</definedName>
    <definedName name="B_1" localSheetId="11">' Non-Con, Non-Mod Calculations'!$E$169</definedName>
    <definedName name="B_DOE_Max" localSheetId="14">'Con, Mod Calculations'!$E$181</definedName>
    <definedName name="B_DOE_Max" localSheetId="13">'Non-Con, Mod Calculations'!$E$179</definedName>
    <definedName name="B_DOE_Reduced" localSheetId="13">'Non-Con, Mod Calculations'!$F$179</definedName>
    <definedName name="B_DOE_Reduced">'Con, Mod Calculations'!$F$181</definedName>
    <definedName name="B_Max" localSheetId="14">'Con, Mod Calculations'!$E$21</definedName>
    <definedName name="B_Max" localSheetId="13">'Non-Con, Mod Calculations'!$E$21</definedName>
    <definedName name="B_Mod" localSheetId="14">'Con, Mod Calculations'!$E$183</definedName>
    <definedName name="B_Mod" localSheetId="13">'Non-Con, Mod Calculations'!$E$181</definedName>
    <definedName name="B_Reduced" localSheetId="14">'Con, Mod Calculations'!$F$21</definedName>
    <definedName name="B_Reduced" localSheetId="13">'Non-Con, Mod Calculations'!$F$21</definedName>
    <definedName name="BE" localSheetId="11">' Non-Con, Non-Mod Calculations'!$E$159</definedName>
    <definedName name="BE" localSheetId="12">'Con, Non-Mod Calculations'!$E$160</definedName>
    <definedName name="BE" localSheetId="7">'Max Test'!$C$66</definedName>
    <definedName name="BE" localSheetId="8">'Reduced Test'!$C$66</definedName>
    <definedName name="BE_Max" localSheetId="14">'Con, Mod Calculations'!$E$171</definedName>
    <definedName name="BE_Max" localSheetId="13">'Non-Con, Mod Calculations'!$E$169</definedName>
    <definedName name="BE_Reduced" localSheetId="14">'Con, Mod Calculations'!$F$171</definedName>
    <definedName name="BE_Reduced" localSheetId="13">'Non-Con, Mod Calculations'!$F$169</definedName>
    <definedName name="BOH" localSheetId="11">' Non-Con, Non-Mod Calculations'!$E$196</definedName>
    <definedName name="BOH" localSheetId="14">'Con, Mod Calculations'!$E$210</definedName>
    <definedName name="BOH" localSheetId="12">'Con, Non-Mod Calculations'!$E$194</definedName>
    <definedName name="BOH" localSheetId="10">'Electric F, B Calculations'!$E$53</definedName>
    <definedName name="BOH" localSheetId="13">'Non-Con, Mod Calculations'!$E$208</definedName>
    <definedName name="BOH.M" localSheetId="11">' Non-Con, Non-Mod Calculations'!$E$176</definedName>
    <definedName name="BOH.M" localSheetId="14">'Con, Mod Calculations'!$E$190</definedName>
    <definedName name="BOH.M" localSheetId="13">'Non-Con, Mod Calculations'!$E$188</definedName>
    <definedName name="BOH.RH" localSheetId="11">' Non-Con, Non-Mod Calculations'!$E$174</definedName>
    <definedName name="BOH.RH_Max" localSheetId="14">'Con, Mod Calculations'!$E$188</definedName>
    <definedName name="BOH.RH_Max" localSheetId="13">'Non-Con, Mod Calculations'!$E$186</definedName>
    <definedName name="BOH.RH_Reduced" localSheetId="14">'Con, Mod Calculations'!$F$188</definedName>
    <definedName name="BOH.RH_Reduced" localSheetId="13">'Non-Con, Mod Calculations'!$F$186</definedName>
    <definedName name="BOH.SS" localSheetId="11">' Non-Con, Non-Mod Calculations'!$E$172</definedName>
    <definedName name="BOH.SS" localSheetId="14">'Con, Mod Calculations'!$E$186</definedName>
    <definedName name="BOH.SS" localSheetId="12">'Con, Non-Mod Calculations'!$E$173</definedName>
    <definedName name="BOH.SS" localSheetId="13">'Non-Con, Mod Calculations'!$E$184</definedName>
    <definedName name="Brand" localSheetId="1">'General Info &amp; Test Results'!$C$20</definedName>
    <definedName name="Burner_Type" localSheetId="2">'Sys. # &amp; Product Characteristic'!$C$40</definedName>
    <definedName name="C.IID" localSheetId="11">' Non-Con, Non-Mod Calculations'!$E$89</definedName>
    <definedName name="C.IID" localSheetId="12">'Con, Non-Mod Calculations'!$E$87</definedName>
    <definedName name="C.IID_Max" localSheetId="14">'Con, Mod Calculations'!$E$96</definedName>
    <definedName name="C.IID_Max" localSheetId="13">'Non-Con, Mod Calculations'!$E$97</definedName>
    <definedName name="C.IID_Reduced" localSheetId="14">'Con, Mod Calculations'!$F$96</definedName>
    <definedName name="C.IID_Reduced" localSheetId="13">'Non-Con, Mod Calculations'!$F$97</definedName>
    <definedName name="C.J" localSheetId="11">' Non-Con, Non-Mod Calculations'!$E$124</definedName>
    <definedName name="C.J" localSheetId="12">'Con, Non-Mod Calculations'!$E$121</definedName>
    <definedName name="C.J_Max" localSheetId="14">'Con, Mod Calculations'!$E$130</definedName>
    <definedName name="C.J_Max" localSheetId="13">'Non-Con, Mod Calculations'!$E$132</definedName>
    <definedName name="C.J_Reduced" localSheetId="14">'Con, Mod Calculations'!$F$130</definedName>
    <definedName name="C.J_Reduced" localSheetId="13">'Non-Con, Mod Calculations'!$F$132</definedName>
    <definedName name="C.P" localSheetId="11">' Non-Con, Non-Mod Calculations'!$E$58</definedName>
    <definedName name="C.P" localSheetId="12">'Con, Non-Mod Calculations'!$E$57</definedName>
    <definedName name="C.P_Max" localSheetId="14">'Con, Mod Calculations'!$E$64</definedName>
    <definedName name="C.P_Max" localSheetId="13">'Non-Con, Mod Calculations'!$E$64</definedName>
    <definedName name="C.P_Reduced" localSheetId="14">'Con, Mod Calculations'!$F$64</definedName>
    <definedName name="C.P_Reduced" localSheetId="13">'Non-Con, Mod Calculations'!$F$64</definedName>
    <definedName name="C.S" localSheetId="11">' Non-Con, Non-Mod Calculations'!$E$107</definedName>
    <definedName name="C.S" localSheetId="12">'Con, Non-Mod Calculations'!$E$104</definedName>
    <definedName name="C.S_Max" localSheetId="14">'Con, Mod Calculations'!$E$113</definedName>
    <definedName name="C.S_Max" localSheetId="13">'Non-Con, Mod Calculations'!$E$115</definedName>
    <definedName name="C.S_Reduced" localSheetId="14">'Con, Mod Calculations'!$F$113</definedName>
    <definedName name="C.S_Reduced" localSheetId="13">'Non-Con, Mod Calculations'!$F$115</definedName>
    <definedName name="C.T" localSheetId="11">' Non-Con, Non-Mod Calculations'!$E$138</definedName>
    <definedName name="C.T" localSheetId="12">'Con, Non-Mod Calculations'!$E$139</definedName>
    <definedName name="C.T" localSheetId="7">'Max Test'!$C$239</definedName>
    <definedName name="C.T_Closed_KL" localSheetId="8">'Reduced Test'!$C$235</definedName>
    <definedName name="C.T_Closed_TG" localSheetId="7">'Max Test'!$C$258</definedName>
    <definedName name="C.T_Max" localSheetId="14">'Con, Mod Calculations'!$E$150</definedName>
    <definedName name="C.T_Max" localSheetId="13">'Non-Con, Mod Calculations'!$E$148</definedName>
    <definedName name="C.T_Open_KL" localSheetId="8">'Reduced Test'!$D$235</definedName>
    <definedName name="C.T_Open_TG" localSheetId="7">'Max Test'!$D$258</definedName>
    <definedName name="C.T_Reduced" localSheetId="14">'Con, Mod Calculations'!$F$150</definedName>
    <definedName name="C.T_Reduced" localSheetId="13">'Non-Con, Mod Calculations'!$F$148</definedName>
    <definedName name="C.T_TG" localSheetId="7">'Max Test'!$D$258</definedName>
    <definedName name="C.T_TG" localSheetId="8">'Reduced Test'!$C$216</definedName>
    <definedName name="C.TB_Closed" localSheetId="7">'Max Test'!$C$265</definedName>
    <definedName name="C.TB_Closed" localSheetId="8">'Reduced Test'!$C$242</definedName>
    <definedName name="C.TB_Open" localSheetId="7">'Max Test'!$D$265</definedName>
    <definedName name="C.TB_Open" localSheetId="8">'Reduced Test'!$D$242</definedName>
    <definedName name="C.TM" localSheetId="11">' Non-Con, Non-Mod Calculations'!$E$139</definedName>
    <definedName name="C.TM" localSheetId="12">'Con, Non-Mod Calculations'!$E$140</definedName>
    <definedName name="C.TM" localSheetId="7">'Max Test'!$C$240</definedName>
    <definedName name="C.TM_Closed_KL" localSheetId="8">'Reduced Test'!$C$246</definedName>
    <definedName name="C.TM_Closed_TG" localSheetId="7">'Max Test'!$C$269</definedName>
    <definedName name="C.TM_Max" localSheetId="14">'Con, Mod Calculations'!$E$151</definedName>
    <definedName name="C.TM_Max" localSheetId="13">'Non-Con, Mod Calculations'!$E$149</definedName>
    <definedName name="C.TM_Open_KL" localSheetId="8">'Reduced Test'!$D$246</definedName>
    <definedName name="C.TM_Open_TG" localSheetId="7">'Max Test'!$D$269</definedName>
    <definedName name="C.TM_Reduced" localSheetId="14">'Con, Mod Calculations'!$F$151</definedName>
    <definedName name="C.TM_Reduced" localSheetId="13">'Non-Con, Mod Calculations'!$F$149</definedName>
    <definedName name="C.TM_TG" localSheetId="8">'Reduced Test'!$C$217</definedName>
    <definedName name="C.TOFF" localSheetId="11">' Non-Con, Non-Mod Calculations'!$E$90</definedName>
    <definedName name="C.TOFF" localSheetId="12">'Con, Non-Mod Calculations'!$E$88</definedName>
    <definedName name="C.TOFF_Max" localSheetId="14">'Con, Mod Calculations'!$E$97</definedName>
    <definedName name="C.TOFF_Max" localSheetId="13">'Non-Con, Mod Calculations'!$E$98</definedName>
    <definedName name="C.TOFF_Reduced" localSheetId="14">'Con, Mod Calculations'!$F$97</definedName>
    <definedName name="C.TOFF_Reduced" localSheetId="13">'Non-Con, Mod Calculations'!$F$98</definedName>
    <definedName name="C.TON" localSheetId="11">' Non-Con, Non-Mod Calculations'!$E$88</definedName>
    <definedName name="C.TON" localSheetId="12">'Con, Non-Mod Calculations'!$E$86</definedName>
    <definedName name="C.TON" localSheetId="13">'Non-Con, Mod Calculations'!$E$96</definedName>
    <definedName name="C.TON_Max" localSheetId="14">'Con, Mod Calculations'!$E$95</definedName>
    <definedName name="C.TON_Reduced" localSheetId="14">'Con, Mod Calculations'!$F$95</definedName>
    <definedName name="C.TON_Reduced" localSheetId="13">'Non-Con, Mod Calculations'!$F$96</definedName>
    <definedName name="C.TS" localSheetId="11">' Non-Con, Non-Mod Calculations'!$E$113</definedName>
    <definedName name="C.TS" localSheetId="12">'Con, Non-Mod Calculations'!$E$110</definedName>
    <definedName name="C.TS_Max" localSheetId="14">'Con, Mod Calculations'!$E$119</definedName>
    <definedName name="C.TS_Max" localSheetId="13">'Non-Con, Mod Calculations'!$E$121</definedName>
    <definedName name="C.TS_Reduced" localSheetId="14">'Con, Mod Calculations'!$F$119</definedName>
    <definedName name="C.TS_Reduced" localSheetId="13">'Non-Con, Mod Calculations'!$F$121</definedName>
    <definedName name="C1.S" localSheetId="11">' Non-Con, Non-Mod Calculations'!$E$91</definedName>
    <definedName name="C1.S" localSheetId="12">'Con, Non-Mod Calculations'!$E$89</definedName>
    <definedName name="C1.S_Max" localSheetId="14">'Con, Mod Calculations'!$E$98</definedName>
    <definedName name="C1.S_Max" localSheetId="13">'Non-Con, Mod Calculations'!$E$99</definedName>
    <definedName name="C1.S_Reduced" localSheetId="14">'Con, Mod Calculations'!$F$98</definedName>
    <definedName name="C1.S_Reduced" localSheetId="13">'Non-Con, Mod Calculations'!$F$99</definedName>
    <definedName name="Circulation">'Drop-Downs and Tables'!$B$24:$B$25</definedName>
    <definedName name="Condition_as_received" localSheetId="1">'General Info &amp; Test Results'!$C$26</definedName>
    <definedName name="Control_Type" localSheetId="2">'Sys. # &amp; Product Characteristic'!$C$47</definedName>
    <definedName name="Cool_Down_End" localSheetId="7">'Max Test'!$D$39</definedName>
    <definedName name="Cool_Down_End" localSheetId="8">'Reduced Test'!$D$47</definedName>
    <definedName name="Cool_Down_Start" localSheetId="7">'Max Test'!$C$39</definedName>
    <definedName name="Cool_Down_Start" localSheetId="8">'Reduced Test'!$C$47</definedName>
    <definedName name="D.F" localSheetId="11">' Non-Con, Non-Mod Calculations'!$E$80</definedName>
    <definedName name="D.F" localSheetId="12">'Con, Non-Mod Calculations'!$E$79</definedName>
    <definedName name="D.F_Max" localSheetId="14">'Con, Mod Calculations'!$E$88</definedName>
    <definedName name="D.F_Max" localSheetId="13">'Non-Con, Mod Calculations'!$E$88</definedName>
    <definedName name="D.F_Max_Power_Burner_Direct_Vent" localSheetId="13">'Non-Con, Mod Calculations'!$E$158</definedName>
    <definedName name="D.F_Power_Burner_Direct_Vent" localSheetId="11">' Non-Con, Non-Mod Calculations'!$E$148</definedName>
    <definedName name="D.F_Power_Burner_Direct_Vent" localSheetId="12">'Con, Non-Mod Calculations'!$E$149</definedName>
    <definedName name="D.F_Power_Burner_Direct_Vent_Max" localSheetId="14">'Con, Mod Calculations'!$E$160</definedName>
    <definedName name="D.F_Power_Burner_Direct_Vent_Reduced" localSheetId="14">'Con, Mod Calculations'!$F$160</definedName>
    <definedName name="D.F_Reduced" localSheetId="14">'Con, Mod Calculations'!$F$88</definedName>
    <definedName name="D.F_Reduced" localSheetId="13">'Non-Con, Mod Calculations'!$F$88</definedName>
    <definedName name="D.F_Reduced_Power_Burner_Direct_Vent" localSheetId="13">'Non-Con, Mod Calculations'!$F$158</definedName>
    <definedName name="D.O" localSheetId="11">' Non-Con, Non-Mod Calculations'!$E$95</definedName>
    <definedName name="D.O" localSheetId="12">'Con, Non-Mod Calculations'!$E$92</definedName>
    <definedName name="D.O_Max" localSheetId="14">'Con, Mod Calculations'!$E$101</definedName>
    <definedName name="D.O_Max" localSheetId="13">'Non-Con, Mod Calculations'!$E$103</definedName>
    <definedName name="D.O_Reduced" localSheetId="14">'Con, Mod Calculations'!$F$101</definedName>
    <definedName name="D.O_Reduced" localSheetId="13">'Non-Con, Mod Calculations'!$F$103</definedName>
    <definedName name="D.OI" localSheetId="11">' Non-Con, Non-Mod Calculations'!$E$96</definedName>
    <definedName name="D.OI" localSheetId="12">'Con, Non-Mod Calculations'!$E$93</definedName>
    <definedName name="D.OI_Max" localSheetId="14">'Con, Mod Calculations'!$E$102</definedName>
    <definedName name="D.OI_Max" localSheetId="13">'Non-Con, Mod Calculations'!$E$104</definedName>
    <definedName name="D.OI_Reduced" localSheetId="14">'Con, Mod Calculations'!$F$102</definedName>
    <definedName name="D.OI_Reduced" localSheetId="13">'Non-Con, Mod Calculations'!$F$104</definedName>
    <definedName name="D.P" localSheetId="11">' Non-Con, Non-Mod Calculations'!$E$79</definedName>
    <definedName name="D.P" localSheetId="12">'Con, Non-Mod Calculations'!$E$78</definedName>
    <definedName name="D.P_Draft_Diverter" localSheetId="12">'Con, Non-Mod Calculations'!$E$156</definedName>
    <definedName name="D.P_Draft_Diverter_Max" localSheetId="14">'Con, Mod Calculations'!$E$167</definedName>
    <definedName name="D.P_Draft_Diverter_Max" localSheetId="13">'Non-Con, Mod Calculations'!$E$165</definedName>
    <definedName name="D.P_Draft_Diverter_Reduced" localSheetId="14">'Con, Mod Calculations'!$F$167</definedName>
    <definedName name="D.P_Draft_Diverter_Reduced" localSheetId="13">'Non-Con, Mod Calculations'!$F$165</definedName>
    <definedName name="D.P_Draft_Hood_Diverter" localSheetId="11">' Non-Con, Non-Mod Calculations'!$E$155</definedName>
    <definedName name="D.P_Max" localSheetId="14">'Con, Mod Calculations'!$E$87</definedName>
    <definedName name="D.P_Max" localSheetId="13">'Non-Con, Mod Calculations'!$E$87</definedName>
    <definedName name="D.P_Max_Power_Burner_Direct_Vent" localSheetId="13">'Non-Con, Mod Calculations'!$E$155</definedName>
    <definedName name="D.P_Power_Burner_Direct_Vent" localSheetId="11">' Non-Con, Non-Mod Calculations'!$E$145</definedName>
    <definedName name="D.P_Power_Burner_Direct_Vent" localSheetId="12">'Con, Non-Mod Calculations'!$E$146</definedName>
    <definedName name="D.P_Power_Vent_Direct_Vent_Max" localSheetId="14">'Con, Mod Calculations'!$E$157</definedName>
    <definedName name="D.P_Power_Vent_Direct_Vent_Reduced" localSheetId="14">'Con, Mod Calculations'!$F$157</definedName>
    <definedName name="D.P_Reduced" localSheetId="14">'Con, Mod Calculations'!$F$87</definedName>
    <definedName name="D.P_Reduced" localSheetId="13">'Non-Con, Mod Calculations'!$F$87</definedName>
    <definedName name="D.P_Reduced_Power_Vent_Direct_Vent" localSheetId="13">'Non-Con, Mod Calculations'!$F$155</definedName>
    <definedName name="D.S" localSheetId="12">'Con, Non-Mod Calculations'!$E$95</definedName>
    <definedName name="D.S" localSheetId="13">'Non-Con, Mod Calculations'!$E$106</definedName>
    <definedName name="D.S_1" localSheetId="11">' Non-Con, Non-Mod Calculations'!$E$97</definedName>
    <definedName name="D.S_2" localSheetId="11">' Non-Con, Non-Mod Calculations'!$E$98</definedName>
    <definedName name="D.S_Max" localSheetId="14">'Con, Mod Calculations'!$E$104</definedName>
    <definedName name="D.S_Max_Power_Burner_Direct_Vent" localSheetId="13">'Non-Con, Mod Calculations'!$E$159</definedName>
    <definedName name="D.S_Power_Burner_Direct_Vent" localSheetId="12">'Con, Non-Mod Calculations'!$E$150</definedName>
    <definedName name="D.S_Power_Burner_Direct_Vent_Max" localSheetId="14">'Con, Mod Calculations'!$E$161</definedName>
    <definedName name="D.S_Power_Burner_Direct_Vent_Reduced" localSheetId="14">'Con, Mod Calculations'!$F$161</definedName>
    <definedName name="D.S_Power_Vent_Direct_Vent" localSheetId="11">' Non-Con, Non-Mod Calculations'!$E$149</definedName>
    <definedName name="D.S_Reduced" localSheetId="14">'Con, Mod Calculations'!$F$104</definedName>
    <definedName name="D.S_Reduced" localSheetId="13">'Non-Con, Mod Calculations'!$F$106</definedName>
    <definedName name="D.S_Reduced_Power_Burner_Direct_Vent" localSheetId="13">'Non-Con, Mod Calculations'!$F$159</definedName>
    <definedName name="Date_of_Manufacture" localSheetId="1">'General Info &amp; Test Results'!$C$24</definedName>
    <definedName name="Date_Product_Received">'General Info &amp; Test Results'!$C$25</definedName>
    <definedName name="DektaT.SSS_Reduced" localSheetId="13">'Non-Con, Mod Calculations'!$F$36</definedName>
    <definedName name="DeltaT.FSS" localSheetId="11">' Non-Con, Non-Mod Calculations'!$E$38</definedName>
    <definedName name="DeltaT.FSS" localSheetId="12">'Con, Non-Mod Calculations'!$E$33</definedName>
    <definedName name="DeltaT.FSS_Max" localSheetId="14">'Con, Mod Calculations'!$E$34</definedName>
    <definedName name="DeltaT.FSS_Max" localSheetId="13">'Non-Con, Mod Calculations'!$E$38</definedName>
    <definedName name="DeltaT.FSS_Reduced" localSheetId="14">'Con, Mod Calculations'!$F$34</definedName>
    <definedName name="DeltaT.FSS_Reduced" localSheetId="13">'Non-Con, Mod Calculations'!$F$38</definedName>
    <definedName name="DeltaT.SSS" localSheetId="11">' Non-Con, Non-Mod Calculations'!$E$36</definedName>
    <definedName name="DeltaT.SSS_Max" localSheetId="13">'Non-Con, Mod Calculations'!$E$36</definedName>
    <definedName name="DHR" localSheetId="11">' Non-Con, Non-Mod Calculations'!#REF!</definedName>
    <definedName name="DHR" localSheetId="12">'Con, Non-Mod Calculations'!#REF!</definedName>
    <definedName name="DHR" localSheetId="10">'Electric F, B Calculations'!$E$24</definedName>
    <definedName name="DHR" localSheetId="13">'Non-Con, Mod Calculations'!#REF!</definedName>
    <definedName name="DHR_Adjust" localSheetId="11">' Non-Con, Non-Mod Calculations'!$E$171</definedName>
    <definedName name="DHR_Adjust" localSheetId="14">'Con, Mod Calculations'!$E$185</definedName>
    <definedName name="DHR_Adjust" localSheetId="12">'Con, Non-Mod Calculations'!$E$172</definedName>
    <definedName name="DHR_Adjust" localSheetId="10">'Electric F, B Calculations'!$E$36</definedName>
    <definedName name="DHR_Adjust" localSheetId="13">'Non-Con, Mod Calculations'!$E$183</definedName>
    <definedName name="DHR_Max_Avg_Air_Temp" localSheetId="14">'Con, Mod Calculations'!#REF!</definedName>
    <definedName name="Direct_Vent?" localSheetId="2">'Sys. # &amp; Product Characteristic'!$C$44</definedName>
    <definedName name="DO.S" localSheetId="11">' Non-Con, Non-Mod Calculations'!$E$81</definedName>
    <definedName name="DO.S" localSheetId="12">'Con, Non-Mod Calculations'!$E$80</definedName>
    <definedName name="DO.S_Max" localSheetId="14">'Con, Mod Calculations'!$E$89</definedName>
    <definedName name="DO.S_Max" localSheetId="13">'Non-Con, Mod Calculations'!$E$89</definedName>
    <definedName name="DO.S_Reduced" localSheetId="14">'Con, Mod Calculations'!$F$89</definedName>
    <definedName name="DO.S_Reduced" localSheetId="13">'Non-Con, Mod Calculations'!$F$89</definedName>
    <definedName name="Does_the_boiler_employ_a_post_purge?" localSheetId="7">'Max Test'!$C$191</definedName>
    <definedName name="Draft_Equipment">'Drop-Downs and Tables'!$B$59:$B$60</definedName>
    <definedName name="Draft_Imposed?" localSheetId="11">' Non-Con, Non-Mod Calculations'!$E$142</definedName>
    <definedName name="Draft_Imposed?" localSheetId="8">'Reduced Test'!$C$208</definedName>
    <definedName name="Draft_Imposed_Max?" localSheetId="14">'Con, Mod Calculations'!$E$154</definedName>
    <definedName name="Draft_Imposed_Max?" localSheetId="13">'Non-Con, Mod Calculations'!$E$152</definedName>
    <definedName name="Draft_Imposed_Reduced?" localSheetId="14">'Con, Mod Calculations'!$F$154</definedName>
    <definedName name="Draft_Imposed_Reduced?" localSheetId="13">'Non-Con, Mod Calculations'!$F$152</definedName>
    <definedName name="E.AE" localSheetId="11">' Non-Con, Non-Mod Calculations'!$E$182</definedName>
    <definedName name="E.AE" localSheetId="14">'Con, Mod Calculations'!$E$196</definedName>
    <definedName name="E.AE" localSheetId="12">'Con, Non-Mod Calculations'!$E$180</definedName>
    <definedName name="E.AE" localSheetId="13">'Non-Con, Mod Calculations'!$E$194</definedName>
    <definedName name="E.AER" localSheetId="11">' Non-Con, Non-Mod Calculations'!$E$191</definedName>
    <definedName name="E.AER" localSheetId="14">'Con, Mod Calculations'!$E$205</definedName>
    <definedName name="E.AER" localSheetId="12">'Con, Non-Mod Calculations'!$E$189</definedName>
    <definedName name="E.AER" localSheetId="13">'Non-Con, Mod Calculations'!$E$203</definedName>
    <definedName name="E.E" localSheetId="10">'Electric F, B Calculations'!$E$39</definedName>
    <definedName name="E.ER" localSheetId="10">'Electric F, B Calculations'!$E$47</definedName>
    <definedName name="E.F" localSheetId="11">' Non-Con, Non-Mod Calculations'!$E$179</definedName>
    <definedName name="E.F" localSheetId="14">'Con, Mod Calculations'!$E$193</definedName>
    <definedName name="E.F" localSheetId="12">'Con, Non-Mod Calculations'!$E$177</definedName>
    <definedName name="E.F" localSheetId="13">'Non-Con, Mod Calculations'!$E$191</definedName>
    <definedName name="E.FR" localSheetId="14">'Con, Mod Calculations'!$E$203</definedName>
    <definedName name="E.FR" localSheetId="12">'Con, Non-Mod Calculations'!$E$187</definedName>
    <definedName name="E.FR" localSheetId="13">'Non-Con, Mod Calculations'!$E$201</definedName>
    <definedName name="E.FR_Annual" localSheetId="11">' Non-Con, Non-Mod Calculations'!$E$189</definedName>
    <definedName name="E.IN" localSheetId="10">'Electric F, B Calculations'!$E$52</definedName>
    <definedName name="E.IN" localSheetId="7">'Max Test'!$C$174</definedName>
    <definedName name="E.IN" localSheetId="8">'Reduced Test'!$C$151</definedName>
    <definedName name="E.M" localSheetId="11">' Non-Con, Non-Mod Calculations'!#REF!</definedName>
    <definedName name="E.M" localSheetId="14">'Con, Mod Calculations'!#REF!</definedName>
    <definedName name="E.M" localSheetId="13">'Non-Con, Mod Calculations'!#REF!</definedName>
    <definedName name="E.SO" localSheetId="11">' Non-Con, Non-Mod Calculations'!$E$199</definedName>
    <definedName name="E.SO" localSheetId="14">'Con, Mod Calculations'!$E$213</definedName>
    <definedName name="E.SO" localSheetId="12">'Con, Non-Mod Calculations'!$E$197</definedName>
    <definedName name="E.SO" localSheetId="10">'Electric F, B Calculations'!$E$56</definedName>
    <definedName name="E.SO" localSheetId="13">'Non-Con, Mod Calculations'!$E$211</definedName>
    <definedName name="E.SOR" localSheetId="11">' Non-Con, Non-Mod Calculations'!$E$190</definedName>
    <definedName name="E.SOR" localSheetId="14">'Con, Mod Calculations'!$E$204</definedName>
    <definedName name="E.SOR" localSheetId="12">'Con, Non-Mod Calculations'!$E$188</definedName>
    <definedName name="E.SOR" localSheetId="10">'Electric F, B Calculations'!$E$46</definedName>
    <definedName name="E.SOR" localSheetId="13">'Non-Con, Mod Calculations'!$E$202</definedName>
    <definedName name="EF" localSheetId="11">' Non-Con, Non-Mod Calculations'!$E$185</definedName>
    <definedName name="EF" localSheetId="14">'Con, Mod Calculations'!$E$199</definedName>
    <definedName name="EF" localSheetId="12">'Con, Non-Mod Calculations'!$E$183</definedName>
    <definedName name="EF" localSheetId="10">'Electric F, B Calculations'!$E$42</definedName>
    <definedName name="EF" localSheetId="13">'Non-Con, Mod Calculations'!$E$197</definedName>
    <definedName name="Eff.motor" localSheetId="11">' Non-Con, Non-Mod Calculations'!$E$167</definedName>
    <definedName name="Eff.motor" localSheetId="14">'Con, Mod Calculations'!$E$179</definedName>
    <definedName name="Eff.motor" localSheetId="12">'Con, Non-Mod Calculations'!$E$168</definedName>
    <definedName name="Eff.motor" localSheetId="13">'Non-Con, Mod Calculations'!$E$177</definedName>
    <definedName name="Eff.motor" localSheetId="4">'Test Conditions'!$C$97</definedName>
    <definedName name="Effy.HS" localSheetId="11">' Non-Con, Non-Mod Calculations'!$E$126</definedName>
    <definedName name="Effy.HS" localSheetId="14">'Con, Mod Calculations'!$E$138</definedName>
    <definedName name="Effy.HS" localSheetId="12">'Con, Non-Mod Calculations'!$E$127</definedName>
    <definedName name="Effy.HS" localSheetId="10">'Electric F, B Calculations'!$E$27</definedName>
    <definedName name="Effy.HS" localSheetId="13">'Non-Con, Mod Calculations'!$E$136</definedName>
    <definedName name="Effy.SS" localSheetId="11">' Non-Con, Non-Mod Calculations'!$E$47</definedName>
    <definedName name="Effy.SS" localSheetId="12">'Con, Non-Mod Calculations'!$E$46</definedName>
    <definedName name="Effy.SS" localSheetId="10">'Electric F, B Calculations'!$E$17</definedName>
    <definedName name="Effy.SS_Max" localSheetId="14">'Con, Mod Calculations'!$E$47</definedName>
    <definedName name="Effy.SS_Max" localSheetId="9">'Cyclic Timing Calculations'!$E$16</definedName>
    <definedName name="Effy.SS_Max" localSheetId="13">'Non-Con, Mod Calculations'!$E$47</definedName>
    <definedName name="Effy.SS_Max_Avg_Air_Temp" localSheetId="14">'Con, Mod Calculations'!#REF!</definedName>
    <definedName name="Effy.SS_Reduced" localSheetId="14">'Con, Mod Calculations'!$F$47</definedName>
    <definedName name="Effy.SS_Reduced" localSheetId="9">'Cyclic Timing Calculations'!$F$16</definedName>
    <definedName name="Effy.SS_Reduced" localSheetId="13">'Non-Con, Mod Calculations'!$F$47</definedName>
    <definedName name="Effy.SS_Reduced_Avg_Air_Temp" localSheetId="14">'Con, Mod Calculations'!#REF!</definedName>
    <definedName name="Effy.SSM" localSheetId="14">'Con, Mod Calculations'!$E$59</definedName>
    <definedName name="Effy.SSM" localSheetId="13">'Non-Con, Mod Calculations'!$E$59</definedName>
    <definedName name="Effy.SSW" localSheetId="14">'Con, Mod Calculations'!$E$60</definedName>
    <definedName name="Effy.SSW" localSheetId="13">'Non-Con, Mod Calculations'!$E$60</definedName>
    <definedName name="Effy.UH" localSheetId="14">'Con, Mod Calculations'!$E$137</definedName>
    <definedName name="Effy.UH" localSheetId="13">'Non-Con, Mod Calculations'!$E$135</definedName>
    <definedName name="Effy.UM" localSheetId="14">'Con, Mod Calculations'!$E$69</definedName>
    <definedName name="Effy.UM" localSheetId="13">'Non-Con, Mod Calculations'!$E$69</definedName>
    <definedName name="Effy.UR" localSheetId="14">'Con, Mod Calculations'!$F$136</definedName>
    <definedName name="Effy.UR" localSheetId="13">'Non-Con, Mod Calculations'!$F$134</definedName>
    <definedName name="Energy_Source" localSheetId="2">'Sys. # &amp; Product Characteristic'!$C$36</definedName>
    <definedName name="F_3" localSheetId="11">' Non-Con, Non-Mod Calculations'!$E$99</definedName>
    <definedName name="F_3" localSheetId="12">'Con, Non-Mod Calculations'!$E$96</definedName>
    <definedName name="F_3_Max" localSheetId="13">'Non-Con, Mod Calculations'!$E$107</definedName>
    <definedName name="F_3_Reduced" localSheetId="13">'Non-Con, Mod Calculations'!$F$107</definedName>
    <definedName name="F_4" localSheetId="11">' Non-Con, Non-Mod Calculations'!$E$100</definedName>
    <definedName name="F_4" localSheetId="12">'Con, Non-Mod Calculations'!$E$97</definedName>
    <definedName name="F_4_Max" localSheetId="13">'Non-Con, Mod Calculations'!$E$108</definedName>
    <definedName name="F_4_Reduced" localSheetId="13">'Non-Con, Mod Calculations'!$F$108</definedName>
    <definedName name="F_5" localSheetId="11">' Non-Con, Non-Mod Calculations'!$E$101</definedName>
    <definedName name="F_5" localSheetId="12">'Con, Non-Mod Calculations'!$E$98</definedName>
    <definedName name="F_6" localSheetId="11">' Non-Con, Non-Mod Calculations'!$E$102</definedName>
    <definedName name="F_6" localSheetId="12">'Con, Non-Mod Calculations'!$E$99</definedName>
    <definedName name="F_7" localSheetId="11">' Non-Con, Non-Mod Calculations'!$E$103</definedName>
    <definedName name="F_7" localSheetId="12">'Con, Non-Mod Calculations'!$E$100</definedName>
    <definedName name="F_8" localSheetId="11">' Non-Con, Non-Mod Calculations'!$E$104</definedName>
    <definedName name="F_8" localSheetId="12">'Con, Non-Mod Calculations'!$E$101</definedName>
    <definedName name="F3_Max" localSheetId="14">'Con, Mod Calculations'!$E$105</definedName>
    <definedName name="F3_Reduced" localSheetId="14">'Con, Mod Calculations'!$F$105</definedName>
    <definedName name="F4_Max" localSheetId="14">'Con, Mod Calculations'!$E$106</definedName>
    <definedName name="F4_Reduced" localSheetId="14">'Con, Mod Calculations'!$F$106</definedName>
    <definedName name="F5_Max" localSheetId="14">'Con, Mod Calculations'!$E$107</definedName>
    <definedName name="F5_Max" localSheetId="13">'Non-Con, Mod Calculations'!$E$109</definedName>
    <definedName name="F5_Reduced" localSheetId="14">'Con, Mod Calculations'!$F$107</definedName>
    <definedName name="F5_Reduced" localSheetId="13">'Non-Con, Mod Calculations'!$F$109</definedName>
    <definedName name="F6_Max" localSheetId="14">'Con, Mod Calculations'!$E$108</definedName>
    <definedName name="F6_Max" localSheetId="13">'Non-Con, Mod Calculations'!$E$110</definedName>
    <definedName name="F6_Reduced" localSheetId="14">'Con, Mod Calculations'!$F$108</definedName>
    <definedName name="F6_Reduced" localSheetId="13">'Non-Con, Mod Calculations'!$F$110</definedName>
    <definedName name="F7_Max" localSheetId="14">'Con, Mod Calculations'!$E$109</definedName>
    <definedName name="F7_Max" localSheetId="13">'Non-Con, Mod Calculations'!$E$111</definedName>
    <definedName name="F7_Reduced" localSheetId="14">'Con, Mod Calculations'!$F$109</definedName>
    <definedName name="F7_Reduced" localSheetId="13">'Non-Con, Mod Calculations'!$F$111</definedName>
    <definedName name="F8_Max" localSheetId="14">'Con, Mod Calculations'!$E$110</definedName>
    <definedName name="F8_Max" localSheetId="13">'Non-Con, Mod Calculations'!$E$112</definedName>
    <definedName name="F8_Reduced" localSheetId="14">'Con, Mod Calculations'!$F$110</definedName>
    <definedName name="F8_Reduced" localSheetId="13">'Non-Con, Mod Calculations'!$F$112</definedName>
    <definedName name="Finned_Tube_Boiler">'Sys. # &amp; Product Characteristic'!$C$39</definedName>
    <definedName name="FinnedTube_Boiler">'Sys. # &amp; Product Characteristic'!$C$39</definedName>
    <definedName name="five_mins_thirty_secs" localSheetId="7">'Max Test'!$I$50</definedName>
    <definedName name="five_mins_thirty_secs" localSheetId="8">'Reduced Test'!$I$55</definedName>
    <definedName name="Flue_Gas" localSheetId="2">'Sys. # &amp; Product Characteristic'!$C$46</definedName>
    <definedName name="four_mins_thirty_secs" localSheetId="7">'Max Test'!$H$50</definedName>
    <definedName name="four_mins_thirty_secs" localSheetId="8">'Reduced Test'!$H$55</definedName>
    <definedName name="fourty_five_mins" localSheetId="7">'Max Test'!$I$39</definedName>
    <definedName name="fourty_five_mins" localSheetId="8">'Reduced Test'!$I$47</definedName>
    <definedName name="GasType">'Drop-Downs and Tables'!$B$101:$B$105</definedName>
    <definedName name="h.C.bottom" localSheetId="6">'Jacket Loss'!$D$28</definedName>
    <definedName name="h.C.Side" localSheetId="6">'Jacket Loss'!$D$29</definedName>
    <definedName name="h.C.top" localSheetId="6">'Jacket Loss'!$D$27</definedName>
    <definedName name="h.ri" localSheetId="6">'Jacket Loss'!$D$30</definedName>
    <definedName name="h.ri">'Jacket Loss'!$D$30</definedName>
    <definedName name="h.rs">'Jacket Loss'!$D$32</definedName>
    <definedName name="h_rs">'Jacket Loss'!$J$20</definedName>
    <definedName name="hc_bottom">'Jacket Loss'!$J$16</definedName>
    <definedName name="hc_side">'Jacket Loss'!$J$17</definedName>
    <definedName name="hc_top">'Jacket Loss'!$J$14</definedName>
    <definedName name="HDD" localSheetId="11">' Non-Con, Non-Mod Calculations'!$E$129</definedName>
    <definedName name="HDD" localSheetId="13">'Non-Con, Mod Calculations'!$E$139</definedName>
    <definedName name="HDD_Per_Day" localSheetId="11">' Non-Con, Non-Mod Calculations'!$E$131</definedName>
    <definedName name="HDD_Per_Day" localSheetId="14">'Con, Mod Calculations'!$E$143</definedName>
    <definedName name="HDD_Per_Day" localSheetId="12">'Con, Non-Mod Calculations'!$E$132</definedName>
    <definedName name="HDD_Per_Day" localSheetId="13">'Non-Con, Mod Calculations'!$E$141</definedName>
    <definedName name="Heat_Up_End" localSheetId="7">'Max Test'!$D$50</definedName>
    <definedName name="Heat_Up_End" localSheetId="8">'Reduced Test'!$D$55</definedName>
    <definedName name="Heat_Up_Start" localSheetId="7">'Max Test'!$C$50</definedName>
    <definedName name="Heat_Up_Start" localSheetId="8">'Reduced Test'!$C$55</definedName>
    <definedName name="Heating_Fuel_Used" localSheetId="2">'Sys. # &amp; Product Characteristic'!$C$37</definedName>
    <definedName name="Heating_Medium" localSheetId="2">'Sys. # &amp; Product Characteristic'!$C$38</definedName>
    <definedName name="HHV" localSheetId="4">'Test Conditions'!$D$17</definedName>
    <definedName name="HHV.A" localSheetId="11">' Non-Con, Non-Mod Calculations'!$E$41</definedName>
    <definedName name="HHV.A" localSheetId="12">'Con, Non-Mod Calculations'!$E$36</definedName>
    <definedName name="HHV.A_Max" localSheetId="14">'Con, Mod Calculations'!$E$37</definedName>
    <definedName name="HHV.A_Max" localSheetId="13">'Non-Con, Mod Calculations'!$E$41</definedName>
    <definedName name="HHV.A_Reduced" localSheetId="14">'Con, Mod Calculations'!$F$37</definedName>
    <definedName name="HHV.A_Reduced" localSheetId="13">'Non-Con, Mod Calculations'!$F$41</definedName>
    <definedName name="HHV_CYC" localSheetId="7">'Max Test'!$C$298</definedName>
    <definedName name="HHV_CYC" localSheetId="8">'Reduced Test'!$C$275</definedName>
    <definedName name="HHV_SS" localSheetId="7">'Max Test'!$C$164</definedName>
    <definedName name="HHV_SS" localSheetId="8">'Reduced Test'!$C$141</definedName>
    <definedName name="HLH" localSheetId="11">' Non-Con, Non-Mod Calculations'!$E$188</definedName>
    <definedName name="HLH" localSheetId="14">'Con, Mod Calculations'!$E$202</definedName>
    <definedName name="HLH" localSheetId="12">'Con, Non-Mod Calculations'!$E$186</definedName>
    <definedName name="HLH" localSheetId="10">'Electric F, B Calculations'!$E$45</definedName>
    <definedName name="HLH" localSheetId="13">'Non-Con, Mod Calculations'!$E$200</definedName>
    <definedName name="hrs_per_yr" localSheetId="11">' Non-Con, Non-Mod Calculations'!$E$173</definedName>
    <definedName name="hrs_per_yr" localSheetId="14">'Con, Mod Calculations'!$E$187</definedName>
    <definedName name="hrs_per_yr" localSheetId="12">'Con, Non-Mod Calculations'!$E$174</definedName>
    <definedName name="HupCdownPerformed" localSheetId="8">'Reduced Test'!$C$295</definedName>
    <definedName name="HupCdownPerformed">'Max Test'!$C$318</definedName>
    <definedName name="Ignition" localSheetId="2">'Sys. # &amp; Product Characteristic'!$C$45</definedName>
    <definedName name="Imposed_draft?" localSheetId="7">'Max Test'!$C$231</definedName>
    <definedName name="Installation" localSheetId="2">'Sys. # &amp; Product Characteristic'!$C$43</definedName>
    <definedName name="Installation">'Drop-Downs and Tables'!$B$74:$B$75</definedName>
    <definedName name="Jacket_Loss">'Drop-Downs and Tables'!$B$87:$B$89</definedName>
    <definedName name="Jacket_Loss_Factor" localSheetId="4">'Test Conditions'!$C$47</definedName>
    <definedName name="K" localSheetId="11">' Non-Con, Non-Mod Calculations'!$E$52</definedName>
    <definedName name="K" localSheetId="12">'Con, Non-Mod Calculations'!$E$51</definedName>
    <definedName name="K" localSheetId="10">'Electric F, B Calculations'!$E$22</definedName>
    <definedName name="K.Conv" localSheetId="10">'Electric F, B Calculations'!$E$55</definedName>
    <definedName name="K.IOFF" localSheetId="11">' Non-Con, Non-Mod Calculations'!$E$110</definedName>
    <definedName name="K.IOFF" localSheetId="12">'Con, Non-Mod Calculations'!$E$107</definedName>
    <definedName name="K.IOFF_Max" localSheetId="14">'Con, Mod Calculations'!$E$116</definedName>
    <definedName name="K.IOFF_Max" localSheetId="13">'Non-Con, Mod Calculations'!$E$118</definedName>
    <definedName name="K.IOFF_Reduced" localSheetId="14">'Con, Mod Calculations'!$F$116</definedName>
    <definedName name="K.IOFF_Reduced" localSheetId="13">'Non-Con, Mod Calculations'!$F$118</definedName>
    <definedName name="K.ION" localSheetId="11">' Non-Con, Non-Mod Calculations'!$E$61</definedName>
    <definedName name="K.ION" localSheetId="12">'Con, Non-Mod Calculations'!$E$61</definedName>
    <definedName name="K.ION_Max" localSheetId="14">'Con, Mod Calculations'!$E$67</definedName>
    <definedName name="K.ION_Max" localSheetId="13">'Non-Con, Mod Calculations'!$E$67</definedName>
    <definedName name="K.ION_Reduced" localSheetId="14">'Con, Mod Calculations'!$F$67</definedName>
    <definedName name="K.ION_Reduced" localSheetId="13">'Non-Con, Mod Calculations'!$F$67</definedName>
    <definedName name="K.L" localSheetId="11">' Non-Con, Non-Mod Calculations'!$E$154</definedName>
    <definedName name="K.L" localSheetId="12">'Con, Non-Mod Calculations'!$E$155</definedName>
    <definedName name="K.L_Max" localSheetId="14">'Con, Mod Calculations'!$E$166</definedName>
    <definedName name="K.L_Max" localSheetId="13">'Non-Con, Mod Calculations'!$E$164</definedName>
    <definedName name="K.L_Reduced" localSheetId="14">'Con, Mod Calculations'!$F$166</definedName>
    <definedName name="K.L_Reduced" localSheetId="13">'Non-Con, Mod Calculations'!$F$164</definedName>
    <definedName name="K.SOFF" localSheetId="11">' Non-Con, Non-Mod Calculations'!$E$109</definedName>
    <definedName name="K.SOFF" localSheetId="12">'Con, Non-Mod Calculations'!$E$106</definedName>
    <definedName name="K.SOFF_Max" localSheetId="14">'Con, Mod Calculations'!$E$115</definedName>
    <definedName name="K.SOFF_Max" localSheetId="13">'Non-Con, Mod Calculations'!$E$117</definedName>
    <definedName name="K.SOFF_Reduced" localSheetId="14">'Con, Mod Calculations'!$F$115</definedName>
    <definedName name="K.SOFF_Reduced" localSheetId="13">'Non-Con, Mod Calculations'!$F$117</definedName>
    <definedName name="K.SON" localSheetId="11">' Non-Con, Non-Mod Calculations'!$E$59</definedName>
    <definedName name="K.SON" localSheetId="12">'Con, Non-Mod Calculations'!$E$58</definedName>
    <definedName name="K.SON_Max" localSheetId="14">'Con, Mod Calculations'!$E$65</definedName>
    <definedName name="K.SON_Max" localSheetId="13">'Non-Con, Mod Calculations'!$E$65</definedName>
    <definedName name="K.SON_Reduced" localSheetId="14">'Con, Mod Calculations'!$F$65</definedName>
    <definedName name="K.SON_Reduced" localSheetId="13">'Non-Con, Mod Calculations'!$F$65</definedName>
    <definedName name="K_Adjust" localSheetId="9">'Cyclic Timing Calculations'!$E$18</definedName>
    <definedName name="K_Adjust_Reduced" localSheetId="9">'Cyclic Timing Calculations'!$F$18</definedName>
    <definedName name="K_Conv" localSheetId="14">'Con, Mod Calculations'!$E$212</definedName>
    <definedName name="K_Conv" localSheetId="12">'Con, Non-Mod Calculations'!$E$196</definedName>
    <definedName name="K_Conv" localSheetId="13">'Non-Con, Mod Calculations'!$E$210</definedName>
    <definedName name="K_Elec" localSheetId="11">' Non-Con, Non-Mod Calculations'!$E$198</definedName>
    <definedName name="K_Max" localSheetId="14">'Con, Mod Calculations'!$E$52</definedName>
    <definedName name="K_Max" localSheetId="13">'Non-Con, Mod Calculations'!$E$52</definedName>
    <definedName name="K_Max_Avg_Air_Temp" localSheetId="14">'Con, Mod Calculations'!#REF!</definedName>
    <definedName name="K_Reduced" localSheetId="14">'Con, Mod Calculations'!$F$52</definedName>
    <definedName name="K_Reduced" localSheetId="13">'Non-Con, Mod Calculations'!$F$52</definedName>
    <definedName name="K_Reduced_Avg_Air_Temp" localSheetId="14">'Con, Mod Calculations'!#REF!</definedName>
    <definedName name="L.C" localSheetId="14">'Con, Mod Calculations'!$F$135</definedName>
    <definedName name="L.C" localSheetId="12">'Con, Non-Mod Calculations'!$E$126</definedName>
    <definedName name="L.CSS" localSheetId="12">'Con, Non-Mod Calculations'!$E$45</definedName>
    <definedName name="L.CSS_Max" localSheetId="14">'Con, Mod Calculations'!$E$46</definedName>
    <definedName name="L.CSS_Reduced" localSheetId="14">'Con, Mod Calculations'!$F$46</definedName>
    <definedName name="L.G" localSheetId="14">'Con, Mod Calculations'!$F$134</definedName>
    <definedName name="L.G" localSheetId="12">'Con, Non-Mod Calculations'!$E$125</definedName>
    <definedName name="L.GSS" localSheetId="12">'Con, Non-Mod Calculations'!$E$44</definedName>
    <definedName name="L.GSS_Max" localSheetId="14">'Con, Mod Calculations'!$E$45</definedName>
    <definedName name="L.GSS_Reduced" localSheetId="14">'Con, Mod Calculations'!$F$45</definedName>
    <definedName name="L.IOFF" localSheetId="11">' Non-Con, Non-Mod Calculations'!$E$121</definedName>
    <definedName name="L.IOFF" localSheetId="12">'Con, Non-Mod Calculations'!$E$118</definedName>
    <definedName name="L.IOFF_Max" localSheetId="14">'Con, Mod Calculations'!$E$127</definedName>
    <definedName name="L.IOFF_Max" localSheetId="13">'Non-Con, Mod Calculations'!$E$129</definedName>
    <definedName name="L.IOFF_Reduced" localSheetId="14">'Con, Mod Calculations'!$F$127</definedName>
    <definedName name="L.IOFF_Reduced" localSheetId="13">'Non-Con, Mod Calculations'!$F$129</definedName>
    <definedName name="L.IOFF1" localSheetId="11">' Non-Con, Non-Mod Calculations'!$E$119</definedName>
    <definedName name="L.IOFF1" localSheetId="12">'Con, Non-Mod Calculations'!$E$116</definedName>
    <definedName name="L.IOFF1_Max" localSheetId="14">'Con, Mod Calculations'!$E$125</definedName>
    <definedName name="L.IOFF1_Max" localSheetId="13">'Non-Con, Mod Calculations'!$E$127</definedName>
    <definedName name="L.IOFF1_Reduced" localSheetId="14">'Con, Mod Calculations'!$F$125</definedName>
    <definedName name="L.IOFF1_Reduced" localSheetId="13">'Non-Con, Mod Calculations'!$F$127</definedName>
    <definedName name="L.IOFF2" localSheetId="11">' Non-Con, Non-Mod Calculations'!$E$120</definedName>
    <definedName name="L.IOFF2" localSheetId="12">'Con, Non-Mod Calculations'!$E$117</definedName>
    <definedName name="L.IOFF2_Max" localSheetId="14">'Con, Mod Calculations'!$E$126</definedName>
    <definedName name="L.IOFF2_Max" localSheetId="13">'Non-Con, Mod Calculations'!$E$128</definedName>
    <definedName name="L.IOFF2_Reduced" localSheetId="14">'Con, Mod Calculations'!$F$126</definedName>
    <definedName name="L.IOFF2_Reduced" localSheetId="13">'Non-Con, Mod Calculations'!$F$128</definedName>
    <definedName name="L.ION" localSheetId="11">' Non-Con, Non-Mod Calculations'!$E$118</definedName>
    <definedName name="L.ION" localSheetId="12">'Con, Non-Mod Calculations'!$E$115</definedName>
    <definedName name="L.ION_Max" localSheetId="14">'Con, Mod Calculations'!$E$124</definedName>
    <definedName name="L.ION_Max" localSheetId="13">'Non-Con, Mod Calculations'!$E$126</definedName>
    <definedName name="L.ION_Reduced" localSheetId="14">'Con, Mod Calculations'!$F$124</definedName>
    <definedName name="L.ION_Reduced" localSheetId="13">'Non-Con, Mod Calculations'!$F$126</definedName>
    <definedName name="L.IONM" localSheetId="13">'Non-Con, Mod Calculations'!$E$68</definedName>
    <definedName name="L.IONM_Max" localSheetId="14">'Con, Mod Calculations'!$E$68</definedName>
    <definedName name="L.J" localSheetId="11">' Non-Con, Non-Mod Calculations'!$E$51</definedName>
    <definedName name="L.J" localSheetId="12">'Con, Non-Mod Calculations'!$E$50</definedName>
    <definedName name="L.J" localSheetId="10">'Electric F, B Calculations'!$E$21</definedName>
    <definedName name="L.J" localSheetId="6">'Jacket Loss'!$D$42</definedName>
    <definedName name="L.J_Max" localSheetId="14">'Con, Mod Calculations'!$E$51</definedName>
    <definedName name="L.J_Max" localSheetId="9">'Cyclic Timing Calculations'!$E$17</definedName>
    <definedName name="L.J_Max" localSheetId="13">'Non-Con, Mod Calculations'!$E$51</definedName>
    <definedName name="L.J_Max_Avg_Air_Temp" localSheetId="14">'Con, Mod Calculations'!#REF!</definedName>
    <definedName name="L.J_Reduced" localSheetId="14">'Con, Mod Calculations'!$F$51</definedName>
    <definedName name="L.J_Reduced" localSheetId="9">'Cyclic Timing Calculations'!$F$17</definedName>
    <definedName name="L.J_Reduced" localSheetId="13">'Non-Con, Mod Calculations'!$F$51</definedName>
    <definedName name="L.J_Reduced_Avg_Air_Temp" localSheetId="14">'Con, Mod Calculations'!#REF!</definedName>
    <definedName name="L.LA" localSheetId="11">' Non-Con, Non-Mod Calculations'!$E$46</definedName>
    <definedName name="L.LA" localSheetId="12">'Con, Non-Mod Calculations'!$E$41</definedName>
    <definedName name="L.LA_Max" localSheetId="14">'Con, Mod Calculations'!$E$42</definedName>
    <definedName name="L.LA_Max" localSheetId="13">'Non-Con, Mod Calculations'!$E$46</definedName>
    <definedName name="L.LA_Reduced" localSheetId="14">'Con, Mod Calculations'!$F$42</definedName>
    <definedName name="L.LA_Reduced" localSheetId="13">'Non-Con, Mod Calculations'!$F$46</definedName>
    <definedName name="L.SOFF" localSheetId="11">' Non-Con, Non-Mod Calculations'!$E$117</definedName>
    <definedName name="L.SOFF" localSheetId="12">'Con, Non-Mod Calculations'!$E$114</definedName>
    <definedName name="L.SOFF_Max" localSheetId="14">'Con, Mod Calculations'!$E$123</definedName>
    <definedName name="L.SOFF_Max" localSheetId="13">'Non-Con, Mod Calculations'!$E$125</definedName>
    <definedName name="L.SOFF_Reduced" localSheetId="14">'Con, Mod Calculations'!$F$123</definedName>
    <definedName name="L.SOFF_Reduced" localSheetId="13">'Non-Con, Mod Calculations'!$F$125</definedName>
    <definedName name="L.SOFF1" localSheetId="11">' Non-Con, Non-Mod Calculations'!$E$115</definedName>
    <definedName name="L.SOFF1" localSheetId="12">'Con, Non-Mod Calculations'!$E$112</definedName>
    <definedName name="L.SOFF1_Max" localSheetId="14">'Con, Mod Calculations'!$E$121</definedName>
    <definedName name="L.SOFF1_Max" localSheetId="13">'Non-Con, Mod Calculations'!$E$123</definedName>
    <definedName name="L.SOFF1_Reduced" localSheetId="14">'Con, Mod Calculations'!$F$121</definedName>
    <definedName name="L.SOFF1_Reduced" localSheetId="13">'Non-Con, Mod Calculations'!$F$123</definedName>
    <definedName name="L.SOFF2" localSheetId="11">' Non-Con, Non-Mod Calculations'!$E$116</definedName>
    <definedName name="L.SOFF2" localSheetId="12">'Con, Non-Mod Calculations'!$E$113</definedName>
    <definedName name="L.SOFF2_Max" localSheetId="14">'Con, Mod Calculations'!$E$122</definedName>
    <definedName name="L.SOFF2_Max" localSheetId="13">'Non-Con, Mod Calculations'!$E$124</definedName>
    <definedName name="L.SOFF2_Reduced" localSheetId="14">'Con, Mod Calculations'!$F$122</definedName>
    <definedName name="L.SOFF2_Reduced" localSheetId="13">'Non-Con, Mod Calculations'!$F$124</definedName>
    <definedName name="L.SON" localSheetId="11">' Non-Con, Non-Mod Calculations'!$E$111</definedName>
    <definedName name="L.SON" localSheetId="14">'Con, Mod Calculations'!$E$117</definedName>
    <definedName name="L.SON" localSheetId="12">'Con, Non-Mod Calculations'!$E$108</definedName>
    <definedName name="L.SON_Max" localSheetId="13">'Non-Con, Mod Calculations'!$E$119</definedName>
    <definedName name="L.SON_Reduced" localSheetId="14">'Con, Mod Calculations'!$F$117</definedName>
    <definedName name="L.SON_Reduced" localSheetId="13">'Non-Con, Mod Calculations'!$F$119</definedName>
    <definedName name="L.SSS" localSheetId="11">' Non-Con, Non-Mod Calculations'!$E$43</definedName>
    <definedName name="L.SSS" localSheetId="12">'Con, Non-Mod Calculations'!$E$38</definedName>
    <definedName name="L.SSS_Max" localSheetId="14">'Con, Mod Calculations'!$E$39</definedName>
    <definedName name="L.SSS_Max" localSheetId="13">'Non-Con, Mod Calculations'!$E$43</definedName>
    <definedName name="L.SSS_Reduced" localSheetId="14">'Con, Mod Calculations'!$F$39</definedName>
    <definedName name="L.SSS_Reduced" localSheetId="13">'Non-Con, Mod Calculations'!$F$43</definedName>
    <definedName name="LF.H" localSheetId="9">'Cyclic Timing Calculations'!$E$28</definedName>
    <definedName name="LF.R" localSheetId="9">'Cyclic Timing Calculations'!$F$29</definedName>
    <definedName name="M.C" localSheetId="14">'Con, Mod Calculations'!$F$132</definedName>
    <definedName name="M.C" localSheetId="12">'Con, Non-Mod Calculations'!$E$123</definedName>
    <definedName name="M.C" localSheetId="7">'Max Test'!$C$301</definedName>
    <definedName name="M.C" localSheetId="8">'Reduced Test'!$C$278</definedName>
    <definedName name="M.CSS" localSheetId="12">'Con, Non-Mod Calculations'!$E$42</definedName>
    <definedName name="M.CSS" localSheetId="7">'Max Test'!$C$168</definedName>
    <definedName name="M.CSS" localSheetId="8">'Reduced Test'!$C$145</definedName>
    <definedName name="M.CSS_Max" localSheetId="14">'Con, Mod Calculations'!$E$43</definedName>
    <definedName name="M.CSS_Reduced" localSheetId="14">'Con, Mod Calculations'!$F$43</definedName>
    <definedName name="M.FM" localSheetId="11">' Non-Con, Non-Mod Calculations'!$E$141</definedName>
    <definedName name="M.FM" localSheetId="12">'Con, Non-Mod Calculations'!$E$142</definedName>
    <definedName name="M.FM_Max" localSheetId="14">'Con, Mod Calculations'!$E$153</definedName>
    <definedName name="M.FM_Max" localSheetId="13">'Non-Con, Mod Calculations'!$E$151</definedName>
    <definedName name="M.FM_Reduced" localSheetId="14">'Con, Mod Calculations'!$F$153</definedName>
    <definedName name="M.FM_Reduced" localSheetId="13">'Non-Con, Mod Calculations'!$F$151</definedName>
    <definedName name="M.FOFF" localSheetId="12">'Con, Non-Mod Calculations'!$E$145</definedName>
    <definedName name="M.FOFF">' Non-Con, Non-Mod Calculations'!$E$144</definedName>
    <definedName name="M.FOFF_Max" localSheetId="14">'Con, Mod Calculations'!$E$156</definedName>
    <definedName name="M.FOFF_Max" localSheetId="13">'Non-Con, Mod Calculations'!$E$154</definedName>
    <definedName name="M.FOFF_Reduced" localSheetId="14">'Con, Mod Calculations'!$F$156</definedName>
    <definedName name="M.FOFF_Reduced" localSheetId="13">'Non-Con, Mod Calculations'!$F$154</definedName>
    <definedName name="M.FOfFF" localSheetId="11">' Non-Con, Non-Mod Calculations'!$E$144</definedName>
    <definedName name="M.FON" localSheetId="11">' Non-Con, Non-Mod Calculations'!$E$136</definedName>
    <definedName name="M.FON" localSheetId="12">'Con, Non-Mod Calculations'!$E$137</definedName>
    <definedName name="M.FON_Max" localSheetId="14">'Con, Mod Calculations'!$E$148</definedName>
    <definedName name="M.FON_Max" localSheetId="13">'Non-Con, Mod Calculations'!$E$146</definedName>
    <definedName name="M.FON_Reduced" localSheetId="14">'Con, Mod Calculations'!$F$148</definedName>
    <definedName name="M.FON_Reduced" localSheetId="13">'Non-Con, Mod Calculations'!$F$146</definedName>
    <definedName name="Manufacturer">'General Info &amp; Test Results'!$C$21</definedName>
    <definedName name="Manufacturer_Model_Number">'General Info &amp; Test Results'!$C$22</definedName>
    <definedName name="Manufacturer_Reccomended_CO2_Reading">'General Info &amp; Test Results'!$C$31</definedName>
    <definedName name="Measured_Rate_Max_Test">'Test Conditions'!$C$26</definedName>
    <definedName name="Measured_Rate_Reduced_Test">'Test Conditions'!$D$26</definedName>
    <definedName name="n" localSheetId="11">' Non-Con, Non-Mod Calculations'!$C$217</definedName>
    <definedName name="N.50_Max" localSheetId="9">'Cyclic Timing Calculations'!$E$30</definedName>
    <definedName name="N.50_Reduced" localSheetId="9">'Cyclic Timing Calculations'!$F$30</definedName>
    <definedName name="Nameplate_Maximum_Input" localSheetId="1">'General Info &amp; Test Results'!$C$29</definedName>
    <definedName name="Nameplate_Power_Burner_Motor_Efficiency">'Test Conditions'!$C$96</definedName>
    <definedName name="Nameplate_Rate_Max_Test">'Test Conditions'!$C$25</definedName>
    <definedName name="Nameplate_Rate_Reduced_Test">'Test Conditions'!$D$25</definedName>
    <definedName name="Nameplate_Reduced_Input" localSheetId="1">'General Info &amp; Test Results'!$C$30</definedName>
    <definedName name="Nameplate_Voltage">'General Info &amp; Test Results'!$C$28</definedName>
    <definedName name="Namplate_Maximum_Input">'General Info &amp; Test Results'!$C$29</definedName>
    <definedName name="Natl_Avg_Heating_Load_Hrs" localSheetId="14">'Con, Mod Calculations'!$E$184</definedName>
    <definedName name="No">'Drop-Downs and Tables'!$B$94</definedName>
    <definedName name="Off_Cycle_Devices">'Drop-Downs and Tables'!$B$67:$B$68</definedName>
    <definedName name="Omega" localSheetId="4">'Test Conditions'!$C$84</definedName>
    <definedName name="P.B" localSheetId="7">'Max Test'!$C$242</definedName>
    <definedName name="P.B_Closed_KL" localSheetId="8">'Reduced Test'!$C$237</definedName>
    <definedName name="P.B_Closed_TG" localSheetId="7">'Max Test'!$C$260</definedName>
    <definedName name="P.B_Open_KL" localSheetId="8">'Reduced Test'!$D$237</definedName>
    <definedName name="P.B_Open_TG" localSheetId="7">'Max Test'!$D$260</definedName>
    <definedName name="P.B_TG" localSheetId="8">'Reduced Test'!$C$219</definedName>
    <definedName name="P.WOFF" localSheetId="11">' Non-Con, Non-Mod Calculations'!$E$195</definedName>
    <definedName name="P.WOFF" localSheetId="14">'Con, Mod Calculations'!$E$209</definedName>
    <definedName name="P.WOFF" localSheetId="12">'Con, Non-Mod Calculations'!$E$193</definedName>
    <definedName name="P.WOFF" localSheetId="10">'Electric F, B Calculations'!$E$51</definedName>
    <definedName name="P.WOFF" localSheetId="13">'Non-Con, Mod Calculations'!$E$207</definedName>
    <definedName name="P.WOFF" localSheetId="5">'Standby &amp; Off Power'!$C$19</definedName>
    <definedName name="P.WSB" localSheetId="11">' Non-Con, Non-Mod Calculations'!$E$194</definedName>
    <definedName name="P.WSB" localSheetId="14">'Con, Mod Calculations'!$E$208</definedName>
    <definedName name="P.WSB" localSheetId="12">'Con, Non-Mod Calculations'!$E$192</definedName>
    <definedName name="P.WSB" localSheetId="10">'Electric F, B Calculations'!$E$50</definedName>
    <definedName name="P.WSB" localSheetId="13">'Non-Con, Mod Calculations'!$E$206</definedName>
    <definedName name="P.WSB" localSheetId="5">'Standby &amp; Off Power'!$C$17</definedName>
    <definedName name="PE" localSheetId="11">' Non-Con, Non-Mod Calculations'!$E$158</definedName>
    <definedName name="PE" localSheetId="12">'Con, Non-Mod Calculations'!$E$159</definedName>
    <definedName name="PE" localSheetId="7">'Max Test'!$C$68</definedName>
    <definedName name="PE" localSheetId="8">'Reduced Test'!$C$68</definedName>
    <definedName name="PE.IG" localSheetId="11">' Non-Con, Non-Mod Calculations'!$E$161</definedName>
    <definedName name="PE.IG" localSheetId="14">'Con, Mod Calculations'!$E$173</definedName>
    <definedName name="PE.IG" localSheetId="12">'Con, Non-Mod Calculations'!$E$162</definedName>
    <definedName name="PE.IG" localSheetId="7">'Max Test'!$C$72</definedName>
    <definedName name="PE.IG" localSheetId="13">'Non-Con, Mod Calculations'!$E$171</definedName>
    <definedName name="PE.IG" localSheetId="8">'Reduced Test'!$C$72</definedName>
    <definedName name="PE_Max" localSheetId="14">'Con, Mod Calculations'!$E$170</definedName>
    <definedName name="PE_Max" localSheetId="13">'Non-Con, Mod Calculations'!$E$168</definedName>
    <definedName name="PE_Reduced" localSheetId="14">'Con, Mod Calculations'!$F$170</definedName>
    <definedName name="PE_Reduced" localSheetId="13">'Non-Con, Mod Calculations'!$F$168</definedName>
    <definedName name="Phi" localSheetId="11">' Non-Con, Non-Mod Calculations'!$E$60</definedName>
    <definedName name="Phi" localSheetId="12">'Con, Non-Mod Calculations'!$E$59</definedName>
    <definedName name="Phi_Max" localSheetId="14">'Con, Mod Calculations'!$E$66</definedName>
    <definedName name="Phi_Max" localSheetId="13">'Non-Con, Mod Calculations'!$E$66</definedName>
    <definedName name="Phi_Reduced" localSheetId="14">'Con, Mod Calculations'!$F$66</definedName>
    <definedName name="Phi_Reduced" localSheetId="13">'Non-Con, Mod Calculations'!$F$66</definedName>
    <definedName name="Post_Purge?" localSheetId="11">' Non-Con, Non-Mod Calculations'!$E$112</definedName>
    <definedName name="Post_Purge?" localSheetId="12">'Con, Non-Mod Calculations'!$E$109</definedName>
    <definedName name="Post_Purge?" localSheetId="8">'Reduced Test'!$C$168</definedName>
    <definedName name="Post_Purge_Max?" localSheetId="14">'Con, Mod Calculations'!$E$118</definedName>
    <definedName name="Post_Purge_Max?" localSheetId="13">'Non-Con, Mod Calculations'!$E$120</definedName>
    <definedName name="Post_Purge_Reduced?" localSheetId="14">'Con, Mod Calculations'!$F$118</definedName>
    <definedName name="Post_Purge_Reduced?" localSheetId="13">'Non-Con, Mod Calculations'!$F$120</definedName>
    <definedName name="Power_Burner_Option">'Sys. # &amp; Product Characteristic'!$C$41</definedName>
    <definedName name="Product">'Sys. # &amp; Product Characteristic'!$C$35</definedName>
    <definedName name="Product_Class">'General Info &amp; Test Results'!$C$27</definedName>
    <definedName name="Psi.FI" localSheetId="11">' Non-Con, Non-Mod Calculations'!$E$93</definedName>
    <definedName name="Psi.FI" localSheetId="12">'Con, Non-Mod Calculations'!$E$91</definedName>
    <definedName name="Psi.FI_Max" localSheetId="14">'Con, Mod Calculations'!$E$100</definedName>
    <definedName name="Psi.FI_Max" localSheetId="13">'Non-Con, Mod Calculations'!$E$101</definedName>
    <definedName name="Psi.FI_Reduced" localSheetId="14">'Con, Mod Calculations'!$F$100</definedName>
    <definedName name="Psi.FI_Reduced" localSheetId="13">'Non-Con, Mod Calculations'!$F$101</definedName>
    <definedName name="Psi.FIX" localSheetId="11">' Non-Con, Non-Mod Calculations'!$E$78</definedName>
    <definedName name="Psi.FIX" localSheetId="12">'Con, Non-Mod Calculations'!$E$77</definedName>
    <definedName name="Psi.FIX_Max" localSheetId="13">'Non-Con, Mod Calculations'!$E$86</definedName>
    <definedName name="Psi.FIX_Max">'Con, Mod Calculations'!$E$86</definedName>
    <definedName name="Psi.FIX_Reduced" localSheetId="14">'Con, Mod Calculations'!$F$86</definedName>
    <definedName name="Psi.FIX_Reduced" localSheetId="13">'Non-Con, Mod Calculations'!$F$86</definedName>
    <definedName name="Psi.FO" localSheetId="11">' Non-Con, Non-Mod Calculations'!$E$92</definedName>
    <definedName name="Psi.FO" localSheetId="12">'Con, Non-Mod Calculations'!$E$90</definedName>
    <definedName name="Psi.FO_Max" localSheetId="14">'Con, Mod Calculations'!$E$99</definedName>
    <definedName name="Psi.FO_Max" localSheetId="13">'Non-Con, Mod Calculations'!$E$100</definedName>
    <definedName name="Psi.FO_Reduced" localSheetId="14">'Con, Mod Calculations'!$F$99</definedName>
    <definedName name="Psi.FO_Reduced" localSheetId="13">'Non-Con, Mod Calculations'!$F$100</definedName>
    <definedName name="Psi.FOX" localSheetId="11">' Non-Con, Non-Mod Calculations'!$E$77</definedName>
    <definedName name="Psi.FOX" localSheetId="12">'Con, Non-Mod Calculations'!$E$76</definedName>
    <definedName name="Psi.FOX_Max" localSheetId="13">'Non-Con, Mod Calculations'!$E$85</definedName>
    <definedName name="Psi.FOX_Max">'Con, Mod Calculations'!$E$85</definedName>
    <definedName name="Psi.FOX_Reduced" localSheetId="14">'Con, Mod Calculations'!$F$85</definedName>
    <definedName name="Psi.FOX_Reduced" localSheetId="13">'Non-Con, Mod Calculations'!$F$85</definedName>
    <definedName name="Psi.SIX" localSheetId="11">' Non-Con, Non-Mod Calculations'!$E$82</definedName>
    <definedName name="Psi.SIX" localSheetId="12">'Con, Non-Mod Calculations'!$E$81</definedName>
    <definedName name="Psi.SIX_Max" localSheetId="14">'Con, Mod Calculations'!$E$90</definedName>
    <definedName name="Psi.SIX_Max" localSheetId="13">'Non-Con, Mod Calculations'!$E$90</definedName>
    <definedName name="Psi.SIX_Reduced" localSheetId="14">'Con, Mod Calculations'!$F$90</definedName>
    <definedName name="Psi.SIX_Reduced" localSheetId="13">'Non-Con, Mod Calculations'!$F$90</definedName>
    <definedName name="Psi.SO" localSheetId="11">' Non-Con, Non-Mod Calculations'!$E$94</definedName>
    <definedName name="Psi.SO_Max" localSheetId="13">'Non-Con, Mod Calculations'!$E$102</definedName>
    <definedName name="Psi.SO_Reduced" localSheetId="13">'Non-Con, Mod Calculations'!$F$102</definedName>
    <definedName name="Psi.SOX" localSheetId="11">' Non-Con, Non-Mod Calculations'!$E$83</definedName>
    <definedName name="Psi.SOX_Max" localSheetId="13">'Non-Con, Mod Calculations'!$E$91</definedName>
    <definedName name="Psi.SOX_Reduced" localSheetId="13">'Non-Con, Mod Calculations'!$F$91</definedName>
    <definedName name="Pump_Delay?" localSheetId="14">'Con, Mod Calculations'!$E$176</definedName>
    <definedName name="Pump_Delay?" localSheetId="12">'Con, Non-Mod Calculations'!$E$165</definedName>
    <definedName name="Pump_delay?" localSheetId="7">'Max Test'!$C$188</definedName>
    <definedName name="Pump_Delay?" localSheetId="13">'Non-Con, Mod Calculations'!$E$174</definedName>
    <definedName name="Q.C" localSheetId="14">'Con, Mod Calculations'!$F$133</definedName>
    <definedName name="Q.C" localSheetId="12">'Con, Non-Mod Calculations'!$E$124</definedName>
    <definedName name="Q.C" localSheetId="7">'Max Test'!$C$300</definedName>
    <definedName name="Q.C" localSheetId="8">'Reduced Test'!$C$277</definedName>
    <definedName name="Q.CSS" localSheetId="12">'Con, Non-Mod Calculations'!$E$43</definedName>
    <definedName name="Q.CSS" localSheetId="7">'Max Test'!$C$165</definedName>
    <definedName name="Q.CSS" localSheetId="8">'Reduced Test'!$C$142</definedName>
    <definedName name="Q.CSS_Max" localSheetId="14">'Con, Mod Calculations'!$E$44</definedName>
    <definedName name="Q.CSS_Reduced" localSheetId="14">'Con, Mod Calculations'!$F$44</definedName>
    <definedName name="Q.IN" localSheetId="11">' Non-Con, Non-Mod Calculations'!$E$50</definedName>
    <definedName name="Q.IN" localSheetId="12">'Con, Non-Mod Calculations'!$E$49</definedName>
    <definedName name="Q.IN" localSheetId="10">'Electric F, B Calculations'!$E$20</definedName>
    <definedName name="Q.IN" localSheetId="8">'Reduced Test'!$C$61</definedName>
    <definedName name="Q.IN_Max" localSheetId="14">'Con, Mod Calculations'!$E$50</definedName>
    <definedName name="Q.IN_Max" localSheetId="13">'Non-Con, Mod Calculations'!$E$50</definedName>
    <definedName name="Q.IN_Max_Avg_Air_Temp" localSheetId="14">'Con, Mod Calculations'!#REF!</definedName>
    <definedName name="Q.IN_Reduced" localSheetId="14">'Con, Mod Calculations'!$F$50</definedName>
    <definedName name="Q.IN_Reduced" localSheetId="13">'Non-Con, Mod Calculations'!$F$50</definedName>
    <definedName name="Q.IN_Reduced_Avg_Air_Temp" localSheetId="14">'Con, Mod Calculations'!#REF!</definedName>
    <definedName name="Q.INM" localSheetId="11">' Non-Con, Non-Mod Calculations'!$E$175</definedName>
    <definedName name="Q.INM" localSheetId="14">'Con, Mod Calculations'!$E$189</definedName>
    <definedName name="Q.INM" localSheetId="13">'Non-Con, Mod Calculations'!$E$187</definedName>
    <definedName name="Q.OUT" localSheetId="11">' Non-Con, Non-Mod Calculations'!$E$53</definedName>
    <definedName name="Q.OUT" localSheetId="12">'Con, Non-Mod Calculations'!$E$52</definedName>
    <definedName name="Q.OUT" localSheetId="10">'Electric F, B Calculations'!$E$23</definedName>
    <definedName name="Q.Out_Max" localSheetId="14">'Con, Mod Calculations'!$E$53</definedName>
    <definedName name="Q.Out_Max" localSheetId="9">'Cyclic Timing Calculations'!$E$20</definedName>
    <definedName name="Q.Out_Max" localSheetId="13">'Non-Con, Mod Calculations'!$E$53</definedName>
    <definedName name="Q.Out_Max_Avg_Air_Temp" localSheetId="14">'Con, Mod Calculations'!#REF!</definedName>
    <definedName name="Q.Out_Reduced" localSheetId="14">'Con, Mod Calculations'!$F$53</definedName>
    <definedName name="Q.OUT_Reduced" localSheetId="13">'Non-Con, Mod Calculations'!$F$53</definedName>
    <definedName name="Q.Out_Reduced_Avg_Air_Temp" localSheetId="14">'Con, Mod Calculations'!#REF!</definedName>
    <definedName name="Q.OutM" localSheetId="14">'Con, Mod Calculations'!$E$61</definedName>
    <definedName name="Q.OUTM" localSheetId="13">'Non-Con, Mod Calculations'!$E$61</definedName>
    <definedName name="Q.OUTR" localSheetId="9">'Cyclic Timing Calculations'!$F$21</definedName>
    <definedName name="Q.P" localSheetId="11">' Non-Con, Non-Mod Calculations'!$E$125</definedName>
    <definedName name="Q.P" localSheetId="12">'Con, Non-Mod Calculations'!$E$122</definedName>
    <definedName name="Q.P" localSheetId="7">'Max Test'!$C$201</definedName>
    <definedName name="Q.P" localSheetId="8">'Reduced Test'!$C$178</definedName>
    <definedName name="Q.P_Max" localSheetId="14">'Con, Mod Calculations'!$E$131</definedName>
    <definedName name="Q.P_Max" localSheetId="13">'Non-Con, Mod Calculations'!$E$133</definedName>
    <definedName name="Q.P_Reduced" localSheetId="14">'Con, Mod Calculations'!$F$131</definedName>
    <definedName name="Q.P_Reduced" localSheetId="13">'Non-Con, Mod Calculations'!$F$133</definedName>
    <definedName name="Q.SOFF_Closed" localSheetId="11">' Non-Con, Non-Mod Calculations'!$E$152</definedName>
    <definedName name="Q.SOFF_Closed" localSheetId="12">'Con, Non-Mod Calculations'!$E$153</definedName>
    <definedName name="Q.SOFF_Closed" localSheetId="8">'Reduced Test'!$C$256</definedName>
    <definedName name="Q.SOFF_Closed_Max" localSheetId="14">'Con, Mod Calculations'!$E$164</definedName>
    <definedName name="Q.SOFF_Closed_Max" localSheetId="13">'Non-Con, Mod Calculations'!$E$162</definedName>
    <definedName name="Q.SOFF_Closed_Reduced" localSheetId="14">'Con, Mod Calculations'!$F$164</definedName>
    <definedName name="Q.SOFF_Closed_Reduced" localSheetId="13">'Non-Con, Mod Calculations'!$F$162</definedName>
    <definedName name="Q.SOFF_Closed_TG" localSheetId="7">'Max Test'!$C$279</definedName>
    <definedName name="Q.SOFF_Max" localSheetId="14">'Con, Mod Calculations'!$E$164</definedName>
    <definedName name="Q.SOFF_Open" localSheetId="11">' Non-Con, Non-Mod Calculations'!$E$153</definedName>
    <definedName name="Q.SOFF_Open" localSheetId="12">'Con, Non-Mod Calculations'!$E$154</definedName>
    <definedName name="Q.SOFF_Open" localSheetId="8">'Reduced Test'!$D$256</definedName>
    <definedName name="Q.SOFF_Open_Max" localSheetId="14">'Con, Mod Calculations'!$E$165</definedName>
    <definedName name="Q.SOFF_Open_Max" localSheetId="13">'Non-Con, Mod Calculations'!$E$163</definedName>
    <definedName name="Q.SOFF_Open_Reduced" localSheetId="14">'Con, Mod Calculations'!$F$165</definedName>
    <definedName name="Q.SOFF_Open_Reduced" localSheetId="13">'Non-Con, Mod Calculations'!$F$163</definedName>
    <definedName name="Q.SOFF_Open_TG">'Max Test'!$D$279</definedName>
    <definedName name="Q.SOFF_Reduced" localSheetId="14">'Con, Mod Calculations'!$F$164</definedName>
    <definedName name="R.OFF" localSheetId="11">' Non-Con, Non-Mod Calculations'!$E$87</definedName>
    <definedName name="R.OFF" localSheetId="12">'Con, Non-Mod Calculations'!$E$85</definedName>
    <definedName name="R.OFF_Max" localSheetId="14">'Con, Mod Calculations'!$E$94</definedName>
    <definedName name="R.OFF_Max" localSheetId="13">'Non-Con, Mod Calculations'!$E$95</definedName>
    <definedName name="R.OFF_Reduced" localSheetId="14">'Con, Mod Calculations'!$F$94</definedName>
    <definedName name="R.OFF_Reduced" localSheetId="13">'Non-Con, Mod Calculations'!$F$95</definedName>
    <definedName name="R.ON" localSheetId="11">' Non-Con, Non-Mod Calculations'!$E$85</definedName>
    <definedName name="R.ON" localSheetId="12">'Con, Non-Mod Calculations'!$E$83</definedName>
    <definedName name="R.ON_Max" localSheetId="14">'Con, Mod Calculations'!$E$92</definedName>
    <definedName name="R.ON_Max" localSheetId="13">'Non-Con, Mod Calculations'!$E$93</definedName>
    <definedName name="R.ON_Reduced" localSheetId="14">'Con, Mod Calculations'!$F$92</definedName>
    <definedName name="R.ON_Reduced" localSheetId="13">'Non-Con, Mod Calculations'!$F$93</definedName>
    <definedName name="R.TF" localSheetId="11">' Non-Con, Non-Mod Calculations'!$E$23</definedName>
    <definedName name="R.TF" localSheetId="12">'Con, Non-Mod Calculations'!$E$23</definedName>
    <definedName name="R.TF_Max" localSheetId="14">'Con, Mod Calculations'!$E$23</definedName>
    <definedName name="R.TF_Max" localSheetId="13">'Non-Con, Mod Calculations'!$E$23</definedName>
    <definedName name="R.TF_Reduced" localSheetId="14">'Con, Mod Calculations'!$F$23</definedName>
    <definedName name="R.TF_Reduced" localSheetId="13">'Non-Con, Mod Calculations'!$F$23</definedName>
    <definedName name="R.TS" localSheetId="11">' Non-Con, Non-Mod Calculations'!$E$27</definedName>
    <definedName name="R.TS_Max" localSheetId="13">'Non-Con, Mod Calculations'!$E$27</definedName>
    <definedName name="R.TS_Reduced" localSheetId="13">'Non-Con, Mod Calculations'!$F$27</definedName>
    <definedName name="R_" localSheetId="11">' Non-Con, Non-Mod Calculations'!#REF!</definedName>
    <definedName name="R_" localSheetId="14">'Con, Mod Calculations'!#REF!</definedName>
    <definedName name="R_" localSheetId="12">'Con, Non-Mod Calculations'!#REF!</definedName>
    <definedName name="R_" localSheetId="13">'Non-Con, Mod Calculations'!#REF!</definedName>
    <definedName name="Reduced_Test?" localSheetId="2">'Sys. # &amp; Product Characteristic'!$C$48</definedName>
    <definedName name="Reduced_Test_Required">'General Info &amp; Test Results'!$C$60</definedName>
    <definedName name="RH" localSheetId="8">'Reduced Test'!$C$269</definedName>
    <definedName name="RH_CYC" localSheetId="7">'Max Test'!$C$292</definedName>
    <definedName name="RH_SS" localSheetId="7">'Max Test'!$C$162</definedName>
    <definedName name="Rho.F" localSheetId="11">' Non-Con, Non-Mod Calculations'!$E$140</definedName>
    <definedName name="Rho.F" localSheetId="12">'Con, Non-Mod Calculations'!$E$141</definedName>
    <definedName name="Rho.F" localSheetId="7">'Max Test'!$C$243</definedName>
    <definedName name="Rho.F" localSheetId="13">'Non-Con, Mod Calculations'!$E$150</definedName>
    <definedName name="Rho.F_Closed_KL" localSheetId="8">'Reduced Test'!$C$238</definedName>
    <definedName name="Rho.F_Closed_TG" localSheetId="7">'Max Test'!$C$261</definedName>
    <definedName name="Rho.F_Max" localSheetId="14">'Con, Mod Calculations'!$E$152</definedName>
    <definedName name="Rho.F_Open_KL" localSheetId="8">'Reduced Test'!$D$238</definedName>
    <definedName name="Rho.F_Open_TG" localSheetId="7">'Max Test'!$D$261</definedName>
    <definedName name="Rho.F_Reduced" localSheetId="14">'Con, Mod Calculations'!$F$152</definedName>
    <definedName name="Rho.F_Reduced" localSheetId="13">'Non-Con, Mod Calculations'!$F$150</definedName>
    <definedName name="Rho.F_TG" localSheetId="7">'Reduced Test'!$C$220</definedName>
    <definedName name="Serial_Number">'General Info &amp; Test Results'!$C$23</definedName>
    <definedName name="SF" localSheetId="11">' Non-Con, Non-Mod Calculations'!$E$31</definedName>
    <definedName name="SF" localSheetId="12">'Con, Non-Mod Calculations'!$E$28</definedName>
    <definedName name="SF_Max" localSheetId="14">'Con, Mod Calculations'!$E$28</definedName>
    <definedName name="SF_Max" localSheetId="13">'Non-Con, Mod Calculations'!$E$31</definedName>
    <definedName name="SF_Reduced" localSheetId="14">'Con, Mod Calculations'!$F$28</definedName>
    <definedName name="SF_Reduced" localSheetId="13">'Non-Con, Mod Calculations'!$F$31</definedName>
    <definedName name="Stack_Area">'Test Conditions'!$C$82</definedName>
    <definedName name="Steady_State_Condensate_End" localSheetId="6">'Max Test'!$D$27</definedName>
    <definedName name="Steady_State_Condensate_End" localSheetId="7">'Max Test'!$D$27</definedName>
    <definedName name="Steady_State_Condensate_End" localSheetId="8">'Reduced Test'!$D$40</definedName>
    <definedName name="Steady_State_Condensate_Start" localSheetId="7">'Max Test'!$C$27</definedName>
    <definedName name="Steady_State_Condensate_Start" localSheetId="8">'Reduced Test'!$C$40</definedName>
    <definedName name="Steady_State_End" localSheetId="7">'Max Test'!$D$17</definedName>
    <definedName name="Steady_State_End" localSheetId="8">'Reduced Test'!$D$35</definedName>
    <definedName name="Steady_State_Start" localSheetId="7">'Max Test'!$C$17</definedName>
    <definedName name="Steady_State_Start" localSheetId="8">'Reduced Test'!$C$35</definedName>
    <definedName name="Sys_Num" localSheetId="11">' Non-Con, Non-Mod Calculations'!$E$17</definedName>
    <definedName name="System_Number" localSheetId="11">' Non-Con, Non-Mod Calculations'!$C$212</definedName>
    <definedName name="System_Number" localSheetId="12">'Con, Non-Mod Calculations'!$E$17</definedName>
    <definedName name="System_Number_Max" localSheetId="14">'Con, Mod Calculations'!$E$17</definedName>
    <definedName name="System_Number_Max" localSheetId="13">'Non-Con, Mod Calculations'!$E$17</definedName>
    <definedName name="System_Number_Reduced" localSheetId="14">'Con, Mod Calculations'!$F$17</definedName>
    <definedName name="System_Number_Reduced" localSheetId="13">'Non-Con, Mod Calculations'!$F$17</definedName>
    <definedName name="t.1" localSheetId="12">'Con, Non-Mod Calculations'!$E$62</definedName>
    <definedName name="t.1">' Non-Con, Non-Mod Calculations'!$E$63</definedName>
    <definedName name="t.2" localSheetId="11">' Non-Con, Non-Mod Calculations'!$E$64</definedName>
    <definedName name="t.2" localSheetId="12">'Con, Non-Mod Calculations'!$E$63</definedName>
    <definedName name="t.3" localSheetId="11">' Non-Con, Non-Mod Calculations'!$E$69</definedName>
    <definedName name="t.3" localSheetId="12">'Con, Non-Mod Calculations'!$E$68</definedName>
    <definedName name="t.4" localSheetId="11">' Non-Con, Non-Mod Calculations'!$E$70</definedName>
    <definedName name="t.4" localSheetId="12">'Con, Non-Mod Calculations'!$E$69</definedName>
    <definedName name="t.5" localSheetId="11">' Non-Con, Non-Mod Calculations'!$E$71</definedName>
    <definedName name="t.5" localSheetId="12">'Con, Non-Mod Calculations'!$E$70</definedName>
    <definedName name="T.C" localSheetId="14">'Con, Mod Calculations'!$E$56</definedName>
    <definedName name="T.C" localSheetId="13">'Non-Con, Mod Calculations'!$E$56</definedName>
    <definedName name="T.C_Avg_Air_Temp" localSheetId="14">'Con, Mod Calculations'!#REF!</definedName>
    <definedName name="T.C_Max" localSheetId="9">'Cyclic Timing Calculations'!$E$25</definedName>
    <definedName name="T.C_Reduced" localSheetId="9">'Cyclic Timing Calculations'!$F$25</definedName>
    <definedName name="t.d">'Test Conditions'!$C$88</definedName>
    <definedName name="t.e" localSheetId="11">' Non-Con, Non-Mod Calculations'!$C$214</definedName>
    <definedName name="t.e">'Test Conditions'!$C$89</definedName>
    <definedName name="T.FOFF" localSheetId="11">' Non-Con, Non-Mod Calculations'!$E$143</definedName>
    <definedName name="T.FOFF" localSheetId="12">'Con, Non-Mod Calculations'!$E$144</definedName>
    <definedName name="T.FOFF" localSheetId="7">'Max Test'!$C$247</definedName>
    <definedName name="T.FOFF" localSheetId="8">'Reduced Test'!$C$224</definedName>
    <definedName name="T.FOFF.t3" localSheetId="11">' Non-Con, Non-Mod Calculations'!$E$73</definedName>
    <definedName name="T.FOFF.t3" localSheetId="12">'Con, Non-Mod Calculations'!$E$72</definedName>
    <definedName name="T.FOFF.t3" localSheetId="7">'Max Test'!$C$195</definedName>
    <definedName name="T.FOFF.t3" localSheetId="8">'Reduced Test'!$C$172</definedName>
    <definedName name="T.FOFF.t3_Max" localSheetId="14">'Con, Mod Calculations'!$E$81</definedName>
    <definedName name="T.FOFF.t3_Max" localSheetId="13">'Non-Con, Mod Calculations'!$E$81</definedName>
    <definedName name="T.FOFF.t3_Reduced" localSheetId="14">'Con, Mod Calculations'!$F$81</definedName>
    <definedName name="T.FOFF.t3_Reduced" localSheetId="13">'Non-Con, Mod Calculations'!$F$81</definedName>
    <definedName name="T.FOFF.t4" localSheetId="11">' Non-Con, Non-Mod Calculations'!$E$74</definedName>
    <definedName name="T.FOFF.t4" localSheetId="12">'Con, Non-Mod Calculations'!$E$73</definedName>
    <definedName name="T.FOFF.t4" localSheetId="7">'Max Test'!$C$196</definedName>
    <definedName name="T.FOFF.t4" localSheetId="8">'Reduced Test'!$C$173</definedName>
    <definedName name="T.FOFF.t4_Max" localSheetId="14">'Con, Mod Calculations'!$E$82</definedName>
    <definedName name="T.FOFF.t4_Max" localSheetId="13">'Non-Con, Mod Calculations'!$E$82</definedName>
    <definedName name="T.FOFF.t4_Reduced" localSheetId="14">'Con, Mod Calculations'!$F$82</definedName>
    <definedName name="T.FOFF.t4_Reduced" localSheetId="13">'Non-Con, Mod Calculations'!$F$82</definedName>
    <definedName name="T.FOFF.t5" localSheetId="11">' Non-Con, Non-Mod Calculations'!$E$75</definedName>
    <definedName name="T.FOFF.t5" localSheetId="12">'Con, Non-Mod Calculations'!$E$74</definedName>
    <definedName name="T.FOFF.t5" localSheetId="7">'Max Test'!$C$200</definedName>
    <definedName name="T.FOFF.t5" localSheetId="8">'Reduced Test'!$C$177</definedName>
    <definedName name="T.FOFF.t5_Max" localSheetId="14">'Con, Mod Calculations'!$E$83</definedName>
    <definedName name="T.FOFF.t5_Max" localSheetId="13">'Non-Con, Mod Calculations'!$E$83</definedName>
    <definedName name="T.FOFF.t5_Reduced" localSheetId="14">'Con, Mod Calculations'!$F$83</definedName>
    <definedName name="T.FOFF.t5_Reduced" localSheetId="13">'Non-Con, Mod Calculations'!$F$83</definedName>
    <definedName name="T.FOFF.tp" localSheetId="11">' Non-Con, Non-Mod Calculations'!$E$114</definedName>
    <definedName name="T.FOFF.tp" localSheetId="12">'Con, Non-Mod Calculations'!$E$111</definedName>
    <definedName name="T.FOFF.tp" localSheetId="7">'Max Test'!$C$194</definedName>
    <definedName name="T.FOFF.tp" localSheetId="8">'Reduced Test'!$C$171</definedName>
    <definedName name="T.FOFF.tp_Max" localSheetId="14">'Con, Mod Calculations'!$E$120</definedName>
    <definedName name="T.FOFF.tp_Max" localSheetId="13">'Non-Con, Mod Calculations'!$E$122</definedName>
    <definedName name="T.FOFF.tp_Reduced" localSheetId="14">'Con, Mod Calculations'!$F$120</definedName>
    <definedName name="T.FOFF.tp_Reduced" localSheetId="13">'Non-Con, Mod Calculations'!$F$122</definedName>
    <definedName name="T.FOFF_Max" localSheetId="14">'Con, Mod Calculations'!$E$155</definedName>
    <definedName name="T.FOFF_Max" localSheetId="13">'Non-Con, Mod Calculations'!$E$153</definedName>
    <definedName name="T.FOFF_Reduced" localSheetId="14">'Con, Mod Calculations'!$F$155</definedName>
    <definedName name="T.FOFF_Reduced" localSheetId="13">'Non-Con, Mod Calculations'!$F$153</definedName>
    <definedName name="T.FON.t1" localSheetId="11">' Non-Con, Non-Mod Calculations'!$E$65</definedName>
    <definedName name="T.FON.t1" localSheetId="12">'Con, Non-Mod Calculations'!$E$64</definedName>
    <definedName name="T.FON.t1" localSheetId="7">'Max Test'!$C$208</definedName>
    <definedName name="T.FON.t1" localSheetId="13">'Non-Con, Mod Calculations'!$E$73</definedName>
    <definedName name="T.FON.t1" localSheetId="8">'Reduced Test'!$C$185</definedName>
    <definedName name="T.FON.t1_Max" localSheetId="14">'Con, Mod Calculations'!$E$73</definedName>
    <definedName name="T.FON.t1_Reduced" localSheetId="14">'Con, Mod Calculations'!$F$73</definedName>
    <definedName name="T.FON.t1_Reduced" localSheetId="13">'Non-Con, Mod Calculations'!$F$73</definedName>
    <definedName name="T.FON.t2" localSheetId="11">' Non-Con, Non-Mod Calculations'!$E$66</definedName>
    <definedName name="T.FON.t2" localSheetId="12">'Con, Non-Mod Calculations'!$E$65</definedName>
    <definedName name="T.FON.t2" localSheetId="7">'Max Test'!$C$209</definedName>
    <definedName name="T.FON.t2" localSheetId="8">'Reduced Test'!$C$186</definedName>
    <definedName name="T.FON.t2_Max" localSheetId="14">'Con, Mod Calculations'!$E$74</definedName>
    <definedName name="T.FON.t2_Max" localSheetId="13">'Non-Con, Mod Calculations'!$E$74</definedName>
    <definedName name="T.FON.t2_Reduced" localSheetId="14">'Con, Mod Calculations'!$F$74</definedName>
    <definedName name="T.FON.t2_Reduced" localSheetId="13">'Non-Con, Mod Calculations'!$F$74</definedName>
    <definedName name="T.FSS" localSheetId="11">' Non-Con, Non-Mod Calculations'!$E$37</definedName>
    <definedName name="T.FSS" localSheetId="12">'Con, Non-Mod Calculations'!$E$32</definedName>
    <definedName name="T.FSS" localSheetId="8">'Reduced Test'!$C$112</definedName>
    <definedName name="T.FSS_CDP" localSheetId="7">'Max Test'!$C$141</definedName>
    <definedName name="T.FSS_Max" localSheetId="14">'Con, Mod Calculations'!$E$33</definedName>
    <definedName name="T.FSS_Max" localSheetId="13">'Non-Con, Mod Calculations'!$E$37</definedName>
    <definedName name="T.FSS_Reduced" localSheetId="14">'Con, Mod Calculations'!$F$33</definedName>
    <definedName name="T.FSS_Reduced" localSheetId="13">'Non-Con, Mod Calculations'!$F$37</definedName>
    <definedName name="T.FSS_SS" localSheetId="7">'Max Test'!$C$112</definedName>
    <definedName name="T.FSS_SS" localSheetId="8">'Reduced Test'!$C$112</definedName>
    <definedName name="t.IG" localSheetId="11">' Non-Con, Non-Mod Calculations'!$E$162</definedName>
    <definedName name="t.IG" localSheetId="14">'Con, Mod Calculations'!$E$174</definedName>
    <definedName name="t.IG" localSheetId="12">'Con, Non-Mod Calculations'!$E$163</definedName>
    <definedName name="t.IG" localSheetId="7">'Max Test'!$C$73</definedName>
    <definedName name="t.IG" localSheetId="13">'Non-Con, Mod Calculations'!$E$172</definedName>
    <definedName name="t.IG" localSheetId="8">'Reduced Test'!$C$73</definedName>
    <definedName name="T.OA" localSheetId="11">' Non-Con, Non-Mod Calculations'!$E$55</definedName>
    <definedName name="T.OA" localSheetId="12">'Con, Non-Mod Calculations'!$E$54</definedName>
    <definedName name="T.OA_Max" localSheetId="14">'Con, Mod Calculations'!$E$55</definedName>
    <definedName name="T.OA_Max" localSheetId="13">'Non-Con, Mod Calculations'!$E$55</definedName>
    <definedName name="T.OA_Reduced" localSheetId="14">'Con, Mod Calculations'!$F$55</definedName>
    <definedName name="T.OA_Reduced" localSheetId="13">'Non-Con, Mod Calculations'!$F$55</definedName>
    <definedName name="T.OAH" localSheetId="9">'Cyclic Timing Calculations'!$E$23</definedName>
    <definedName name="T.OAH_Avg_Air_Temp" localSheetId="14">'Con, Mod Calculations'!#REF!</definedName>
    <definedName name="T.OAR" localSheetId="9">'Cyclic Timing Calculations'!$F$24</definedName>
    <definedName name="T.OAR_Avg_Air_Temp" localSheetId="14">'Con, Mod Calculations'!#REF!</definedName>
    <definedName name="T.OAT" localSheetId="9">'Cyclic Timing Calculations'!$E$26</definedName>
    <definedName name="t.OFF" localSheetId="11">' Non-Con, Non-Mod Calculations'!$E$86</definedName>
    <definedName name="t.OFF" localSheetId="12">'Con, Non-Mod Calculations'!$E$84</definedName>
    <definedName name="t.OFF_Max" localSheetId="14">'Con, Mod Calculations'!$E$93</definedName>
    <definedName name="t.OFF_Max" localSheetId="13">'Non-Con, Mod Calculations'!$E$94</definedName>
    <definedName name="t.OFF_Reduced" localSheetId="14">'Con, Mod Calculations'!$F$93</definedName>
    <definedName name="t.OFF_Reduced" localSheetId="13">'Non-Con, Mod Calculations'!$F$94</definedName>
    <definedName name="t.OFFH" localSheetId="9">'Cyclic Timing Calculations'!$E$32</definedName>
    <definedName name="t.OFFR" localSheetId="9">'Cyclic Timing Calculations'!$F$32</definedName>
    <definedName name="t.ON" localSheetId="11">' Non-Con, Non-Mod Calculations'!$E$84</definedName>
    <definedName name="t.ON" localSheetId="12">'Con, Non-Mod Calculations'!$E$82</definedName>
    <definedName name="t.ON_Max" localSheetId="14">'Con, Mod Calculations'!$E$91</definedName>
    <definedName name="t.ON_Max" localSheetId="13">'Non-Con, Mod Calculations'!$E$92</definedName>
    <definedName name="t.ON_Reduced" localSheetId="14">'Con, Mod Calculations'!$F$91</definedName>
    <definedName name="t.ON_Reduced" localSheetId="13">'Non-Con, Mod Calculations'!$F$92</definedName>
    <definedName name="t.ONH" localSheetId="9">'Cyclic Timing Calculations'!$E$31</definedName>
    <definedName name="t.ONR" localSheetId="9">'Cyclic Timing Calculations'!$F$31</definedName>
    <definedName name="t.p" localSheetId="11">' Non-Con, Non-Mod Calculations'!$E$72</definedName>
    <definedName name="t.p" localSheetId="12">'Con, Non-Mod Calculations'!$E$71</definedName>
    <definedName name="t.p" localSheetId="8">'Reduced Test'!$C$169</definedName>
    <definedName name="T.RA" localSheetId="11">' Non-Con, Non-Mod Calculations'!$E$34</definedName>
    <definedName name="T.RA" localSheetId="12">'Con, Non-Mod Calculations'!$E$31</definedName>
    <definedName name="T.RA" localSheetId="6">'Jacket Loss'!$D$34</definedName>
    <definedName name="T.RA" localSheetId="8">'Reduced Test'!$C$111</definedName>
    <definedName name="T.RA_CDP" localSheetId="7">'Max Test'!$C$140</definedName>
    <definedName name="T.RA_Max" localSheetId="14">'Con, Mod Calculations'!$E$31</definedName>
    <definedName name="T.RA_Max" localSheetId="13">'Non-Con, Mod Calculations'!$E$34</definedName>
    <definedName name="T.RA_Reduced" localSheetId="14">'Con, Mod Calculations'!$F$31</definedName>
    <definedName name="T.RA_Reduced" localSheetId="13">'Non-Con, Mod Calculations'!$F$34</definedName>
    <definedName name="T.RA_SS" localSheetId="7">'Max Test'!$C$111</definedName>
    <definedName name="T.RA_SS" localSheetId="8">'Reduced Test'!$C$111</definedName>
    <definedName name="t.s" localSheetId="11">' Non-Con, Non-Mod Calculations'!$C$213</definedName>
    <definedName name="t.s">'Test Conditions'!$C$87</definedName>
    <definedName name="T.SH_Max" localSheetId="9">'Cyclic Timing Calculations'!$E$27</definedName>
    <definedName name="T.SH_Reduced" localSheetId="9">'Cyclic Timing Calculations'!$F$27</definedName>
    <definedName name="T.SOFF_Closed_TG" localSheetId="7">'Max Test'!$C$275</definedName>
    <definedName name="T.SOFF_Clsoed" localSheetId="8">'Reduced Test'!$C$252</definedName>
    <definedName name="T.SOFF_Open" localSheetId="8">'Reduced Test'!$D$252</definedName>
    <definedName name="T.SOFF_Open_TG" localSheetId="7">'Max Test'!$D$275</definedName>
    <definedName name="T.SSS" localSheetId="11">' Non-Con, Non-Mod Calculations'!$E$62</definedName>
    <definedName name="T.SSS" localSheetId="12">'Con, Non-Mod Calculations'!$E$60</definedName>
    <definedName name="T.SSS_Max" localSheetId="14">'Con, Mod Calculations'!$E$70</definedName>
    <definedName name="T.SSS_Max" localSheetId="13">'Non-Con, Mod Calculations'!$E$70</definedName>
    <definedName name="T.SSS_Reduced" localSheetId="14">'Con, Mod Calculations'!$F$70</definedName>
    <definedName name="T.SSS_Reduced" localSheetId="13">'Non-Con, Mod Calculations'!$F$70</definedName>
    <definedName name="T.SSSX" localSheetId="11">' Non-Con, Non-Mod Calculations'!$E$35</definedName>
    <definedName name="T.SSSX" localSheetId="8">'Reduced Test'!$C$114</definedName>
    <definedName name="T.SSSX_CDP" localSheetId="7">'Max Test'!$C$143</definedName>
    <definedName name="T.SSSX_Max" localSheetId="14">'Con, Mod Calculations'!$E$32</definedName>
    <definedName name="T.SSSX_Max" localSheetId="13">'Non-Con, Mod Calculations'!$E$35</definedName>
    <definedName name="T.SSSX_Reduced" localSheetId="14">'Con, Mod Calculations'!$F$32</definedName>
    <definedName name="T.SSSX_Reduced" localSheetId="13">'Non-Con, Mod Calculations'!$F$35</definedName>
    <definedName name="T.SSSX_SS" localSheetId="7">'Max Test'!$C$114</definedName>
    <definedName name="T.SSSX_SS" localSheetId="8">'Reduced Test'!$C$114</definedName>
    <definedName name="T.T" localSheetId="7">'Max Test'!$C$241</definedName>
    <definedName name="T.T_Closed_KL" localSheetId="8">'Reduced Test'!$C$236</definedName>
    <definedName name="T.T_Closed_TG" localSheetId="7">'Max Test'!$C$259</definedName>
    <definedName name="T.T_Open_KL">'Reduced Test'!$D$236</definedName>
    <definedName name="T.T_Open_TG" localSheetId="7">'Max Test'!$D$259</definedName>
    <definedName name="T.T_TG" localSheetId="8">'Reduced Test'!$C$218</definedName>
    <definedName name="t1_Max" localSheetId="14">'Con, Mod Calculations'!$E$71</definedName>
    <definedName name="t1_Max" localSheetId="13">'Non-Con, Mod Calculations'!$E$71</definedName>
    <definedName name="t1_Reduced" localSheetId="14">'Con, Mod Calculations'!$F$71</definedName>
    <definedName name="t1_Reduced" localSheetId="13">'Non-Con, Mod Calculations'!$F$71</definedName>
    <definedName name="t2_Max" localSheetId="14">'Con, Mod Calculations'!$E$72</definedName>
    <definedName name="t2_Max" localSheetId="13">'Non-Con, Mod Calculations'!$E$72</definedName>
    <definedName name="t2_Reduced" localSheetId="14">'Con, Mod Calculations'!$F$72</definedName>
    <definedName name="t2_Reduced" localSheetId="13">'Non-Con, Mod Calculations'!$F$72</definedName>
    <definedName name="t3_Max" localSheetId="14">'Con, Mod Calculations'!$E$77</definedName>
    <definedName name="t3_Max" localSheetId="13">'Non-Con, Mod Calculations'!$E$77</definedName>
    <definedName name="t3_Reduced" localSheetId="14">'Con, Mod Calculations'!$F$77</definedName>
    <definedName name="t3_Reduced" localSheetId="13">'Non-Con, Mod Calculations'!$F$77</definedName>
    <definedName name="t4_Max" localSheetId="14">'Con, Mod Calculations'!$E$78</definedName>
    <definedName name="t4_Max" localSheetId="13">'Non-Con, Mod Calculations'!$E$78</definedName>
    <definedName name="t4_Reduced" localSheetId="14">'Con, Mod Calculations'!$F$78</definedName>
    <definedName name="t4_Reduced" localSheetId="13">'Non-Con, Mod Calculations'!$F$78</definedName>
    <definedName name="t5_Max" localSheetId="14">'Con, Mod Calculations'!$E$79</definedName>
    <definedName name="t5_Max" localSheetId="13">'Non-Con, Mod Calculations'!$E$79</definedName>
    <definedName name="t5_Reduced" localSheetId="14">'Con, Mod Calculations'!$F$79</definedName>
    <definedName name="t5_Reduced" localSheetId="13">'Non-Con, Mod Calculations'!$F$79</definedName>
    <definedName name="Tau.OFF" localSheetId="11">' Non-Con, Non-Mod Calculations'!$E$76</definedName>
    <definedName name="Tau.OFF" localSheetId="12">'Con, Non-Mod Calculations'!$E$75</definedName>
    <definedName name="Tau.OFF_Max" localSheetId="14">'Con, Mod Calculations'!$E$84</definedName>
    <definedName name="Tau.OFF_Max" localSheetId="13">'Non-Con, Mod Calculations'!$E$84</definedName>
    <definedName name="Tau.OFF_reduced" localSheetId="14">'Con, Mod Calculations'!$F$84</definedName>
    <definedName name="Tau.OFF_Reduced" localSheetId="13">'Non-Con, Mod Calculations'!$F$84</definedName>
    <definedName name="Tau.ON" localSheetId="11">' Non-Con, Non-Mod Calculations'!$E$67</definedName>
    <definedName name="Tau.ON" localSheetId="12">'Con, Non-Mod Calculations'!$E$66</definedName>
    <definedName name="Tau.ON_Max" localSheetId="14">'Con, Mod Calculations'!$E$75</definedName>
    <definedName name="Tau.ON_Max" localSheetId="13">'Non-Con, Mod Calculations'!$E$75</definedName>
    <definedName name="Tau.ON_Reduced" localSheetId="14">'Con, Mod Calculations'!$F$75</definedName>
    <definedName name="Tau.ON_Reduced" localSheetId="13">'Non-Con, Mod Calculations'!$F$75</definedName>
    <definedName name="Theta.FO" localSheetId="11">' Non-Con, Non-Mod Calculations'!$E$108</definedName>
    <definedName name="Theta.FO" localSheetId="12">'Con, Non-Mod Calculations'!$E$105</definedName>
    <definedName name="Theta.FO_Max" localSheetId="14">'Con, Mod Calculations'!$E$114</definedName>
    <definedName name="Theta.FO_Max" localSheetId="13">'Non-Con, Mod Calculations'!$E$116</definedName>
    <definedName name="Theta.FO_Reduced" localSheetId="14">'Con, Mod Calculations'!$F$114</definedName>
    <definedName name="Theta.FO_Reduced" localSheetId="13">'Non-Con, Mod Calculations'!$F$116</definedName>
    <definedName name="Theta.FOX" localSheetId="11">' Non-Con, Non-Mod Calculations'!$E$68</definedName>
    <definedName name="Theta.FOX" localSheetId="12">'Con, Non-Mod Calculations'!$E$67</definedName>
    <definedName name="Theta.FOX_Max" localSheetId="14">'Con, Mod Calculations'!$E$76</definedName>
    <definedName name="Theta.FOX_Max" localSheetId="13">'Non-Con, Mod Calculations'!$E$76</definedName>
    <definedName name="Theta.FOX_Reduced" localSheetId="14">'Con, Mod Calculations'!$F$76</definedName>
    <definedName name="Theta.FOX_Reduced" localSheetId="13">'Non-Con, Mod Calculations'!$F$76</definedName>
    <definedName name="thirty_mins" localSheetId="7">'Max Test'!$G$17</definedName>
    <definedName name="thirty_mins" localSheetId="8">'Reduced Test'!$G$35</definedName>
    <definedName name="Time_Damper_Closes">'Test Conditions'!$C$87</definedName>
    <definedName name="Time_Damper_Closes_End">'Test Conditions'!$C$89</definedName>
    <definedName name="Time_Damper_Closes_Start">'Test Conditions'!$C$87</definedName>
    <definedName name="Timing_CD_Start">'Reduced Test'!$D$39</definedName>
    <definedName name="Timing_HU_Start">'Reduced Test'!$D$50</definedName>
    <definedName name="Timing_SS_Cond_Start">'Reduced Test'!$D$27</definedName>
    <definedName name="Timing_SS_Start">'Reduced Test'!$D$17</definedName>
    <definedName name="tp" localSheetId="7">'Max Test'!$C$192</definedName>
    <definedName name="tp_Max" localSheetId="14">'Con, Mod Calculations'!$E$80</definedName>
    <definedName name="tp_Max" localSheetId="13">'Non-Con, Mod Calculations'!$E$80</definedName>
    <definedName name="tp_Reduced" localSheetId="14">'Con, Mod Calculations'!$F$80</definedName>
    <definedName name="tp_Reduced" localSheetId="13">'Non-Con, Mod Calculations'!$F$80</definedName>
    <definedName name="tplus" localSheetId="11">' Non-Con, Non-Mod Calculations'!$E$165</definedName>
    <definedName name="tplus" localSheetId="14">'Con, Mod Calculations'!$E$177</definedName>
    <definedName name="tplus" localSheetId="12">'Con, Non-Mod Calculations'!$E$166</definedName>
    <definedName name="tplus" localSheetId="7">'Max Test'!$C$189</definedName>
    <definedName name="tplus" localSheetId="13">'Non-Con, Mod Calculations'!$E$175</definedName>
    <definedName name="tplus" localSheetId="8">'Reduced Test'!$C$166</definedName>
    <definedName name="TRAH" localSheetId="8">'Reduced Test'!$C$111</definedName>
    <definedName name="V.T" localSheetId="11">' Non-Con, Non-Mod Calculations'!$E$137</definedName>
    <definedName name="V.T" localSheetId="12">'Con, Non-Mod Calculations'!$E$138</definedName>
    <definedName name="V.T" localSheetId="7">'Max Test'!$C$235</definedName>
    <definedName name="V.T" localSheetId="8">'Reduced Test'!$C$212</definedName>
    <definedName name="V.T_Closed_KL" localSheetId="8">'Reduced Test'!$C$247</definedName>
    <definedName name="V.T_Closed_TG" localSheetId="7">'Max Test'!$C$270</definedName>
    <definedName name="V.T_Max" localSheetId="14">'Con, Mod Calculations'!$E$149</definedName>
    <definedName name="V.T_Max" localSheetId="13">'Non-Con, Mod Calculations'!$E$147</definedName>
    <definedName name="V.T_Open_KL" localSheetId="8">'Reduced Test'!$D$247</definedName>
    <definedName name="V.T_Open_TG" localSheetId="7">'Max Test'!$D$270</definedName>
    <definedName name="V.T_Reduced" localSheetId="14">'Con, Mod Calculations'!$F$149</definedName>
    <definedName name="V.T_Reduced" localSheetId="13">'Non-Con, Mod Calculations'!$F$147</definedName>
    <definedName name="X.CO2_NCNM">' Non-Con, Non-Mod Calculations'!$E$26</definedName>
    <definedName name="X.CO2F" localSheetId="11">' Non-Con, Non-Mod Calculations'!$E$22</definedName>
    <definedName name="X.CO2F" localSheetId="12">'Con, Non-Mod Calculations'!$E$22</definedName>
    <definedName name="X.CO2F" localSheetId="8">'Reduced Test'!$C$113</definedName>
    <definedName name="X.CO2F_CDP" localSheetId="7">'Max Test'!$C$142</definedName>
    <definedName name="X.CO2F_Max" localSheetId="14">'Con, Mod Calculations'!$E$22</definedName>
    <definedName name="X.CO2F_Max" localSheetId="13">'Non-Con, Mod Calculations'!$E$22</definedName>
    <definedName name="X.CO2F_NCNM">' Non-Con, Non-Mod Calculations'!$E$22</definedName>
    <definedName name="X.CO2F_Reduced" localSheetId="14">'Con, Mod Calculations'!$F$22</definedName>
    <definedName name="X.CO2F_Reduced" localSheetId="13">'Non-Con, Mod Calculations'!$F$22</definedName>
    <definedName name="X.CO2F_SS" localSheetId="7">'Max Test'!$C$113</definedName>
    <definedName name="X.CO2F_SS" localSheetId="8">'Reduced Test'!$C$113</definedName>
    <definedName name="X.CO2S" localSheetId="11">' Non-Con, Non-Mod Calculations'!$E$26</definedName>
    <definedName name="X.CO2S" localSheetId="8">'Reduced Test'!$C$115</definedName>
    <definedName name="X.CO2S_CDP" localSheetId="7">'Max Test'!$C$144</definedName>
    <definedName name="X.CO2S_Max" localSheetId="13">'Non-Con, Mod Calculations'!$E$26</definedName>
    <definedName name="X.CO2S_Reduced" localSheetId="13">'Non-Con, Mod Calculations'!$F$26</definedName>
    <definedName name="X.CO2S_SS" localSheetId="7">'Max Test'!$C$115</definedName>
    <definedName name="X.CO2S_SS" localSheetId="8">'Reduced Test'!$C$115</definedName>
    <definedName name="X.H" localSheetId="14">'Con, Mod Calculations'!$E$57</definedName>
    <definedName name="X.H" localSheetId="13">'Non-Con, Mod Calculations'!$E$57</definedName>
    <definedName name="X.H_Avg_Air_Temp" localSheetId="14">'Con, Mod Calculations'!#REF!</definedName>
    <definedName name="X.R" localSheetId="14">'Con, Mod Calculations'!$F$58</definedName>
    <definedName name="X.R" localSheetId="13">'Non-Con, Mod Calculations'!$F$58</definedName>
    <definedName name="X.R_Avg_Air_Temp" localSheetId="14">'Con, Mod Calculations'!#REF!</definedName>
    <definedName name="y" localSheetId="11">' Non-Con, Non-Mod Calculations'!$E$166</definedName>
    <definedName name="y" localSheetId="14">'Con, Mod Calculations'!$E$178</definedName>
    <definedName name="y" localSheetId="12">'Con, Non-Mod Calculations'!$E$167</definedName>
    <definedName name="y" localSheetId="13">'Non-Con, Mod Calculations'!$E$176</definedName>
    <definedName name="y.IG" localSheetId="11">' Non-Con, Non-Mod Calculations'!$E$163</definedName>
    <definedName name="y.IG" localSheetId="14">'Con, Mod Calculations'!$E$175</definedName>
    <definedName name="y.IG" localSheetId="12">'Con, Non-Mod Calculations'!$E$164</definedName>
    <definedName name="y.IG" localSheetId="13">'Non-Con, Mod Calculations'!$E$173</definedName>
    <definedName name="y.IG_Reduced" localSheetId="14">'Con, Mod Calculations'!$F$175</definedName>
    <definedName name="y.IG_Reduced" localSheetId="13">'Non-Con, Mod Calculations'!$F$173</definedName>
    <definedName name="y.p" localSheetId="11">' Non-Con, Non-Mod Calculations'!$E$160</definedName>
    <definedName name="y.p" localSheetId="14">'Con, Mod Calculations'!$E$172</definedName>
    <definedName name="y.p" localSheetId="12">'Con, Non-Mod Calculations'!$E$161</definedName>
    <definedName name="y.p" localSheetId="13">'Non-Con, Mod Calculations'!$E$170</definedName>
    <definedName name="y.p_Reduced" localSheetId="14">'Con, Mod Calculations'!$F$172</definedName>
    <definedName name="y.p_Reduced" localSheetId="13">'Non-Con, Mod Calculations'!$F$170</definedName>
    <definedName name="y_Reduced" localSheetId="14">'Con, Mod Calculations'!$F$178</definedName>
    <definedName name="y_Reduced" localSheetId="13">'Non-Con, Mod Calculations'!$F$176</definedName>
    <definedName name="Yes" localSheetId="21">'Drop-Downs and Tables'!$B$93</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3" i="32" l="1"/>
  <c r="D39" i="32"/>
  <c r="E57" i="44"/>
  <c r="E98" i="41" l="1"/>
  <c r="I50" i="39"/>
  <c r="H50" i="39"/>
  <c r="G50" i="39"/>
  <c r="F50" i="39"/>
  <c r="B47" i="39"/>
  <c r="I39" i="39"/>
  <c r="H39" i="39"/>
  <c r="G39" i="39"/>
  <c r="F39" i="39"/>
  <c r="B36" i="39"/>
  <c r="F27" i="39"/>
  <c r="B24" i="39"/>
  <c r="F17" i="39"/>
  <c r="B14" i="39"/>
  <c r="B10" i="39"/>
  <c r="F27" i="21"/>
  <c r="F17" i="21"/>
  <c r="G50" i="21"/>
  <c r="G39" i="21"/>
  <c r="F50" i="21"/>
  <c r="F39" i="21"/>
  <c r="E79" i="41"/>
  <c r="E87" i="43"/>
  <c r="E28" i="49"/>
  <c r="F29" i="49"/>
  <c r="F24" i="49"/>
  <c r="C8" i="47" l="1"/>
  <c r="C6" i="47"/>
  <c r="C3" i="47"/>
  <c r="C8" i="48"/>
  <c r="C6" i="48"/>
  <c r="C3" i="48"/>
  <c r="C8" i="46"/>
  <c r="C6" i="46"/>
  <c r="C3" i="46"/>
  <c r="E65" i="32" l="1"/>
  <c r="D182" i="41" l="1"/>
  <c r="D179" i="41"/>
  <c r="D180" i="42"/>
  <c r="D177" i="42"/>
  <c r="D197" i="43"/>
  <c r="D194" i="43"/>
  <c r="D191" i="43"/>
  <c r="D199" i="44"/>
  <c r="D196" i="44"/>
  <c r="D193" i="44"/>
  <c r="L27" i="45" l="1"/>
  <c r="H202" i="39"/>
  <c r="H201" i="39"/>
  <c r="H200" i="39"/>
  <c r="H195" i="39"/>
  <c r="F195" i="39"/>
  <c r="E195" i="39"/>
  <c r="F202" i="39"/>
  <c r="F201" i="39"/>
  <c r="F200" i="39"/>
  <c r="E202" i="39"/>
  <c r="E201" i="39"/>
  <c r="E200" i="39"/>
  <c r="F14" i="49"/>
  <c r="E14" i="49"/>
  <c r="B192" i="39"/>
  <c r="B197" i="39"/>
  <c r="D14" i="49" l="1"/>
  <c r="B313" i="21"/>
  <c r="B290" i="39"/>
  <c r="B283" i="21"/>
  <c r="B260" i="39"/>
  <c r="B206" i="39"/>
  <c r="B203" i="39"/>
  <c r="B226" i="21"/>
  <c r="B202" i="21"/>
  <c r="B156" i="21"/>
  <c r="B127" i="21"/>
  <c r="B179" i="39"/>
  <c r="B160" i="39"/>
  <c r="B148" i="39"/>
  <c r="D120" i="39"/>
  <c r="C120" i="39"/>
  <c r="D119" i="39"/>
  <c r="C119" i="39"/>
  <c r="G118" i="39"/>
  <c r="F118" i="39"/>
  <c r="E118" i="39"/>
  <c r="D118" i="39"/>
  <c r="B93" i="39"/>
  <c r="B85" i="39"/>
  <c r="B93" i="21"/>
  <c r="B85" i="21"/>
  <c r="H96" i="39"/>
  <c r="F96" i="39"/>
  <c r="E96" i="39"/>
  <c r="H91" i="39"/>
  <c r="F91" i="39"/>
  <c r="E91" i="39"/>
  <c r="D91" i="39"/>
  <c r="C91" i="39"/>
  <c r="H90" i="39"/>
  <c r="F90" i="39"/>
  <c r="E90" i="39"/>
  <c r="H89" i="39"/>
  <c r="F89" i="39"/>
  <c r="E89" i="39"/>
  <c r="H88" i="39"/>
  <c r="F88" i="39"/>
  <c r="E88" i="39"/>
  <c r="H83" i="39"/>
  <c r="F83" i="39"/>
  <c r="E83" i="39"/>
  <c r="D83" i="39"/>
  <c r="C83" i="39"/>
  <c r="H82" i="39"/>
  <c r="F82" i="39"/>
  <c r="E82" i="39"/>
  <c r="D82" i="39"/>
  <c r="C82" i="39"/>
  <c r="B79" i="39"/>
  <c r="B79" i="21"/>
  <c r="B229" i="21"/>
  <c r="H225" i="21"/>
  <c r="H224" i="21"/>
  <c r="H223" i="21"/>
  <c r="F225" i="21"/>
  <c r="F224" i="21"/>
  <c r="F223" i="21"/>
  <c r="E225" i="21"/>
  <c r="E224" i="21"/>
  <c r="E223" i="21"/>
  <c r="H218" i="21"/>
  <c r="F218" i="21"/>
  <c r="E218" i="21"/>
  <c r="B220" i="21"/>
  <c r="B159" i="21"/>
  <c r="B215" i="21"/>
  <c r="B171" i="21"/>
  <c r="G147" i="21"/>
  <c r="D149" i="21"/>
  <c r="C149" i="21"/>
  <c r="D148" i="21"/>
  <c r="C148" i="21"/>
  <c r="F147" i="21"/>
  <c r="E147" i="21"/>
  <c r="D147" i="21"/>
  <c r="G118" i="21"/>
  <c r="F118" i="21"/>
  <c r="E118" i="21"/>
  <c r="C120" i="21"/>
  <c r="C119" i="21"/>
  <c r="D120" i="21"/>
  <c r="D119" i="21"/>
  <c r="D118" i="21"/>
  <c r="H96" i="21"/>
  <c r="F96" i="21"/>
  <c r="E96" i="21"/>
  <c r="H91" i="21"/>
  <c r="H90" i="21"/>
  <c r="H89" i="21"/>
  <c r="H88" i="21"/>
  <c r="F91" i="21"/>
  <c r="F90" i="21"/>
  <c r="F89" i="21"/>
  <c r="F88" i="21"/>
  <c r="D91" i="21"/>
  <c r="C91" i="21"/>
  <c r="E91" i="21"/>
  <c r="E90" i="21"/>
  <c r="E89" i="21"/>
  <c r="E88" i="21"/>
  <c r="H83" i="21"/>
  <c r="H82" i="21"/>
  <c r="F83" i="21"/>
  <c r="F82" i="21"/>
  <c r="E83" i="21"/>
  <c r="E82" i="21"/>
  <c r="D83" i="21"/>
  <c r="D82" i="21"/>
  <c r="C83" i="21"/>
  <c r="C82" i="21"/>
  <c r="C97" i="32"/>
  <c r="D72" i="32"/>
  <c r="D71" i="32"/>
  <c r="D36" i="32"/>
  <c r="B28" i="32"/>
  <c r="F22" i="49" l="1"/>
  <c r="F32" i="49"/>
  <c r="F21" i="49"/>
  <c r="E23" i="49"/>
  <c r="F16" i="49"/>
  <c r="E16" i="49"/>
  <c r="F17" i="49"/>
  <c r="E18" i="49"/>
  <c r="E26" i="49"/>
  <c r="F31" i="49"/>
  <c r="E27" i="49"/>
  <c r="E32" i="49"/>
  <c r="E19" i="49"/>
  <c r="F27" i="49"/>
  <c r="F18" i="49"/>
  <c r="F30" i="49"/>
  <c r="E25" i="49"/>
  <c r="E20" i="49"/>
  <c r="E30" i="49"/>
  <c r="E31" i="49"/>
  <c r="B42" i="45"/>
  <c r="C27" i="30" l="1"/>
  <c r="B188" i="15"/>
  <c r="C20" i="50"/>
  <c r="C18" i="50"/>
  <c r="D360" i="44" l="1"/>
  <c r="C360" i="44"/>
  <c r="C344" i="42"/>
  <c r="C233" i="44"/>
  <c r="C217" i="42"/>
  <c r="C61" i="39"/>
  <c r="B56" i="39"/>
  <c r="D25" i="32"/>
  <c r="C25" i="32"/>
  <c r="I50" i="21"/>
  <c r="H50" i="21"/>
  <c r="I39" i="21"/>
  <c r="H39" i="21"/>
  <c r="B47" i="21" l="1"/>
  <c r="B36" i="21"/>
  <c r="B24" i="21"/>
  <c r="B14" i="21"/>
  <c r="B10" i="21"/>
  <c r="B56" i="21"/>
  <c r="F17" i="30"/>
  <c r="F16" i="30"/>
  <c r="C6" i="50"/>
  <c r="C3" i="50"/>
  <c r="B11" i="49"/>
  <c r="L15" i="45"/>
  <c r="K15" i="45"/>
  <c r="C6" i="49"/>
  <c r="C3" i="49"/>
  <c r="B232" i="39"/>
  <c r="B182" i="39"/>
  <c r="B136" i="39"/>
  <c r="B130" i="39"/>
  <c r="B255" i="21"/>
  <c r="B205" i="21"/>
  <c r="B136" i="21"/>
  <c r="B130" i="21"/>
  <c r="B94" i="32"/>
  <c r="I17" i="45"/>
  <c r="H17" i="45"/>
  <c r="E17" i="45"/>
  <c r="D17" i="45"/>
  <c r="B183" i="21" l="1"/>
  <c r="C293" i="21" l="1"/>
  <c r="C163" i="21"/>
  <c r="C270" i="39"/>
  <c r="D238" i="39"/>
  <c r="C238" i="39"/>
  <c r="C220" i="39"/>
  <c r="C164" i="21"/>
  <c r="C141" i="39"/>
  <c r="C68" i="21" l="1"/>
  <c r="C89" i="32"/>
  <c r="C90" i="32"/>
  <c r="C91" i="32" s="1"/>
  <c r="L22" i="45"/>
  <c r="K22" i="45"/>
  <c r="G22" i="45"/>
  <c r="F22" i="45"/>
  <c r="E22" i="45"/>
  <c r="D22" i="45"/>
  <c r="L21" i="45"/>
  <c r="J21" i="45"/>
  <c r="I21" i="45"/>
  <c r="G21" i="45"/>
  <c r="F21" i="45"/>
  <c r="E21" i="45"/>
  <c r="K20" i="45"/>
  <c r="K27" i="45" s="1"/>
  <c r="H20" i="45"/>
  <c r="D20" i="45"/>
  <c r="J19" i="45"/>
  <c r="I19" i="45"/>
  <c r="H19" i="45"/>
  <c r="J18" i="45"/>
  <c r="G18" i="45"/>
  <c r="F16" i="45"/>
  <c r="J14" i="45"/>
  <c r="I14" i="45"/>
  <c r="H14" i="45"/>
  <c r="G14" i="45"/>
  <c r="F14" i="45"/>
  <c r="E14" i="45"/>
  <c r="D14" i="45"/>
  <c r="D27" i="32"/>
  <c r="C27" i="32"/>
  <c r="C36" i="45"/>
  <c r="C48" i="45"/>
  <c r="H17" i="32" l="1"/>
  <c r="H16" i="32"/>
  <c r="F14" i="30"/>
  <c r="F15" i="30"/>
  <c r="F13" i="30"/>
  <c r="H15" i="32"/>
  <c r="E16" i="32"/>
  <c r="F16" i="32"/>
  <c r="B16" i="32"/>
  <c r="E73" i="32"/>
  <c r="E72" i="32"/>
  <c r="E71" i="32" a="1"/>
  <c r="E71" i="32" s="1"/>
  <c r="E27" i="45"/>
  <c r="D14" i="44"/>
  <c r="D14" i="42"/>
  <c r="E169" i="42" s="1"/>
  <c r="D14" i="41"/>
  <c r="D14" i="43"/>
  <c r="F15" i="32"/>
  <c r="E18" i="32"/>
  <c r="E17" i="32"/>
  <c r="E15" i="32"/>
  <c r="F17" i="32"/>
  <c r="D27" i="45"/>
  <c r="H27" i="45"/>
  <c r="F27" i="45"/>
  <c r="I27" i="45"/>
  <c r="J27" i="45"/>
  <c r="G27" i="45"/>
  <c r="E46" i="44" l="1"/>
  <c r="F46" i="44"/>
  <c r="E181" i="44"/>
  <c r="F55" i="44"/>
  <c r="E55" i="44"/>
  <c r="F53" i="44"/>
  <c r="E53" i="44"/>
  <c r="E56" i="44"/>
  <c r="E55" i="43"/>
  <c r="E56" i="43"/>
  <c r="E57" i="43"/>
  <c r="E179" i="43"/>
  <c r="F53" i="43"/>
  <c r="E53" i="43"/>
  <c r="F55" i="43"/>
  <c r="E168" i="41"/>
  <c r="E36" i="41"/>
  <c r="E38" i="41"/>
  <c r="D32" i="44"/>
  <c r="E60" i="42"/>
  <c r="D53" i="42"/>
  <c r="D54" i="42"/>
  <c r="M13" i="45"/>
  <c r="C6" i="45"/>
  <c r="C3" i="45"/>
  <c r="D361" i="44"/>
  <c r="F374" i="44" s="1"/>
  <c r="C361" i="44"/>
  <c r="F365" i="44" s="1"/>
  <c r="C238" i="44"/>
  <c r="C237" i="44"/>
  <c r="C236" i="44"/>
  <c r="C230" i="44"/>
  <c r="C231" i="44" s="1"/>
  <c r="C226" i="44"/>
  <c r="F14" i="44"/>
  <c r="F76" i="44" s="1"/>
  <c r="E14" i="44"/>
  <c r="F181" i="44" s="1"/>
  <c r="D53" i="44"/>
  <c r="C6" i="44"/>
  <c r="C3" i="44"/>
  <c r="D359" i="43"/>
  <c r="F372" i="43" s="1"/>
  <c r="C359" i="43"/>
  <c r="F363" i="43" s="1"/>
  <c r="C236" i="43"/>
  <c r="C235" i="43"/>
  <c r="C234" i="43"/>
  <c r="C228" i="43"/>
  <c r="C229" i="43" s="1"/>
  <c r="C224" i="43"/>
  <c r="B30" i="43"/>
  <c r="F14" i="43"/>
  <c r="F106" i="43" s="1"/>
  <c r="E14" i="43"/>
  <c r="E31" i="43" s="1"/>
  <c r="C6" i="43"/>
  <c r="C3" i="43"/>
  <c r="D345" i="42"/>
  <c r="F358" i="42" s="1"/>
  <c r="C345" i="42"/>
  <c r="F349" i="42" s="1"/>
  <c r="C222" i="42"/>
  <c r="C221" i="42"/>
  <c r="C220" i="42"/>
  <c r="C214" i="42"/>
  <c r="C215" i="42" s="1"/>
  <c r="C210" i="42"/>
  <c r="D183" i="42"/>
  <c r="E14" i="42"/>
  <c r="E173" i="42" s="1"/>
  <c r="C6" i="42"/>
  <c r="C3" i="42"/>
  <c r="D348" i="41"/>
  <c r="F361" i="41" s="1"/>
  <c r="C348" i="41"/>
  <c r="F352" i="41" s="1"/>
  <c r="C225" i="41"/>
  <c r="C224" i="41"/>
  <c r="C223" i="41"/>
  <c r="C217" i="41"/>
  <c r="C218" i="41" s="1"/>
  <c r="C213" i="41"/>
  <c r="D185" i="41"/>
  <c r="B30" i="41"/>
  <c r="E14" i="41"/>
  <c r="E31" i="41" s="1"/>
  <c r="C6" i="41"/>
  <c r="C3" i="41"/>
  <c r="B144" i="21"/>
  <c r="B142" i="21"/>
  <c r="F58" i="44" l="1"/>
  <c r="E89" i="41"/>
  <c r="E179" i="41"/>
  <c r="E124" i="41"/>
  <c r="E148" i="41"/>
  <c r="E50" i="41"/>
  <c r="E43" i="41" a="1"/>
  <c r="E43" i="41" s="1"/>
  <c r="E51" i="41"/>
  <c r="E172" i="41"/>
  <c r="E87" i="42"/>
  <c r="E164" i="42"/>
  <c r="E194" i="43"/>
  <c r="E191" i="43"/>
  <c r="E184" i="43"/>
  <c r="E190" i="44"/>
  <c r="E32" i="44"/>
  <c r="E70" i="44"/>
  <c r="E196" i="44"/>
  <c r="E182" i="44"/>
  <c r="E183" i="44"/>
  <c r="E23" i="44"/>
  <c r="E188" i="44"/>
  <c r="E186" i="44"/>
  <c r="F188" i="44"/>
  <c r="E59" i="44"/>
  <c r="F70" i="44"/>
  <c r="E180" i="44"/>
  <c r="F32" i="44"/>
  <c r="F172" i="44"/>
  <c r="F104" i="44"/>
  <c r="F33" i="44"/>
  <c r="F175" i="44"/>
  <c r="F75" i="44"/>
  <c r="E178" i="44"/>
  <c r="E96" i="44"/>
  <c r="E175" i="44"/>
  <c r="F180" i="44"/>
  <c r="F96" i="44"/>
  <c r="E193" i="44"/>
  <c r="E172" i="44"/>
  <c r="F178" i="44"/>
  <c r="E188" i="43"/>
  <c r="E180" i="43"/>
  <c r="E181" i="43"/>
  <c r="F178" i="43"/>
  <c r="F176" i="43"/>
  <c r="E170" i="43"/>
  <c r="F179" i="43"/>
  <c r="F186" i="43"/>
  <c r="E43" i="43" a="1"/>
  <c r="E43" i="43" s="1"/>
  <c r="F170" i="43"/>
  <c r="E186" i="43"/>
  <c r="E173" i="43"/>
  <c r="E178" i="43"/>
  <c r="F173" i="43"/>
  <c r="E176" i="43"/>
  <c r="E97" i="43"/>
  <c r="F43" i="43" a="1"/>
  <c r="F43" i="43" s="1"/>
  <c r="F70" i="43"/>
  <c r="F31" i="43"/>
  <c r="D53" i="43"/>
  <c r="D54" i="43"/>
  <c r="D61" i="43"/>
  <c r="D60" i="43"/>
  <c r="E54" i="43"/>
  <c r="D58" i="43"/>
  <c r="E59" i="43" a="1"/>
  <c r="E59" i="43" s="1"/>
  <c r="D56" i="43"/>
  <c r="D55" i="43"/>
  <c r="D59" i="43"/>
  <c r="D57" i="43"/>
  <c r="E61" i="43"/>
  <c r="E61" i="44"/>
  <c r="D54" i="44"/>
  <c r="D55" i="44"/>
  <c r="D57" i="44"/>
  <c r="D58" i="44"/>
  <c r="D56" i="44"/>
  <c r="D60" i="44"/>
  <c r="D59" i="44"/>
  <c r="D61" i="44"/>
  <c r="E54" i="44"/>
  <c r="E94" i="43"/>
  <c r="E203" i="43"/>
  <c r="F123" i="43"/>
  <c r="E125" i="43"/>
  <c r="F150" i="43"/>
  <c r="F81" i="43"/>
  <c r="F50" i="43"/>
  <c r="E175" i="43"/>
  <c r="E153" i="43"/>
  <c r="E120" i="43"/>
  <c r="C351" i="43" s="1"/>
  <c r="C356" i="43" s="1"/>
  <c r="E50" i="43"/>
  <c r="F97" i="43"/>
  <c r="E187" i="43"/>
  <c r="E38" i="43"/>
  <c r="E201" i="43"/>
  <c r="F154" i="43"/>
  <c r="F122" i="43"/>
  <c r="E124" i="43"/>
  <c r="F149" i="43"/>
  <c r="F80" i="43"/>
  <c r="D352" i="43" s="1"/>
  <c r="F38" i="43"/>
  <c r="E174" i="43"/>
  <c r="E152" i="43"/>
  <c r="E83" i="43"/>
  <c r="E37" i="43"/>
  <c r="F87" i="43"/>
  <c r="C240" i="43"/>
  <c r="E68" i="43"/>
  <c r="F92" i="43"/>
  <c r="E60" i="43"/>
  <c r="E154" i="43"/>
  <c r="F121" i="43"/>
  <c r="E123" i="43"/>
  <c r="F169" i="43"/>
  <c r="F148" i="43"/>
  <c r="F78" i="43"/>
  <c r="F36" i="43"/>
  <c r="E172" i="43"/>
  <c r="E150" i="43"/>
  <c r="E82" i="43"/>
  <c r="E35" i="43"/>
  <c r="E211" i="43"/>
  <c r="F52" i="43"/>
  <c r="E70" i="43"/>
  <c r="E17" i="43"/>
  <c r="E165" i="43"/>
  <c r="F17" i="43"/>
  <c r="D350" i="43" s="1"/>
  <c r="F132" i="43"/>
  <c r="F129" i="43"/>
  <c r="E122" i="43"/>
  <c r="F168" i="43"/>
  <c r="F147" i="43"/>
  <c r="F77" i="43"/>
  <c r="F35" i="43"/>
  <c r="E171" i="43"/>
  <c r="E149" i="43"/>
  <c r="E81" i="43"/>
  <c r="E34" i="43"/>
  <c r="E69" i="43"/>
  <c r="E164" i="43"/>
  <c r="E207" i="43"/>
  <c r="E92" i="43"/>
  <c r="D42" i="43"/>
  <c r="F128" i="43"/>
  <c r="E121" i="43"/>
  <c r="F163" i="43"/>
  <c r="F133" i="43"/>
  <c r="F76" i="43"/>
  <c r="F34" i="43"/>
  <c r="E169" i="43"/>
  <c r="E148" i="43"/>
  <c r="E80" i="43"/>
  <c r="C352" i="43" s="1"/>
  <c r="E26" i="43"/>
  <c r="F165" i="43"/>
  <c r="E136" i="43"/>
  <c r="E206" i="43"/>
  <c r="D41" i="43"/>
  <c r="F127" i="43"/>
  <c r="E129" i="43"/>
  <c r="F162" i="43"/>
  <c r="F120" i="43"/>
  <c r="D351" i="43" s="1"/>
  <c r="D356" i="43" s="1"/>
  <c r="F74" i="43"/>
  <c r="F26" i="43"/>
  <c r="E168" i="43"/>
  <c r="E147" i="43"/>
  <c r="E74" i="43"/>
  <c r="E22" i="43"/>
  <c r="F164" i="43"/>
  <c r="F125" i="43"/>
  <c r="E128" i="43"/>
  <c r="F153" i="43"/>
  <c r="F83" i="43"/>
  <c r="F73" i="43"/>
  <c r="F22" i="43"/>
  <c r="E163" i="43"/>
  <c r="E133" i="43"/>
  <c r="E73" i="43"/>
  <c r="F158" i="43"/>
  <c r="E208" i="43"/>
  <c r="E158" i="43"/>
  <c r="E52" i="43"/>
  <c r="E132" i="43"/>
  <c r="F94" i="43"/>
  <c r="D353" i="43" s="1"/>
  <c r="D122" i="43"/>
  <c r="E202" i="43"/>
  <c r="F124" i="43"/>
  <c r="E127" i="43"/>
  <c r="F152" i="43"/>
  <c r="F82" i="43" a="1"/>
  <c r="F82" i="43" s="1"/>
  <c r="F51" i="43"/>
  <c r="E177" i="43"/>
  <c r="E162" i="43"/>
  <c r="E51" i="43"/>
  <c r="F134" i="43"/>
  <c r="F95" i="43"/>
  <c r="D355" i="43" s="1"/>
  <c r="D360" i="43" s="1"/>
  <c r="F84" i="43"/>
  <c r="D354" i="43" s="1"/>
  <c r="F47" i="43"/>
  <c r="E155" i="43"/>
  <c r="E117" i="43"/>
  <c r="E101" i="43"/>
  <c r="C232" i="43" s="1"/>
  <c r="E90" i="43"/>
  <c r="C230" i="43" s="1"/>
  <c r="E76" i="43"/>
  <c r="E84" i="43"/>
  <c r="E78" i="43"/>
  <c r="E159" i="43"/>
  <c r="F126" i="43"/>
  <c r="F93" i="43"/>
  <c r="F75" i="43"/>
  <c r="F37" i="43"/>
  <c r="E151" i="43"/>
  <c r="E116" i="43"/>
  <c r="E100" i="43"/>
  <c r="E89" i="43"/>
  <c r="C239" i="43" s="1"/>
  <c r="E75" i="43"/>
  <c r="E47" i="43"/>
  <c r="E77" i="43"/>
  <c r="F119" i="43"/>
  <c r="F102" i="43"/>
  <c r="D358" i="43" s="1"/>
  <c r="F91" i="43"/>
  <c r="F27" i="43"/>
  <c r="E146" i="43"/>
  <c r="E115" i="43"/>
  <c r="E99" i="43"/>
  <c r="E88" i="43"/>
  <c r="C238" i="43" s="1"/>
  <c r="E67" i="43"/>
  <c r="E36" i="43"/>
  <c r="E95" i="43"/>
  <c r="C355" i="43" s="1"/>
  <c r="C360" i="43" s="1"/>
  <c r="E102" i="43"/>
  <c r="F118" i="43"/>
  <c r="F101" i="43"/>
  <c r="F90" i="43"/>
  <c r="F67" i="43"/>
  <c r="F23" i="43"/>
  <c r="E142" i="43"/>
  <c r="E106" i="43"/>
  <c r="E98" i="43"/>
  <c r="E86" i="43"/>
  <c r="E65" i="43"/>
  <c r="E27" i="43"/>
  <c r="E126" i="43"/>
  <c r="F159" i="43"/>
  <c r="F117" i="43"/>
  <c r="F100" i="43"/>
  <c r="D357" i="43" s="1"/>
  <c r="F89" i="43"/>
  <c r="F65" i="43"/>
  <c r="E197" i="43"/>
  <c r="E135" i="43"/>
  <c r="E96" i="43"/>
  <c r="E85" i="43"/>
  <c r="E23" i="43"/>
  <c r="E93" i="43"/>
  <c r="F146" i="43"/>
  <c r="F155" i="43"/>
  <c r="F116" i="43"/>
  <c r="F99" i="43"/>
  <c r="F88" i="43"/>
  <c r="F58" i="43"/>
  <c r="F85" i="43"/>
  <c r="E91" i="43"/>
  <c r="F151" i="43"/>
  <c r="F115" i="43"/>
  <c r="F98" i="43"/>
  <c r="F86" i="43"/>
  <c r="E119" i="43"/>
  <c r="F96" i="43"/>
  <c r="E118" i="43"/>
  <c r="E192" i="42"/>
  <c r="D37" i="42"/>
  <c r="E167" i="42"/>
  <c r="E116" i="42"/>
  <c r="E165" i="42"/>
  <c r="E143" i="42"/>
  <c r="E109" i="42"/>
  <c r="C337" i="42" s="1"/>
  <c r="C342" i="42" s="1"/>
  <c r="E64" i="42"/>
  <c r="E17" i="42"/>
  <c r="E78" i="42"/>
  <c r="D36" i="42"/>
  <c r="E133" i="42"/>
  <c r="E114" i="42"/>
  <c r="E163" i="42"/>
  <c r="E141" i="42"/>
  <c r="E74" i="42"/>
  <c r="E50" i="42"/>
  <c r="E52" i="42"/>
  <c r="E88" i="42"/>
  <c r="E107" i="42"/>
  <c r="E77" i="42"/>
  <c r="E66" i="42"/>
  <c r="E149" i="42"/>
  <c r="E145" i="42"/>
  <c r="E197" i="42"/>
  <c r="E183" i="42"/>
  <c r="E113" i="42"/>
  <c r="E162" i="42"/>
  <c r="E140" i="42"/>
  <c r="E73" i="42"/>
  <c r="E49" i="42"/>
  <c r="E51" i="42"/>
  <c r="E86" i="42"/>
  <c r="E104" i="42"/>
  <c r="E155" i="42"/>
  <c r="D111" i="42"/>
  <c r="E188" i="42"/>
  <c r="E112" i="42"/>
  <c r="E160" i="42"/>
  <c r="E139" i="42"/>
  <c r="E72" i="42"/>
  <c r="E43" i="42"/>
  <c r="E156" i="42"/>
  <c r="E67" i="42"/>
  <c r="E38" i="42" a="1"/>
  <c r="E38" i="42" s="1"/>
  <c r="E187" i="42"/>
  <c r="E111" i="42"/>
  <c r="E159" i="42"/>
  <c r="E138" i="42"/>
  <c r="E71" i="42"/>
  <c r="C338" i="42" s="1"/>
  <c r="E42" i="42"/>
  <c r="E45" i="42"/>
  <c r="E126" i="42"/>
  <c r="E177" i="42"/>
  <c r="E161" i="42"/>
  <c r="E110" i="42"/>
  <c r="E154" i="42"/>
  <c r="E124" i="42"/>
  <c r="E69" i="42"/>
  <c r="E32" i="42"/>
  <c r="E23" i="42"/>
  <c r="E118" i="42"/>
  <c r="E168" i="42"/>
  <c r="E153" i="42"/>
  <c r="E123" i="42"/>
  <c r="E68" i="42"/>
  <c r="E31" i="42"/>
  <c r="E121" i="42"/>
  <c r="E33" i="42"/>
  <c r="E106" i="42"/>
  <c r="E193" i="42"/>
  <c r="E189" i="42"/>
  <c r="E117" i="42"/>
  <c r="E166" i="42"/>
  <c r="E144" i="42"/>
  <c r="E122" i="42"/>
  <c r="E65" i="42"/>
  <c r="E22" i="42"/>
  <c r="E180" i="42"/>
  <c r="E194" i="42"/>
  <c r="D120" i="44"/>
  <c r="F126" i="44"/>
  <c r="E199" i="44"/>
  <c r="E119" i="44"/>
  <c r="F165" i="44"/>
  <c r="F133" i="44"/>
  <c r="F78" i="44"/>
  <c r="F31" i="44"/>
  <c r="E170" i="44"/>
  <c r="E149" i="44"/>
  <c r="E77" i="44"/>
  <c r="E31" i="44"/>
  <c r="F34" i="44"/>
  <c r="E138" i="44"/>
  <c r="E52" i="44"/>
  <c r="F125" i="44"/>
  <c r="E127" i="44"/>
  <c r="F164" i="44"/>
  <c r="F132" i="44"/>
  <c r="F77" i="44"/>
  <c r="F22" i="44"/>
  <c r="E165" i="44"/>
  <c r="E131" i="44"/>
  <c r="E74" i="44"/>
  <c r="E22" i="44"/>
  <c r="F17" i="44"/>
  <c r="D352" i="44" s="1"/>
  <c r="E130" i="44"/>
  <c r="E34" i="44"/>
  <c r="E68" i="44"/>
  <c r="E209" i="44"/>
  <c r="D38" i="44"/>
  <c r="F123" i="44"/>
  <c r="E203" i="44"/>
  <c r="E126" i="44"/>
  <c r="F155" i="44"/>
  <c r="F131" i="44"/>
  <c r="F74" i="44"/>
  <c r="E179" i="44"/>
  <c r="E164" i="44"/>
  <c r="E118" i="44"/>
  <c r="C353" i="44" s="1"/>
  <c r="C358" i="44" s="1"/>
  <c r="E73" i="44"/>
  <c r="F167" i="44"/>
  <c r="E210" i="44"/>
  <c r="E17" i="44"/>
  <c r="E69" i="44"/>
  <c r="E208" i="44"/>
  <c r="F93" i="44"/>
  <c r="D355" i="44" s="1"/>
  <c r="D37" i="44"/>
  <c r="F122" i="44"/>
  <c r="E125" i="44"/>
  <c r="F154" i="44"/>
  <c r="F118" i="44"/>
  <c r="D353" i="44" s="1"/>
  <c r="D358" i="44" s="1"/>
  <c r="F73" i="44"/>
  <c r="E177" i="44"/>
  <c r="E155" i="44"/>
  <c r="E83" i="44"/>
  <c r="E51" i="44"/>
  <c r="F166" i="44"/>
  <c r="E189" i="44"/>
  <c r="E87" i="44"/>
  <c r="E93" i="44"/>
  <c r="E204" i="44"/>
  <c r="F121" i="44"/>
  <c r="E123" i="44"/>
  <c r="F152" i="44"/>
  <c r="F83" i="44"/>
  <c r="F51" i="44"/>
  <c r="E176" i="44"/>
  <c r="E154" i="44"/>
  <c r="E82" i="44"/>
  <c r="E50" i="44"/>
  <c r="F160" i="44"/>
  <c r="F91" i="44"/>
  <c r="E213" i="44"/>
  <c r="F120" i="44"/>
  <c r="E205" i="44"/>
  <c r="E122" i="44"/>
  <c r="F151" i="44"/>
  <c r="F82" i="44" a="1"/>
  <c r="F82" i="44" s="1"/>
  <c r="F50" i="44"/>
  <c r="E174" i="44"/>
  <c r="E152" i="44"/>
  <c r="E81" i="44"/>
  <c r="E44" i="44"/>
  <c r="E75" i="44"/>
  <c r="F130" i="44"/>
  <c r="E167" i="44"/>
  <c r="E91" i="44"/>
  <c r="F156" i="44"/>
  <c r="F119" i="44"/>
  <c r="E121" i="44"/>
  <c r="F171" i="44"/>
  <c r="F150" i="44"/>
  <c r="F81" i="44"/>
  <c r="F44" i="44"/>
  <c r="E173" i="44"/>
  <c r="E151" i="44"/>
  <c r="E80" i="44"/>
  <c r="C354" i="44" s="1"/>
  <c r="E43" i="44"/>
  <c r="E166" i="44"/>
  <c r="F52" i="44"/>
  <c r="E160" i="44"/>
  <c r="F127" i="44"/>
  <c r="E144" i="44"/>
  <c r="E156" i="44"/>
  <c r="E120" i="44"/>
  <c r="F170" i="44"/>
  <c r="F149" i="44"/>
  <c r="F80" i="44"/>
  <c r="D354" i="44" s="1"/>
  <c r="F43" i="44"/>
  <c r="E171" i="44"/>
  <c r="E150" i="44"/>
  <c r="E78" i="44"/>
  <c r="E33" i="44"/>
  <c r="E60" i="44"/>
  <c r="F157" i="44"/>
  <c r="F136" i="44"/>
  <c r="F153" i="44"/>
  <c r="F135" i="44"/>
  <c r="F124" i="44"/>
  <c r="F148" i="44"/>
  <c r="F134" i="44"/>
  <c r="F161" i="44"/>
  <c r="F117" i="44"/>
  <c r="F90" i="44"/>
  <c r="F39" i="44" a="1"/>
  <c r="F39" i="44" s="1"/>
  <c r="F116" i="44"/>
  <c r="F100" i="44"/>
  <c r="F89" i="44"/>
  <c r="F67" i="44"/>
  <c r="F95" i="44"/>
  <c r="F115" i="44"/>
  <c r="F99" i="44"/>
  <c r="D359" i="44" s="1"/>
  <c r="F88" i="44"/>
  <c r="F65" i="44"/>
  <c r="F23" i="44"/>
  <c r="F86" i="44"/>
  <c r="F47" i="44"/>
  <c r="F114" i="44"/>
  <c r="F98" i="44"/>
  <c r="F87" i="44"/>
  <c r="F85" i="44"/>
  <c r="F45" i="44"/>
  <c r="F113" i="44"/>
  <c r="F97" i="44"/>
  <c r="F84" i="44"/>
  <c r="D356" i="44" s="1"/>
  <c r="F92" i="44"/>
  <c r="F94" i="44"/>
  <c r="D357" i="44" s="1"/>
  <c r="D362" i="44" s="1"/>
  <c r="E117" i="44"/>
  <c r="E116" i="44"/>
  <c r="E124" i="44"/>
  <c r="E161" i="44"/>
  <c r="E115" i="44"/>
  <c r="E157" i="44"/>
  <c r="D70" i="44"/>
  <c r="E153" i="44"/>
  <c r="E148" i="44"/>
  <c r="E137" i="44"/>
  <c r="E153" i="41"/>
  <c r="E125" i="41"/>
  <c r="E70" i="41"/>
  <c r="E194" i="41"/>
  <c r="E167" i="41"/>
  <c r="E152" i="41"/>
  <c r="E112" i="41"/>
  <c r="C340" i="41" s="1"/>
  <c r="C345" i="41" s="1"/>
  <c r="E69" i="41"/>
  <c r="E76" i="41" s="1"/>
  <c r="D114" i="41"/>
  <c r="E165" i="41"/>
  <c r="E143" i="41"/>
  <c r="D55" i="41"/>
  <c r="D54" i="41"/>
  <c r="D42" i="41"/>
  <c r="E164" i="41"/>
  <c r="E142" i="41"/>
  <c r="E144" i="41" s="1"/>
  <c r="E166" i="41"/>
  <c r="D41" i="41"/>
  <c r="E162" i="41"/>
  <c r="E163" i="41" s="1"/>
  <c r="E140" i="41"/>
  <c r="E75" i="41"/>
  <c r="E161" i="41"/>
  <c r="E139" i="41"/>
  <c r="E141" i="41" s="1"/>
  <c r="E74" i="41"/>
  <c r="E17" i="41"/>
  <c r="E195" i="41"/>
  <c r="E159" i="41"/>
  <c r="E138" i="41"/>
  <c r="E73" i="41"/>
  <c r="E154" i="41"/>
  <c r="E158" i="41"/>
  <c r="E137" i="41"/>
  <c r="E72" i="41"/>
  <c r="C341" i="41" s="1"/>
  <c r="E35" i="41"/>
  <c r="E22" i="41"/>
  <c r="E52" i="41"/>
  <c r="E34" i="41"/>
  <c r="E37" i="41"/>
  <c r="E66" i="41" s="1"/>
  <c r="E26" i="41"/>
  <c r="E98" i="44"/>
  <c r="E97" i="44"/>
  <c r="E86" i="44"/>
  <c r="E95" i="44"/>
  <c r="E114" i="44"/>
  <c r="E113" i="44"/>
  <c r="E94" i="44"/>
  <c r="C357" i="44" s="1"/>
  <c r="C362" i="44" s="1"/>
  <c r="E84" i="44"/>
  <c r="E47" i="44"/>
  <c r="E90" i="44"/>
  <c r="C232" i="44" s="1"/>
  <c r="E65" i="44"/>
  <c r="E45" i="44"/>
  <c r="E99" i="44"/>
  <c r="E88" i="44"/>
  <c r="C240" i="44" s="1"/>
  <c r="E92" i="44"/>
  <c r="E67" i="44"/>
  <c r="E85" i="44"/>
  <c r="E100" i="44"/>
  <c r="C234" i="44" s="1"/>
  <c r="E89" i="44"/>
  <c r="C241" i="44" s="1"/>
  <c r="E76" i="44"/>
  <c r="E39" i="44" a="1"/>
  <c r="E39" i="44" s="1"/>
  <c r="E150" i="42"/>
  <c r="E61" i="42"/>
  <c r="D60" i="42"/>
  <c r="E127" i="42"/>
  <c r="E170" i="42"/>
  <c r="E125" i="42"/>
  <c r="E115" i="42"/>
  <c r="E146" i="42"/>
  <c r="E108" i="42"/>
  <c r="E142" i="42"/>
  <c r="E137" i="42"/>
  <c r="E90" i="42"/>
  <c r="E80" i="42"/>
  <c r="C225" i="42" s="1"/>
  <c r="E46" i="42"/>
  <c r="E89" i="42"/>
  <c r="E79" i="42"/>
  <c r="C224" i="42" s="1"/>
  <c r="E105" i="42"/>
  <c r="E44" i="42"/>
  <c r="E76" i="42"/>
  <c r="E91" i="42"/>
  <c r="C218" i="42" s="1"/>
  <c r="E85" i="42"/>
  <c r="C341" i="42" s="1"/>
  <c r="C346" i="42" s="1"/>
  <c r="E75" i="42"/>
  <c r="E58" i="42"/>
  <c r="E83" i="42"/>
  <c r="E81" i="42"/>
  <c r="C216" i="42" s="1"/>
  <c r="D100" i="42"/>
  <c r="D87" i="41"/>
  <c r="E28" i="42"/>
  <c r="C226" i="42" s="1"/>
  <c r="D42" i="42"/>
  <c r="D74" i="43"/>
  <c r="D117" i="44"/>
  <c r="D49" i="42"/>
  <c r="D110" i="42"/>
  <c r="D131" i="41"/>
  <c r="D50" i="42"/>
  <c r="E171" i="42"/>
  <c r="D76" i="41"/>
  <c r="D64" i="44"/>
  <c r="D84" i="41"/>
  <c r="D69" i="44"/>
  <c r="D98" i="44"/>
  <c r="E142" i="44"/>
  <c r="E212" i="44"/>
  <c r="D32" i="42"/>
  <c r="D61" i="42"/>
  <c r="D102" i="44"/>
  <c r="D36" i="41"/>
  <c r="D107" i="44"/>
  <c r="D44" i="42"/>
  <c r="D63" i="41"/>
  <c r="D78" i="41"/>
  <c r="D103" i="41"/>
  <c r="D20" i="42"/>
  <c r="D72" i="42"/>
  <c r="E96" i="42"/>
  <c r="D131" i="42"/>
  <c r="D22" i="43"/>
  <c r="D31" i="44"/>
  <c r="D39" i="44"/>
  <c r="D75" i="44"/>
  <c r="F105" i="44"/>
  <c r="D130" i="44"/>
  <c r="E54" i="41"/>
  <c r="D21" i="42"/>
  <c r="D46" i="42"/>
  <c r="D52" i="42"/>
  <c r="E57" i="42"/>
  <c r="D66" i="42"/>
  <c r="D81" i="42"/>
  <c r="E20" i="44"/>
  <c r="D46" i="44"/>
  <c r="D83" i="44"/>
  <c r="D97" i="44"/>
  <c r="D110" i="44"/>
  <c r="D82" i="41"/>
  <c r="D108" i="41"/>
  <c r="D75" i="42"/>
  <c r="E98" i="42"/>
  <c r="D31" i="43"/>
  <c r="D36" i="43"/>
  <c r="E72" i="44"/>
  <c r="D101" i="44"/>
  <c r="E106" i="44"/>
  <c r="D125" i="44"/>
  <c r="E58" i="41"/>
  <c r="D68" i="41"/>
  <c r="E197" i="41"/>
  <c r="D41" i="42"/>
  <c r="E82" i="42"/>
  <c r="D91" i="42"/>
  <c r="E100" i="42"/>
  <c r="E20" i="43"/>
  <c r="D38" i="43"/>
  <c r="F21" i="44"/>
  <c r="E42" i="44"/>
  <c r="D77" i="44"/>
  <c r="E107" i="44"/>
  <c r="D144" i="44"/>
  <c r="E37" i="44"/>
  <c r="D65" i="44"/>
  <c r="D85" i="44"/>
  <c r="D95" i="44"/>
  <c r="F107" i="44"/>
  <c r="D31" i="41"/>
  <c r="D70" i="41"/>
  <c r="D85" i="42"/>
  <c r="D94" i="42"/>
  <c r="E21" i="43"/>
  <c r="D26" i="43"/>
  <c r="F37" i="44"/>
  <c r="D44" i="44"/>
  <c r="D78" i="44"/>
  <c r="E104" i="44"/>
  <c r="F108" i="44"/>
  <c r="D127" i="44"/>
  <c r="E36" i="42"/>
  <c r="D51" i="42"/>
  <c r="E64" i="43"/>
  <c r="D23" i="44"/>
  <c r="E28" i="44"/>
  <c r="C242" i="44" s="1"/>
  <c r="F38" i="44"/>
  <c r="D86" i="44"/>
  <c r="D109" i="44"/>
  <c r="D119" i="44"/>
  <c r="D137" i="44"/>
  <c r="E21" i="44"/>
  <c r="F28" i="44"/>
  <c r="D76" i="44"/>
  <c r="D84" i="44"/>
  <c r="D96" i="44"/>
  <c r="E105" i="44"/>
  <c r="F106" i="44"/>
  <c r="D108" i="44"/>
  <c r="D118" i="44"/>
  <c r="D126" i="44"/>
  <c r="D141" i="44"/>
  <c r="E185" i="44"/>
  <c r="F20" i="44"/>
  <c r="D22" i="44"/>
  <c r="D28" i="44"/>
  <c r="D34" i="44"/>
  <c r="F42" i="44"/>
  <c r="E66" i="44"/>
  <c r="E71" i="44"/>
  <c r="F72" i="44"/>
  <c r="D74" i="44"/>
  <c r="E79" i="44"/>
  <c r="D82" i="44"/>
  <c r="D90" i="44"/>
  <c r="D94" i="44"/>
  <c r="D106" i="44"/>
  <c r="D116" i="44"/>
  <c r="D124" i="44"/>
  <c r="D138" i="44"/>
  <c r="D143" i="44"/>
  <c r="C223" i="44"/>
  <c r="D21" i="44"/>
  <c r="D33" i="44"/>
  <c r="D43" i="44"/>
  <c r="D45" i="44"/>
  <c r="D47" i="44"/>
  <c r="D50" i="44"/>
  <c r="D51" i="44"/>
  <c r="D52" i="44"/>
  <c r="F66" i="44"/>
  <c r="D68" i="44"/>
  <c r="F71" i="44"/>
  <c r="D73" i="44"/>
  <c r="F79" i="44"/>
  <c r="D81" i="44"/>
  <c r="D89" i="44"/>
  <c r="D93" i="44"/>
  <c r="D105" i="44"/>
  <c r="E110" i="44"/>
  <c r="D115" i="44"/>
  <c r="D123" i="44"/>
  <c r="D20" i="44"/>
  <c r="D42" i="44"/>
  <c r="E64" i="44"/>
  <c r="D67" i="44"/>
  <c r="D72" i="44"/>
  <c r="D80" i="44"/>
  <c r="D88" i="44"/>
  <c r="D92" i="44"/>
  <c r="D100" i="44"/>
  <c r="D104" i="44"/>
  <c r="E109" i="44"/>
  <c r="F110" i="44"/>
  <c r="D114" i="44"/>
  <c r="D122" i="44"/>
  <c r="D136" i="44"/>
  <c r="E141" i="44"/>
  <c r="C349" i="44"/>
  <c r="E184" i="44"/>
  <c r="E187" i="44"/>
  <c r="D142" i="44"/>
  <c r="D17" i="44"/>
  <c r="D145" i="44" s="1"/>
  <c r="E38" i="44"/>
  <c r="F64" i="44"/>
  <c r="D66" i="44"/>
  <c r="D71" i="44"/>
  <c r="D79" i="44"/>
  <c r="D87" i="44"/>
  <c r="D91" i="44"/>
  <c r="D99" i="44"/>
  <c r="D103" i="44"/>
  <c r="E108" i="44"/>
  <c r="F109" i="44"/>
  <c r="D113" i="44"/>
  <c r="D121" i="44"/>
  <c r="D131" i="44"/>
  <c r="E143" i="44"/>
  <c r="E211" i="44"/>
  <c r="F20" i="43"/>
  <c r="D35" i="43"/>
  <c r="F46" i="43"/>
  <c r="E66" i="43"/>
  <c r="E71" i="43"/>
  <c r="F72" i="43"/>
  <c r="D76" i="43"/>
  <c r="D89" i="43"/>
  <c r="D132" i="43"/>
  <c r="D23" i="43"/>
  <c r="D30" i="43"/>
  <c r="D34" i="43"/>
  <c r="F66" i="43"/>
  <c r="D70" i="43"/>
  <c r="F71" i="43"/>
  <c r="D75" i="43"/>
  <c r="D80" i="43"/>
  <c r="D95" i="43"/>
  <c r="E110" i="43"/>
  <c r="D117" i="43"/>
  <c r="E139" i="43"/>
  <c r="D21" i="43"/>
  <c r="D37" i="43"/>
  <c r="E42" i="43"/>
  <c r="D47" i="43"/>
  <c r="D50" i="43"/>
  <c r="D51" i="43"/>
  <c r="D52" i="43"/>
  <c r="F64" i="43"/>
  <c r="D68" i="43"/>
  <c r="D73" i="43"/>
  <c r="D90" i="43"/>
  <c r="D102" i="43"/>
  <c r="D107" i="43"/>
  <c r="F111" i="43"/>
  <c r="E141" i="43"/>
  <c r="D20" i="43"/>
  <c r="D27" i="43"/>
  <c r="E41" i="43"/>
  <c r="F42" i="43"/>
  <c r="D46" i="43"/>
  <c r="D67" i="43"/>
  <c r="D72" i="43"/>
  <c r="D81" i="43"/>
  <c r="D99" i="43"/>
  <c r="E107" i="43"/>
  <c r="D112" i="43"/>
  <c r="C347" i="43"/>
  <c r="E209" i="43"/>
  <c r="E183" i="43"/>
  <c r="D141" i="43"/>
  <c r="D136" i="43"/>
  <c r="D126" i="43"/>
  <c r="D118" i="43"/>
  <c r="F112" i="43"/>
  <c r="E111" i="43"/>
  <c r="D108" i="43"/>
  <c r="E140" i="43"/>
  <c r="D127" i="43"/>
  <c r="D119" i="43"/>
  <c r="E112" i="43"/>
  <c r="D109" i="43"/>
  <c r="D96" i="43"/>
  <c r="D91" i="43"/>
  <c r="D83" i="43"/>
  <c r="F79" i="43"/>
  <c r="C221" i="43"/>
  <c r="E210" i="43"/>
  <c r="D142" i="43"/>
  <c r="D139" i="43"/>
  <c r="D128" i="43"/>
  <c r="D120" i="43"/>
  <c r="D110" i="43"/>
  <c r="D97" i="43"/>
  <c r="D84" i="43"/>
  <c r="E79" i="43"/>
  <c r="D135" i="43"/>
  <c r="D129" i="43"/>
  <c r="D121" i="43"/>
  <c r="D111" i="43"/>
  <c r="F107" i="43"/>
  <c r="D103" i="43"/>
  <c r="D98" i="43"/>
  <c r="D85" i="43"/>
  <c r="E185" i="43"/>
  <c r="D140" i="43"/>
  <c r="D133" i="43"/>
  <c r="D123" i="43"/>
  <c r="D115" i="43"/>
  <c r="F109" i="43"/>
  <c r="E108" i="43"/>
  <c r="D105" i="43"/>
  <c r="D100" i="43"/>
  <c r="D92" i="43"/>
  <c r="D87" i="43"/>
  <c r="D134" i="43"/>
  <c r="D124" i="43"/>
  <c r="D116" i="43"/>
  <c r="F110" i="43"/>
  <c r="E109" i="43"/>
  <c r="D106" i="43"/>
  <c r="D101" i="43"/>
  <c r="D93" i="43"/>
  <c r="D17" i="43"/>
  <c r="D143" i="43" s="1"/>
  <c r="F41" i="43"/>
  <c r="D66" i="43"/>
  <c r="D71" i="43"/>
  <c r="D79" i="43"/>
  <c r="D88" i="43"/>
  <c r="D65" i="43"/>
  <c r="D69" i="43"/>
  <c r="D78" i="43"/>
  <c r="D86" i="43"/>
  <c r="D104" i="43"/>
  <c r="F108" i="43"/>
  <c r="F21" i="43"/>
  <c r="D43" i="43"/>
  <c r="E46" i="43"/>
  <c r="D64" i="43"/>
  <c r="E72" i="43"/>
  <c r="D77" i="43"/>
  <c r="D82" i="43"/>
  <c r="D94" i="43"/>
  <c r="D125" i="43"/>
  <c r="E182" i="43"/>
  <c r="D338" i="42"/>
  <c r="D344" i="42"/>
  <c r="D337" i="42"/>
  <c r="D342" i="42" s="1"/>
  <c r="D343" i="42"/>
  <c r="D341" i="42"/>
  <c r="D346" i="42" s="1"/>
  <c r="C207" i="42"/>
  <c r="D339" i="42"/>
  <c r="D133" i="42"/>
  <c r="E131" i="42"/>
  <c r="D130" i="42"/>
  <c r="D117" i="42"/>
  <c r="D109" i="42"/>
  <c r="E101" i="42"/>
  <c r="D99" i="42"/>
  <c r="D336" i="42"/>
  <c r="E195" i="42"/>
  <c r="E174" i="42"/>
  <c r="D121" i="42"/>
  <c r="D101" i="42"/>
  <c r="E95" i="42"/>
  <c r="D93" i="42"/>
  <c r="C333" i="42"/>
  <c r="E196" i="42"/>
  <c r="E130" i="42"/>
  <c r="D118" i="42"/>
  <c r="D115" i="42"/>
  <c r="E99" i="42"/>
  <c r="D89" i="42"/>
  <c r="D77" i="42"/>
  <c r="D69" i="42"/>
  <c r="E63" i="42"/>
  <c r="D58" i="42"/>
  <c r="D132" i="42"/>
  <c r="D104" i="42"/>
  <c r="D96" i="42"/>
  <c r="D90" i="42"/>
  <c r="E84" i="42"/>
  <c r="D82" i="42"/>
  <c r="D78" i="42"/>
  <c r="D70" i="42"/>
  <c r="D62" i="42"/>
  <c r="D59" i="42"/>
  <c r="E21" i="42"/>
  <c r="D127" i="42"/>
  <c r="D87" i="42"/>
  <c r="E20" i="42"/>
  <c r="E41" i="42"/>
  <c r="E54" i="42"/>
  <c r="E59" i="42"/>
  <c r="D68" i="42"/>
  <c r="D74" i="42"/>
  <c r="D80" i="42"/>
  <c r="D84" i="42"/>
  <c r="E172" i="42"/>
  <c r="D38" i="42"/>
  <c r="D43" i="42"/>
  <c r="D45" i="42"/>
  <c r="D65" i="42"/>
  <c r="D71" i="42"/>
  <c r="D95" i="42"/>
  <c r="D97" i="42"/>
  <c r="D105" i="42"/>
  <c r="D107" i="42"/>
  <c r="D113" i="42"/>
  <c r="D63" i="42"/>
  <c r="E62" i="42"/>
  <c r="D76" i="42"/>
  <c r="D86" i="42"/>
  <c r="E132" i="42"/>
  <c r="D23" i="42"/>
  <c r="D31" i="42"/>
  <c r="D67" i="42"/>
  <c r="D73" i="42"/>
  <c r="D79" i="42"/>
  <c r="D83" i="42"/>
  <c r="E97" i="42"/>
  <c r="D17" i="42"/>
  <c r="D134" i="42" s="1"/>
  <c r="D22" i="42"/>
  <c r="D28" i="42"/>
  <c r="D33" i="42"/>
  <c r="E37" i="42"/>
  <c r="E53" i="42"/>
  <c r="D57" i="42"/>
  <c r="D64" i="42"/>
  <c r="E70" i="42"/>
  <c r="D88" i="42"/>
  <c r="D92" i="42"/>
  <c r="D98" i="42"/>
  <c r="D106" i="42"/>
  <c r="D108" i="42"/>
  <c r="D112" i="42"/>
  <c r="D114" i="42"/>
  <c r="D116" i="42"/>
  <c r="D122" i="42"/>
  <c r="D340" i="42"/>
  <c r="E55" i="41"/>
  <c r="E60" i="41"/>
  <c r="D58" i="41"/>
  <c r="D60" i="41"/>
  <c r="E63" i="41"/>
  <c r="D74" i="41"/>
  <c r="D89" i="41"/>
  <c r="D126" i="41"/>
  <c r="D22" i="41"/>
  <c r="D35" i="41"/>
  <c r="D43" i="41"/>
  <c r="D69" i="41"/>
  <c r="D71" i="41"/>
  <c r="D92" i="41"/>
  <c r="D97" i="41"/>
  <c r="E129" i="41"/>
  <c r="D26" i="41"/>
  <c r="E71" i="41"/>
  <c r="D90" i="41"/>
  <c r="D95" i="41"/>
  <c r="D109" i="41"/>
  <c r="D59" i="41"/>
  <c r="E64" i="41"/>
  <c r="D102" i="41"/>
  <c r="D347" i="41"/>
  <c r="D343" i="41"/>
  <c r="D339" i="41"/>
  <c r="D346" i="41"/>
  <c r="D342" i="41"/>
  <c r="C336" i="41"/>
  <c r="D344" i="41"/>
  <c r="D349" i="41" s="1"/>
  <c r="C210" i="41"/>
  <c r="D132" i="41"/>
  <c r="D129" i="41"/>
  <c r="D120" i="41"/>
  <c r="D112" i="41"/>
  <c r="D341" i="41"/>
  <c r="D340" i="41"/>
  <c r="D345" i="41" s="1"/>
  <c r="D130" i="41"/>
  <c r="D125" i="41"/>
  <c r="D115" i="41"/>
  <c r="D107" i="41"/>
  <c r="E170" i="41"/>
  <c r="E131" i="41"/>
  <c r="D121" i="41"/>
  <c r="D118" i="41"/>
  <c r="D104" i="41"/>
  <c r="D96" i="41"/>
  <c r="D91" i="41"/>
  <c r="E84" i="41"/>
  <c r="D116" i="41"/>
  <c r="D113" i="41"/>
  <c r="D110" i="41"/>
  <c r="D98" i="41"/>
  <c r="D93" i="41"/>
  <c r="E86" i="41"/>
  <c r="D85" i="41"/>
  <c r="D80" i="41"/>
  <c r="D72" i="41"/>
  <c r="D64" i="41"/>
  <c r="D61" i="41"/>
  <c r="D46" i="41"/>
  <c r="D27" i="41"/>
  <c r="D20" i="41"/>
  <c r="E198" i="41"/>
  <c r="D124" i="41"/>
  <c r="D119" i="41"/>
  <c r="D99" i="41"/>
  <c r="D94" i="41"/>
  <c r="D86" i="41"/>
  <c r="D81" i="41"/>
  <c r="D73" i="41"/>
  <c r="D65" i="41"/>
  <c r="D53" i="41"/>
  <c r="D52" i="41"/>
  <c r="D51" i="41"/>
  <c r="D50" i="41"/>
  <c r="D47" i="41"/>
  <c r="D37" i="41"/>
  <c r="D21" i="41"/>
  <c r="E173" i="41"/>
  <c r="E171" i="41"/>
  <c r="D117" i="41"/>
  <c r="D111" i="41"/>
  <c r="D101" i="41"/>
  <c r="D88" i="41"/>
  <c r="D83" i="41"/>
  <c r="D75" i="41"/>
  <c r="D67" i="41"/>
  <c r="D62" i="41"/>
  <c r="D34" i="41"/>
  <c r="D30" i="41"/>
  <c r="D23" i="41"/>
  <c r="D17" i="41"/>
  <c r="D133" i="41" s="1"/>
  <c r="D38" i="41"/>
  <c r="D66" i="41"/>
  <c r="D77" i="41"/>
  <c r="D79" i="41"/>
  <c r="D100" i="41"/>
  <c r="E130" i="41"/>
  <c r="B141" i="21"/>
  <c r="E87" i="41" l="1"/>
  <c r="C344" i="41" s="1"/>
  <c r="C349" i="41" s="1"/>
  <c r="E145" i="41"/>
  <c r="E77" i="41"/>
  <c r="E78" i="41"/>
  <c r="E80" i="41"/>
  <c r="C227" i="41" s="1"/>
  <c r="E119" i="41"/>
  <c r="C212" i="41"/>
  <c r="E91" i="41"/>
  <c r="E93" i="41" s="1"/>
  <c r="C221" i="41" s="1"/>
  <c r="E113" i="41"/>
  <c r="E114" i="41"/>
  <c r="E149" i="41"/>
  <c r="E160" i="41"/>
  <c r="E116" i="41"/>
  <c r="E65" i="41"/>
  <c r="E81" i="41"/>
  <c r="C228" i="41" s="1"/>
  <c r="E155" i="41"/>
  <c r="C350" i="43"/>
  <c r="G368" i="43" s="1"/>
  <c r="C223" i="43"/>
  <c r="C227" i="43"/>
  <c r="C354" i="43"/>
  <c r="C336" i="42"/>
  <c r="D354" i="42" s="1"/>
  <c r="C209" i="42"/>
  <c r="C343" i="42"/>
  <c r="C219" i="42"/>
  <c r="C212" i="42"/>
  <c r="D319" i="42" s="1"/>
  <c r="C339" i="42"/>
  <c r="C213" i="42"/>
  <c r="C340" i="42"/>
  <c r="C342" i="41"/>
  <c r="C215" i="41"/>
  <c r="D259" i="41" s="1"/>
  <c r="C216" i="41"/>
  <c r="C343" i="41"/>
  <c r="C359" i="44"/>
  <c r="C235" i="44"/>
  <c r="C353" i="43"/>
  <c r="C226" i="43"/>
  <c r="D337" i="43" s="1"/>
  <c r="C352" i="44"/>
  <c r="D366" i="44" s="1"/>
  <c r="C225" i="44"/>
  <c r="C231" i="43"/>
  <c r="C358" i="43"/>
  <c r="C355" i="44"/>
  <c r="C228" i="44"/>
  <c r="D306" i="44" s="1"/>
  <c r="C233" i="43"/>
  <c r="C357" i="43"/>
  <c r="C356" i="44"/>
  <c r="C229" i="44"/>
  <c r="F101" i="44"/>
  <c r="F103" i="44"/>
  <c r="F102" i="44"/>
  <c r="F104" i="43"/>
  <c r="F103" i="43"/>
  <c r="F105" i="43"/>
  <c r="E104" i="43"/>
  <c r="E105" i="43"/>
  <c r="E103" i="43"/>
  <c r="E103" i="44"/>
  <c r="E102" i="44"/>
  <c r="E101" i="44"/>
  <c r="E92" i="42"/>
  <c r="E94" i="42"/>
  <c r="E93" i="42"/>
  <c r="D299" i="41"/>
  <c r="D1382" i="44"/>
  <c r="D1374" i="44"/>
  <c r="D1366" i="44"/>
  <c r="D1358" i="44"/>
  <c r="D1350" i="44"/>
  <c r="D1342" i="44"/>
  <c r="D1334" i="44"/>
  <c r="D1326" i="44"/>
  <c r="D1318" i="44"/>
  <c r="D1310" i="44"/>
  <c r="D1302" i="44"/>
  <c r="D1294" i="44"/>
  <c r="D1286" i="44"/>
  <c r="D1278" i="44"/>
  <c r="D1270" i="44"/>
  <c r="D1262" i="44"/>
  <c r="D1254" i="44"/>
  <c r="D1246" i="44"/>
  <c r="D1238" i="44"/>
  <c r="D1230" i="44"/>
  <c r="D1222" i="44"/>
  <c r="D1214" i="44"/>
  <c r="D1206" i="44"/>
  <c r="D1198" i="44"/>
  <c r="D1190" i="44"/>
  <c r="D1182" i="44"/>
  <c r="D1174" i="44"/>
  <c r="D1166" i="44"/>
  <c r="D1158" i="44"/>
  <c r="D1150" i="44"/>
  <c r="D1142" i="44"/>
  <c r="D1134" i="44"/>
  <c r="D1126" i="44"/>
  <c r="D1118" i="44"/>
  <c r="D1110" i="44"/>
  <c r="D1102" i="44"/>
  <c r="D1094" i="44"/>
  <c r="D1086" i="44"/>
  <c r="D1078" i="44"/>
  <c r="D1070" i="44"/>
  <c r="D1062" i="44"/>
  <c r="D1054" i="44"/>
  <c r="D1046" i="44"/>
  <c r="D1038" i="44"/>
  <c r="D1030" i="44"/>
  <c r="D1022" i="44"/>
  <c r="D1014" i="44"/>
  <c r="D1006" i="44"/>
  <c r="D998" i="44"/>
  <c r="D990" i="44"/>
  <c r="D982" i="44"/>
  <c r="D974" i="44"/>
  <c r="D966" i="44"/>
  <c r="D958" i="44"/>
  <c r="D950" i="44"/>
  <c r="D942" i="44"/>
  <c r="D934" i="44"/>
  <c r="D926" i="44"/>
  <c r="D918" i="44"/>
  <c r="D910" i="44"/>
  <c r="D902" i="44"/>
  <c r="D894" i="44"/>
  <c r="D886" i="44"/>
  <c r="D878" i="44"/>
  <c r="D870" i="44"/>
  <c r="D862" i="44"/>
  <c r="D854" i="44"/>
  <c r="D846" i="44"/>
  <c r="D838" i="44"/>
  <c r="D830" i="44"/>
  <c r="D822" i="44"/>
  <c r="D814" i="44"/>
  <c r="D806" i="44"/>
  <c r="D798" i="44"/>
  <c r="D790" i="44"/>
  <c r="D782" i="44"/>
  <c r="D774" i="44"/>
  <c r="D766" i="44"/>
  <c r="D758" i="44"/>
  <c r="D750" i="44"/>
  <c r="D742" i="44"/>
  <c r="D734" i="44"/>
  <c r="D726" i="44"/>
  <c r="D718" i="44"/>
  <c r="D710" i="44"/>
  <c r="D1381" i="44"/>
  <c r="D1373" i="44"/>
  <c r="D1365" i="44"/>
  <c r="D1357" i="44"/>
  <c r="D1349" i="44"/>
  <c r="D1341" i="44"/>
  <c r="D1333" i="44"/>
  <c r="D1325" i="44"/>
  <c r="D1317" i="44"/>
  <c r="D1309" i="44"/>
  <c r="D1301" i="44"/>
  <c r="D1293" i="44"/>
  <c r="D1285" i="44"/>
  <c r="D1277" i="44"/>
  <c r="D1269" i="44"/>
  <c r="D1261" i="44"/>
  <c r="D1253" i="44"/>
  <c r="D1245" i="44"/>
  <c r="D1237" i="44"/>
  <c r="D1229" i="44"/>
  <c r="D1221" i="44"/>
  <c r="D1213" i="44"/>
  <c r="D1205" i="44"/>
  <c r="D1197" i="44"/>
  <c r="D1189" i="44"/>
  <c r="D1181" i="44"/>
  <c r="D1173" i="44"/>
  <c r="D1165" i="44"/>
  <c r="D1157" i="44"/>
  <c r="D1149" i="44"/>
  <c r="D1141" i="44"/>
  <c r="D1133" i="44"/>
  <c r="D1125" i="44"/>
  <c r="D1117" i="44"/>
  <c r="D1109" i="44"/>
  <c r="D1101" i="44"/>
  <c r="D1093" i="44"/>
  <c r="D1085" i="44"/>
  <c r="D1077" i="44"/>
  <c r="D1069" i="44"/>
  <c r="D1061" i="44"/>
  <c r="D1053" i="44"/>
  <c r="D1045" i="44"/>
  <c r="D1037" i="44"/>
  <c r="D1029" i="44"/>
  <c r="D1021" i="44"/>
  <c r="D1013" i="44"/>
  <c r="D1005" i="44"/>
  <c r="D997" i="44"/>
  <c r="D989" i="44"/>
  <c r="D981" i="44"/>
  <c r="D973" i="44"/>
  <c r="D965" i="44"/>
  <c r="D957" i="44"/>
  <c r="D949" i="44"/>
  <c r="D941" i="44"/>
  <c r="D933" i="44"/>
  <c r="D925" i="44"/>
  <c r="D917" i="44"/>
  <c r="D909" i="44"/>
  <c r="D901" i="44"/>
  <c r="D893" i="44"/>
  <c r="D885" i="44"/>
  <c r="D877" i="44"/>
  <c r="D869" i="44"/>
  <c r="D861" i="44"/>
  <c r="D853" i="44"/>
  <c r="D845" i="44"/>
  <c r="D837" i="44"/>
  <c r="D829" i="44"/>
  <c r="D821" i="44"/>
  <c r="D813" i="44"/>
  <c r="D805" i="44"/>
  <c r="D797" i="44"/>
  <c r="D789" i="44"/>
  <c r="D781" i="44"/>
  <c r="D773" i="44"/>
  <c r="D765" i="44"/>
  <c r="D757" i="44"/>
  <c r="D749" i="44"/>
  <c r="D741" i="44"/>
  <c r="D733" i="44"/>
  <c r="D725" i="44"/>
  <c r="D717" i="44"/>
  <c r="D709" i="44"/>
  <c r="D1380" i="44"/>
  <c r="D1372" i="44"/>
  <c r="D1364" i="44"/>
  <c r="D1356" i="44"/>
  <c r="D1348" i="44"/>
  <c r="D1340" i="44"/>
  <c r="D1332" i="44"/>
  <c r="D1324" i="44"/>
  <c r="D1316" i="44"/>
  <c r="D1308" i="44"/>
  <c r="D1300" i="44"/>
  <c r="D1292" i="44"/>
  <c r="D1284" i="44"/>
  <c r="D1276" i="44"/>
  <c r="D1268" i="44"/>
  <c r="D1260" i="44"/>
  <c r="D1252" i="44"/>
  <c r="D1244" i="44"/>
  <c r="D1236" i="44"/>
  <c r="D1228" i="44"/>
  <c r="D1220" i="44"/>
  <c r="D1212" i="44"/>
  <c r="D1204" i="44"/>
  <c r="D1196" i="44"/>
  <c r="D1188" i="44"/>
  <c r="D1180" i="44"/>
  <c r="D1172" i="44"/>
  <c r="D1164" i="44"/>
  <c r="D1156" i="44"/>
  <c r="D1148" i="44"/>
  <c r="D1140" i="44"/>
  <c r="D1132" i="44"/>
  <c r="D1124" i="44"/>
  <c r="D1116" i="44"/>
  <c r="D1108" i="44"/>
  <c r="D1100" i="44"/>
  <c r="D1092" i="44"/>
  <c r="D1084" i="44"/>
  <c r="D1076" i="44"/>
  <c r="D1068" i="44"/>
  <c r="D1060" i="44"/>
  <c r="D1052" i="44"/>
  <c r="D1044" i="44"/>
  <c r="D1036" i="44"/>
  <c r="D1028" i="44"/>
  <c r="D1020" i="44"/>
  <c r="D1012" i="44"/>
  <c r="D1004" i="44"/>
  <c r="D996" i="44"/>
  <c r="D988" i="44"/>
  <c r="D980" i="44"/>
  <c r="D972" i="44"/>
  <c r="D964" i="44"/>
  <c r="D956" i="44"/>
  <c r="D948" i="44"/>
  <c r="D940" i="44"/>
  <c r="D932" i="44"/>
  <c r="D924" i="44"/>
  <c r="D916" i="44"/>
  <c r="D908" i="44"/>
  <c r="D900" i="44"/>
  <c r="D892" i="44"/>
  <c r="D884" i="44"/>
  <c r="D876" i="44"/>
  <c r="D868" i="44"/>
  <c r="D860" i="44"/>
  <c r="D852" i="44"/>
  <c r="D844" i="44"/>
  <c r="D836" i="44"/>
  <c r="D828" i="44"/>
  <c r="D820" i="44"/>
  <c r="D812" i="44"/>
  <c r="D804" i="44"/>
  <c r="D796" i="44"/>
  <c r="D788" i="44"/>
  <c r="D780" i="44"/>
  <c r="D772" i="44"/>
  <c r="D764" i="44"/>
  <c r="D756" i="44"/>
  <c r="D748" i="44"/>
  <c r="D740" i="44"/>
  <c r="D732" i="44"/>
  <c r="D724" i="44"/>
  <c r="D716" i="44"/>
  <c r="D708" i="44"/>
  <c r="D1379" i="44"/>
  <c r="D1371" i="44"/>
  <c r="D1363" i="44"/>
  <c r="D1355" i="44"/>
  <c r="D1347" i="44"/>
  <c r="D1339" i="44"/>
  <c r="D1331" i="44"/>
  <c r="D1323" i="44"/>
  <c r="D1315" i="44"/>
  <c r="D1307" i="44"/>
  <c r="D1299" i="44"/>
  <c r="D1291" i="44"/>
  <c r="D1283" i="44"/>
  <c r="D1275" i="44"/>
  <c r="D1267" i="44"/>
  <c r="D1259" i="44"/>
  <c r="D1251" i="44"/>
  <c r="D1243" i="44"/>
  <c r="D1235" i="44"/>
  <c r="D1227" i="44"/>
  <c r="D1219" i="44"/>
  <c r="D1211" i="44"/>
  <c r="D1203" i="44"/>
  <c r="D1195" i="44"/>
  <c r="D1187" i="44"/>
  <c r="D1179" i="44"/>
  <c r="D1171" i="44"/>
  <c r="D1163" i="44"/>
  <c r="D1155" i="44"/>
  <c r="D1147" i="44"/>
  <c r="D1139" i="44"/>
  <c r="D1131" i="44"/>
  <c r="D1123" i="44"/>
  <c r="D1115" i="44"/>
  <c r="D1107" i="44"/>
  <c r="D1099" i="44"/>
  <c r="D1091" i="44"/>
  <c r="D1083" i="44"/>
  <c r="D1075" i="44"/>
  <c r="D1067" i="44"/>
  <c r="D1059" i="44"/>
  <c r="D1051" i="44"/>
  <c r="D1043" i="44"/>
  <c r="D1035" i="44"/>
  <c r="D1027" i="44"/>
  <c r="D1019" i="44"/>
  <c r="D1011" i="44"/>
  <c r="D1003" i="44"/>
  <c r="D995" i="44"/>
  <c r="D987" i="44"/>
  <c r="D979" i="44"/>
  <c r="D971" i="44"/>
  <c r="D963" i="44"/>
  <c r="D955" i="44"/>
  <c r="D947" i="44"/>
  <c r="D939" i="44"/>
  <c r="D931" i="44"/>
  <c r="D923" i="44"/>
  <c r="D915" i="44"/>
  <c r="D907" i="44"/>
  <c r="D899" i="44"/>
  <c r="D891" i="44"/>
  <c r="D883" i="44"/>
  <c r="D875" i="44"/>
  <c r="D867" i="44"/>
  <c r="D859" i="44"/>
  <c r="D851" i="44"/>
  <c r="D843" i="44"/>
  <c r="D835" i="44"/>
  <c r="D827" i="44"/>
  <c r="D819" i="44"/>
  <c r="D811" i="44"/>
  <c r="D803" i="44"/>
  <c r="D795" i="44"/>
  <c r="D787" i="44"/>
  <c r="D779" i="44"/>
  <c r="D771" i="44"/>
  <c r="D763" i="44"/>
  <c r="D755" i="44"/>
  <c r="D747" i="44"/>
  <c r="D739" i="44"/>
  <c r="D731" i="44"/>
  <c r="D723" i="44"/>
  <c r="D1377" i="44"/>
  <c r="D1369" i="44"/>
  <c r="D1361" i="44"/>
  <c r="D1353" i="44"/>
  <c r="D1345" i="44"/>
  <c r="D1337" i="44"/>
  <c r="D1329" i="44"/>
  <c r="D1321" i="44"/>
  <c r="D1313" i="44"/>
  <c r="D1305" i="44"/>
  <c r="D1297" i="44"/>
  <c r="D1289" i="44"/>
  <c r="D1281" i="44"/>
  <c r="D1273" i="44"/>
  <c r="D1265" i="44"/>
  <c r="D1257" i="44"/>
  <c r="D1249" i="44"/>
  <c r="D1241" i="44"/>
  <c r="D1233" i="44"/>
  <c r="D1225" i="44"/>
  <c r="D1217" i="44"/>
  <c r="D1209" i="44"/>
  <c r="D1201" i="44"/>
  <c r="D1193" i="44"/>
  <c r="D1185" i="44"/>
  <c r="D1177" i="44"/>
  <c r="D1169" i="44"/>
  <c r="D1161" i="44"/>
  <c r="D1153" i="44"/>
  <c r="D1145" i="44"/>
  <c r="D1137" i="44"/>
  <c r="D1129" i="44"/>
  <c r="D1121" i="44"/>
  <c r="D1113" i="44"/>
  <c r="D1105" i="44"/>
  <c r="D1097" i="44"/>
  <c r="D1089" i="44"/>
  <c r="D1081" i="44"/>
  <c r="D1073" i="44"/>
  <c r="D1065" i="44"/>
  <c r="D1057" i="44"/>
  <c r="D1049" i="44"/>
  <c r="D1041" i="44"/>
  <c r="D1033" i="44"/>
  <c r="D1025" i="44"/>
  <c r="D1017" i="44"/>
  <c r="D1009" i="44"/>
  <c r="D1001" i="44"/>
  <c r="D993" i="44"/>
  <c r="D985" i="44"/>
  <c r="D977" i="44"/>
  <c r="D969" i="44"/>
  <c r="D961" i="44"/>
  <c r="D953" i="44"/>
  <c r="D945" i="44"/>
  <c r="D937" i="44"/>
  <c r="D929" i="44"/>
  <c r="D921" i="44"/>
  <c r="D913" i="44"/>
  <c r="D905" i="44"/>
  <c r="D897" i="44"/>
  <c r="D889" i="44"/>
  <c r="D881" i="44"/>
  <c r="D873" i="44"/>
  <c r="D865" i="44"/>
  <c r="D857" i="44"/>
  <c r="D849" i="44"/>
  <c r="D841" i="44"/>
  <c r="D833" i="44"/>
  <c r="D825" i="44"/>
  <c r="D817" i="44"/>
  <c r="D809" i="44"/>
  <c r="D801" i="44"/>
  <c r="D793" i="44"/>
  <c r="D785" i="44"/>
  <c r="D777" i="44"/>
  <c r="D769" i="44"/>
  <c r="D761" i="44"/>
  <c r="D753" i="44"/>
  <c r="D745" i="44"/>
  <c r="D737" i="44"/>
  <c r="D729" i="44"/>
  <c r="D721" i="44"/>
  <c r="D713" i="44"/>
  <c r="D705" i="44"/>
  <c r="D1378" i="44"/>
  <c r="D1359" i="44"/>
  <c r="D1336" i="44"/>
  <c r="D1314" i="44"/>
  <c r="D1295" i="44"/>
  <c r="D1272" i="44"/>
  <c r="D1250" i="44"/>
  <c r="D1231" i="44"/>
  <c r="D1208" i="44"/>
  <c r="D1186" i="44"/>
  <c r="D1167" i="44"/>
  <c r="D1144" i="44"/>
  <c r="D1122" i="44"/>
  <c r="D1103" i="44"/>
  <c r="D1080" i="44"/>
  <c r="D1058" i="44"/>
  <c r="D1039" i="44"/>
  <c r="D1016" i="44"/>
  <c r="D994" i="44"/>
  <c r="D975" i="44"/>
  <c r="D952" i="44"/>
  <c r="D930" i="44"/>
  <c r="D911" i="44"/>
  <c r="D888" i="44"/>
  <c r="D866" i="44"/>
  <c r="D847" i="44"/>
  <c r="D824" i="44"/>
  <c r="D802" i="44"/>
  <c r="D783" i="44"/>
  <c r="D760" i="44"/>
  <c r="D738" i="44"/>
  <c r="D719" i="44"/>
  <c r="D703" i="44"/>
  <c r="D695" i="44"/>
  <c r="D687" i="44"/>
  <c r="D679" i="44"/>
  <c r="D671" i="44"/>
  <c r="D663" i="44"/>
  <c r="D655" i="44"/>
  <c r="D647" i="44"/>
  <c r="D639" i="44"/>
  <c r="D631" i="44"/>
  <c r="D623" i="44"/>
  <c r="D615" i="44"/>
  <c r="D607" i="44"/>
  <c r="D599" i="44"/>
  <c r="D591" i="44"/>
  <c r="D583" i="44"/>
  <c r="D575" i="44"/>
  <c r="D567" i="44"/>
  <c r="D559" i="44"/>
  <c r="D551" i="44"/>
  <c r="D543" i="44"/>
  <c r="D535" i="44"/>
  <c r="D527" i="44"/>
  <c r="D519" i="44"/>
  <c r="D511" i="44"/>
  <c r="D503" i="44"/>
  <c r="D495" i="44"/>
  <c r="D487" i="44"/>
  <c r="D479" i="44"/>
  <c r="D471" i="44"/>
  <c r="D463" i="44"/>
  <c r="D455" i="44"/>
  <c r="D447" i="44"/>
  <c r="D439" i="44"/>
  <c r="D431" i="44"/>
  <c r="D423" i="44"/>
  <c r="D415" i="44"/>
  <c r="D407" i="44"/>
  <c r="D399" i="44"/>
  <c r="D391" i="44"/>
  <c r="D383" i="44"/>
  <c r="D1375" i="44"/>
  <c r="D1352" i="44"/>
  <c r="D1330" i="44"/>
  <c r="D1311" i="44"/>
  <c r="D1288" i="44"/>
  <c r="D1266" i="44"/>
  <c r="D1247" i="44"/>
  <c r="D1224" i="44"/>
  <c r="D1202" i="44"/>
  <c r="D1183" i="44"/>
  <c r="D1160" i="44"/>
  <c r="D1138" i="44"/>
  <c r="D1119" i="44"/>
  <c r="D1096" i="44"/>
  <c r="D1074" i="44"/>
  <c r="D1055" i="44"/>
  <c r="D1032" i="44"/>
  <c r="D1010" i="44"/>
  <c r="D991" i="44"/>
  <c r="D968" i="44"/>
  <c r="D946" i="44"/>
  <c r="D927" i="44"/>
  <c r="D904" i="44"/>
  <c r="D882" i="44"/>
  <c r="D863" i="44"/>
  <c r="D840" i="44"/>
  <c r="D818" i="44"/>
  <c r="D799" i="44"/>
  <c r="D776" i="44"/>
  <c r="D754" i="44"/>
  <c r="D735" i="44"/>
  <c r="D714" i="44"/>
  <c r="D701" i="44"/>
  <c r="D693" i="44"/>
  <c r="D685" i="44"/>
  <c r="D677" i="44"/>
  <c r="D669" i="44"/>
  <c r="D661" i="44"/>
  <c r="D653" i="44"/>
  <c r="D645" i="44"/>
  <c r="D637" i="44"/>
  <c r="D629" i="44"/>
  <c r="D621" i="44"/>
  <c r="D613" i="44"/>
  <c r="D605" i="44"/>
  <c r="D597" i="44"/>
  <c r="D589" i="44"/>
  <c r="D581" i="44"/>
  <c r="D573" i="44"/>
  <c r="D565" i="44"/>
  <c r="D557" i="44"/>
  <c r="D549" i="44"/>
  <c r="D541" i="44"/>
  <c r="D533" i="44"/>
  <c r="D525" i="44"/>
  <c r="D517" i="44"/>
  <c r="D509" i="44"/>
  <c r="D501" i="44"/>
  <c r="D493" i="44"/>
  <c r="D485" i="44"/>
  <c r="D477" i="44"/>
  <c r="D469" i="44"/>
  <c r="D461" i="44"/>
  <c r="D453" i="44"/>
  <c r="D445" i="44"/>
  <c r="D437" i="44"/>
  <c r="D429" i="44"/>
  <c r="D421" i="44"/>
  <c r="D413" i="44"/>
  <c r="D405" i="44"/>
  <c r="D397" i="44"/>
  <c r="D389" i="44"/>
  <c r="D1370" i="44"/>
  <c r="D1351" i="44"/>
  <c r="D1328" i="44"/>
  <c r="D1306" i="44"/>
  <c r="D1287" i="44"/>
  <c r="D1264" i="44"/>
  <c r="D1242" i="44"/>
  <c r="D1223" i="44"/>
  <c r="D1200" i="44"/>
  <c r="D1178" i="44"/>
  <c r="D1159" i="44"/>
  <c r="D1136" i="44"/>
  <c r="D1114" i="44"/>
  <c r="D1095" i="44"/>
  <c r="D1072" i="44"/>
  <c r="D1050" i="44"/>
  <c r="D1031" i="44"/>
  <c r="D1008" i="44"/>
  <c r="D986" i="44"/>
  <c r="D967" i="44"/>
  <c r="D944" i="44"/>
  <c r="D922" i="44"/>
  <c r="D903" i="44"/>
  <c r="D880" i="44"/>
  <c r="D858" i="44"/>
  <c r="D839" i="44"/>
  <c r="D816" i="44"/>
  <c r="D794" i="44"/>
  <c r="D775" i="44"/>
  <c r="D752" i="44"/>
  <c r="D730" i="44"/>
  <c r="D712" i="44"/>
  <c r="D700" i="44"/>
  <c r="D692" i="44"/>
  <c r="D684" i="44"/>
  <c r="D676" i="44"/>
  <c r="D668" i="44"/>
  <c r="D660" i="44"/>
  <c r="D652" i="44"/>
  <c r="D644" i="44"/>
  <c r="D636" i="44"/>
  <c r="D628" i="44"/>
  <c r="D620" i="44"/>
  <c r="D612" i="44"/>
  <c r="D604" i="44"/>
  <c r="D596" i="44"/>
  <c r="D588" i="44"/>
  <c r="D580" i="44"/>
  <c r="D572" i="44"/>
  <c r="D564" i="44"/>
  <c r="D556" i="44"/>
  <c r="D548" i="44"/>
  <c r="D540" i="44"/>
  <c r="D532" i="44"/>
  <c r="D524" i="44"/>
  <c r="D516" i="44"/>
  <c r="D508" i="44"/>
  <c r="D500" i="44"/>
  <c r="D492" i="44"/>
  <c r="D484" i="44"/>
  <c r="D476" i="44"/>
  <c r="D468" i="44"/>
  <c r="D460" i="44"/>
  <c r="D452" i="44"/>
  <c r="D444" i="44"/>
  <c r="D436" i="44"/>
  <c r="D428" i="44"/>
  <c r="D420" i="44"/>
  <c r="D412" i="44"/>
  <c r="D404" i="44"/>
  <c r="D396" i="44"/>
  <c r="D388" i="44"/>
  <c r="D1368" i="44"/>
  <c r="D1346" i="44"/>
  <c r="D1327" i="44"/>
  <c r="D1304" i="44"/>
  <c r="D1282" i="44"/>
  <c r="D1263" i="44"/>
  <c r="D1240" i="44"/>
  <c r="D1218" i="44"/>
  <c r="D1199" i="44"/>
  <c r="D1176" i="44"/>
  <c r="D1154" i="44"/>
  <c r="D1135" i="44"/>
  <c r="D1112" i="44"/>
  <c r="D1090" i="44"/>
  <c r="D1071" i="44"/>
  <c r="D1048" i="44"/>
  <c r="D1026" i="44"/>
  <c r="D1007" i="44"/>
  <c r="D984" i="44"/>
  <c r="D962" i="44"/>
  <c r="D943" i="44"/>
  <c r="D920" i="44"/>
  <c r="D898" i="44"/>
  <c r="D879" i="44"/>
  <c r="D856" i="44"/>
  <c r="D834" i="44"/>
  <c r="D815" i="44"/>
  <c r="D792" i="44"/>
  <c r="D770" i="44"/>
  <c r="D751" i="44"/>
  <c r="D728" i="44"/>
  <c r="D711" i="44"/>
  <c r="D699" i="44"/>
  <c r="D691" i="44"/>
  <c r="D683" i="44"/>
  <c r="D675" i="44"/>
  <c r="D667" i="44"/>
  <c r="D659" i="44"/>
  <c r="D651" i="44"/>
  <c r="D643" i="44"/>
  <c r="D635" i="44"/>
  <c r="D627" i="44"/>
  <c r="D619" i="44"/>
  <c r="D611" i="44"/>
  <c r="D603" i="44"/>
  <c r="D595" i="44"/>
  <c r="D587" i="44"/>
  <c r="D579" i="44"/>
  <c r="D571" i="44"/>
  <c r="D563" i="44"/>
  <c r="D555" i="44"/>
  <c r="D547" i="44"/>
  <c r="D539" i="44"/>
  <c r="D531" i="44"/>
  <c r="D523" i="44"/>
  <c r="D515" i="44"/>
  <c r="D507" i="44"/>
  <c r="D499" i="44"/>
  <c r="D491" i="44"/>
  <c r="D483" i="44"/>
  <c r="D475" i="44"/>
  <c r="D467" i="44"/>
  <c r="D459" i="44"/>
  <c r="D451" i="44"/>
  <c r="D443" i="44"/>
  <c r="D435" i="44"/>
  <c r="D427" i="44"/>
  <c r="D419" i="44"/>
  <c r="D411" i="44"/>
  <c r="D403" i="44"/>
  <c r="D395" i="44"/>
  <c r="D387" i="44"/>
  <c r="D1367" i="44"/>
  <c r="D1344" i="44"/>
  <c r="D1322" i="44"/>
  <c r="D1303" i="44"/>
  <c r="D1280" i="44"/>
  <c r="D1258" i="44"/>
  <c r="D1239" i="44"/>
  <c r="D1216" i="44"/>
  <c r="D1194" i="44"/>
  <c r="D1175" i="44"/>
  <c r="D1152" i="44"/>
  <c r="D1130" i="44"/>
  <c r="D1111" i="44"/>
  <c r="D1088" i="44"/>
  <c r="D1066" i="44"/>
  <c r="D1047" i="44"/>
  <c r="D1024" i="44"/>
  <c r="D1002" i="44"/>
  <c r="D983" i="44"/>
  <c r="D960" i="44"/>
  <c r="D938" i="44"/>
  <c r="D919" i="44"/>
  <c r="D896" i="44"/>
  <c r="D874" i="44"/>
  <c r="D855" i="44"/>
  <c r="D832" i="44"/>
  <c r="D810" i="44"/>
  <c r="D791" i="44"/>
  <c r="D768" i="44"/>
  <c r="D746" i="44"/>
  <c r="D727" i="44"/>
  <c r="D707" i="44"/>
  <c r="D698" i="44"/>
  <c r="D690" i="44"/>
  <c r="D682" i="44"/>
  <c r="D674" i="44"/>
  <c r="D666" i="44"/>
  <c r="D658" i="44"/>
  <c r="D650" i="44"/>
  <c r="D642" i="44"/>
  <c r="D634" i="44"/>
  <c r="D626" i="44"/>
  <c r="D618" i="44"/>
  <c r="D610" i="44"/>
  <c r="D602" i="44"/>
  <c r="D594" i="44"/>
  <c r="D586" i="44"/>
  <c r="D578" i="44"/>
  <c r="D570" i="44"/>
  <c r="D562" i="44"/>
  <c r="D554" i="44"/>
  <c r="D546" i="44"/>
  <c r="D538" i="44"/>
  <c r="D530" i="44"/>
  <c r="D522" i="44"/>
  <c r="D514" i="44"/>
  <c r="D506" i="44"/>
  <c r="D498" i="44"/>
  <c r="D490" i="44"/>
  <c r="D482" i="44"/>
  <c r="D474" i="44"/>
  <c r="D466" i="44"/>
  <c r="D458" i="44"/>
  <c r="D450" i="44"/>
  <c r="D442" i="44"/>
  <c r="D434" i="44"/>
  <c r="D426" i="44"/>
  <c r="D418" i="44"/>
  <c r="D410" i="44"/>
  <c r="D402" i="44"/>
  <c r="D394" i="44"/>
  <c r="D386" i="44"/>
  <c r="D1376" i="44"/>
  <c r="D1319" i="44"/>
  <c r="D1256" i="44"/>
  <c r="D1207" i="44"/>
  <c r="D1146" i="44"/>
  <c r="D1087" i="44"/>
  <c r="D1034" i="44"/>
  <c r="D976" i="44"/>
  <c r="D914" i="44"/>
  <c r="D864" i="44"/>
  <c r="D807" i="44"/>
  <c r="D744" i="44"/>
  <c r="D702" i="44"/>
  <c r="D680" i="44"/>
  <c r="D657" i="44"/>
  <c r="D638" i="44"/>
  <c r="D616" i="44"/>
  <c r="D593" i="44"/>
  <c r="D574" i="44"/>
  <c r="D552" i="44"/>
  <c r="D529" i="44"/>
  <c r="D510" i="44"/>
  <c r="D488" i="44"/>
  <c r="D465" i="44"/>
  <c r="D446" i="44"/>
  <c r="D424" i="44"/>
  <c r="D401" i="44"/>
  <c r="D1360" i="44"/>
  <c r="D1298" i="44"/>
  <c r="D1248" i="44"/>
  <c r="D1191" i="44"/>
  <c r="D1128" i="44"/>
  <c r="D1079" i="44"/>
  <c r="D1018" i="44"/>
  <c r="D959" i="44"/>
  <c r="D906" i="44"/>
  <c r="D848" i="44"/>
  <c r="D786" i="44"/>
  <c r="D736" i="44"/>
  <c r="D696" i="44"/>
  <c r="D673" i="44"/>
  <c r="D654" i="44"/>
  <c r="D632" i="44"/>
  <c r="D609" i="44"/>
  <c r="D590" i="44"/>
  <c r="D568" i="44"/>
  <c r="D545" i="44"/>
  <c r="D526" i="44"/>
  <c r="D504" i="44"/>
  <c r="D481" i="44"/>
  <c r="D462" i="44"/>
  <c r="D440" i="44"/>
  <c r="D417" i="44"/>
  <c r="D398" i="44"/>
  <c r="D1354" i="44"/>
  <c r="D1296" i="44"/>
  <c r="D1234" i="44"/>
  <c r="D1184" i="44"/>
  <c r="D1127" i="44"/>
  <c r="D1064" i="44"/>
  <c r="D1015" i="44"/>
  <c r="D954" i="44"/>
  <c r="D895" i="44"/>
  <c r="D842" i="44"/>
  <c r="D784" i="44"/>
  <c r="D722" i="44"/>
  <c r="D694" i="44"/>
  <c r="D672" i="44"/>
  <c r="D649" i="44"/>
  <c r="D630" i="44"/>
  <c r="D608" i="44"/>
  <c r="D585" i="44"/>
  <c r="D566" i="44"/>
  <c r="D544" i="44"/>
  <c r="D521" i="44"/>
  <c r="D502" i="44"/>
  <c r="D480" i="44"/>
  <c r="D457" i="44"/>
  <c r="D438" i="44"/>
  <c r="D416" i="44"/>
  <c r="D393" i="44"/>
  <c r="D1343" i="44"/>
  <c r="D1290" i="44"/>
  <c r="D1232" i="44"/>
  <c r="D1170" i="44"/>
  <c r="D1120" i="44"/>
  <c r="D1063" i="44"/>
  <c r="D1000" i="44"/>
  <c r="D951" i="44"/>
  <c r="D890" i="44"/>
  <c r="D831" i="44"/>
  <c r="D778" i="44"/>
  <c r="D720" i="44"/>
  <c r="D689" i="44"/>
  <c r="D670" i="44"/>
  <c r="D648" i="44"/>
  <c r="D625" i="44"/>
  <c r="D606" i="44"/>
  <c r="D584" i="44"/>
  <c r="D561" i="44"/>
  <c r="D542" i="44"/>
  <c r="D520" i="44"/>
  <c r="D497" i="44"/>
  <c r="D478" i="44"/>
  <c r="D456" i="44"/>
  <c r="D433" i="44"/>
  <c r="D414" i="44"/>
  <c r="D392" i="44"/>
  <c r="D1338" i="44"/>
  <c r="D1279" i="44"/>
  <c r="D1226" i="44"/>
  <c r="D1168" i="44"/>
  <c r="D1106" i="44"/>
  <c r="D1056" i="44"/>
  <c r="D999" i="44"/>
  <c r="D936" i="44"/>
  <c r="D887" i="44"/>
  <c r="D826" i="44"/>
  <c r="D767" i="44"/>
  <c r="D715" i="44"/>
  <c r="D688" i="44"/>
  <c r="D665" i="44"/>
  <c r="D646" i="44"/>
  <c r="D624" i="44"/>
  <c r="D601" i="44"/>
  <c r="D582" i="44"/>
  <c r="D560" i="44"/>
  <c r="D537" i="44"/>
  <c r="D518" i="44"/>
  <c r="D496" i="44"/>
  <c r="D473" i="44"/>
  <c r="D454" i="44"/>
  <c r="D432" i="44"/>
  <c r="D409" i="44"/>
  <c r="D390" i="44"/>
  <c r="D1320" i="44"/>
  <c r="D1162" i="44"/>
  <c r="D1023" i="44"/>
  <c r="D871" i="44"/>
  <c r="D706" i="44"/>
  <c r="D656" i="44"/>
  <c r="D598" i="44"/>
  <c r="D536" i="44"/>
  <c r="D486" i="44"/>
  <c r="D425" i="44"/>
  <c r="D1312" i="44"/>
  <c r="D1151" i="44"/>
  <c r="D992" i="44"/>
  <c r="D850" i="44"/>
  <c r="D704" i="44"/>
  <c r="D641" i="44"/>
  <c r="D592" i="44"/>
  <c r="D534" i="44"/>
  <c r="D472" i="44"/>
  <c r="D422" i="44"/>
  <c r="D1271" i="44"/>
  <c r="D1104" i="44"/>
  <c r="D970" i="44"/>
  <c r="D808" i="44"/>
  <c r="D686" i="44"/>
  <c r="D633" i="44"/>
  <c r="D576" i="44"/>
  <c r="D513" i="44"/>
  <c r="D464" i="44"/>
  <c r="D406" i="44"/>
  <c r="D1274" i="44"/>
  <c r="D1042" i="44"/>
  <c r="D800" i="44"/>
  <c r="D662" i="44"/>
  <c r="D558" i="44"/>
  <c r="D470" i="44"/>
  <c r="D384" i="44"/>
  <c r="D1255" i="44"/>
  <c r="D1040" i="44"/>
  <c r="D762" i="44"/>
  <c r="D640" i="44"/>
  <c r="D553" i="44"/>
  <c r="D449" i="44"/>
  <c r="D1210" i="44"/>
  <c r="D935" i="44"/>
  <c r="D743" i="44"/>
  <c r="D617" i="44"/>
  <c r="D528" i="44"/>
  <c r="D441" i="44"/>
  <c r="D1362" i="44"/>
  <c r="D928" i="44"/>
  <c r="D664" i="44"/>
  <c r="D505" i="44"/>
  <c r="D1335" i="44"/>
  <c r="D912" i="44"/>
  <c r="D622" i="44"/>
  <c r="D494" i="44"/>
  <c r="D1215" i="44"/>
  <c r="D872" i="44"/>
  <c r="D614" i="44"/>
  <c r="D489" i="44"/>
  <c r="D1192" i="44"/>
  <c r="D823" i="44"/>
  <c r="D600" i="44"/>
  <c r="D448" i="44"/>
  <c r="D1098" i="44"/>
  <c r="D697" i="44"/>
  <c r="D569" i="44"/>
  <c r="D408" i="44"/>
  <c r="D1383" i="44"/>
  <c r="D550" i="44"/>
  <c r="D1143" i="44"/>
  <c r="D512" i="44"/>
  <c r="D1082" i="44"/>
  <c r="D430" i="44"/>
  <c r="D978" i="44"/>
  <c r="D400" i="44"/>
  <c r="D759" i="44"/>
  <c r="D385" i="44"/>
  <c r="D681" i="44"/>
  <c r="D678" i="44"/>
  <c r="D577" i="44"/>
  <c r="C379" i="44"/>
  <c r="C380" i="44" s="1"/>
  <c r="G375" i="44"/>
  <c r="D377" i="44"/>
  <c r="C377" i="44"/>
  <c r="C378" i="44" s="1"/>
  <c r="G376" i="44"/>
  <c r="D375" i="44"/>
  <c r="G380" i="44"/>
  <c r="C375" i="44"/>
  <c r="C376" i="44" s="1"/>
  <c r="D379" i="44"/>
  <c r="G379" i="44"/>
  <c r="D311" i="42"/>
  <c r="D330" i="42"/>
  <c r="D288" i="42"/>
  <c r="D277" i="42"/>
  <c r="D269" i="42"/>
  <c r="D317" i="42"/>
  <c r="D302" i="42"/>
  <c r="D240" i="42"/>
  <c r="D256" i="42"/>
  <c r="D272" i="42"/>
  <c r="D297" i="42"/>
  <c r="D310" i="42"/>
  <c r="D308" i="42"/>
  <c r="D304" i="42"/>
  <c r="D267" i="42"/>
  <c r="D292" i="42"/>
  <c r="D312" i="42"/>
  <c r="D321" i="42"/>
  <c r="D303" i="42"/>
  <c r="D242" i="42"/>
  <c r="D258" i="42"/>
  <c r="D274" i="42"/>
  <c r="D300" i="42"/>
  <c r="D323" i="42"/>
  <c r="D279" i="42"/>
  <c r="D291" i="42"/>
  <c r="D245" i="42"/>
  <c r="D285" i="42"/>
  <c r="D305" i="42"/>
  <c r="D314" i="42"/>
  <c r="D324" i="42"/>
  <c r="D306" i="42"/>
  <c r="D244" i="42"/>
  <c r="D260" i="42"/>
  <c r="D276" i="42"/>
  <c r="D313" i="42"/>
  <c r="D325" i="42"/>
  <c r="D315" i="42"/>
  <c r="D263" i="42"/>
  <c r="D251" i="42"/>
  <c r="D243" i="42"/>
  <c r="D271" i="42"/>
  <c r="D241" i="42"/>
  <c r="D318" i="42"/>
  <c r="D286" i="42"/>
  <c r="D329" i="42"/>
  <c r="D246" i="42"/>
  <c r="D262" i="42"/>
  <c r="D278" i="42"/>
  <c r="D316" i="42"/>
  <c r="D326" i="42"/>
  <c r="D275" i="42"/>
  <c r="D253" i="42"/>
  <c r="D247" i="42"/>
  <c r="D239" i="42"/>
  <c r="D283" i="42"/>
  <c r="D322" i="42"/>
  <c r="D293" i="42"/>
  <c r="D232" i="42"/>
  <c r="D248" i="42"/>
  <c r="D264" i="42"/>
  <c r="D280" i="42"/>
  <c r="D327" i="42"/>
  <c r="D261" i="42"/>
  <c r="D249" i="42"/>
  <c r="D237" i="42"/>
  <c r="D289" i="42"/>
  <c r="D265" i="42"/>
  <c r="D295" i="42"/>
  <c r="D234" i="42"/>
  <c r="D250" i="42"/>
  <c r="D266" i="42"/>
  <c r="D282" i="42"/>
  <c r="D328" i="42"/>
  <c r="D290" i="42"/>
  <c r="D1381" i="43"/>
  <c r="D1373" i="43"/>
  <c r="D1365" i="43"/>
  <c r="D1357" i="43"/>
  <c r="D1349" i="43"/>
  <c r="D1341" i="43"/>
  <c r="D1333" i="43"/>
  <c r="D1325" i="43"/>
  <c r="D1317" i="43"/>
  <c r="D1309" i="43"/>
  <c r="D1301" i="43"/>
  <c r="D1293" i="43"/>
  <c r="D1285" i="43"/>
  <c r="D1277" i="43"/>
  <c r="D1269" i="43"/>
  <c r="D1261" i="43"/>
  <c r="D1253" i="43"/>
  <c r="D1245" i="43"/>
  <c r="D1237" i="43"/>
  <c r="D1229" i="43"/>
  <c r="D1221" i="43"/>
  <c r="D1213" i="43"/>
  <c r="D1205" i="43"/>
  <c r="D1197" i="43"/>
  <c r="D1189" i="43"/>
  <c r="D1181" i="43"/>
  <c r="D1173" i="43"/>
  <c r="D1165" i="43"/>
  <c r="D1157" i="43"/>
  <c r="D1149" i="43"/>
  <c r="D1141" i="43"/>
  <c r="D1133" i="43"/>
  <c r="D1125" i="43"/>
  <c r="D1117" i="43"/>
  <c r="D1109" i="43"/>
  <c r="D1101" i="43"/>
  <c r="D1093" i="43"/>
  <c r="D1085" i="43"/>
  <c r="D1077" i="43"/>
  <c r="D1069" i="43"/>
  <c r="D1061" i="43"/>
  <c r="D1053" i="43"/>
  <c r="D1045" i="43"/>
  <c r="D1037" i="43"/>
  <c r="D1029" i="43"/>
  <c r="D1021" i="43"/>
  <c r="D1013" i="43"/>
  <c r="D1005" i="43"/>
  <c r="D997" i="43"/>
  <c r="D989" i="43"/>
  <c r="D981" i="43"/>
  <c r="D973" i="43"/>
  <c r="D965" i="43"/>
  <c r="D957" i="43"/>
  <c r="D949" i="43"/>
  <c r="D941" i="43"/>
  <c r="D933" i="43"/>
  <c r="D925" i="43"/>
  <c r="D917" i="43"/>
  <c r="D909" i="43"/>
  <c r="D901" i="43"/>
  <c r="D893" i="43"/>
  <c r="D885" i="43"/>
  <c r="D877" i="43"/>
  <c r="D869" i="43"/>
  <c r="D861" i="43"/>
  <c r="D853" i="43"/>
  <c r="D845" i="43"/>
  <c r="D837" i="43"/>
  <c r="D829" i="43"/>
  <c r="D821" i="43"/>
  <c r="D813" i="43"/>
  <c r="D805" i="43"/>
  <c r="D797" i="43"/>
  <c r="D789" i="43"/>
  <c r="D781" i="43"/>
  <c r="D773" i="43"/>
  <c r="D765" i="43"/>
  <c r="D757" i="43"/>
  <c r="D749" i="43"/>
  <c r="D741" i="43"/>
  <c r="D733" i="43"/>
  <c r="D1380" i="43"/>
  <c r="D1372" i="43"/>
  <c r="D1364" i="43"/>
  <c r="D1356" i="43"/>
  <c r="D1348" i="43"/>
  <c r="D1340" i="43"/>
  <c r="D1332" i="43"/>
  <c r="D1324" i="43"/>
  <c r="D1316" i="43"/>
  <c r="D1308" i="43"/>
  <c r="D1300" i="43"/>
  <c r="D1292" i="43"/>
  <c r="D1284" i="43"/>
  <c r="D1276" i="43"/>
  <c r="D1268" i="43"/>
  <c r="D1260" i="43"/>
  <c r="D1252" i="43"/>
  <c r="D1244" i="43"/>
  <c r="D1236" i="43"/>
  <c r="D1228" i="43"/>
  <c r="D1220" i="43"/>
  <c r="D1212" i="43"/>
  <c r="D1204" i="43"/>
  <c r="D1196" i="43"/>
  <c r="D1188" i="43"/>
  <c r="D1180" i="43"/>
  <c r="D1172" i="43"/>
  <c r="D1164" i="43"/>
  <c r="D1156" i="43"/>
  <c r="D1148" i="43"/>
  <c r="D1140" i="43"/>
  <c r="D1132" i="43"/>
  <c r="D1124" i="43"/>
  <c r="D1116" i="43"/>
  <c r="D1108" i="43"/>
  <c r="D1100" i="43"/>
  <c r="D1092" i="43"/>
  <c r="D1084" i="43"/>
  <c r="D1076" i="43"/>
  <c r="D1068" i="43"/>
  <c r="D1060" i="43"/>
  <c r="D1052" i="43"/>
  <c r="D1044" i="43"/>
  <c r="D1036" i="43"/>
  <c r="D1028" i="43"/>
  <c r="D1020" i="43"/>
  <c r="D1012" i="43"/>
  <c r="D1004" i="43"/>
  <c r="D996" i="43"/>
  <c r="D988" i="43"/>
  <c r="D980" i="43"/>
  <c r="D972" i="43"/>
  <c r="D964" i="43"/>
  <c r="D956" i="43"/>
  <c r="D948" i="43"/>
  <c r="D940" i="43"/>
  <c r="D932" i="43"/>
  <c r="D924" i="43"/>
  <c r="D916" i="43"/>
  <c r="D908" i="43"/>
  <c r="D900" i="43"/>
  <c r="D892" i="43"/>
  <c r="D884" i="43"/>
  <c r="D876" i="43"/>
  <c r="D868" i="43"/>
  <c r="D860" i="43"/>
  <c r="D852" i="43"/>
  <c r="D844" i="43"/>
  <c r="D836" i="43"/>
  <c r="D828" i="43"/>
  <c r="D820" i="43"/>
  <c r="D812" i="43"/>
  <c r="D804" i="43"/>
  <c r="D796" i="43"/>
  <c r="D788" i="43"/>
  <c r="D780" i="43"/>
  <c r="D772" i="43"/>
  <c r="D764" i="43"/>
  <c r="D756" i="43"/>
  <c r="D748" i="43"/>
  <c r="D740" i="43"/>
  <c r="D732" i="43"/>
  <c r="D724" i="43"/>
  <c r="D716" i="43"/>
  <c r="D1379" i="43"/>
  <c r="D1371" i="43"/>
  <c r="D1363" i="43"/>
  <c r="D1355" i="43"/>
  <c r="D1347" i="43"/>
  <c r="D1339" i="43"/>
  <c r="D1331" i="43"/>
  <c r="D1323" i="43"/>
  <c r="D1315" i="43"/>
  <c r="D1307" i="43"/>
  <c r="D1299" i="43"/>
  <c r="D1291" i="43"/>
  <c r="D1283" i="43"/>
  <c r="D1275" i="43"/>
  <c r="D1267" i="43"/>
  <c r="D1259" i="43"/>
  <c r="D1251" i="43"/>
  <c r="D1243" i="43"/>
  <c r="D1235" i="43"/>
  <c r="D1227" i="43"/>
  <c r="D1219" i="43"/>
  <c r="D1211" i="43"/>
  <c r="D1203" i="43"/>
  <c r="D1195" i="43"/>
  <c r="D1187" i="43"/>
  <c r="D1179" i="43"/>
  <c r="D1171" i="43"/>
  <c r="D1163" i="43"/>
  <c r="D1155" i="43"/>
  <c r="D1147" i="43"/>
  <c r="D1139" i="43"/>
  <c r="D1131" i="43"/>
  <c r="D1123" i="43"/>
  <c r="D1115" i="43"/>
  <c r="D1107" i="43"/>
  <c r="D1099" i="43"/>
  <c r="D1091" i="43"/>
  <c r="D1083" i="43"/>
  <c r="D1075" i="43"/>
  <c r="D1067" i="43"/>
  <c r="D1059" i="43"/>
  <c r="D1051" i="43"/>
  <c r="D1043" i="43"/>
  <c r="D1035" i="43"/>
  <c r="D1027" i="43"/>
  <c r="D1019" i="43"/>
  <c r="D1011" i="43"/>
  <c r="D1003" i="43"/>
  <c r="D995" i="43"/>
  <c r="D987" i="43"/>
  <c r="D979" i="43"/>
  <c r="D971" i="43"/>
  <c r="D963" i="43"/>
  <c r="D955" i="43"/>
  <c r="D947" i="43"/>
  <c r="D939" i="43"/>
  <c r="D931" i="43"/>
  <c r="D923" i="43"/>
  <c r="D915" i="43"/>
  <c r="D907" i="43"/>
  <c r="D899" i="43"/>
  <c r="D891" i="43"/>
  <c r="D883" i="43"/>
  <c r="D875" i="43"/>
  <c r="D867" i="43"/>
  <c r="D859" i="43"/>
  <c r="D851" i="43"/>
  <c r="D843" i="43"/>
  <c r="D835" i="43"/>
  <c r="D827" i="43"/>
  <c r="D819" i="43"/>
  <c r="D811" i="43"/>
  <c r="D803" i="43"/>
  <c r="D795" i="43"/>
  <c r="D787" i="43"/>
  <c r="D779" i="43"/>
  <c r="D771" i="43"/>
  <c r="D763" i="43"/>
  <c r="D755" i="43"/>
  <c r="D747" i="43"/>
  <c r="D739" i="43"/>
  <c r="D1378" i="43"/>
  <c r="D1370" i="43"/>
  <c r="D1362" i="43"/>
  <c r="D1354" i="43"/>
  <c r="D1346" i="43"/>
  <c r="D1338" i="43"/>
  <c r="D1330" i="43"/>
  <c r="D1322" i="43"/>
  <c r="D1314" i="43"/>
  <c r="D1306" i="43"/>
  <c r="D1298" i="43"/>
  <c r="D1290" i="43"/>
  <c r="D1282" i="43"/>
  <c r="D1274" i="43"/>
  <c r="D1266" i="43"/>
  <c r="D1258" i="43"/>
  <c r="D1250" i="43"/>
  <c r="D1242" i="43"/>
  <c r="D1234" i="43"/>
  <c r="D1226" i="43"/>
  <c r="D1218" i="43"/>
  <c r="D1210" i="43"/>
  <c r="D1202" i="43"/>
  <c r="D1194" i="43"/>
  <c r="D1186" i="43"/>
  <c r="D1178" i="43"/>
  <c r="D1170" i="43"/>
  <c r="D1162" i="43"/>
  <c r="D1154" i="43"/>
  <c r="D1146" i="43"/>
  <c r="D1138" i="43"/>
  <c r="D1130" i="43"/>
  <c r="D1122" i="43"/>
  <c r="D1114" i="43"/>
  <c r="D1106" i="43"/>
  <c r="D1098" i="43"/>
  <c r="D1090" i="43"/>
  <c r="D1082" i="43"/>
  <c r="D1074" i="43"/>
  <c r="D1066" i="43"/>
  <c r="D1058" i="43"/>
  <c r="D1050" i="43"/>
  <c r="D1042" i="43"/>
  <c r="D1034" i="43"/>
  <c r="D1026" i="43"/>
  <c r="D1018" i="43"/>
  <c r="D1010" i="43"/>
  <c r="D1002" i="43"/>
  <c r="D994" i="43"/>
  <c r="D986" i="43"/>
  <c r="D978" i="43"/>
  <c r="D970" i="43"/>
  <c r="D962" i="43"/>
  <c r="D954" i="43"/>
  <c r="D946" i="43"/>
  <c r="D938" i="43"/>
  <c r="D930" i="43"/>
  <c r="D922" i="43"/>
  <c r="D914" i="43"/>
  <c r="D906" i="43"/>
  <c r="D898" i="43"/>
  <c r="D890" i="43"/>
  <c r="D882" i="43"/>
  <c r="D874" i="43"/>
  <c r="D866" i="43"/>
  <c r="D858" i="43"/>
  <c r="D850" i="43"/>
  <c r="D842" i="43"/>
  <c r="D834" i="43"/>
  <c r="D826" i="43"/>
  <c r="D818" i="43"/>
  <c r="D810" i="43"/>
  <c r="D802" i="43"/>
  <c r="D794" i="43"/>
  <c r="D786" i="43"/>
  <c r="D778" i="43"/>
  <c r="D770" i="43"/>
  <c r="D762" i="43"/>
  <c r="D754" i="43"/>
  <c r="D746" i="43"/>
  <c r="D1377" i="43"/>
  <c r="D1369" i="43"/>
  <c r="D1361" i="43"/>
  <c r="D1353" i="43"/>
  <c r="D1345" i="43"/>
  <c r="D1337" i="43"/>
  <c r="D1329" i="43"/>
  <c r="D1321" i="43"/>
  <c r="D1313" i="43"/>
  <c r="D1305" i="43"/>
  <c r="D1297" i="43"/>
  <c r="D1289" i="43"/>
  <c r="D1281" i="43"/>
  <c r="D1273" i="43"/>
  <c r="D1265" i="43"/>
  <c r="D1257" i="43"/>
  <c r="D1249" i="43"/>
  <c r="D1241" i="43"/>
  <c r="D1233" i="43"/>
  <c r="D1225" i="43"/>
  <c r="D1217" i="43"/>
  <c r="D1209" i="43"/>
  <c r="D1201" i="43"/>
  <c r="D1193" i="43"/>
  <c r="D1185" i="43"/>
  <c r="D1177" i="43"/>
  <c r="D1169" i="43"/>
  <c r="D1161" i="43"/>
  <c r="D1153" i="43"/>
  <c r="D1145" i="43"/>
  <c r="D1137" i="43"/>
  <c r="D1129" i="43"/>
  <c r="D1121" i="43"/>
  <c r="D1113" i="43"/>
  <c r="D1105" i="43"/>
  <c r="D1097" i="43"/>
  <c r="D1089" i="43"/>
  <c r="D1081" i="43"/>
  <c r="D1073" i="43"/>
  <c r="D1065" i="43"/>
  <c r="D1057" i="43"/>
  <c r="D1049" i="43"/>
  <c r="D1041" i="43"/>
  <c r="D1033" i="43"/>
  <c r="D1025" i="43"/>
  <c r="D1017" i="43"/>
  <c r="D1009" i="43"/>
  <c r="D1001" i="43"/>
  <c r="D993" i="43"/>
  <c r="D985" i="43"/>
  <c r="D977" i="43"/>
  <c r="D969" i="43"/>
  <c r="D961" i="43"/>
  <c r="D953" i="43"/>
  <c r="D945" i="43"/>
  <c r="D937" i="43"/>
  <c r="D929" i="43"/>
  <c r="D921" i="43"/>
  <c r="D913" i="43"/>
  <c r="D905" i="43"/>
  <c r="D897" i="43"/>
  <c r="D889" i="43"/>
  <c r="D881" i="43"/>
  <c r="D873" i="43"/>
  <c r="D865" i="43"/>
  <c r="D857" i="43"/>
  <c r="D849" i="43"/>
  <c r="D841" i="43"/>
  <c r="D833" i="43"/>
  <c r="D825" i="43"/>
  <c r="D817" i="43"/>
  <c r="D809" i="43"/>
  <c r="D801" i="43"/>
  <c r="D793" i="43"/>
  <c r="D785" i="43"/>
  <c r="D777" i="43"/>
  <c r="D769" i="43"/>
  <c r="D761" i="43"/>
  <c r="D753" i="43"/>
  <c r="D745" i="43"/>
  <c r="D1376" i="43"/>
  <c r="D1368" i="43"/>
  <c r="D1360" i="43"/>
  <c r="D1352" i="43"/>
  <c r="D1344" i="43"/>
  <c r="D1336" i="43"/>
  <c r="D1328" i="43"/>
  <c r="D1320" i="43"/>
  <c r="D1312" i="43"/>
  <c r="D1304" i="43"/>
  <c r="D1296" i="43"/>
  <c r="D1288" i="43"/>
  <c r="D1280" i="43"/>
  <c r="D1272" i="43"/>
  <c r="D1264" i="43"/>
  <c r="D1256" i="43"/>
  <c r="D1248" i="43"/>
  <c r="D1240" i="43"/>
  <c r="D1232" i="43"/>
  <c r="D1224" i="43"/>
  <c r="D1216" i="43"/>
  <c r="D1208" i="43"/>
  <c r="D1200" i="43"/>
  <c r="D1192" i="43"/>
  <c r="D1184" i="43"/>
  <c r="D1176" i="43"/>
  <c r="D1168" i="43"/>
  <c r="D1160" i="43"/>
  <c r="D1152" i="43"/>
  <c r="D1144" i="43"/>
  <c r="D1136" i="43"/>
  <c r="D1128" i="43"/>
  <c r="D1120" i="43"/>
  <c r="D1112" i="43"/>
  <c r="D1104" i="43"/>
  <c r="D1096" i="43"/>
  <c r="D1088" i="43"/>
  <c r="D1080" i="43"/>
  <c r="D1072" i="43"/>
  <c r="D1064" i="43"/>
  <c r="D1056" i="43"/>
  <c r="D1048" i="43"/>
  <c r="D1040" i="43"/>
  <c r="D1032" i="43"/>
  <c r="D1024" i="43"/>
  <c r="D1016" i="43"/>
  <c r="D1008" i="43"/>
  <c r="D1000" i="43"/>
  <c r="D992" i="43"/>
  <c r="D984" i="43"/>
  <c r="D976" i="43"/>
  <c r="D968" i="43"/>
  <c r="D960" i="43"/>
  <c r="D952" i="43"/>
  <c r="D944" i="43"/>
  <c r="D936" i="43"/>
  <c r="D928" i="43"/>
  <c r="D920" i="43"/>
  <c r="D912" i="43"/>
  <c r="D904" i="43"/>
  <c r="D896" i="43"/>
  <c r="D888" i="43"/>
  <c r="D880" i="43"/>
  <c r="D872" i="43"/>
  <c r="D864" i="43"/>
  <c r="D856" i="43"/>
  <c r="D848" i="43"/>
  <c r="D840" i="43"/>
  <c r="D832" i="43"/>
  <c r="D824" i="43"/>
  <c r="D816" i="43"/>
  <c r="D808" i="43"/>
  <c r="D800" i="43"/>
  <c r="D792" i="43"/>
  <c r="D784" i="43"/>
  <c r="D776" i="43"/>
  <c r="D768" i="43"/>
  <c r="D760" i="43"/>
  <c r="D752" i="43"/>
  <c r="D744" i="43"/>
  <c r="D736" i="43"/>
  <c r="D728" i="43"/>
  <c r="D720" i="43"/>
  <c r="D712" i="43"/>
  <c r="D704" i="43"/>
  <c r="D1375" i="43"/>
  <c r="D1367" i="43"/>
  <c r="D1359" i="43"/>
  <c r="D1351" i="43"/>
  <c r="D1343" i="43"/>
  <c r="D1335" i="43"/>
  <c r="D1327" i="43"/>
  <c r="D1319" i="43"/>
  <c r="D1311" i="43"/>
  <c r="D1303" i="43"/>
  <c r="D1295" i="43"/>
  <c r="D1287" i="43"/>
  <c r="D1279" i="43"/>
  <c r="D1271" i="43"/>
  <c r="D1263" i="43"/>
  <c r="D1255" i="43"/>
  <c r="D1247" i="43"/>
  <c r="D1239" i="43"/>
  <c r="D1231" i="43"/>
  <c r="D1223" i="43"/>
  <c r="D1215" i="43"/>
  <c r="D1207" i="43"/>
  <c r="D1199" i="43"/>
  <c r="D1191" i="43"/>
  <c r="D1183" i="43"/>
  <c r="D1175" i="43"/>
  <c r="D1167" i="43"/>
  <c r="D1159" i="43"/>
  <c r="D1151" i="43"/>
  <c r="D1143" i="43"/>
  <c r="D1135" i="43"/>
  <c r="D1127" i="43"/>
  <c r="D1119" i="43"/>
  <c r="D1111" i="43"/>
  <c r="D1103" i="43"/>
  <c r="D1095" i="43"/>
  <c r="D1087" i="43"/>
  <c r="D1079" i="43"/>
  <c r="D1071" i="43"/>
  <c r="D1063" i="43"/>
  <c r="D1055" i="43"/>
  <c r="D1047" i="43"/>
  <c r="D1039" i="43"/>
  <c r="D1031" i="43"/>
  <c r="D1023" i="43"/>
  <c r="D1015" i="43"/>
  <c r="D1007" i="43"/>
  <c r="D999" i="43"/>
  <c r="D991" i="43"/>
  <c r="D983" i="43"/>
  <c r="D975" i="43"/>
  <c r="D967" i="43"/>
  <c r="D959" i="43"/>
  <c r="D951" i="43"/>
  <c r="D943" i="43"/>
  <c r="D935" i="43"/>
  <c r="D927" i="43"/>
  <c r="D919" i="43"/>
  <c r="D911" i="43"/>
  <c r="D903" i="43"/>
  <c r="D895" i="43"/>
  <c r="D887" i="43"/>
  <c r="D879" i="43"/>
  <c r="D871" i="43"/>
  <c r="D863" i="43"/>
  <c r="D855" i="43"/>
  <c r="D847" i="43"/>
  <c r="D839" i="43"/>
  <c r="D831" i="43"/>
  <c r="D823" i="43"/>
  <c r="D815" i="43"/>
  <c r="D807" i="43"/>
  <c r="D799" i="43"/>
  <c r="D791" i="43"/>
  <c r="D783" i="43"/>
  <c r="D775" i="43"/>
  <c r="D767" i="43"/>
  <c r="D759" i="43"/>
  <c r="D751" i="43"/>
  <c r="D743" i="43"/>
  <c r="D735" i="43"/>
  <c r="D727" i="43"/>
  <c r="D719" i="43"/>
  <c r="D1374" i="43"/>
  <c r="D1310" i="43"/>
  <c r="D1246" i="43"/>
  <c r="D1182" i="43"/>
  <c r="D1118" i="43"/>
  <c r="D1054" i="43"/>
  <c r="D990" i="43"/>
  <c r="D926" i="43"/>
  <c r="D862" i="43"/>
  <c r="D798" i="43"/>
  <c r="D738" i="43"/>
  <c r="D723" i="43"/>
  <c r="D711" i="43"/>
  <c r="D702" i="43"/>
  <c r="D694" i="43"/>
  <c r="D686" i="43"/>
  <c r="D678" i="43"/>
  <c r="D670" i="43"/>
  <c r="D662" i="43"/>
  <c r="D654" i="43"/>
  <c r="D646" i="43"/>
  <c r="D638" i="43"/>
  <c r="D630" i="43"/>
  <c r="D622" i="43"/>
  <c r="D614" i="43"/>
  <c r="D606" i="43"/>
  <c r="D598" i="43"/>
  <c r="D590" i="43"/>
  <c r="D582" i="43"/>
  <c r="D574" i="43"/>
  <c r="D566" i="43"/>
  <c r="D558" i="43"/>
  <c r="D550" i="43"/>
  <c r="D542" i="43"/>
  <c r="D534" i="43"/>
  <c r="D526" i="43"/>
  <c r="D518" i="43"/>
  <c r="D510" i="43"/>
  <c r="D502" i="43"/>
  <c r="D494" i="43"/>
  <c r="D486" i="43"/>
  <c r="D478" i="43"/>
  <c r="D470" i="43"/>
  <c r="D462" i="43"/>
  <c r="D454" i="43"/>
  <c r="D446" i="43"/>
  <c r="D438" i="43"/>
  <c r="D430" i="43"/>
  <c r="D422" i="43"/>
  <c r="D414" i="43"/>
  <c r="D406" i="43"/>
  <c r="D398" i="43"/>
  <c r="D390" i="43"/>
  <c r="D382" i="43"/>
  <c r="D1366" i="43"/>
  <c r="D1302" i="43"/>
  <c r="D1238" i="43"/>
  <c r="D1174" i="43"/>
  <c r="D1110" i="43"/>
  <c r="D1046" i="43"/>
  <c r="D982" i="43"/>
  <c r="D918" i="43"/>
  <c r="D854" i="43"/>
  <c r="D790" i="43"/>
  <c r="D737" i="43"/>
  <c r="D722" i="43"/>
  <c r="D710" i="43"/>
  <c r="D701" i="43"/>
  <c r="D693" i="43"/>
  <c r="D685" i="43"/>
  <c r="D677" i="43"/>
  <c r="D669" i="43"/>
  <c r="D661" i="43"/>
  <c r="D653" i="43"/>
  <c r="D645" i="43"/>
  <c r="D637" i="43"/>
  <c r="D629" i="43"/>
  <c r="D621" i="43"/>
  <c r="D613" i="43"/>
  <c r="D605" i="43"/>
  <c r="D597" i="43"/>
  <c r="D589" i="43"/>
  <c r="D581" i="43"/>
  <c r="D573" i="43"/>
  <c r="D565" i="43"/>
  <c r="D557" i="43"/>
  <c r="D549" i="43"/>
  <c r="D541" i="43"/>
  <c r="D533" i="43"/>
  <c r="D525" i="43"/>
  <c r="D517" i="43"/>
  <c r="D509" i="43"/>
  <c r="D501" i="43"/>
  <c r="D493" i="43"/>
  <c r="D485" i="43"/>
  <c r="D477" i="43"/>
  <c r="D469" i="43"/>
  <c r="D461" i="43"/>
  <c r="D453" i="43"/>
  <c r="D445" i="43"/>
  <c r="D437" i="43"/>
  <c r="D429" i="43"/>
  <c r="D421" i="43"/>
  <c r="D413" i="43"/>
  <c r="D405" i="43"/>
  <c r="D397" i="43"/>
  <c r="D389" i="43"/>
  <c r="D381" i="43"/>
  <c r="D1358" i="43"/>
  <c r="D1294" i="43"/>
  <c r="D1230" i="43"/>
  <c r="D1166" i="43"/>
  <c r="D1102" i="43"/>
  <c r="D1038" i="43"/>
  <c r="D974" i="43"/>
  <c r="D910" i="43"/>
  <c r="D846" i="43"/>
  <c r="D782" i="43"/>
  <c r="D734" i="43"/>
  <c r="D721" i="43"/>
  <c r="D709" i="43"/>
  <c r="D700" i="43"/>
  <c r="D692" i="43"/>
  <c r="D684" i="43"/>
  <c r="D676" i="43"/>
  <c r="D668" i="43"/>
  <c r="D660" i="43"/>
  <c r="D652" i="43"/>
  <c r="D644" i="43"/>
  <c r="D636" i="43"/>
  <c r="D628" i="43"/>
  <c r="D620" i="43"/>
  <c r="D612" i="43"/>
  <c r="D604" i="43"/>
  <c r="D596" i="43"/>
  <c r="D588" i="43"/>
  <c r="D580" i="43"/>
  <c r="D572" i="43"/>
  <c r="D564" i="43"/>
  <c r="D556" i="43"/>
  <c r="D548" i="43"/>
  <c r="D540" i="43"/>
  <c r="D532" i="43"/>
  <c r="D524" i="43"/>
  <c r="D516" i="43"/>
  <c r="D508" i="43"/>
  <c r="D500" i="43"/>
  <c r="D492" i="43"/>
  <c r="D484" i="43"/>
  <c r="D476" i="43"/>
  <c r="D468" i="43"/>
  <c r="D460" i="43"/>
  <c r="D452" i="43"/>
  <c r="D444" i="43"/>
  <c r="D436" i="43"/>
  <c r="D428" i="43"/>
  <c r="D420" i="43"/>
  <c r="D412" i="43"/>
  <c r="D404" i="43"/>
  <c r="D396" i="43"/>
  <c r="D388" i="43"/>
  <c r="D1350" i="43"/>
  <c r="D1286" i="43"/>
  <c r="D1222" i="43"/>
  <c r="D1158" i="43"/>
  <c r="D1094" i="43"/>
  <c r="D1030" i="43"/>
  <c r="D966" i="43"/>
  <c r="D902" i="43"/>
  <c r="D838" i="43"/>
  <c r="D774" i="43"/>
  <c r="D731" i="43"/>
  <c r="D718" i="43"/>
  <c r="D708" i="43"/>
  <c r="D699" i="43"/>
  <c r="D691" i="43"/>
  <c r="D683" i="43"/>
  <c r="D675" i="43"/>
  <c r="D667" i="43"/>
  <c r="D659" i="43"/>
  <c r="D651" i="43"/>
  <c r="D643" i="43"/>
  <c r="D635" i="43"/>
  <c r="D627" i="43"/>
  <c r="D619" i="43"/>
  <c r="D611" i="43"/>
  <c r="D603" i="43"/>
  <c r="D595" i="43"/>
  <c r="D587" i="43"/>
  <c r="D579" i="43"/>
  <c r="D571" i="43"/>
  <c r="D563" i="43"/>
  <c r="D555" i="43"/>
  <c r="D547" i="43"/>
  <c r="D539" i="43"/>
  <c r="D531" i="43"/>
  <c r="D523" i="43"/>
  <c r="D515" i="43"/>
  <c r="D507" i="43"/>
  <c r="D499" i="43"/>
  <c r="D491" i="43"/>
  <c r="D483" i="43"/>
  <c r="D475" i="43"/>
  <c r="D467" i="43"/>
  <c r="D459" i="43"/>
  <c r="D451" i="43"/>
  <c r="D443" i="43"/>
  <c r="D435" i="43"/>
  <c r="D427" i="43"/>
  <c r="D419" i="43"/>
  <c r="D411" i="43"/>
  <c r="D403" i="43"/>
  <c r="D395" i="43"/>
  <c r="D387" i="43"/>
  <c r="D1342" i="43"/>
  <c r="D1278" i="43"/>
  <c r="D1214" i="43"/>
  <c r="D1150" i="43"/>
  <c r="D1086" i="43"/>
  <c r="D1022" i="43"/>
  <c r="D958" i="43"/>
  <c r="D894" i="43"/>
  <c r="D830" i="43"/>
  <c r="D766" i="43"/>
  <c r="D730" i="43"/>
  <c r="D717" i="43"/>
  <c r="D707" i="43"/>
  <c r="D698" i="43"/>
  <c r="D690" i="43"/>
  <c r="D682" i="43"/>
  <c r="D674" i="43"/>
  <c r="D666" i="43"/>
  <c r="D658" i="43"/>
  <c r="D650" i="43"/>
  <c r="D642" i="43"/>
  <c r="D634" i="43"/>
  <c r="D626" i="43"/>
  <c r="D618" i="43"/>
  <c r="D610" i="43"/>
  <c r="D602" i="43"/>
  <c r="D594" i="43"/>
  <c r="D586" i="43"/>
  <c r="D578" i="43"/>
  <c r="D570" i="43"/>
  <c r="D562" i="43"/>
  <c r="D554" i="43"/>
  <c r="D546" i="43"/>
  <c r="D538" i="43"/>
  <c r="D530" i="43"/>
  <c r="D522" i="43"/>
  <c r="D514" i="43"/>
  <c r="D506" i="43"/>
  <c r="D498" i="43"/>
  <c r="D490" i="43"/>
  <c r="D482" i="43"/>
  <c r="D474" i="43"/>
  <c r="D466" i="43"/>
  <c r="D458" i="43"/>
  <c r="D450" i="43"/>
  <c r="D442" i="43"/>
  <c r="D434" i="43"/>
  <c r="D426" i="43"/>
  <c r="D418" i="43"/>
  <c r="D410" i="43"/>
  <c r="D402" i="43"/>
  <c r="D394" i="43"/>
  <c r="D386" i="43"/>
  <c r="D1334" i="43"/>
  <c r="D1270" i="43"/>
  <c r="D1206" i="43"/>
  <c r="D1142" i="43"/>
  <c r="D1078" i="43"/>
  <c r="D1014" i="43"/>
  <c r="D950" i="43"/>
  <c r="D886" i="43"/>
  <c r="D822" i="43"/>
  <c r="D758" i="43"/>
  <c r="D729" i="43"/>
  <c r="D715" i="43"/>
  <c r="D706" i="43"/>
  <c r="D697" i="43"/>
  <c r="D689" i="43"/>
  <c r="D681" i="43"/>
  <c r="D673" i="43"/>
  <c r="D665" i="43"/>
  <c r="D657" i="43"/>
  <c r="D649" i="43"/>
  <c r="D641" i="43"/>
  <c r="D633" i="43"/>
  <c r="D625" i="43"/>
  <c r="D617" i="43"/>
  <c r="D609" i="43"/>
  <c r="D601" i="43"/>
  <c r="D593" i="43"/>
  <c r="D585" i="43"/>
  <c r="D577" i="43"/>
  <c r="D569" i="43"/>
  <c r="D561" i="43"/>
  <c r="D553" i="43"/>
  <c r="D545" i="43"/>
  <c r="D537" i="43"/>
  <c r="D529" i="43"/>
  <c r="D521" i="43"/>
  <c r="D513" i="43"/>
  <c r="D505" i="43"/>
  <c r="D497" i="43"/>
  <c r="D489" i="43"/>
  <c r="D481" i="43"/>
  <c r="D473" i="43"/>
  <c r="D465" i="43"/>
  <c r="D457" i="43"/>
  <c r="D449" i="43"/>
  <c r="D441" i="43"/>
  <c r="D433" i="43"/>
  <c r="D425" i="43"/>
  <c r="D417" i="43"/>
  <c r="D409" i="43"/>
  <c r="D401" i="43"/>
  <c r="D393" i="43"/>
  <c r="D385" i="43"/>
  <c r="D1326" i="43"/>
  <c r="D1262" i="43"/>
  <c r="D1198" i="43"/>
  <c r="D1134" i="43"/>
  <c r="D1070" i="43"/>
  <c r="D1006" i="43"/>
  <c r="D942" i="43"/>
  <c r="D878" i="43"/>
  <c r="D814" i="43"/>
  <c r="D750" i="43"/>
  <c r="D726" i="43"/>
  <c r="D714" i="43"/>
  <c r="D705" i="43"/>
  <c r="D696" i="43"/>
  <c r="D688" i="43"/>
  <c r="D680" i="43"/>
  <c r="D672" i="43"/>
  <c r="D664" i="43"/>
  <c r="D656" i="43"/>
  <c r="D648" i="43"/>
  <c r="D640" i="43"/>
  <c r="D632" i="43"/>
  <c r="D624" i="43"/>
  <c r="D616" i="43"/>
  <c r="D608" i="43"/>
  <c r="D600" i="43"/>
  <c r="D592" i="43"/>
  <c r="D584" i="43"/>
  <c r="D576" i="43"/>
  <c r="D568" i="43"/>
  <c r="D560" i="43"/>
  <c r="D552" i="43"/>
  <c r="D544" i="43"/>
  <c r="D536" i="43"/>
  <c r="D528" i="43"/>
  <c r="D520" i="43"/>
  <c r="D512" i="43"/>
  <c r="D504" i="43"/>
  <c r="D496" i="43"/>
  <c r="D488" i="43"/>
  <c r="D480" i="43"/>
  <c r="D472" i="43"/>
  <c r="D464" i="43"/>
  <c r="D456" i="43"/>
  <c r="D448" i="43"/>
  <c r="D440" i="43"/>
  <c r="D432" i="43"/>
  <c r="D424" i="43"/>
  <c r="D416" i="43"/>
  <c r="D408" i="43"/>
  <c r="D400" i="43"/>
  <c r="D392" i="43"/>
  <c r="D384" i="43"/>
  <c r="D1318" i="43"/>
  <c r="D806" i="43"/>
  <c r="D671" i="43"/>
  <c r="D607" i="43"/>
  <c r="D543" i="43"/>
  <c r="D479" i="43"/>
  <c r="D415" i="43"/>
  <c r="D1254" i="43"/>
  <c r="D742" i="43"/>
  <c r="D663" i="43"/>
  <c r="D599" i="43"/>
  <c r="D535" i="43"/>
  <c r="D471" i="43"/>
  <c r="D407" i="43"/>
  <c r="D1190" i="43"/>
  <c r="D725" i="43"/>
  <c r="D655" i="43"/>
  <c r="D591" i="43"/>
  <c r="D527" i="43"/>
  <c r="D463" i="43"/>
  <c r="D399" i="43"/>
  <c r="D1126" i="43"/>
  <c r="D713" i="43"/>
  <c r="D647" i="43"/>
  <c r="D583" i="43"/>
  <c r="D519" i="43"/>
  <c r="D455" i="43"/>
  <c r="D391" i="43"/>
  <c r="D1062" i="43"/>
  <c r="D703" i="43"/>
  <c r="D639" i="43"/>
  <c r="D575" i="43"/>
  <c r="D511" i="43"/>
  <c r="D447" i="43"/>
  <c r="D383" i="43"/>
  <c r="D934" i="43"/>
  <c r="D687" i="43"/>
  <c r="D623" i="43"/>
  <c r="D559" i="43"/>
  <c r="D495" i="43"/>
  <c r="D431" i="43"/>
  <c r="D870" i="43"/>
  <c r="D679" i="43"/>
  <c r="D615" i="43"/>
  <c r="D551" i="43"/>
  <c r="D487" i="43"/>
  <c r="D423" i="43"/>
  <c r="D998" i="43"/>
  <c r="D695" i="43"/>
  <c r="D631" i="43"/>
  <c r="D567" i="43"/>
  <c r="D503" i="43"/>
  <c r="D439" i="43"/>
  <c r="G378" i="43"/>
  <c r="D377" i="43"/>
  <c r="C377" i="43"/>
  <c r="C378" i="43" s="1"/>
  <c r="G373" i="43"/>
  <c r="D375" i="43"/>
  <c r="C375" i="43"/>
  <c r="C376" i="43" s="1"/>
  <c r="G374" i="43"/>
  <c r="D373" i="43"/>
  <c r="C373" i="43"/>
  <c r="C374" i="43" s="1"/>
  <c r="G377" i="43"/>
  <c r="D327" i="41"/>
  <c r="D316" i="41"/>
  <c r="D309" i="42"/>
  <c r="D287" i="42"/>
  <c r="D239" i="41"/>
  <c r="D1364" i="42"/>
  <c r="D1356" i="42"/>
  <c r="D1348" i="42"/>
  <c r="D1340" i="42"/>
  <c r="D1332" i="42"/>
  <c r="D1324" i="42"/>
  <c r="D1316" i="42"/>
  <c r="D1308" i="42"/>
  <c r="D1300" i="42"/>
  <c r="D1292" i="42"/>
  <c r="D1284" i="42"/>
  <c r="D1276" i="42"/>
  <c r="D1268" i="42"/>
  <c r="D1260" i="42"/>
  <c r="D1252" i="42"/>
  <c r="D1244" i="42"/>
  <c r="D1236" i="42"/>
  <c r="D1228" i="42"/>
  <c r="D1220" i="42"/>
  <c r="D1212" i="42"/>
  <c r="D1204" i="42"/>
  <c r="D1196" i="42"/>
  <c r="D1188" i="42"/>
  <c r="D1180" i="42"/>
  <c r="D1172" i="42"/>
  <c r="D1164" i="42"/>
  <c r="D1156" i="42"/>
  <c r="D1148" i="42"/>
  <c r="D1140" i="42"/>
  <c r="D1132" i="42"/>
  <c r="D1124" i="42"/>
  <c r="D1116" i="42"/>
  <c r="D1108" i="42"/>
  <c r="D1100" i="42"/>
  <c r="D1092" i="42"/>
  <c r="D1084" i="42"/>
  <c r="D1076" i="42"/>
  <c r="D1068" i="42"/>
  <c r="D1060" i="42"/>
  <c r="D1052" i="42"/>
  <c r="D1044" i="42"/>
  <c r="D1036" i="42"/>
  <c r="D1028" i="42"/>
  <c r="D1020" i="42"/>
  <c r="D1012" i="42"/>
  <c r="D1004" i="42"/>
  <c r="D996" i="42"/>
  <c r="D988" i="42"/>
  <c r="D980" i="42"/>
  <c r="D972" i="42"/>
  <c r="D964" i="42"/>
  <c r="D956" i="42"/>
  <c r="D948" i="42"/>
  <c r="D940" i="42"/>
  <c r="D932" i="42"/>
  <c r="D924" i="42"/>
  <c r="D916" i="42"/>
  <c r="D908" i="42"/>
  <c r="D900" i="42"/>
  <c r="D892" i="42"/>
  <c r="D884" i="42"/>
  <c r="D876" i="42"/>
  <c r="D868" i="42"/>
  <c r="D860" i="42"/>
  <c r="D852" i="42"/>
  <c r="D844" i="42"/>
  <c r="D836" i="42"/>
  <c r="D828" i="42"/>
  <c r="D820" i="42"/>
  <c r="D812" i="42"/>
  <c r="D804" i="42"/>
  <c r="D796" i="42"/>
  <c r="D788" i="42"/>
  <c r="D780" i="42"/>
  <c r="D772" i="42"/>
  <c r="D764" i="42"/>
  <c r="D756" i="42"/>
  <c r="D748" i="42"/>
  <c r="D740" i="42"/>
  <c r="D732" i="42"/>
  <c r="D724" i="42"/>
  <c r="D716" i="42"/>
  <c r="D708" i="42"/>
  <c r="D700" i="42"/>
  <c r="D692" i="42"/>
  <c r="D1362" i="42"/>
  <c r="D1354" i="42"/>
  <c r="D1346" i="42"/>
  <c r="D1338" i="42"/>
  <c r="D1330" i="42"/>
  <c r="D1322" i="42"/>
  <c r="D1314" i="42"/>
  <c r="D1306" i="42"/>
  <c r="D1298" i="42"/>
  <c r="D1290" i="42"/>
  <c r="D1282" i="42"/>
  <c r="D1274" i="42"/>
  <c r="D1266" i="42"/>
  <c r="D1258" i="42"/>
  <c r="D1250" i="42"/>
  <c r="D1242" i="42"/>
  <c r="D1234" i="42"/>
  <c r="D1226" i="42"/>
  <c r="D1218" i="42"/>
  <c r="D1210" i="42"/>
  <c r="D1202" i="42"/>
  <c r="D1194" i="42"/>
  <c r="D1186" i="42"/>
  <c r="D1178" i="42"/>
  <c r="D1170" i="42"/>
  <c r="D1162" i="42"/>
  <c r="D1154" i="42"/>
  <c r="D1146" i="42"/>
  <c r="D1138" i="42"/>
  <c r="D1130" i="42"/>
  <c r="D1122" i="42"/>
  <c r="D1114" i="42"/>
  <c r="D1106" i="42"/>
  <c r="D1098" i="42"/>
  <c r="D1090" i="42"/>
  <c r="D1082" i="42"/>
  <c r="D1074" i="42"/>
  <c r="D1066" i="42"/>
  <c r="D1058" i="42"/>
  <c r="D1050" i="42"/>
  <c r="D1042" i="42"/>
  <c r="D1034" i="42"/>
  <c r="D1026" i="42"/>
  <c r="D1018" i="42"/>
  <c r="D1010" i="42"/>
  <c r="D1002" i="42"/>
  <c r="D994" i="42"/>
  <c r="D986" i="42"/>
  <c r="D978" i="42"/>
  <c r="D970" i="42"/>
  <c r="D962" i="42"/>
  <c r="D954" i="42"/>
  <c r="D946" i="42"/>
  <c r="D938" i="42"/>
  <c r="D930" i="42"/>
  <c r="D922" i="42"/>
  <c r="D914" i="42"/>
  <c r="D906" i="42"/>
  <c r="D898" i="42"/>
  <c r="D890" i="42"/>
  <c r="D882" i="42"/>
  <c r="D874" i="42"/>
  <c r="D866" i="42"/>
  <c r="D858" i="42"/>
  <c r="D850" i="42"/>
  <c r="D842" i="42"/>
  <c r="D834" i="42"/>
  <c r="D826" i="42"/>
  <c r="D818" i="42"/>
  <c r="D810" i="42"/>
  <c r="D802" i="42"/>
  <c r="D794" i="42"/>
  <c r="D786" i="42"/>
  <c r="D778" i="42"/>
  <c r="D770" i="42"/>
  <c r="D762" i="42"/>
  <c r="D754" i="42"/>
  <c r="D746" i="42"/>
  <c r="D738" i="42"/>
  <c r="D730" i="42"/>
  <c r="D722" i="42"/>
  <c r="D714" i="42"/>
  <c r="D706" i="42"/>
  <c r="D698" i="42"/>
  <c r="D690" i="42"/>
  <c r="D1365" i="42"/>
  <c r="D1353" i="42"/>
  <c r="D1343" i="42"/>
  <c r="D1333" i="42"/>
  <c r="D1321" i="42"/>
  <c r="D1311" i="42"/>
  <c r="D1301" i="42"/>
  <c r="D1289" i="42"/>
  <c r="D1279" i="42"/>
  <c r="D1269" i="42"/>
  <c r="D1257" i="42"/>
  <c r="D1247" i="42"/>
  <c r="D1237" i="42"/>
  <c r="D1225" i="42"/>
  <c r="D1215" i="42"/>
  <c r="D1205" i="42"/>
  <c r="D1193" i="42"/>
  <c r="D1183" i="42"/>
  <c r="D1173" i="42"/>
  <c r="D1161" i="42"/>
  <c r="D1151" i="42"/>
  <c r="D1141" i="42"/>
  <c r="D1129" i="42"/>
  <c r="D1119" i="42"/>
  <c r="D1109" i="42"/>
  <c r="D1097" i="42"/>
  <c r="D1087" i="42"/>
  <c r="D1077" i="42"/>
  <c r="D1065" i="42"/>
  <c r="D1055" i="42"/>
  <c r="D1045" i="42"/>
  <c r="D1033" i="42"/>
  <c r="D1023" i="42"/>
  <c r="D1013" i="42"/>
  <c r="D1001" i="42"/>
  <c r="D991" i="42"/>
  <c r="D981" i="42"/>
  <c r="D969" i="42"/>
  <c r="D959" i="42"/>
  <c r="D949" i="42"/>
  <c r="D937" i="42"/>
  <c r="D927" i="42"/>
  <c r="D917" i="42"/>
  <c r="D905" i="42"/>
  <c r="D895" i="42"/>
  <c r="D885" i="42"/>
  <c r="D873" i="42"/>
  <c r="D863" i="42"/>
  <c r="D853" i="42"/>
  <c r="D841" i="42"/>
  <c r="D831" i="42"/>
  <c r="D821" i="42"/>
  <c r="D809" i="42"/>
  <c r="D799" i="42"/>
  <c r="D789" i="42"/>
  <c r="D777" i="42"/>
  <c r="D767" i="42"/>
  <c r="D757" i="42"/>
  <c r="D745" i="42"/>
  <c r="D735" i="42"/>
  <c r="D725" i="42"/>
  <c r="D713" i="42"/>
  <c r="D703" i="42"/>
  <c r="D693" i="42"/>
  <c r="D683" i="42"/>
  <c r="D675" i="42"/>
  <c r="D667" i="42"/>
  <c r="D659" i="42"/>
  <c r="D651" i="42"/>
  <c r="D643" i="42"/>
  <c r="D635" i="42"/>
  <c r="D627" i="42"/>
  <c r="D619" i="42"/>
  <c r="D611" i="42"/>
  <c r="D603" i="42"/>
  <c r="D595" i="42"/>
  <c r="D587" i="42"/>
  <c r="D579" i="42"/>
  <c r="D571" i="42"/>
  <c r="D563" i="42"/>
  <c r="D555" i="42"/>
  <c r="D547" i="42"/>
  <c r="D539" i="42"/>
  <c r="D531" i="42"/>
  <c r="D523" i="42"/>
  <c r="D1360" i="42"/>
  <c r="D1350" i="42"/>
  <c r="D1339" i="42"/>
  <c r="D1328" i="42"/>
  <c r="D1318" i="42"/>
  <c r="D1307" i="42"/>
  <c r="D1296" i="42"/>
  <c r="D1286" i="42"/>
  <c r="D1275" i="42"/>
  <c r="D1264" i="42"/>
  <c r="D1254" i="42"/>
  <c r="D1243" i="42"/>
  <c r="D1232" i="42"/>
  <c r="D1222" i="42"/>
  <c r="D1211" i="42"/>
  <c r="D1200" i="42"/>
  <c r="D1190" i="42"/>
  <c r="D1179" i="42"/>
  <c r="D1168" i="42"/>
  <c r="D1158" i="42"/>
  <c r="D1147" i="42"/>
  <c r="D1136" i="42"/>
  <c r="D1126" i="42"/>
  <c r="D1115" i="42"/>
  <c r="D1104" i="42"/>
  <c r="D1094" i="42"/>
  <c r="D1083" i="42"/>
  <c r="D1072" i="42"/>
  <c r="D1062" i="42"/>
  <c r="D1051" i="42"/>
  <c r="D1040" i="42"/>
  <c r="D1030" i="42"/>
  <c r="D1019" i="42"/>
  <c r="D1008" i="42"/>
  <c r="D998" i="42"/>
  <c r="D987" i="42"/>
  <c r="D976" i="42"/>
  <c r="D966" i="42"/>
  <c r="D955" i="42"/>
  <c r="D944" i="42"/>
  <c r="D934" i="42"/>
  <c r="D923" i="42"/>
  <c r="D912" i="42"/>
  <c r="D902" i="42"/>
  <c r="D891" i="42"/>
  <c r="D880" i="42"/>
  <c r="D870" i="42"/>
  <c r="D859" i="42"/>
  <c r="D848" i="42"/>
  <c r="D838" i="42"/>
  <c r="D827" i="42"/>
  <c r="D816" i="42"/>
  <c r="D806" i="42"/>
  <c r="D795" i="42"/>
  <c r="D784" i="42"/>
  <c r="D774" i="42"/>
  <c r="D763" i="42"/>
  <c r="D752" i="42"/>
  <c r="D742" i="42"/>
  <c r="D731" i="42"/>
  <c r="D720" i="42"/>
  <c r="D710" i="42"/>
  <c r="D699" i="42"/>
  <c r="D688" i="42"/>
  <c r="D680" i="42"/>
  <c r="D672" i="42"/>
  <c r="D664" i="42"/>
  <c r="D656" i="42"/>
  <c r="D648" i="42"/>
  <c r="D640" i="42"/>
  <c r="D632" i="42"/>
  <c r="D624" i="42"/>
  <c r="D616" i="42"/>
  <c r="D608" i="42"/>
  <c r="D600" i="42"/>
  <c r="D1359" i="42"/>
  <c r="D1345" i="42"/>
  <c r="D1331" i="42"/>
  <c r="D1317" i="42"/>
  <c r="D1303" i="42"/>
  <c r="D1288" i="42"/>
  <c r="D1273" i="42"/>
  <c r="D1261" i="42"/>
  <c r="D1246" i="42"/>
  <c r="D1231" i="42"/>
  <c r="D1217" i="42"/>
  <c r="D1203" i="42"/>
  <c r="D1189" i="42"/>
  <c r="D1175" i="42"/>
  <c r="D1160" i="42"/>
  <c r="D1145" i="42"/>
  <c r="D1133" i="42"/>
  <c r="D1118" i="42"/>
  <c r="D1103" i="42"/>
  <c r="D1089" i="42"/>
  <c r="D1075" i="42"/>
  <c r="D1061" i="42"/>
  <c r="D1047" i="42"/>
  <c r="D1032" i="42"/>
  <c r="D1017" i="42"/>
  <c r="D1005" i="42"/>
  <c r="D990" i="42"/>
  <c r="D975" i="42"/>
  <c r="D961" i="42"/>
  <c r="D947" i="42"/>
  <c r="D933" i="42"/>
  <c r="D919" i="42"/>
  <c r="D904" i="42"/>
  <c r="D889" i="42"/>
  <c r="D877" i="42"/>
  <c r="D862" i="42"/>
  <c r="D847" i="42"/>
  <c r="D833" i="42"/>
  <c r="D819" i="42"/>
  <c r="D805" i="42"/>
  <c r="D791" i="42"/>
  <c r="D776" i="42"/>
  <c r="D761" i="42"/>
  <c r="D749" i="42"/>
  <c r="D734" i="42"/>
  <c r="D719" i="42"/>
  <c r="D705" i="42"/>
  <c r="D691" i="42"/>
  <c r="D679" i="42"/>
  <c r="D669" i="42"/>
  <c r="D658" i="42"/>
  <c r="D647" i="42"/>
  <c r="D637" i="42"/>
  <c r="D626" i="42"/>
  <c r="D615" i="42"/>
  <c r="D605" i="42"/>
  <c r="D594" i="42"/>
  <c r="D585" i="42"/>
  <c r="D576" i="42"/>
  <c r="D567" i="42"/>
  <c r="D558" i="42"/>
  <c r="D549" i="42"/>
  <c r="D540" i="42"/>
  <c r="D530" i="42"/>
  <c r="D521" i="42"/>
  <c r="D513" i="42"/>
  <c r="D505" i="42"/>
  <c r="D497" i="42"/>
  <c r="D489" i="42"/>
  <c r="D481" i="42"/>
  <c r="D473" i="42"/>
  <c r="D465" i="42"/>
  <c r="D457" i="42"/>
  <c r="D449" i="42"/>
  <c r="D441" i="42"/>
  <c r="D433" i="42"/>
  <c r="D425" i="42"/>
  <c r="D417" i="42"/>
  <c r="D409" i="42"/>
  <c r="D401" i="42"/>
  <c r="D393" i="42"/>
  <c r="D385" i="42"/>
  <c r="D377" i="42"/>
  <c r="D369" i="42"/>
  <c r="D1358" i="42"/>
  <c r="D1344" i="42"/>
  <c r="D1329" i="42"/>
  <c r="D1315" i="42"/>
  <c r="D1302" i="42"/>
  <c r="D1287" i="42"/>
  <c r="D1272" i="42"/>
  <c r="D1259" i="42"/>
  <c r="D1245" i="42"/>
  <c r="D1230" i="42"/>
  <c r="D1216" i="42"/>
  <c r="D1201" i="42"/>
  <c r="D1187" i="42"/>
  <c r="D1174" i="42"/>
  <c r="D1159" i="42"/>
  <c r="D1144" i="42"/>
  <c r="D1131" i="42"/>
  <c r="D1117" i="42"/>
  <c r="D1102" i="42"/>
  <c r="D1088" i="42"/>
  <c r="D1073" i="42"/>
  <c r="D1059" i="42"/>
  <c r="D1046" i="42"/>
  <c r="D1031" i="42"/>
  <c r="D1016" i="42"/>
  <c r="D1003" i="42"/>
  <c r="D989" i="42"/>
  <c r="D974" i="42"/>
  <c r="D960" i="42"/>
  <c r="D945" i="42"/>
  <c r="D931" i="42"/>
  <c r="D918" i="42"/>
  <c r="D903" i="42"/>
  <c r="D888" i="42"/>
  <c r="D875" i="42"/>
  <c r="D861" i="42"/>
  <c r="D846" i="42"/>
  <c r="D832" i="42"/>
  <c r="D817" i="42"/>
  <c r="D803" i="42"/>
  <c r="D790" i="42"/>
  <c r="D775" i="42"/>
  <c r="D760" i="42"/>
  <c r="D747" i="42"/>
  <c r="D733" i="42"/>
  <c r="D718" i="42"/>
  <c r="D704" i="42"/>
  <c r="D689" i="42"/>
  <c r="D678" i="42"/>
  <c r="D668" i="42"/>
  <c r="D657" i="42"/>
  <c r="D646" i="42"/>
  <c r="D636" i="42"/>
  <c r="D625" i="42"/>
  <c r="D614" i="42"/>
  <c r="D604" i="42"/>
  <c r="D593" i="42"/>
  <c r="D584" i="42"/>
  <c r="D575" i="42"/>
  <c r="D566" i="42"/>
  <c r="D557" i="42"/>
  <c r="D548" i="42"/>
  <c r="D538" i="42"/>
  <c r="D529" i="42"/>
  <c r="D520" i="42"/>
  <c r="D512" i="42"/>
  <c r="D504" i="42"/>
  <c r="D496" i="42"/>
  <c r="D488" i="42"/>
  <c r="D480" i="42"/>
  <c r="D472" i="42"/>
  <c r="D464" i="42"/>
  <c r="D456" i="42"/>
  <c r="D448" i="42"/>
  <c r="D440" i="42"/>
  <c r="D432" i="42"/>
  <c r="D424" i="42"/>
  <c r="D416" i="42"/>
  <c r="D408" i="42"/>
  <c r="D400" i="42"/>
  <c r="D392" i="42"/>
  <c r="D384" i="42"/>
  <c r="D376" i="42"/>
  <c r="D368" i="42"/>
  <c r="D1367" i="42"/>
  <c r="D1349" i="42"/>
  <c r="D1327" i="42"/>
  <c r="D1310" i="42"/>
  <c r="D1293" i="42"/>
  <c r="D1271" i="42"/>
  <c r="D1253" i="42"/>
  <c r="D1235" i="42"/>
  <c r="D1214" i="42"/>
  <c r="D1197" i="42"/>
  <c r="D1177" i="42"/>
  <c r="D1157" i="42"/>
  <c r="D1139" i="42"/>
  <c r="D1121" i="42"/>
  <c r="D1101" i="42"/>
  <c r="D1081" i="42"/>
  <c r="D1064" i="42"/>
  <c r="D1043" i="42"/>
  <c r="D1025" i="42"/>
  <c r="D1007" i="42"/>
  <c r="D985" i="42"/>
  <c r="D968" i="42"/>
  <c r="D951" i="42"/>
  <c r="D929" i="42"/>
  <c r="D911" i="42"/>
  <c r="D894" i="42"/>
  <c r="D872" i="42"/>
  <c r="D855" i="42"/>
  <c r="D837" i="42"/>
  <c r="D815" i="42"/>
  <c r="D798" i="42"/>
  <c r="D781" i="42"/>
  <c r="D759" i="42"/>
  <c r="D741" i="42"/>
  <c r="D723" i="42"/>
  <c r="D702" i="42"/>
  <c r="D685" i="42"/>
  <c r="D671" i="42"/>
  <c r="D655" i="42"/>
  <c r="D642" i="42"/>
  <c r="D629" i="42"/>
  <c r="D613" i="42"/>
  <c r="D599" i="42"/>
  <c r="D588" i="42"/>
  <c r="D574" i="42"/>
  <c r="D562" i="42"/>
  <c r="D551" i="42"/>
  <c r="D537" i="42"/>
  <c r="D526" i="42"/>
  <c r="D515" i="42"/>
  <c r="D503" i="42"/>
  <c r="D493" i="42"/>
  <c r="D483" i="42"/>
  <c r="D471" i="42"/>
  <c r="D461" i="42"/>
  <c r="D451" i="42"/>
  <c r="D439" i="42"/>
  <c r="D429" i="42"/>
  <c r="D419" i="42"/>
  <c r="D407" i="42"/>
  <c r="D397" i="42"/>
  <c r="D387" i="42"/>
  <c r="D375" i="42"/>
  <c r="D1361" i="42"/>
  <c r="D1341" i="42"/>
  <c r="D1323" i="42"/>
  <c r="D1304" i="42"/>
  <c r="D1283" i="42"/>
  <c r="D1265" i="42"/>
  <c r="D1248" i="42"/>
  <c r="D1227" i="42"/>
  <c r="D1208" i="42"/>
  <c r="D1191" i="42"/>
  <c r="D1169" i="42"/>
  <c r="D1152" i="42"/>
  <c r="D1134" i="42"/>
  <c r="D1112" i="42"/>
  <c r="D1095" i="42"/>
  <c r="D1078" i="42"/>
  <c r="D1056" i="42"/>
  <c r="D1038" i="42"/>
  <c r="D1021" i="42"/>
  <c r="D999" i="42"/>
  <c r="D982" i="42"/>
  <c r="D963" i="42"/>
  <c r="D942" i="42"/>
  <c r="D925" i="42"/>
  <c r="D907" i="42"/>
  <c r="D886" i="42"/>
  <c r="D867" i="42"/>
  <c r="D849" i="42"/>
  <c r="D829" i="42"/>
  <c r="D811" i="42"/>
  <c r="D792" i="42"/>
  <c r="D771" i="42"/>
  <c r="D753" i="42"/>
  <c r="D736" i="42"/>
  <c r="D715" i="42"/>
  <c r="D696" i="42"/>
  <c r="D681" i="42"/>
  <c r="D665" i="42"/>
  <c r="D652" i="42"/>
  <c r="D638" i="42"/>
  <c r="D622" i="42"/>
  <c r="D609" i="42"/>
  <c r="D596" i="42"/>
  <c r="D582" i="42"/>
  <c r="D570" i="42"/>
  <c r="D559" i="42"/>
  <c r="D545" i="42"/>
  <c r="D534" i="42"/>
  <c r="D522" i="42"/>
  <c r="D510" i="42"/>
  <c r="D500" i="42"/>
  <c r="D490" i="42"/>
  <c r="D478" i="42"/>
  <c r="D468" i="42"/>
  <c r="D458" i="42"/>
  <c r="D446" i="42"/>
  <c r="D436" i="42"/>
  <c r="D426" i="42"/>
  <c r="D414" i="42"/>
  <c r="D404" i="42"/>
  <c r="D394" i="42"/>
  <c r="D382" i="42"/>
  <c r="D372" i="42"/>
  <c r="D1357" i="42"/>
  <c r="D1337" i="42"/>
  <c r="D1320" i="42"/>
  <c r="D1299" i="42"/>
  <c r="D1281" i="42"/>
  <c r="D1263" i="42"/>
  <c r="D1241" i="42"/>
  <c r="D1224" i="42"/>
  <c r="D1207" i="42"/>
  <c r="D1185" i="42"/>
  <c r="D1167" i="42"/>
  <c r="D1150" i="42"/>
  <c r="D1128" i="42"/>
  <c r="D1111" i="42"/>
  <c r="D1093" i="42"/>
  <c r="D1071" i="42"/>
  <c r="D1054" i="42"/>
  <c r="D1037" i="42"/>
  <c r="D1015" i="42"/>
  <c r="D997" i="42"/>
  <c r="D979" i="42"/>
  <c r="D958" i="42"/>
  <c r="D941" i="42"/>
  <c r="D921" i="42"/>
  <c r="D901" i="42"/>
  <c r="D883" i="42"/>
  <c r="D865" i="42"/>
  <c r="D845" i="42"/>
  <c r="D825" i="42"/>
  <c r="D808" i="42"/>
  <c r="D787" i="42"/>
  <c r="D769" i="42"/>
  <c r="D751" i="42"/>
  <c r="D729" i="42"/>
  <c r="D712" i="42"/>
  <c r="D695" i="42"/>
  <c r="D677" i="42"/>
  <c r="D663" i="42"/>
  <c r="D650" i="42"/>
  <c r="D634" i="42"/>
  <c r="D621" i="42"/>
  <c r="D607" i="42"/>
  <c r="D592" i="42"/>
  <c r="D581" i="42"/>
  <c r="D569" i="42"/>
  <c r="D556" i="42"/>
  <c r="D544" i="42"/>
  <c r="D533" i="42"/>
  <c r="D519" i="42"/>
  <c r="D509" i="42"/>
  <c r="D499" i="42"/>
  <c r="D487" i="42"/>
  <c r="D477" i="42"/>
  <c r="D467" i="42"/>
  <c r="D455" i="42"/>
  <c r="D445" i="42"/>
  <c r="D435" i="42"/>
  <c r="D423" i="42"/>
  <c r="D413" i="42"/>
  <c r="D403" i="42"/>
  <c r="D391" i="42"/>
  <c r="D381" i="42"/>
  <c r="D371" i="42"/>
  <c r="D1355" i="42"/>
  <c r="D1336" i="42"/>
  <c r="D1319" i="42"/>
  <c r="D1297" i="42"/>
  <c r="D1280" i="42"/>
  <c r="D1262" i="42"/>
  <c r="D1240" i="42"/>
  <c r="D1223" i="42"/>
  <c r="D1206" i="42"/>
  <c r="D1184" i="42"/>
  <c r="D1166" i="42"/>
  <c r="D1149" i="42"/>
  <c r="D1127" i="42"/>
  <c r="D1110" i="42"/>
  <c r="D1091" i="42"/>
  <c r="D1070" i="42"/>
  <c r="D1053" i="42"/>
  <c r="D1035" i="42"/>
  <c r="D1014" i="42"/>
  <c r="D995" i="42"/>
  <c r="D977" i="42"/>
  <c r="D957" i="42"/>
  <c r="D939" i="42"/>
  <c r="D920" i="42"/>
  <c r="D899" i="42"/>
  <c r="D881" i="42"/>
  <c r="D864" i="42"/>
  <c r="D843" i="42"/>
  <c r="D824" i="42"/>
  <c r="D807" i="42"/>
  <c r="D785" i="42"/>
  <c r="D768" i="42"/>
  <c r="D750" i="42"/>
  <c r="D728" i="42"/>
  <c r="D711" i="42"/>
  <c r="D694" i="42"/>
  <c r="D676" i="42"/>
  <c r="D662" i="42"/>
  <c r="D649" i="42"/>
  <c r="D633" i="42"/>
  <c r="D620" i="42"/>
  <c r="D606" i="42"/>
  <c r="D591" i="42"/>
  <c r="D580" i="42"/>
  <c r="D568" i="42"/>
  <c r="D554" i="42"/>
  <c r="D543" i="42"/>
  <c r="D532" i="42"/>
  <c r="D518" i="42"/>
  <c r="D508" i="42"/>
  <c r="D498" i="42"/>
  <c r="D486" i="42"/>
  <c r="D476" i="42"/>
  <c r="D466" i="42"/>
  <c r="D454" i="42"/>
  <c r="D444" i="42"/>
  <c r="D434" i="42"/>
  <c r="D422" i="42"/>
  <c r="D412" i="42"/>
  <c r="D402" i="42"/>
  <c r="D390" i="42"/>
  <c r="D380" i="42"/>
  <c r="D370" i="42"/>
  <c r="D1352" i="42"/>
  <c r="D1313" i="42"/>
  <c r="D1278" i="42"/>
  <c r="D1239" i="42"/>
  <c r="D1199" i="42"/>
  <c r="D1165" i="42"/>
  <c r="D1125" i="42"/>
  <c r="D1086" i="42"/>
  <c r="D1049" i="42"/>
  <c r="D1011" i="42"/>
  <c r="D973" i="42"/>
  <c r="D936" i="42"/>
  <c r="D897" i="42"/>
  <c r="D857" i="42"/>
  <c r="D823" i="42"/>
  <c r="D783" i="42"/>
  <c r="D744" i="42"/>
  <c r="D709" i="42"/>
  <c r="D674" i="42"/>
  <c r="D645" i="42"/>
  <c r="D618" i="42"/>
  <c r="D590" i="42"/>
  <c r="D565" i="42"/>
  <c r="D542" i="42"/>
  <c r="D517" i="42"/>
  <c r="D495" i="42"/>
  <c r="D475" i="42"/>
  <c r="D453" i="42"/>
  <c r="D431" i="42"/>
  <c r="D411" i="42"/>
  <c r="D389" i="42"/>
  <c r="D367" i="42"/>
  <c r="D1347" i="42"/>
  <c r="D1309" i="42"/>
  <c r="D1270" i="42"/>
  <c r="D1233" i="42"/>
  <c r="D1195" i="42"/>
  <c r="D1155" i="42"/>
  <c r="D1120" i="42"/>
  <c r="D1080" i="42"/>
  <c r="D1041" i="42"/>
  <c r="D1006" i="42"/>
  <c r="D967" i="42"/>
  <c r="D928" i="42"/>
  <c r="D893" i="42"/>
  <c r="D854" i="42"/>
  <c r="D814" i="42"/>
  <c r="D779" i="42"/>
  <c r="D739" i="42"/>
  <c r="D701" i="42"/>
  <c r="D670" i="42"/>
  <c r="D641" i="42"/>
  <c r="D612" i="42"/>
  <c r="D586" i="42"/>
  <c r="D561" i="42"/>
  <c r="D536" i="42"/>
  <c r="D514" i="42"/>
  <c r="D492" i="42"/>
  <c r="D470" i="42"/>
  <c r="D450" i="42"/>
  <c r="D428" i="42"/>
  <c r="D406" i="42"/>
  <c r="D386" i="42"/>
  <c r="D1342" i="42"/>
  <c r="D1305" i="42"/>
  <c r="D1267" i="42"/>
  <c r="D1229" i="42"/>
  <c r="D1192" i="42"/>
  <c r="D1153" i="42"/>
  <c r="D1113" i="42"/>
  <c r="D1079" i="42"/>
  <c r="D1039" i="42"/>
  <c r="D1000" i="42"/>
  <c r="D965" i="42"/>
  <c r="D926" i="42"/>
  <c r="D887" i="42"/>
  <c r="D851" i="42"/>
  <c r="D813" i="42"/>
  <c r="D773" i="42"/>
  <c r="D737" i="42"/>
  <c r="D697" i="42"/>
  <c r="D666" i="42"/>
  <c r="D639" i="42"/>
  <c r="D610" i="42"/>
  <c r="D583" i="42"/>
  <c r="D560" i="42"/>
  <c r="D535" i="42"/>
  <c r="D511" i="42"/>
  <c r="D491" i="42"/>
  <c r="D469" i="42"/>
  <c r="D447" i="42"/>
  <c r="D427" i="42"/>
  <c r="D405" i="42"/>
  <c r="D383" i="42"/>
  <c r="D1366" i="42"/>
  <c r="D1295" i="42"/>
  <c r="D1249" i="42"/>
  <c r="D1335" i="42"/>
  <c r="D1285" i="42"/>
  <c r="D1219" i="42"/>
  <c r="D1334" i="42"/>
  <c r="D1277" i="42"/>
  <c r="D1213" i="42"/>
  <c r="D1143" i="42"/>
  <c r="D1096" i="42"/>
  <c r="D1027" i="42"/>
  <c r="D971" i="42"/>
  <c r="D910" i="42"/>
  <c r="D840" i="42"/>
  <c r="D793" i="42"/>
  <c r="D726" i="42"/>
  <c r="D673" i="42"/>
  <c r="D628" i="42"/>
  <c r="D578" i="42"/>
  <c r="D546" i="42"/>
  <c r="D506" i="42"/>
  <c r="D474" i="42"/>
  <c r="D438" i="42"/>
  <c r="D399" i="42"/>
  <c r="D373" i="42"/>
  <c r="D1326" i="42"/>
  <c r="D1256" i="42"/>
  <c r="D1209" i="42"/>
  <c r="D1142" i="42"/>
  <c r="D1085" i="42"/>
  <c r="D1024" i="42"/>
  <c r="D953" i="42"/>
  <c r="D909" i="42"/>
  <c r="D839" i="42"/>
  <c r="D782" i="42"/>
  <c r="D721" i="42"/>
  <c r="D661" i="42"/>
  <c r="D623" i="42"/>
  <c r="D577" i="42"/>
  <c r="D541" i="42"/>
  <c r="D502" i="42"/>
  <c r="D463" i="42"/>
  <c r="D437" i="42"/>
  <c r="D398" i="42"/>
  <c r="D1363" i="42"/>
  <c r="D1238" i="42"/>
  <c r="D1137" i="42"/>
  <c r="D1063" i="42"/>
  <c r="D984" i="42"/>
  <c r="D896" i="42"/>
  <c r="D822" i="42"/>
  <c r="D743" i="42"/>
  <c r="D660" i="42"/>
  <c r="D601" i="42"/>
  <c r="D552" i="42"/>
  <c r="D501" i="42"/>
  <c r="D459" i="42"/>
  <c r="D415" i="42"/>
  <c r="D1312" i="42"/>
  <c r="D1182" i="42"/>
  <c r="D1107" i="42"/>
  <c r="D1029" i="42"/>
  <c r="D950" i="42"/>
  <c r="D871" i="42"/>
  <c r="D797" i="42"/>
  <c r="D707" i="42"/>
  <c r="D644" i="42"/>
  <c r="D589" i="42"/>
  <c r="D527" i="42"/>
  <c r="D484" i="42"/>
  <c r="D442" i="42"/>
  <c r="D395" i="42"/>
  <c r="D1294" i="42"/>
  <c r="D1181" i="42"/>
  <c r="D1105" i="42"/>
  <c r="D1022" i="42"/>
  <c r="D943" i="42"/>
  <c r="D869" i="42"/>
  <c r="D766" i="42"/>
  <c r="D687" i="42"/>
  <c r="D631" i="42"/>
  <c r="D573" i="42"/>
  <c r="D525" i="42"/>
  <c r="D482" i="42"/>
  <c r="D430" i="42"/>
  <c r="D388" i="42"/>
  <c r="D1291" i="42"/>
  <c r="D1176" i="42"/>
  <c r="D1099" i="42"/>
  <c r="D1009" i="42"/>
  <c r="D935" i="42"/>
  <c r="D856" i="42"/>
  <c r="D765" i="42"/>
  <c r="D686" i="42"/>
  <c r="D630" i="42"/>
  <c r="D572" i="42"/>
  <c r="D524" i="42"/>
  <c r="D479" i="42"/>
  <c r="D421" i="42"/>
  <c r="D379" i="42"/>
  <c r="D1325" i="42"/>
  <c r="D1123" i="42"/>
  <c r="D952" i="42"/>
  <c r="D800" i="42"/>
  <c r="D653" i="42"/>
  <c r="D528" i="42"/>
  <c r="D443" i="42"/>
  <c r="D1251" i="42"/>
  <c r="D1067" i="42"/>
  <c r="D913" i="42"/>
  <c r="D755" i="42"/>
  <c r="D602" i="42"/>
  <c r="D507" i="42"/>
  <c r="D418" i="42"/>
  <c r="D1221" i="42"/>
  <c r="D1057" i="42"/>
  <c r="D879" i="42"/>
  <c r="D727" i="42"/>
  <c r="D598" i="42"/>
  <c r="D494" i="42"/>
  <c r="D410" i="42"/>
  <c r="D1255" i="42"/>
  <c r="D992" i="42"/>
  <c r="D717" i="42"/>
  <c r="D550" i="42"/>
  <c r="D378" i="42"/>
  <c r="D758" i="42"/>
  <c r="D1198" i="42"/>
  <c r="D983" i="42"/>
  <c r="D684" i="42"/>
  <c r="D516" i="42"/>
  <c r="D374" i="42"/>
  <c r="D396" i="42"/>
  <c r="D1171" i="42"/>
  <c r="D915" i="42"/>
  <c r="D682" i="42"/>
  <c r="D485" i="42"/>
  <c r="D1351" i="42"/>
  <c r="D1163" i="42"/>
  <c r="D878" i="42"/>
  <c r="D654" i="42"/>
  <c r="D462" i="42"/>
  <c r="D1135" i="42"/>
  <c r="D835" i="42"/>
  <c r="D617" i="42"/>
  <c r="D460" i="42"/>
  <c r="D553" i="42"/>
  <c r="D1069" i="42"/>
  <c r="D830" i="42"/>
  <c r="D597" i="42"/>
  <c r="D452" i="42"/>
  <c r="D993" i="42"/>
  <c r="D1048" i="42"/>
  <c r="D801" i="42"/>
  <c r="D564" i="42"/>
  <c r="D420" i="42"/>
  <c r="D243" i="41"/>
  <c r="D287" i="41"/>
  <c r="G363" i="42"/>
  <c r="C361" i="42"/>
  <c r="C362" i="42" s="1"/>
  <c r="G361" i="42"/>
  <c r="D363" i="42"/>
  <c r="G360" i="42"/>
  <c r="G364" i="42"/>
  <c r="D359" i="42"/>
  <c r="C363" i="42"/>
  <c r="C364" i="42" s="1"/>
  <c r="D361" i="42"/>
  <c r="G359" i="42"/>
  <c r="G362" i="42"/>
  <c r="C359" i="42"/>
  <c r="C360" i="42" s="1"/>
  <c r="D283" i="41"/>
  <c r="E319" i="42"/>
  <c r="D320" i="42"/>
  <c r="C366" i="41"/>
  <c r="C367" i="41" s="1"/>
  <c r="G362" i="41"/>
  <c r="D364" i="41"/>
  <c r="G363" i="41"/>
  <c r="D362" i="41"/>
  <c r="C362" i="41"/>
  <c r="C363" i="41" s="1"/>
  <c r="D366" i="41"/>
  <c r="C364" i="41"/>
  <c r="C365" i="41" s="1"/>
  <c r="G367" i="41"/>
  <c r="G366" i="41"/>
  <c r="D293" i="41"/>
  <c r="D235" i="41"/>
  <c r="D253" i="41"/>
  <c r="D274" i="41"/>
  <c r="D1367" i="41"/>
  <c r="D1359" i="41"/>
  <c r="D1351" i="41"/>
  <c r="D1343" i="41"/>
  <c r="D1335" i="41"/>
  <c r="D1327" i="41"/>
  <c r="D1319" i="41"/>
  <c r="D1311" i="41"/>
  <c r="D1303" i="41"/>
  <c r="D1295" i="41"/>
  <c r="D1287" i="41"/>
  <c r="D1279" i="41"/>
  <c r="D1271" i="41"/>
  <c r="D1263" i="41"/>
  <c r="D1255" i="41"/>
  <c r="D1247" i="41"/>
  <c r="D1239" i="41"/>
  <c r="D1231" i="41"/>
  <c r="D1223" i="41"/>
  <c r="D1215" i="41"/>
  <c r="D1207" i="41"/>
  <c r="D1199" i="41"/>
  <c r="D1191" i="41"/>
  <c r="D1183" i="41"/>
  <c r="D1175" i="41"/>
  <c r="D1167" i="41"/>
  <c r="D1159" i="41"/>
  <c r="D1151" i="41"/>
  <c r="D1143" i="41"/>
  <c r="D1135" i="41"/>
  <c r="D1127" i="41"/>
  <c r="D1119" i="41"/>
  <c r="D1111" i="41"/>
  <c r="D1103" i="41"/>
  <c r="D1095" i="41"/>
  <c r="D1087" i="41"/>
  <c r="D1079" i="41"/>
  <c r="D1071" i="41"/>
  <c r="D1063" i="41"/>
  <c r="D1055" i="41"/>
  <c r="D1047" i="41"/>
  <c r="D1039" i="41"/>
  <c r="D1031" i="41"/>
  <c r="D1023" i="41"/>
  <c r="D1015" i="41"/>
  <c r="D1007" i="41"/>
  <c r="D999" i="41"/>
  <c r="D991" i="41"/>
  <c r="D983" i="41"/>
  <c r="D975" i="41"/>
  <c r="D967" i="41"/>
  <c r="D959" i="41"/>
  <c r="D951" i="41"/>
  <c r="D943" i="41"/>
  <c r="D935" i="41"/>
  <c r="D927" i="41"/>
  <c r="D919" i="41"/>
  <c r="D911" i="41"/>
  <c r="D903" i="41"/>
  <c r="D895" i="41"/>
  <c r="D887" i="41"/>
  <c r="D879" i="41"/>
  <c r="D871" i="41"/>
  <c r="D863" i="41"/>
  <c r="D855" i="41"/>
  <c r="D847" i="41"/>
  <c r="D839" i="41"/>
  <c r="D831" i="41"/>
  <c r="D823" i="41"/>
  <c r="D815" i="41"/>
  <c r="D807" i="41"/>
  <c r="D799" i="41"/>
  <c r="D791" i="41"/>
  <c r="D783" i="41"/>
  <c r="D775" i="41"/>
  <c r="D767" i="41"/>
  <c r="D759" i="41"/>
  <c r="D751" i="41"/>
  <c r="D743" i="41"/>
  <c r="D735" i="41"/>
  <c r="D727" i="41"/>
  <c r="D719" i="41"/>
  <c r="D711" i="41"/>
  <c r="D703" i="41"/>
  <c r="D695" i="41"/>
  <c r="D1366" i="41"/>
  <c r="D1358" i="41"/>
  <c r="D1350" i="41"/>
  <c r="D1342" i="41"/>
  <c r="D1334" i="41"/>
  <c r="D1326" i="41"/>
  <c r="D1318" i="41"/>
  <c r="D1310" i="41"/>
  <c r="D1302" i="41"/>
  <c r="D1294" i="41"/>
  <c r="D1286" i="41"/>
  <c r="D1278" i="41"/>
  <c r="D1270" i="41"/>
  <c r="D1262" i="41"/>
  <c r="D1254" i="41"/>
  <c r="D1246" i="41"/>
  <c r="D1238" i="41"/>
  <c r="D1230" i="41"/>
  <c r="D1222" i="41"/>
  <c r="D1214" i="41"/>
  <c r="D1206" i="41"/>
  <c r="D1198" i="41"/>
  <c r="D1190" i="41"/>
  <c r="D1182" i="41"/>
  <c r="D1174" i="41"/>
  <c r="D1166" i="41"/>
  <c r="D1158" i="41"/>
  <c r="D1150" i="41"/>
  <c r="D1142" i="41"/>
  <c r="D1134" i="41"/>
  <c r="D1126" i="41"/>
  <c r="D1118" i="41"/>
  <c r="D1110" i="41"/>
  <c r="D1102" i="41"/>
  <c r="D1094" i="41"/>
  <c r="D1086" i="41"/>
  <c r="D1078" i="41"/>
  <c r="D1070" i="41"/>
  <c r="D1062" i="41"/>
  <c r="D1054" i="41"/>
  <c r="D1046" i="41"/>
  <c r="D1038" i="41"/>
  <c r="D1030" i="41"/>
  <c r="D1022" i="41"/>
  <c r="D1014" i="41"/>
  <c r="D1006" i="41"/>
  <c r="D998" i="41"/>
  <c r="D990" i="41"/>
  <c r="D982" i="41"/>
  <c r="D974" i="41"/>
  <c r="D966" i="41"/>
  <c r="D958" i="41"/>
  <c r="D950" i="41"/>
  <c r="D942" i="41"/>
  <c r="D934" i="41"/>
  <c r="D926" i="41"/>
  <c r="D918" i="41"/>
  <c r="D910" i="41"/>
  <c r="D902" i="41"/>
  <c r="D894" i="41"/>
  <c r="D886" i="41"/>
  <c r="D878" i="41"/>
  <c r="D870" i="41"/>
  <c r="D862" i="41"/>
  <c r="D854" i="41"/>
  <c r="D846" i="41"/>
  <c r="D838" i="41"/>
  <c r="D830" i="41"/>
  <c r="D822" i="41"/>
  <c r="D814" i="41"/>
  <c r="D806" i="41"/>
  <c r="D798" i="41"/>
  <c r="D790" i="41"/>
  <c r="D782" i="41"/>
  <c r="D774" i="41"/>
  <c r="D766" i="41"/>
  <c r="D758" i="41"/>
  <c r="D750" i="41"/>
  <c r="D742" i="41"/>
  <c r="D734" i="41"/>
  <c r="D726" i="41"/>
  <c r="D718" i="41"/>
  <c r="D1364" i="41"/>
  <c r="D1356" i="41"/>
  <c r="D1348" i="41"/>
  <c r="D1340" i="41"/>
  <c r="D1332" i="41"/>
  <c r="D1324" i="41"/>
  <c r="D1316" i="41"/>
  <c r="D1308" i="41"/>
  <c r="D1300" i="41"/>
  <c r="D1292" i="41"/>
  <c r="D1284" i="41"/>
  <c r="D1276" i="41"/>
  <c r="D1268" i="41"/>
  <c r="D1260" i="41"/>
  <c r="D1252" i="41"/>
  <c r="D1244" i="41"/>
  <c r="D1236" i="41"/>
  <c r="D1228" i="41"/>
  <c r="D1220" i="41"/>
  <c r="D1212" i="41"/>
  <c r="D1204" i="41"/>
  <c r="D1196" i="41"/>
  <c r="D1188" i="41"/>
  <c r="D1180" i="41"/>
  <c r="D1172" i="41"/>
  <c r="D1164" i="41"/>
  <c r="D1156" i="41"/>
  <c r="D1148" i="41"/>
  <c r="D1140" i="41"/>
  <c r="D1132" i="41"/>
  <c r="D1124" i="41"/>
  <c r="D1116" i="41"/>
  <c r="D1108" i="41"/>
  <c r="D1100" i="41"/>
  <c r="D1092" i="41"/>
  <c r="D1084" i="41"/>
  <c r="D1076" i="41"/>
  <c r="D1068" i="41"/>
  <c r="D1060" i="41"/>
  <c r="D1052" i="41"/>
  <c r="D1044" i="41"/>
  <c r="D1036" i="41"/>
  <c r="D1028" i="41"/>
  <c r="D1020" i="41"/>
  <c r="D1012" i="41"/>
  <c r="D1004" i="41"/>
  <c r="D996" i="41"/>
  <c r="D988" i="41"/>
  <c r="D980" i="41"/>
  <c r="D972" i="41"/>
  <c r="D964" i="41"/>
  <c r="D956" i="41"/>
  <c r="D948" i="41"/>
  <c r="D940" i="41"/>
  <c r="D932" i="41"/>
  <c r="D924" i="41"/>
  <c r="D916" i="41"/>
  <c r="D908" i="41"/>
  <c r="D900" i="41"/>
  <c r="D892" i="41"/>
  <c r="D884" i="41"/>
  <c r="D876" i="41"/>
  <c r="D868" i="41"/>
  <c r="D860" i="41"/>
  <c r="D852" i="41"/>
  <c r="D844" i="41"/>
  <c r="D836" i="41"/>
  <c r="D828" i="41"/>
  <c r="D820" i="41"/>
  <c r="D812" i="41"/>
  <c r="D804" i="41"/>
  <c r="D796" i="41"/>
  <c r="D788" i="41"/>
  <c r="D780" i="41"/>
  <c r="D772" i="41"/>
  <c r="D764" i="41"/>
  <c r="D756" i="41"/>
  <c r="D748" i="41"/>
  <c r="D740" i="41"/>
  <c r="D732" i="41"/>
  <c r="D724" i="41"/>
  <c r="D716" i="41"/>
  <c r="D708" i="41"/>
  <c r="D700" i="41"/>
  <c r="D692" i="41"/>
  <c r="D1369" i="41"/>
  <c r="D1355" i="41"/>
  <c r="D1344" i="41"/>
  <c r="D1330" i="41"/>
  <c r="D1317" i="41"/>
  <c r="D1305" i="41"/>
  <c r="D1291" i="41"/>
  <c r="D1280" i="41"/>
  <c r="D1266" i="41"/>
  <c r="D1253" i="41"/>
  <c r="D1241" i="41"/>
  <c r="D1227" i="41"/>
  <c r="D1216" i="41"/>
  <c r="D1202" i="41"/>
  <c r="D1189" i="41"/>
  <c r="D1177" i="41"/>
  <c r="D1163" i="41"/>
  <c r="D1152" i="41"/>
  <c r="D1138" i="41"/>
  <c r="D1125" i="41"/>
  <c r="D1113" i="41"/>
  <c r="D1099" i="41"/>
  <c r="D1088" i="41"/>
  <c r="D1074" i="41"/>
  <c r="D1061" i="41"/>
  <c r="D1049" i="41"/>
  <c r="D1035" i="41"/>
  <c r="D1024" i="41"/>
  <c r="D1010" i="41"/>
  <c r="D997" i="41"/>
  <c r="D985" i="41"/>
  <c r="D971" i="41"/>
  <c r="D960" i="41"/>
  <c r="D946" i="41"/>
  <c r="D933" i="41"/>
  <c r="D921" i="41"/>
  <c r="D907" i="41"/>
  <c r="D896" i="41"/>
  <c r="D882" i="41"/>
  <c r="D869" i="41"/>
  <c r="D857" i="41"/>
  <c r="D843" i="41"/>
  <c r="D832" i="41"/>
  <c r="D818" i="41"/>
  <c r="D805" i="41"/>
  <c r="D793" i="41"/>
  <c r="D779" i="41"/>
  <c r="D768" i="41"/>
  <c r="D754" i="41"/>
  <c r="D741" i="41"/>
  <c r="D729" i="41"/>
  <c r="D715" i="41"/>
  <c r="D705" i="41"/>
  <c r="D694" i="41"/>
  <c r="D685" i="41"/>
  <c r="D677" i="41"/>
  <c r="D669" i="41"/>
  <c r="D661" i="41"/>
  <c r="D653" i="41"/>
  <c r="D645" i="41"/>
  <c r="D637" i="41"/>
  <c r="D629" i="41"/>
  <c r="D621" i="41"/>
  <c r="D613" i="41"/>
  <c r="D605" i="41"/>
  <c r="D597" i="41"/>
  <c r="D589" i="41"/>
  <c r="D581" i="41"/>
  <c r="D573" i="41"/>
  <c r="D565" i="41"/>
  <c r="D557" i="41"/>
  <c r="D549" i="41"/>
  <c r="D541" i="41"/>
  <c r="D533" i="41"/>
  <c r="D525" i="41"/>
  <c r="D517" i="41"/>
  <c r="D509" i="41"/>
  <c r="D501" i="41"/>
  <c r="D493" i="41"/>
  <c r="D485" i="41"/>
  <c r="D477" i="41"/>
  <c r="D469" i="41"/>
  <c r="D461" i="41"/>
  <c r="D453" i="41"/>
  <c r="D445" i="41"/>
  <c r="D1365" i="41"/>
  <c r="D1353" i="41"/>
  <c r="D1339" i="41"/>
  <c r="D1328" i="41"/>
  <c r="D1314" i="41"/>
  <c r="D1301" i="41"/>
  <c r="D1289" i="41"/>
  <c r="D1275" i="41"/>
  <c r="D1264" i="41"/>
  <c r="D1250" i="41"/>
  <c r="D1237" i="41"/>
  <c r="D1225" i="41"/>
  <c r="D1211" i="41"/>
  <c r="D1200" i="41"/>
  <c r="D1186" i="41"/>
  <c r="D1173" i="41"/>
  <c r="D1161" i="41"/>
  <c r="D1147" i="41"/>
  <c r="D1136" i="41"/>
  <c r="D1122" i="41"/>
  <c r="D1109" i="41"/>
  <c r="D1097" i="41"/>
  <c r="D1083" i="41"/>
  <c r="D1072" i="41"/>
  <c r="D1058" i="41"/>
  <c r="D1045" i="41"/>
  <c r="D1033" i="41"/>
  <c r="D1019" i="41"/>
  <c r="D1008" i="41"/>
  <c r="D994" i="41"/>
  <c r="D981" i="41"/>
  <c r="D969" i="41"/>
  <c r="D955" i="41"/>
  <c r="D944" i="41"/>
  <c r="D930" i="41"/>
  <c r="D917" i="41"/>
  <c r="D905" i="41"/>
  <c r="D891" i="41"/>
  <c r="D880" i="41"/>
  <c r="D866" i="41"/>
  <c r="D853" i="41"/>
  <c r="D841" i="41"/>
  <c r="D827" i="41"/>
  <c r="D816" i="41"/>
  <c r="D802" i="41"/>
  <c r="D789" i="41"/>
  <c r="D777" i="41"/>
  <c r="D763" i="41"/>
  <c r="D752" i="41"/>
  <c r="D738" i="41"/>
  <c r="D725" i="41"/>
  <c r="D713" i="41"/>
  <c r="D702" i="41"/>
  <c r="D691" i="41"/>
  <c r="D683" i="41"/>
  <c r="D675" i="41"/>
  <c r="D667" i="41"/>
  <c r="D659" i="41"/>
  <c r="D651" i="41"/>
  <c r="D643" i="41"/>
  <c r="D635" i="41"/>
  <c r="D627" i="41"/>
  <c r="D619" i="41"/>
  <c r="D611" i="41"/>
  <c r="D603" i="41"/>
  <c r="D595" i="41"/>
  <c r="D587" i="41"/>
  <c r="D579" i="41"/>
  <c r="D571" i="41"/>
  <c r="D563" i="41"/>
  <c r="D555" i="41"/>
  <c r="D547" i="41"/>
  <c r="D539" i="41"/>
  <c r="D531" i="41"/>
  <c r="D523" i="41"/>
  <c r="D515" i="41"/>
  <c r="D507" i="41"/>
  <c r="D499" i="41"/>
  <c r="D491" i="41"/>
  <c r="D483" i="41"/>
  <c r="D475" i="41"/>
  <c r="D467" i="41"/>
  <c r="D459" i="41"/>
  <c r="D451" i="41"/>
  <c r="D443" i="41"/>
  <c r="D1363" i="41"/>
  <c r="D1352" i="41"/>
  <c r="D1338" i="41"/>
  <c r="D1325" i="41"/>
  <c r="D1313" i="41"/>
  <c r="D1299" i="41"/>
  <c r="D1288" i="41"/>
  <c r="D1274" i="41"/>
  <c r="D1261" i="41"/>
  <c r="D1249" i="41"/>
  <c r="D1235" i="41"/>
  <c r="D1224" i="41"/>
  <c r="D1210" i="41"/>
  <c r="D1197" i="41"/>
  <c r="D1185" i="41"/>
  <c r="D1171" i="41"/>
  <c r="D1160" i="41"/>
  <c r="D1146" i="41"/>
  <c r="D1133" i="41"/>
  <c r="D1121" i="41"/>
  <c r="D1107" i="41"/>
  <c r="D1096" i="41"/>
  <c r="D1082" i="41"/>
  <c r="D1069" i="41"/>
  <c r="D1057" i="41"/>
  <c r="D1043" i="41"/>
  <c r="D1032" i="41"/>
  <c r="D1018" i="41"/>
  <c r="D1005" i="41"/>
  <c r="D993" i="41"/>
  <c r="D979" i="41"/>
  <c r="D968" i="41"/>
  <c r="D954" i="41"/>
  <c r="D941" i="41"/>
  <c r="D929" i="41"/>
  <c r="D915" i="41"/>
  <c r="D904" i="41"/>
  <c r="D890" i="41"/>
  <c r="D877" i="41"/>
  <c r="D865" i="41"/>
  <c r="D851" i="41"/>
  <c r="D840" i="41"/>
  <c r="D826" i="41"/>
  <c r="D813" i="41"/>
  <c r="D801" i="41"/>
  <c r="D787" i="41"/>
  <c r="D776" i="41"/>
  <c r="D762" i="41"/>
  <c r="D749" i="41"/>
  <c r="D737" i="41"/>
  <c r="D723" i="41"/>
  <c r="D712" i="41"/>
  <c r="D701" i="41"/>
  <c r="D690" i="41"/>
  <c r="D682" i="41"/>
  <c r="D674" i="41"/>
  <c r="D666" i="41"/>
  <c r="D658" i="41"/>
  <c r="D650" i="41"/>
  <c r="D642" i="41"/>
  <c r="D634" i="41"/>
  <c r="D626" i="41"/>
  <c r="D618" i="41"/>
  <c r="D610" i="41"/>
  <c r="D602" i="41"/>
  <c r="D594" i="41"/>
  <c r="D586" i="41"/>
  <c r="D578" i="41"/>
  <c r="D570" i="41"/>
  <c r="D562" i="41"/>
  <c r="D554" i="41"/>
  <c r="D546" i="41"/>
  <c r="D538" i="41"/>
  <c r="D530" i="41"/>
  <c r="D522" i="41"/>
  <c r="D1362" i="41"/>
  <c r="D1349" i="41"/>
  <c r="D1337" i="41"/>
  <c r="D1323" i="41"/>
  <c r="D1312" i="41"/>
  <c r="D1298" i="41"/>
  <c r="D1285" i="41"/>
  <c r="D1273" i="41"/>
  <c r="D1259" i="41"/>
  <c r="D1248" i="41"/>
  <c r="D1234" i="41"/>
  <c r="D1221" i="41"/>
  <c r="D1209" i="41"/>
  <c r="D1195" i="41"/>
  <c r="D1184" i="41"/>
  <c r="D1170" i="41"/>
  <c r="D1157" i="41"/>
  <c r="D1145" i="41"/>
  <c r="D1131" i="41"/>
  <c r="D1120" i="41"/>
  <c r="D1106" i="41"/>
  <c r="D1093" i="41"/>
  <c r="D1081" i="41"/>
  <c r="D1067" i="41"/>
  <c r="D1056" i="41"/>
  <c r="D1042" i="41"/>
  <c r="D1029" i="41"/>
  <c r="D1017" i="41"/>
  <c r="D1003" i="41"/>
  <c r="D992" i="41"/>
  <c r="D978" i="41"/>
  <c r="D965" i="41"/>
  <c r="D953" i="41"/>
  <c r="D939" i="41"/>
  <c r="D928" i="41"/>
  <c r="D914" i="41"/>
  <c r="D901" i="41"/>
  <c r="D889" i="41"/>
  <c r="D875" i="41"/>
  <c r="D864" i="41"/>
  <c r="D850" i="41"/>
  <c r="D837" i="41"/>
  <c r="D825" i="41"/>
  <c r="D811" i="41"/>
  <c r="D800" i="41"/>
  <c r="D786" i="41"/>
  <c r="D773" i="41"/>
  <c r="D761" i="41"/>
  <c r="D747" i="41"/>
  <c r="D736" i="41"/>
  <c r="D722" i="41"/>
  <c r="D710" i="41"/>
  <c r="D699" i="41"/>
  <c r="D689" i="41"/>
  <c r="D681" i="41"/>
  <c r="D673" i="41"/>
  <c r="D665" i="41"/>
  <c r="D657" i="41"/>
  <c r="D649" i="41"/>
  <c r="D641" i="41"/>
  <c r="D633" i="41"/>
  <c r="D625" i="41"/>
  <c r="D617" i="41"/>
  <c r="D1361" i="41"/>
  <c r="D1347" i="41"/>
  <c r="D1336" i="41"/>
  <c r="D1322" i="41"/>
  <c r="D1309" i="41"/>
  <c r="D1297" i="41"/>
  <c r="D1283" i="41"/>
  <c r="D1272" i="41"/>
  <c r="D1258" i="41"/>
  <c r="D1245" i="41"/>
  <c r="D1233" i="41"/>
  <c r="D1219" i="41"/>
  <c r="D1208" i="41"/>
  <c r="D1194" i="41"/>
  <c r="D1181" i="41"/>
  <c r="D1169" i="41"/>
  <c r="D1155" i="41"/>
  <c r="D1144" i="41"/>
  <c r="D1130" i="41"/>
  <c r="D1117" i="41"/>
  <c r="D1105" i="41"/>
  <c r="D1091" i="41"/>
  <c r="D1080" i="41"/>
  <c r="D1066" i="41"/>
  <c r="D1053" i="41"/>
  <c r="D1041" i="41"/>
  <c r="D1027" i="41"/>
  <c r="D1016" i="41"/>
  <c r="D1002" i="41"/>
  <c r="D989" i="41"/>
  <c r="D977" i="41"/>
  <c r="D963" i="41"/>
  <c r="D952" i="41"/>
  <c r="D938" i="41"/>
  <c r="D925" i="41"/>
  <c r="D913" i="41"/>
  <c r="D899" i="41"/>
  <c r="D888" i="41"/>
  <c r="D874" i="41"/>
  <c r="D861" i="41"/>
  <c r="D849" i="41"/>
  <c r="D835" i="41"/>
  <c r="D824" i="41"/>
  <c r="D810" i="41"/>
  <c r="D797" i="41"/>
  <c r="D785" i="41"/>
  <c r="D771" i="41"/>
  <c r="D760" i="41"/>
  <c r="D746" i="41"/>
  <c r="D733" i="41"/>
  <c r="D721" i="41"/>
  <c r="D709" i="41"/>
  <c r="D698" i="41"/>
  <c r="D688" i="41"/>
  <c r="D680" i="41"/>
  <c r="D672" i="41"/>
  <c r="D664" i="41"/>
  <c r="D656" i="41"/>
  <c r="D648" i="41"/>
  <c r="D640" i="41"/>
  <c r="D632" i="41"/>
  <c r="D624" i="41"/>
  <c r="D616" i="41"/>
  <c r="D1357" i="41"/>
  <c r="D1321" i="41"/>
  <c r="D1290" i="41"/>
  <c r="D1256" i="41"/>
  <c r="D1218" i="41"/>
  <c r="D1187" i="41"/>
  <c r="D1153" i="41"/>
  <c r="D1115" i="41"/>
  <c r="D1085" i="41"/>
  <c r="D1050" i="41"/>
  <c r="D1013" i="41"/>
  <c r="D984" i="41"/>
  <c r="D947" i="41"/>
  <c r="D912" i="41"/>
  <c r="D881" i="41"/>
  <c r="D845" i="41"/>
  <c r="D809" i="41"/>
  <c r="D778" i="41"/>
  <c r="D744" i="41"/>
  <c r="D707" i="41"/>
  <c r="D684" i="41"/>
  <c r="D662" i="41"/>
  <c r="D639" i="41"/>
  <c r="D620" i="41"/>
  <c r="D604" i="41"/>
  <c r="D591" i="41"/>
  <c r="D577" i="41"/>
  <c r="D566" i="41"/>
  <c r="D552" i="41"/>
  <c r="D540" i="41"/>
  <c r="D527" i="41"/>
  <c r="D514" i="41"/>
  <c r="D504" i="41"/>
  <c r="D494" i="41"/>
  <c r="D482" i="41"/>
  <c r="D472" i="41"/>
  <c r="D462" i="41"/>
  <c r="D450" i="41"/>
  <c r="D440" i="41"/>
  <c r="D432" i="41"/>
  <c r="D424" i="41"/>
  <c r="D416" i="41"/>
  <c r="D408" i="41"/>
  <c r="D400" i="41"/>
  <c r="D392" i="41"/>
  <c r="D384" i="41"/>
  <c r="D376" i="41"/>
  <c r="D1354" i="41"/>
  <c r="D1320" i="41"/>
  <c r="D1282" i="41"/>
  <c r="D1251" i="41"/>
  <c r="D1217" i="41"/>
  <c r="D1179" i="41"/>
  <c r="D1149" i="41"/>
  <c r="D1114" i="41"/>
  <c r="D1077" i="41"/>
  <c r="D1048" i="41"/>
  <c r="D1011" i="41"/>
  <c r="D976" i="41"/>
  <c r="D945" i="41"/>
  <c r="D909" i="41"/>
  <c r="D873" i="41"/>
  <c r="D842" i="41"/>
  <c r="D808" i="41"/>
  <c r="D770" i="41"/>
  <c r="D739" i="41"/>
  <c r="D706" i="41"/>
  <c r="D679" i="41"/>
  <c r="D660" i="41"/>
  <c r="D638" i="41"/>
  <c r="D615" i="41"/>
  <c r="D601" i="41"/>
  <c r="D590" i="41"/>
  <c r="D576" i="41"/>
  <c r="D564" i="41"/>
  <c r="D551" i="41"/>
  <c r="D537" i="41"/>
  <c r="D526" i="41"/>
  <c r="D513" i="41"/>
  <c r="D503" i="41"/>
  <c r="D492" i="41"/>
  <c r="D481" i="41"/>
  <c r="D471" i="41"/>
  <c r="D460" i="41"/>
  <c r="D449" i="41"/>
  <c r="D439" i="41"/>
  <c r="D431" i="41"/>
  <c r="D423" i="41"/>
  <c r="D415" i="41"/>
  <c r="D407" i="41"/>
  <c r="D399" i="41"/>
  <c r="D391" i="41"/>
  <c r="D383" i="41"/>
  <c r="D375" i="41"/>
  <c r="D1345" i="41"/>
  <c r="D1307" i="41"/>
  <c r="D1277" i="41"/>
  <c r="D1242" i="41"/>
  <c r="D1205" i="41"/>
  <c r="D1176" i="41"/>
  <c r="D1139" i="41"/>
  <c r="D1104" i="41"/>
  <c r="D1073" i="41"/>
  <c r="D1037" i="41"/>
  <c r="D1001" i="41"/>
  <c r="D970" i="41"/>
  <c r="D936" i="41"/>
  <c r="D898" i="41"/>
  <c r="D867" i="41"/>
  <c r="D833" i="41"/>
  <c r="D795" i="41"/>
  <c r="D765" i="41"/>
  <c r="D730" i="41"/>
  <c r="D697" i="41"/>
  <c r="D676" i="41"/>
  <c r="D654" i="41"/>
  <c r="D631" i="41"/>
  <c r="D612" i="41"/>
  <c r="D599" i="41"/>
  <c r="D585" i="41"/>
  <c r="D574" i="41"/>
  <c r="D560" i="41"/>
  <c r="D548" i="41"/>
  <c r="D535" i="41"/>
  <c r="D521" i="41"/>
  <c r="D511" i="41"/>
  <c r="D500" i="41"/>
  <c r="D489" i="41"/>
  <c r="D479" i="41"/>
  <c r="D468" i="41"/>
  <c r="D457" i="41"/>
  <c r="D447" i="41"/>
  <c r="D437" i="41"/>
  <c r="D429" i="41"/>
  <c r="D421" i="41"/>
  <c r="D413" i="41"/>
  <c r="D405" i="41"/>
  <c r="D397" i="41"/>
  <c r="D389" i="41"/>
  <c r="D381" i="41"/>
  <c r="D373" i="41"/>
  <c r="D1346" i="41"/>
  <c r="D1296" i="41"/>
  <c r="D1240" i="41"/>
  <c r="D1192" i="41"/>
  <c r="D1129" i="41"/>
  <c r="D1075" i="41"/>
  <c r="D1025" i="41"/>
  <c r="D962" i="41"/>
  <c r="D920" i="41"/>
  <c r="D858" i="41"/>
  <c r="D803" i="41"/>
  <c r="D753" i="41"/>
  <c r="D696" i="41"/>
  <c r="D663" i="41"/>
  <c r="D628" i="41"/>
  <c r="D600" i="41"/>
  <c r="D582" i="41"/>
  <c r="D559" i="41"/>
  <c r="D542" i="41"/>
  <c r="D519" i="41"/>
  <c r="D502" i="41"/>
  <c r="D486" i="41"/>
  <c r="D466" i="41"/>
  <c r="D452" i="41"/>
  <c r="D435" i="41"/>
  <c r="D422" i="41"/>
  <c r="D410" i="41"/>
  <c r="D396" i="41"/>
  <c r="D385" i="41"/>
  <c r="D371" i="41"/>
  <c r="D1341" i="41"/>
  <c r="D1293" i="41"/>
  <c r="D1232" i="41"/>
  <c r="D1178" i="41"/>
  <c r="D1128" i="41"/>
  <c r="D1065" i="41"/>
  <c r="D1021" i="41"/>
  <c r="D961" i="41"/>
  <c r="D906" i="41"/>
  <c r="D856" i="41"/>
  <c r="D794" i="41"/>
  <c r="D745" i="41"/>
  <c r="D693" i="41"/>
  <c r="D655" i="41"/>
  <c r="D623" i="41"/>
  <c r="D598" i="41"/>
  <c r="D580" i="41"/>
  <c r="D558" i="41"/>
  <c r="D536" i="41"/>
  <c r="D518" i="41"/>
  <c r="D498" i="41"/>
  <c r="D484" i="41"/>
  <c r="D465" i="41"/>
  <c r="D448" i="41"/>
  <c r="D434" i="41"/>
  <c r="D420" i="41"/>
  <c r="D409" i="41"/>
  <c r="D395" i="41"/>
  <c r="D382" i="41"/>
  <c r="D370" i="41"/>
  <c r="D1331" i="41"/>
  <c r="D1269" i="41"/>
  <c r="D1226" i="41"/>
  <c r="D1165" i="41"/>
  <c r="D1112" i="41"/>
  <c r="D1059" i="41"/>
  <c r="D1000" i="41"/>
  <c r="D949" i="41"/>
  <c r="D893" i="41"/>
  <c r="D834" i="41"/>
  <c r="D784" i="41"/>
  <c r="D728" i="41"/>
  <c r="D686" i="41"/>
  <c r="D647" i="41"/>
  <c r="D614" i="41"/>
  <c r="D593" i="41"/>
  <c r="D572" i="41"/>
  <c r="D553" i="41"/>
  <c r="D532" i="41"/>
  <c r="D512" i="41"/>
  <c r="D496" i="41"/>
  <c r="D478" i="41"/>
  <c r="D463" i="41"/>
  <c r="D444" i="41"/>
  <c r="D430" i="41"/>
  <c r="D418" i="41"/>
  <c r="D404" i="41"/>
  <c r="D393" i="41"/>
  <c r="D379" i="41"/>
  <c r="D1370" i="41"/>
  <c r="D1281" i="41"/>
  <c r="D1201" i="41"/>
  <c r="D1101" i="41"/>
  <c r="D1026" i="41"/>
  <c r="D931" i="41"/>
  <c r="D848" i="41"/>
  <c r="D757" i="41"/>
  <c r="D678" i="41"/>
  <c r="D630" i="41"/>
  <c r="D588" i="41"/>
  <c r="D556" i="41"/>
  <c r="D524" i="41"/>
  <c r="D495" i="41"/>
  <c r="D470" i="41"/>
  <c r="D441" i="41"/>
  <c r="D419" i="41"/>
  <c r="D401" i="41"/>
  <c r="D378" i="41"/>
  <c r="D1333" i="41"/>
  <c r="D1257" i="41"/>
  <c r="D1162" i="41"/>
  <c r="D1089" i="41"/>
  <c r="D987" i="41"/>
  <c r="D897" i="41"/>
  <c r="D819" i="41"/>
  <c r="D720" i="41"/>
  <c r="D668" i="41"/>
  <c r="D608" i="41"/>
  <c r="D575" i="41"/>
  <c r="D544" i="41"/>
  <c r="D510" i="41"/>
  <c r="D487" i="41"/>
  <c r="D456" i="41"/>
  <c r="D433" i="41"/>
  <c r="D412" i="41"/>
  <c r="D390" i="41"/>
  <c r="D372" i="41"/>
  <c r="D1329" i="41"/>
  <c r="D1243" i="41"/>
  <c r="D1154" i="41"/>
  <c r="D1064" i="41"/>
  <c r="D986" i="41"/>
  <c r="D885" i="41"/>
  <c r="D817" i="41"/>
  <c r="D717" i="41"/>
  <c r="D652" i="41"/>
  <c r="D607" i="41"/>
  <c r="D569" i="41"/>
  <c r="D543" i="41"/>
  <c r="D508" i="41"/>
  <c r="D480" i="41"/>
  <c r="D455" i="41"/>
  <c r="D428" i="41"/>
  <c r="D411" i="41"/>
  <c r="D388" i="41"/>
  <c r="D1315" i="41"/>
  <c r="D1229" i="41"/>
  <c r="D1141" i="41"/>
  <c r="D1051" i="41"/>
  <c r="D973" i="41"/>
  <c r="D883" i="41"/>
  <c r="D792" i="41"/>
  <c r="D714" i="41"/>
  <c r="D646" i="41"/>
  <c r="D606" i="41"/>
  <c r="D568" i="41"/>
  <c r="D534" i="41"/>
  <c r="D506" i="41"/>
  <c r="D476" i="41"/>
  <c r="D454" i="41"/>
  <c r="D427" i="41"/>
  <c r="D406" i="41"/>
  <c r="D387" i="41"/>
  <c r="D1306" i="41"/>
  <c r="D1213" i="41"/>
  <c r="D1137" i="41"/>
  <c r="D1040" i="41"/>
  <c r="D957" i="41"/>
  <c r="D872" i="41"/>
  <c r="D781" i="41"/>
  <c r="D704" i="41"/>
  <c r="D644" i="41"/>
  <c r="D596" i="41"/>
  <c r="D567" i="41"/>
  <c r="D529" i="41"/>
  <c r="D505" i="41"/>
  <c r="D474" i="41"/>
  <c r="D446" i="41"/>
  <c r="D426" i="41"/>
  <c r="D403" i="41"/>
  <c r="D386" i="41"/>
  <c r="D1368" i="41"/>
  <c r="D1123" i="41"/>
  <c r="D922" i="41"/>
  <c r="D671" i="41"/>
  <c r="D561" i="41"/>
  <c r="D488" i="41"/>
  <c r="D417" i="41"/>
  <c r="D1360" i="41"/>
  <c r="D1098" i="41"/>
  <c r="D859" i="41"/>
  <c r="D670" i="41"/>
  <c r="D550" i="41"/>
  <c r="D473" i="41"/>
  <c r="D414" i="41"/>
  <c r="D1304" i="41"/>
  <c r="D1090" i="41"/>
  <c r="D829" i="41"/>
  <c r="D636" i="41"/>
  <c r="D545" i="41"/>
  <c r="D464" i="41"/>
  <c r="D402" i="41"/>
  <c r="D1267" i="41"/>
  <c r="D1034" i="41"/>
  <c r="D821" i="41"/>
  <c r="D622" i="41"/>
  <c r="D528" i="41"/>
  <c r="D458" i="41"/>
  <c r="D398" i="41"/>
  <c r="D1265" i="41"/>
  <c r="D1009" i="41"/>
  <c r="D769" i="41"/>
  <c r="D609" i="41"/>
  <c r="D520" i="41"/>
  <c r="D442" i="41"/>
  <c r="D394" i="41"/>
  <c r="D1193" i="41"/>
  <c r="D937" i="41"/>
  <c r="D731" i="41"/>
  <c r="D584" i="41"/>
  <c r="D497" i="41"/>
  <c r="D436" i="41"/>
  <c r="D377" i="41"/>
  <c r="D1168" i="41"/>
  <c r="D490" i="41"/>
  <c r="D995" i="41"/>
  <c r="D438" i="41"/>
  <c r="D687" i="41"/>
  <c r="D923" i="41"/>
  <c r="D425" i="41"/>
  <c r="D755" i="41"/>
  <c r="D380" i="41"/>
  <c r="D592" i="41"/>
  <c r="D583" i="41"/>
  <c r="D516" i="41"/>
  <c r="D374" i="41"/>
  <c r="D1203" i="41"/>
  <c r="C141" i="21"/>
  <c r="D236" i="42" l="1"/>
  <c r="D307" i="42"/>
  <c r="G355" i="42"/>
  <c r="D231" i="42"/>
  <c r="D233" i="42"/>
  <c r="D238" i="42"/>
  <c r="D255" i="42"/>
  <c r="D270" i="42"/>
  <c r="E270" i="42" s="1"/>
  <c r="H270" i="42" s="1"/>
  <c r="D268" i="42"/>
  <c r="E268" i="42" s="1"/>
  <c r="F268" i="42" s="1"/>
  <c r="D281" i="42"/>
  <c r="D299" i="42"/>
  <c r="E299" i="42" s="1"/>
  <c r="H299" i="42" s="1"/>
  <c r="D254" i="42"/>
  <c r="D294" i="42"/>
  <c r="D273" i="42"/>
  <c r="G371" i="44"/>
  <c r="D259" i="42"/>
  <c r="D235" i="42"/>
  <c r="E235" i="42" s="1"/>
  <c r="H235" i="42" s="1"/>
  <c r="D284" i="42"/>
  <c r="D252" i="42"/>
  <c r="D257" i="42"/>
  <c r="D298" i="42"/>
  <c r="D301" i="42"/>
  <c r="E301" i="42" s="1"/>
  <c r="G301" i="42" s="1"/>
  <c r="D296" i="42"/>
  <c r="E296" i="42" s="1"/>
  <c r="F296" i="42" s="1"/>
  <c r="D331" i="41"/>
  <c r="G367" i="44"/>
  <c r="C370" i="44"/>
  <c r="C371" i="44" s="1"/>
  <c r="G366" i="44"/>
  <c r="C368" i="44"/>
  <c r="C369" i="44" s="1"/>
  <c r="D364" i="43"/>
  <c r="G365" i="43"/>
  <c r="C366" i="43"/>
  <c r="C367" i="43" s="1"/>
  <c r="G364" i="43"/>
  <c r="C368" i="43"/>
  <c r="C369" i="43" s="1"/>
  <c r="D368" i="43"/>
  <c r="F368" i="43" s="1"/>
  <c r="D366" i="43"/>
  <c r="F366" i="43" s="1"/>
  <c r="E337" i="43"/>
  <c r="H337" i="43" s="1"/>
  <c r="C364" i="43"/>
  <c r="C365" i="43" s="1"/>
  <c r="G369" i="43"/>
  <c r="D298" i="44"/>
  <c r="E298" i="44" s="1"/>
  <c r="D292" i="44"/>
  <c r="E292" i="44" s="1"/>
  <c r="H292" i="44" s="1"/>
  <c r="D370" i="44"/>
  <c r="D371" i="44" s="1"/>
  <c r="C366" i="44"/>
  <c r="C367" i="44" s="1"/>
  <c r="G370" i="44"/>
  <c r="D309" i="44"/>
  <c r="E309" i="44" s="1"/>
  <c r="F309" i="44" s="1"/>
  <c r="D247" i="44"/>
  <c r="E247" i="44" s="1"/>
  <c r="H247" i="44" s="1"/>
  <c r="D314" i="44"/>
  <c r="E314" i="44" s="1"/>
  <c r="H314" i="44" s="1"/>
  <c r="D337" i="44"/>
  <c r="E337" i="44" s="1"/>
  <c r="H337" i="44" s="1"/>
  <c r="D350" i="42"/>
  <c r="F350" i="42" s="1"/>
  <c r="C350" i="42"/>
  <c r="C351" i="42" s="1"/>
  <c r="G351" i="42"/>
  <c r="C352" i="42"/>
  <c r="C353" i="42" s="1"/>
  <c r="G354" i="42"/>
  <c r="G350" i="42"/>
  <c r="C354" i="42"/>
  <c r="C355" i="42" s="1"/>
  <c r="D352" i="42"/>
  <c r="F352" i="42" s="1"/>
  <c r="E67" i="41"/>
  <c r="E85" i="41" s="1"/>
  <c r="D264" i="44"/>
  <c r="E264" i="44" s="1"/>
  <c r="F264" i="44" s="1"/>
  <c r="D272" i="44"/>
  <c r="E272" i="44" s="1"/>
  <c r="F272" i="44" s="1"/>
  <c r="D294" i="44"/>
  <c r="E294" i="44" s="1"/>
  <c r="F294" i="44" s="1"/>
  <c r="D252" i="44"/>
  <c r="E252" i="44" s="1"/>
  <c r="F252" i="44" s="1"/>
  <c r="D307" i="44"/>
  <c r="E307" i="44" s="1"/>
  <c r="H307" i="44" s="1"/>
  <c r="D344" i="44"/>
  <c r="E344" i="44" s="1"/>
  <c r="H344" i="44" s="1"/>
  <c r="D262" i="44"/>
  <c r="E262" i="44" s="1"/>
  <c r="H262" i="44" s="1"/>
  <c r="D253" i="44"/>
  <c r="E253" i="44" s="1"/>
  <c r="F253" i="44" s="1"/>
  <c r="D335" i="44"/>
  <c r="E335" i="44" s="1"/>
  <c r="H335" i="44" s="1"/>
  <c r="D339" i="44"/>
  <c r="E339" i="44" s="1"/>
  <c r="H339" i="44" s="1"/>
  <c r="D254" i="44"/>
  <c r="E254" i="44" s="1"/>
  <c r="H254" i="44" s="1"/>
  <c r="D255" i="44"/>
  <c r="E255" i="44" s="1"/>
  <c r="D260" i="44"/>
  <c r="E260" i="44" s="1"/>
  <c r="D249" i="44"/>
  <c r="E249" i="44" s="1"/>
  <c r="H249" i="44" s="1"/>
  <c r="D276" i="44"/>
  <c r="E276" i="44" s="1"/>
  <c r="H276" i="44" s="1"/>
  <c r="D319" i="44"/>
  <c r="E319" i="44" s="1"/>
  <c r="H319" i="44" s="1"/>
  <c r="D329" i="44"/>
  <c r="E329" i="44" s="1"/>
  <c r="H329" i="44" s="1"/>
  <c r="D256" i="44"/>
  <c r="E256" i="44" s="1"/>
  <c r="H256" i="44" s="1"/>
  <c r="D296" i="44"/>
  <c r="E296" i="44" s="1"/>
  <c r="H296" i="44" s="1"/>
  <c r="D280" i="44"/>
  <c r="E280" i="44" s="1"/>
  <c r="H280" i="44" s="1"/>
  <c r="D258" i="44"/>
  <c r="E258" i="44" s="1"/>
  <c r="H258" i="44" s="1"/>
  <c r="D278" i="44"/>
  <c r="E278" i="44" s="1"/>
  <c r="F278" i="44" s="1"/>
  <c r="D342" i="44"/>
  <c r="E342" i="44" s="1"/>
  <c r="F342" i="44" s="1"/>
  <c r="D268" i="44"/>
  <c r="E268" i="44" s="1"/>
  <c r="F268" i="44" s="1"/>
  <c r="D311" i="44"/>
  <c r="E311" i="44" s="1"/>
  <c r="H311" i="44" s="1"/>
  <c r="D326" i="44"/>
  <c r="E326" i="44" s="1"/>
  <c r="G326" i="44" s="1"/>
  <c r="D291" i="44"/>
  <c r="E291" i="44" s="1"/>
  <c r="H291" i="44" s="1"/>
  <c r="D251" i="44"/>
  <c r="E251" i="44" s="1"/>
  <c r="G251" i="44" s="1"/>
  <c r="D333" i="44"/>
  <c r="E333" i="44" s="1"/>
  <c r="F333" i="44" s="1"/>
  <c r="D327" i="44"/>
  <c r="E327" i="44" s="1"/>
  <c r="G327" i="44" s="1"/>
  <c r="D257" i="41"/>
  <c r="D291" i="41"/>
  <c r="D248" i="41"/>
  <c r="D310" i="41"/>
  <c r="D288" i="41"/>
  <c r="D234" i="41"/>
  <c r="D237" i="41"/>
  <c r="D282" i="41"/>
  <c r="D281" i="41"/>
  <c r="D326" i="43"/>
  <c r="E326" i="43" s="1"/>
  <c r="D328" i="41"/>
  <c r="D284" i="41"/>
  <c r="D294" i="41"/>
  <c r="D308" i="41"/>
  <c r="D258" i="41"/>
  <c r="D325" i="41"/>
  <c r="D236" i="41"/>
  <c r="D309" i="41"/>
  <c r="D295" i="41"/>
  <c r="D301" i="41"/>
  <c r="D315" i="41"/>
  <c r="D300" i="41"/>
  <c r="D304" i="41"/>
  <c r="D277" i="41"/>
  <c r="D321" i="41"/>
  <c r="D323" i="41"/>
  <c r="D260" i="41"/>
  <c r="D302" i="41"/>
  <c r="D276" i="41"/>
  <c r="D296" i="41"/>
  <c r="D320" i="41"/>
  <c r="D263" i="41"/>
  <c r="D251" i="41"/>
  <c r="D241" i="41"/>
  <c r="D326" i="41"/>
  <c r="D285" i="41"/>
  <c r="D368" i="44"/>
  <c r="D369" i="44" s="1"/>
  <c r="D264" i="41"/>
  <c r="D244" i="41"/>
  <c r="D245" i="41"/>
  <c r="D279" i="41"/>
  <c r="D333" i="41"/>
  <c r="D322" i="41"/>
  <c r="D305" i="41"/>
  <c r="D298" i="41"/>
  <c r="D256" i="41"/>
  <c r="D255" i="41"/>
  <c r="D303" i="41"/>
  <c r="D247" i="41"/>
  <c r="D254" i="41"/>
  <c r="D262" i="41"/>
  <c r="D289" i="41"/>
  <c r="D324" i="41"/>
  <c r="D252" i="41"/>
  <c r="D313" i="41"/>
  <c r="D318" i="41"/>
  <c r="D242" i="41"/>
  <c r="D329" i="41"/>
  <c r="D273" i="41"/>
  <c r="D280" i="41"/>
  <c r="D238" i="41"/>
  <c r="D290" i="41"/>
  <c r="D270" i="41"/>
  <c r="D261" i="41"/>
  <c r="D269" i="41"/>
  <c r="D317" i="41"/>
  <c r="D314" i="41"/>
  <c r="D306" i="41"/>
  <c r="D249" i="41"/>
  <c r="D297" i="41"/>
  <c r="D267" i="41"/>
  <c r="D246" i="41"/>
  <c r="D275" i="41"/>
  <c r="D319" i="41"/>
  <c r="D311" i="41"/>
  <c r="D312" i="41"/>
  <c r="D307" i="41"/>
  <c r="D278" i="41"/>
  <c r="D286" i="41"/>
  <c r="D250" i="41"/>
  <c r="D268" i="41"/>
  <c r="D271" i="41"/>
  <c r="D272" i="41"/>
  <c r="D332" i="41"/>
  <c r="D330" i="41"/>
  <c r="D240" i="41"/>
  <c r="D266" i="41"/>
  <c r="D342" i="43"/>
  <c r="E342" i="43" s="1"/>
  <c r="G342" i="43" s="1"/>
  <c r="D252" i="43"/>
  <c r="E252" i="43" s="1"/>
  <c r="D258" i="43"/>
  <c r="E258" i="43" s="1"/>
  <c r="D327" i="43"/>
  <c r="E327" i="43" s="1"/>
  <c r="D338" i="43"/>
  <c r="E338" i="43" s="1"/>
  <c r="F338" i="43" s="1"/>
  <c r="D246" i="43"/>
  <c r="E246" i="43" s="1"/>
  <c r="G246" i="43" s="1"/>
  <c r="D254" i="43"/>
  <c r="E254" i="43" s="1"/>
  <c r="H254" i="43" s="1"/>
  <c r="D340" i="44"/>
  <c r="E340" i="44" s="1"/>
  <c r="F340" i="44" s="1"/>
  <c r="D293" i="44"/>
  <c r="E293" i="44" s="1"/>
  <c r="G293" i="44" s="1"/>
  <c r="D318" i="44"/>
  <c r="E318" i="44" s="1"/>
  <c r="G318" i="44" s="1"/>
  <c r="D328" i="44"/>
  <c r="E328" i="44" s="1"/>
  <c r="H328" i="44" s="1"/>
  <c r="D293" i="43"/>
  <c r="E293" i="43" s="1"/>
  <c r="D297" i="44"/>
  <c r="E297" i="44" s="1"/>
  <c r="F297" i="44" s="1"/>
  <c r="D324" i="44"/>
  <c r="E324" i="44" s="1"/>
  <c r="F324" i="44" s="1"/>
  <c r="D277" i="44"/>
  <c r="E277" i="44" s="1"/>
  <c r="G277" i="44" s="1"/>
  <c r="D266" i="44"/>
  <c r="E266" i="44" s="1"/>
  <c r="H266" i="44" s="1"/>
  <c r="D320" i="43"/>
  <c r="E320" i="43" s="1"/>
  <c r="H320" i="43" s="1"/>
  <c r="D281" i="44"/>
  <c r="E281" i="44" s="1"/>
  <c r="G281" i="44" s="1"/>
  <c r="D325" i="44"/>
  <c r="E325" i="44" s="1"/>
  <c r="H325" i="44" s="1"/>
  <c r="D341" i="44"/>
  <c r="E341" i="44" s="1"/>
  <c r="H341" i="44" s="1"/>
  <c r="D330" i="44"/>
  <c r="E330" i="44" s="1"/>
  <c r="G330" i="44" s="1"/>
  <c r="D281" i="43"/>
  <c r="E281" i="43" s="1"/>
  <c r="F281" i="43" s="1"/>
  <c r="D300" i="44"/>
  <c r="E300" i="44" s="1"/>
  <c r="G300" i="44" s="1"/>
  <c r="D284" i="44"/>
  <c r="E284" i="44" s="1"/>
  <c r="H284" i="44" s="1"/>
  <c r="D290" i="44"/>
  <c r="E290" i="44" s="1"/>
  <c r="G290" i="44" s="1"/>
  <c r="D304" i="44"/>
  <c r="E304" i="44" s="1"/>
  <c r="H304" i="44" s="1"/>
  <c r="D305" i="43"/>
  <c r="E305" i="43" s="1"/>
  <c r="H305" i="43" s="1"/>
  <c r="D315" i="43"/>
  <c r="E315" i="43" s="1"/>
  <c r="H315" i="43" s="1"/>
  <c r="D271" i="44"/>
  <c r="E271" i="44" s="1"/>
  <c r="H271" i="44" s="1"/>
  <c r="D269" i="44"/>
  <c r="E269" i="44" s="1"/>
  <c r="H269" i="44" s="1"/>
  <c r="D320" i="44"/>
  <c r="E320" i="44" s="1"/>
  <c r="G320" i="44" s="1"/>
  <c r="D316" i="44"/>
  <c r="E316" i="44" s="1"/>
  <c r="H316" i="44" s="1"/>
  <c r="D310" i="43"/>
  <c r="E310" i="43" s="1"/>
  <c r="D271" i="43"/>
  <c r="E271" i="43" s="1"/>
  <c r="D311" i="43"/>
  <c r="E311" i="43" s="1"/>
  <c r="D280" i="43"/>
  <c r="E280" i="43" s="1"/>
  <c r="H280" i="43" s="1"/>
  <c r="D304" i="43"/>
  <c r="E304" i="43" s="1"/>
  <c r="D265" i="43"/>
  <c r="E265" i="43" s="1"/>
  <c r="H265" i="43" s="1"/>
  <c r="D289" i="43"/>
  <c r="E289" i="43" s="1"/>
  <c r="D316" i="43"/>
  <c r="E316" i="43" s="1"/>
  <c r="D277" i="43"/>
  <c r="E277" i="43" s="1"/>
  <c r="D317" i="43"/>
  <c r="E317" i="43" s="1"/>
  <c r="G317" i="43" s="1"/>
  <c r="D317" i="44"/>
  <c r="E317" i="44" s="1"/>
  <c r="H317" i="44" s="1"/>
  <c r="D334" i="44"/>
  <c r="E334" i="44" s="1"/>
  <c r="G334" i="44" s="1"/>
  <c r="D248" i="44"/>
  <c r="E248" i="44" s="1"/>
  <c r="H248" i="44" s="1"/>
  <c r="D332" i="44"/>
  <c r="E332" i="44" s="1"/>
  <c r="F332" i="44" s="1"/>
  <c r="D346" i="44"/>
  <c r="E346" i="44" s="1"/>
  <c r="H346" i="44" s="1"/>
  <c r="D345" i="44"/>
  <c r="E345" i="44" s="1"/>
  <c r="H345" i="44" s="1"/>
  <c r="D294" i="43"/>
  <c r="E294" i="43" s="1"/>
  <c r="D255" i="43"/>
  <c r="E255" i="43" s="1"/>
  <c r="D295" i="43"/>
  <c r="E295" i="43" s="1"/>
  <c r="D333" i="43"/>
  <c r="E333" i="43" s="1"/>
  <c r="D264" i="43"/>
  <c r="E264" i="43" s="1"/>
  <c r="G264" i="43" s="1"/>
  <c r="D288" i="43"/>
  <c r="E288" i="43" s="1"/>
  <c r="F288" i="43" s="1"/>
  <c r="D249" i="43"/>
  <c r="E249" i="43" s="1"/>
  <c r="H249" i="43" s="1"/>
  <c r="D276" i="43"/>
  <c r="E276" i="43" s="1"/>
  <c r="D300" i="43"/>
  <c r="E300" i="43" s="1"/>
  <c r="H300" i="43" s="1"/>
  <c r="D261" i="43"/>
  <c r="E261" i="43" s="1"/>
  <c r="H261" i="43" s="1"/>
  <c r="D301" i="43"/>
  <c r="E301" i="43" s="1"/>
  <c r="H301" i="43" s="1"/>
  <c r="D334" i="43"/>
  <c r="E334" i="43" s="1"/>
  <c r="F334" i="43" s="1"/>
  <c r="D339" i="43"/>
  <c r="E339" i="43" s="1"/>
  <c r="F339" i="43" s="1"/>
  <c r="D329" i="43"/>
  <c r="E329" i="43" s="1"/>
  <c r="F329" i="43" s="1"/>
  <c r="D245" i="43"/>
  <c r="E245" i="43" s="1"/>
  <c r="G245" i="43" s="1"/>
  <c r="D282" i="43"/>
  <c r="E282" i="43" s="1"/>
  <c r="D322" i="43"/>
  <c r="E322" i="43" s="1"/>
  <c r="D283" i="43"/>
  <c r="E283" i="43" s="1"/>
  <c r="D323" i="43"/>
  <c r="E323" i="43" s="1"/>
  <c r="H323" i="43" s="1"/>
  <c r="D344" i="43"/>
  <c r="E344" i="43" s="1"/>
  <c r="D260" i="43"/>
  <c r="E260" i="43" s="1"/>
  <c r="D340" i="43"/>
  <c r="E340" i="43" s="1"/>
  <c r="G340" i="43" s="1"/>
  <c r="D248" i="43"/>
  <c r="E248" i="43" s="1"/>
  <c r="F248" i="43" s="1"/>
  <c r="D285" i="43"/>
  <c r="E285" i="43" s="1"/>
  <c r="F285" i="43" s="1"/>
  <c r="D336" i="43"/>
  <c r="E336" i="43" s="1"/>
  <c r="F336" i="43" s="1"/>
  <c r="D270" i="43"/>
  <c r="E270" i="43" s="1"/>
  <c r="H270" i="43" s="1"/>
  <c r="D273" i="43"/>
  <c r="E273" i="43" s="1"/>
  <c r="H273" i="43" s="1"/>
  <c r="D328" i="43"/>
  <c r="E328" i="43" s="1"/>
  <c r="H328" i="43" s="1"/>
  <c r="D267" i="44"/>
  <c r="E267" i="44" s="1"/>
  <c r="H267" i="44" s="1"/>
  <c r="D331" i="44"/>
  <c r="E331" i="44" s="1"/>
  <c r="F331" i="44" s="1"/>
  <c r="D313" i="44"/>
  <c r="E313" i="44" s="1"/>
  <c r="G313" i="44" s="1"/>
  <c r="D301" i="44"/>
  <c r="E301" i="44" s="1"/>
  <c r="H301" i="44" s="1"/>
  <c r="D303" i="44"/>
  <c r="E303" i="44" s="1"/>
  <c r="H303" i="44" s="1"/>
  <c r="D343" i="44"/>
  <c r="E343" i="44" s="1"/>
  <c r="H343" i="44" s="1"/>
  <c r="D312" i="44"/>
  <c r="E312" i="44" s="1"/>
  <c r="G312" i="44" s="1"/>
  <c r="D313" i="43"/>
  <c r="E313" i="43" s="1"/>
  <c r="D335" i="43"/>
  <c r="E335" i="43" s="1"/>
  <c r="D266" i="43"/>
  <c r="E266" i="43" s="1"/>
  <c r="D306" i="43"/>
  <c r="E306" i="43" s="1"/>
  <c r="D267" i="43"/>
  <c r="E267" i="43" s="1"/>
  <c r="H267" i="43" s="1"/>
  <c r="D307" i="43"/>
  <c r="E307" i="43" s="1"/>
  <c r="D318" i="43"/>
  <c r="E318" i="43" s="1"/>
  <c r="G318" i="43" s="1"/>
  <c r="D279" i="43"/>
  <c r="E279" i="43" s="1"/>
  <c r="H279" i="43" s="1"/>
  <c r="D319" i="43"/>
  <c r="E319" i="43" s="1"/>
  <c r="H319" i="43" s="1"/>
  <c r="D341" i="43"/>
  <c r="E341" i="43" s="1"/>
  <c r="F341" i="43" s="1"/>
  <c r="D272" i="43"/>
  <c r="E272" i="43" s="1"/>
  <c r="H272" i="43" s="1"/>
  <c r="D296" i="43"/>
  <c r="E296" i="43" s="1"/>
  <c r="H296" i="43" s="1"/>
  <c r="D312" i="43"/>
  <c r="E312" i="43" s="1"/>
  <c r="H312" i="43" s="1"/>
  <c r="D289" i="44"/>
  <c r="E289" i="44" s="1"/>
  <c r="F289" i="44" s="1"/>
  <c r="D285" i="44"/>
  <c r="E285" i="44" s="1"/>
  <c r="F285" i="44" s="1"/>
  <c r="D287" i="44"/>
  <c r="E287" i="44" s="1"/>
  <c r="G287" i="44" s="1"/>
  <c r="D259" i="44"/>
  <c r="E259" i="44" s="1"/>
  <c r="H259" i="44" s="1"/>
  <c r="D297" i="43"/>
  <c r="E297" i="43" s="1"/>
  <c r="D324" i="43"/>
  <c r="E324" i="43" s="1"/>
  <c r="D250" i="43"/>
  <c r="E250" i="43" s="1"/>
  <c r="D290" i="43"/>
  <c r="E290" i="43" s="1"/>
  <c r="H290" i="43" s="1"/>
  <c r="D251" i="43"/>
  <c r="E251" i="43" s="1"/>
  <c r="H251" i="43" s="1"/>
  <c r="D291" i="43"/>
  <c r="E291" i="43" s="1"/>
  <c r="H291" i="43" s="1"/>
  <c r="D302" i="43"/>
  <c r="E302" i="43" s="1"/>
  <c r="F302" i="43" s="1"/>
  <c r="D263" i="43"/>
  <c r="E263" i="43" s="1"/>
  <c r="H263" i="43" s="1"/>
  <c r="D303" i="43"/>
  <c r="E303" i="43" s="1"/>
  <c r="D330" i="43"/>
  <c r="E330" i="43" s="1"/>
  <c r="G330" i="43" s="1"/>
  <c r="D256" i="43"/>
  <c r="E256" i="43" s="1"/>
  <c r="H256" i="43" s="1"/>
  <c r="D257" i="43"/>
  <c r="E257" i="43" s="1"/>
  <c r="H257" i="43" s="1"/>
  <c r="D332" i="43"/>
  <c r="E332" i="43" s="1"/>
  <c r="H332" i="43" s="1"/>
  <c r="D338" i="44"/>
  <c r="E338" i="44" s="1"/>
  <c r="G338" i="44" s="1"/>
  <c r="D274" i="44"/>
  <c r="E274" i="44" s="1"/>
  <c r="H274" i="44" s="1"/>
  <c r="D265" i="44"/>
  <c r="E265" i="44" s="1"/>
  <c r="H265" i="44" s="1"/>
  <c r="D308" i="44"/>
  <c r="E308" i="44" s="1"/>
  <c r="G308" i="44" s="1"/>
  <c r="D275" i="44"/>
  <c r="E275" i="44" s="1"/>
  <c r="H275" i="44" s="1"/>
  <c r="D305" i="44"/>
  <c r="E305" i="44" s="1"/>
  <c r="H305" i="44" s="1"/>
  <c r="D273" i="44"/>
  <c r="E273" i="44" s="1"/>
  <c r="G273" i="44" s="1"/>
  <c r="D284" i="43"/>
  <c r="E284" i="43" s="1"/>
  <c r="D308" i="43"/>
  <c r="E308" i="43" s="1"/>
  <c r="G308" i="43" s="1"/>
  <c r="D269" i="43"/>
  <c r="E269" i="43" s="1"/>
  <c r="H269" i="43" s="1"/>
  <c r="D325" i="43"/>
  <c r="E325" i="43" s="1"/>
  <c r="D278" i="43"/>
  <c r="E278" i="43" s="1"/>
  <c r="F278" i="43" s="1"/>
  <c r="D286" i="43"/>
  <c r="E286" i="43" s="1"/>
  <c r="H286" i="43" s="1"/>
  <c r="D247" i="43"/>
  <c r="E247" i="43" s="1"/>
  <c r="G247" i="43" s="1"/>
  <c r="D287" i="43"/>
  <c r="E287" i="43" s="1"/>
  <c r="G287" i="43" s="1"/>
  <c r="D314" i="43"/>
  <c r="E314" i="43" s="1"/>
  <c r="D275" i="43"/>
  <c r="E275" i="43" s="1"/>
  <c r="D295" i="44"/>
  <c r="E295" i="44" s="1"/>
  <c r="F295" i="44" s="1"/>
  <c r="D322" i="44"/>
  <c r="E322" i="44" s="1"/>
  <c r="G322" i="44" s="1"/>
  <c r="D282" i="44"/>
  <c r="E282" i="44" s="1"/>
  <c r="F282" i="44" s="1"/>
  <c r="D250" i="44"/>
  <c r="E250" i="44" s="1"/>
  <c r="F250" i="44" s="1"/>
  <c r="D302" i="44"/>
  <c r="E302" i="44" s="1"/>
  <c r="H302" i="44" s="1"/>
  <c r="D310" i="44"/>
  <c r="E310" i="44" s="1"/>
  <c r="G310" i="44" s="1"/>
  <c r="D286" i="44"/>
  <c r="E286" i="44" s="1"/>
  <c r="H286" i="44" s="1"/>
  <c r="D270" i="44"/>
  <c r="E270" i="44" s="1"/>
  <c r="H270" i="44" s="1"/>
  <c r="D268" i="43"/>
  <c r="E268" i="43" s="1"/>
  <c r="D292" i="43"/>
  <c r="E292" i="43" s="1"/>
  <c r="F292" i="43" s="1"/>
  <c r="D253" i="43"/>
  <c r="E253" i="43" s="1"/>
  <c r="H253" i="43" s="1"/>
  <c r="D309" i="43"/>
  <c r="E309" i="43" s="1"/>
  <c r="D331" i="43"/>
  <c r="E331" i="43" s="1"/>
  <c r="F331" i="43" s="1"/>
  <c r="D262" i="43"/>
  <c r="E262" i="43" s="1"/>
  <c r="G262" i="43" s="1"/>
  <c r="D321" i="43"/>
  <c r="E321" i="43" s="1"/>
  <c r="G321" i="43" s="1"/>
  <c r="D343" i="43"/>
  <c r="E343" i="43" s="1"/>
  <c r="F343" i="43" s="1"/>
  <c r="D274" i="43"/>
  <c r="E274" i="43" s="1"/>
  <c r="G274" i="43" s="1"/>
  <c r="D298" i="43"/>
  <c r="E298" i="43" s="1"/>
  <c r="H298" i="43" s="1"/>
  <c r="D259" i="43"/>
  <c r="E259" i="43" s="1"/>
  <c r="H259" i="43" s="1"/>
  <c r="D299" i="43"/>
  <c r="E299" i="43" s="1"/>
  <c r="H299" i="43" s="1"/>
  <c r="D279" i="44"/>
  <c r="E279" i="44" s="1"/>
  <c r="H279" i="44" s="1"/>
  <c r="D321" i="44"/>
  <c r="E321" i="44" s="1"/>
  <c r="H321" i="44" s="1"/>
  <c r="D336" i="44"/>
  <c r="E336" i="44" s="1"/>
  <c r="H336" i="44" s="1"/>
  <c r="D288" i="44"/>
  <c r="E288" i="44" s="1"/>
  <c r="G288" i="44" s="1"/>
  <c r="D263" i="44"/>
  <c r="E263" i="44" s="1"/>
  <c r="H263" i="44" s="1"/>
  <c r="D315" i="44"/>
  <c r="E315" i="44" s="1"/>
  <c r="F315" i="44" s="1"/>
  <c r="D261" i="44"/>
  <c r="E261" i="44" s="1"/>
  <c r="G261" i="44" s="1"/>
  <c r="D257" i="44"/>
  <c r="E257" i="44" s="1"/>
  <c r="H257" i="44" s="1"/>
  <c r="D292" i="41"/>
  <c r="D265" i="41"/>
  <c r="E306" i="44"/>
  <c r="F306" i="44" s="1"/>
  <c r="D299" i="44"/>
  <c r="E299" i="44" s="1"/>
  <c r="G299" i="44" s="1"/>
  <c r="D323" i="44"/>
  <c r="E323" i="44" s="1"/>
  <c r="H323" i="44" s="1"/>
  <c r="D283" i="44"/>
  <c r="E283" i="44" s="1"/>
  <c r="G283" i="44" s="1"/>
  <c r="G377" i="44"/>
  <c r="G375" i="43"/>
  <c r="E298" i="42"/>
  <c r="F298" i="42" s="1"/>
  <c r="E259" i="42"/>
  <c r="G259" i="42" s="1"/>
  <c r="E303" i="42"/>
  <c r="F303" i="42" s="1"/>
  <c r="E257" i="42"/>
  <c r="H257" i="42" s="1"/>
  <c r="E317" i="42"/>
  <c r="G317" i="42" s="1"/>
  <c r="E245" i="42"/>
  <c r="G245" i="42" s="1"/>
  <c r="E271" i="42"/>
  <c r="G271" i="42" s="1"/>
  <c r="E242" i="42"/>
  <c r="G242" i="42" s="1"/>
  <c r="E322" i="42"/>
  <c r="F322" i="42" s="1"/>
  <c r="E261" i="42"/>
  <c r="G261" i="42" s="1"/>
  <c r="E250" i="42"/>
  <c r="H250" i="42" s="1"/>
  <c r="E316" i="42"/>
  <c r="F316" i="42" s="1"/>
  <c r="E276" i="42"/>
  <c r="F276" i="42" s="1"/>
  <c r="E238" i="42"/>
  <c r="H238" i="42" s="1"/>
  <c r="E267" i="42"/>
  <c r="G267" i="42" s="1"/>
  <c r="E281" i="42"/>
  <c r="H281" i="42" s="1"/>
  <c r="E311" i="42"/>
  <c r="G311" i="42" s="1"/>
  <c r="E328" i="42"/>
  <c r="F328" i="42" s="1"/>
  <c r="E280" i="42"/>
  <c r="G280" i="42" s="1"/>
  <c r="E312" i="42"/>
  <c r="F312" i="42" s="1"/>
  <c r="E246" i="42"/>
  <c r="G246" i="42" s="1"/>
  <c r="E265" i="42"/>
  <c r="G265" i="42" s="1"/>
  <c r="E306" i="42"/>
  <c r="F306" i="42" s="1"/>
  <c r="E288" i="42"/>
  <c r="F288" i="42" s="1"/>
  <c r="E247" i="42"/>
  <c r="H247" i="42" s="1"/>
  <c r="E275" i="42"/>
  <c r="H275" i="42" s="1"/>
  <c r="E273" i="42"/>
  <c r="G273" i="42" s="1"/>
  <c r="E248" i="42"/>
  <c r="G248" i="42" s="1"/>
  <c r="E254" i="42"/>
  <c r="G254" i="42" s="1"/>
  <c r="E294" i="42"/>
  <c r="F294" i="42" s="1"/>
  <c r="E234" i="42"/>
  <c r="G234" i="42" s="1"/>
  <c r="E269" i="42"/>
  <c r="F269" i="42" s="1"/>
  <c r="E260" i="42"/>
  <c r="H260" i="42" s="1"/>
  <c r="E291" i="42"/>
  <c r="H291" i="42" s="1"/>
  <c r="E293" i="42"/>
  <c r="H293" i="42" s="1"/>
  <c r="E278" i="42"/>
  <c r="G278" i="42" s="1"/>
  <c r="E283" i="42"/>
  <c r="H283" i="42" s="1"/>
  <c r="E266" i="42"/>
  <c r="G266" i="42" s="1"/>
  <c r="E243" i="42"/>
  <c r="H243" i="42" s="1"/>
  <c r="E231" i="42"/>
  <c r="H231" i="42" s="1"/>
  <c r="E255" i="42"/>
  <c r="H255" i="42" s="1"/>
  <c r="E292" i="42"/>
  <c r="F292" i="42" s="1"/>
  <c r="E236" i="42"/>
  <c r="F236" i="42" s="1"/>
  <c r="E290" i="42"/>
  <c r="G290" i="42" s="1"/>
  <c r="E272" i="42"/>
  <c r="G272" i="42" s="1"/>
  <c r="E323" i="42"/>
  <c r="H323" i="42" s="1"/>
  <c r="E233" i="42"/>
  <c r="H233" i="42" s="1"/>
  <c r="E262" i="42"/>
  <c r="H262" i="42" s="1"/>
  <c r="E321" i="42"/>
  <c r="H321" i="42" s="1"/>
  <c r="E251" i="42"/>
  <c r="H251" i="42" s="1"/>
  <c r="E279" i="42"/>
  <c r="H279" i="42" s="1"/>
  <c r="E239" i="42"/>
  <c r="G239" i="42" s="1"/>
  <c r="E310" i="42"/>
  <c r="H310" i="42" s="1"/>
  <c r="E277" i="42"/>
  <c r="H277" i="42" s="1"/>
  <c r="E295" i="42"/>
  <c r="H295" i="42" s="1"/>
  <c r="E244" i="42"/>
  <c r="H244" i="42" s="1"/>
  <c r="E307" i="42"/>
  <c r="H307" i="42" s="1"/>
  <c r="E327" i="42"/>
  <c r="F327" i="42" s="1"/>
  <c r="E284" i="42"/>
  <c r="G284" i="42" s="1"/>
  <c r="E329" i="42"/>
  <c r="G329" i="42" s="1"/>
  <c r="E315" i="42"/>
  <c r="H315" i="42" s="1"/>
  <c r="E252" i="42"/>
  <c r="G252" i="42" s="1"/>
  <c r="E253" i="42"/>
  <c r="H253" i="42" s="1"/>
  <c r="E324" i="42"/>
  <c r="F324" i="42" s="1"/>
  <c r="E264" i="42"/>
  <c r="G264" i="42" s="1"/>
  <c r="E289" i="42"/>
  <c r="H289" i="42" s="1"/>
  <c r="E330" i="42"/>
  <c r="H330" i="42" s="1"/>
  <c r="E314" i="42"/>
  <c r="F314" i="42" s="1"/>
  <c r="E286" i="42"/>
  <c r="F286" i="42" s="1"/>
  <c r="E263" i="42"/>
  <c r="H263" i="42" s="1"/>
  <c r="E256" i="42"/>
  <c r="F256" i="42" s="1"/>
  <c r="E237" i="42"/>
  <c r="H237" i="42" s="1"/>
  <c r="E297" i="42"/>
  <c r="F297" i="42" s="1"/>
  <c r="E300" i="42"/>
  <c r="F300" i="42" s="1"/>
  <c r="E287" i="42"/>
  <c r="H287" i="42" s="1"/>
  <c r="F366" i="44"/>
  <c r="E366" i="44"/>
  <c r="D367" i="44"/>
  <c r="D376" i="44"/>
  <c r="F375" i="44"/>
  <c r="E375" i="44"/>
  <c r="E377" i="44"/>
  <c r="D378" i="44"/>
  <c r="F377" i="44"/>
  <c r="E379" i="44"/>
  <c r="D380" i="44"/>
  <c r="F379" i="44"/>
  <c r="E232" i="42"/>
  <c r="H232" i="42" s="1"/>
  <c r="E240" i="42"/>
  <c r="H240" i="42" s="1"/>
  <c r="E241" i="42"/>
  <c r="H241" i="42" s="1"/>
  <c r="E325" i="42"/>
  <c r="F325" i="42" s="1"/>
  <c r="E274" i="42"/>
  <c r="H274" i="42" s="1"/>
  <c r="E304" i="42"/>
  <c r="F304" i="42" s="1"/>
  <c r="E249" i="42"/>
  <c r="H249" i="42" s="1"/>
  <c r="E305" i="42"/>
  <c r="G305" i="42" s="1"/>
  <c r="E313" i="42"/>
  <c r="H313" i="42" s="1"/>
  <c r="E282" i="42"/>
  <c r="F282" i="42" s="1"/>
  <c r="E308" i="42"/>
  <c r="F308" i="42" s="1"/>
  <c r="E302" i="42"/>
  <c r="F302" i="42" s="1"/>
  <c r="E285" i="42"/>
  <c r="H285" i="42" s="1"/>
  <c r="E318" i="42"/>
  <c r="F318" i="42" s="1"/>
  <c r="E258" i="42"/>
  <c r="H258" i="42" s="1"/>
  <c r="E326" i="42"/>
  <c r="G326" i="42" s="1"/>
  <c r="D365" i="43"/>
  <c r="F364" i="43"/>
  <c r="E364" i="43"/>
  <c r="F375" i="43"/>
  <c r="E375" i="43"/>
  <c r="D376" i="43"/>
  <c r="F377" i="43"/>
  <c r="E377" i="43"/>
  <c r="D378" i="43"/>
  <c r="D374" i="43"/>
  <c r="F373" i="43"/>
  <c r="E373" i="43"/>
  <c r="E309" i="42"/>
  <c r="E359" i="42"/>
  <c r="D360" i="42"/>
  <c r="F359" i="42"/>
  <c r="F363" i="42"/>
  <c r="E363" i="42"/>
  <c r="D364" i="42"/>
  <c r="E354" i="42"/>
  <c r="F354" i="42"/>
  <c r="D355" i="42"/>
  <c r="F319" i="42"/>
  <c r="H319" i="42"/>
  <c r="G319" i="42"/>
  <c r="E320" i="42"/>
  <c r="F361" i="42"/>
  <c r="E361" i="42"/>
  <c r="D362" i="42"/>
  <c r="D351" i="42"/>
  <c r="E364" i="41"/>
  <c r="G364" i="41" s="1"/>
  <c r="D365" i="41"/>
  <c r="F364" i="41"/>
  <c r="D367" i="41"/>
  <c r="F366" i="41"/>
  <c r="E366" i="41"/>
  <c r="F362" i="41"/>
  <c r="D363" i="41"/>
  <c r="E362" i="41"/>
  <c r="C144" i="21"/>
  <c r="C143" i="21"/>
  <c r="C142" i="21"/>
  <c r="C140" i="21"/>
  <c r="E350" i="42" l="1"/>
  <c r="D369" i="43"/>
  <c r="F369" i="43" s="1"/>
  <c r="E368" i="43"/>
  <c r="E370" i="44"/>
  <c r="F370" i="44"/>
  <c r="D353" i="42"/>
  <c r="F353" i="42" s="1"/>
  <c r="E352" i="42"/>
  <c r="G352" i="42"/>
  <c r="E366" i="43"/>
  <c r="G366" i="43" s="1"/>
  <c r="F368" i="44"/>
  <c r="F337" i="43"/>
  <c r="G337" i="43"/>
  <c r="E368" i="44"/>
  <c r="D367" i="43"/>
  <c r="F367" i="43" s="1"/>
  <c r="G368" i="44"/>
  <c r="H306" i="44"/>
  <c r="G306" i="44"/>
  <c r="E68" i="41"/>
  <c r="G369" i="44"/>
  <c r="G376" i="43"/>
  <c r="G235" i="42"/>
  <c r="F235" i="42"/>
  <c r="H268" i="44"/>
  <c r="H289" i="44"/>
  <c r="G289" i="44"/>
  <c r="H301" i="42"/>
  <c r="F301" i="42"/>
  <c r="G296" i="42"/>
  <c r="F323" i="44"/>
  <c r="G323" i="44"/>
  <c r="H326" i="44"/>
  <c r="F290" i="44"/>
  <c r="H296" i="42"/>
  <c r="H290" i="44"/>
  <c r="H318" i="44"/>
  <c r="F318" i="44"/>
  <c r="H298" i="42"/>
  <c r="G298" i="42"/>
  <c r="G268" i="44"/>
  <c r="G324" i="44"/>
  <c r="G333" i="44"/>
  <c r="H313" i="44"/>
  <c r="H333" i="44"/>
  <c r="F317" i="44"/>
  <c r="G259" i="44"/>
  <c r="F259" i="44"/>
  <c r="F313" i="44"/>
  <c r="H327" i="44"/>
  <c r="G297" i="44"/>
  <c r="H297" i="44"/>
  <c r="F327" i="44"/>
  <c r="H277" i="44"/>
  <c r="G336" i="44"/>
  <c r="H287" i="44"/>
  <c r="F287" i="44"/>
  <c r="F316" i="44"/>
  <c r="H324" i="44"/>
  <c r="G340" i="44"/>
  <c r="G316" i="44"/>
  <c r="F283" i="44"/>
  <c r="F267" i="44"/>
  <c r="F277" i="44"/>
  <c r="F326" i="44"/>
  <c r="H283" i="44"/>
  <c r="F336" i="44"/>
  <c r="G257" i="44"/>
  <c r="G267" i="44"/>
  <c r="G299" i="42"/>
  <c r="F254" i="44"/>
  <c r="H253" i="44"/>
  <c r="G253" i="44"/>
  <c r="H317" i="42"/>
  <c r="G301" i="44"/>
  <c r="H322" i="42"/>
  <c r="F304" i="44"/>
  <c r="G248" i="44"/>
  <c r="F344" i="44"/>
  <c r="G304" i="44"/>
  <c r="H259" i="42"/>
  <c r="F257" i="42"/>
  <c r="F328" i="44"/>
  <c r="G291" i="44"/>
  <c r="G328" i="44"/>
  <c r="F312" i="43"/>
  <c r="F291" i="44"/>
  <c r="G294" i="44"/>
  <c r="G312" i="43"/>
  <c r="F259" i="42"/>
  <c r="G270" i="44"/>
  <c r="G332" i="44"/>
  <c r="H331" i="44"/>
  <c r="G329" i="44"/>
  <c r="G275" i="42"/>
  <c r="F247" i="44"/>
  <c r="G341" i="44"/>
  <c r="F341" i="44"/>
  <c r="F269" i="44"/>
  <c r="G269" i="42"/>
  <c r="G254" i="44"/>
  <c r="G331" i="44"/>
  <c r="G315" i="44"/>
  <c r="F314" i="44"/>
  <c r="F275" i="42"/>
  <c r="H269" i="42"/>
  <c r="F299" i="42"/>
  <c r="H315" i="44"/>
  <c r="F329" i="44"/>
  <c r="G314" i="44"/>
  <c r="G247" i="44"/>
  <c r="G269" i="44"/>
  <c r="H341" i="43"/>
  <c r="F284" i="44"/>
  <c r="H330" i="44"/>
  <c r="G341" i="43"/>
  <c r="H247" i="43"/>
  <c r="H322" i="44"/>
  <c r="G284" i="44"/>
  <c r="F330" i="44"/>
  <c r="F247" i="43"/>
  <c r="F322" i="44"/>
  <c r="F249" i="44"/>
  <c r="G317" i="44"/>
  <c r="H334" i="44"/>
  <c r="F334" i="44"/>
  <c r="G249" i="44"/>
  <c r="H251" i="44"/>
  <c r="H248" i="43"/>
  <c r="G257" i="42"/>
  <c r="F270" i="44"/>
  <c r="H294" i="44"/>
  <c r="H265" i="42"/>
  <c r="G278" i="44"/>
  <c r="F286" i="44"/>
  <c r="H293" i="44"/>
  <c r="F247" i="42"/>
  <c r="G286" i="44"/>
  <c r="F293" i="44"/>
  <c r="G266" i="44"/>
  <c r="F266" i="44"/>
  <c r="F293" i="42"/>
  <c r="H332" i="44"/>
  <c r="F279" i="44"/>
  <c r="G322" i="42"/>
  <c r="F301" i="44"/>
  <c r="F248" i="44"/>
  <c r="G344" i="44"/>
  <c r="H303" i="42"/>
  <c r="G285" i="44"/>
  <c r="F345" i="44"/>
  <c r="G303" i="42"/>
  <c r="H285" i="44"/>
  <c r="G345" i="44"/>
  <c r="F346" i="44"/>
  <c r="H320" i="44"/>
  <c r="G346" i="44"/>
  <c r="F292" i="44"/>
  <c r="F317" i="42"/>
  <c r="F320" i="44"/>
  <c r="G292" i="44"/>
  <c r="H290" i="42"/>
  <c r="G248" i="43"/>
  <c r="G282" i="44"/>
  <c r="G258" i="44"/>
  <c r="G288" i="42"/>
  <c r="G316" i="42"/>
  <c r="F258" i="44"/>
  <c r="H316" i="42"/>
  <c r="F251" i="44"/>
  <c r="F271" i="42"/>
  <c r="F335" i="44"/>
  <c r="G335" i="44"/>
  <c r="H312" i="44"/>
  <c r="G343" i="44"/>
  <c r="H326" i="42"/>
  <c r="F303" i="44"/>
  <c r="H252" i="42"/>
  <c r="H342" i="44"/>
  <c r="G342" i="44"/>
  <c r="G303" i="44"/>
  <c r="F343" i="44"/>
  <c r="F263" i="44"/>
  <c r="F312" i="44"/>
  <c r="H308" i="42"/>
  <c r="G262" i="44"/>
  <c r="H310" i="44"/>
  <c r="F262" i="44"/>
  <c r="F243" i="42"/>
  <c r="F310" i="42"/>
  <c r="F337" i="44"/>
  <c r="H340" i="43"/>
  <c r="G337" i="44"/>
  <c r="H299" i="44"/>
  <c r="G250" i="44"/>
  <c r="H276" i="42"/>
  <c r="F257" i="44"/>
  <c r="F280" i="44"/>
  <c r="H278" i="42"/>
  <c r="H340" i="44"/>
  <c r="G280" i="44"/>
  <c r="F267" i="42"/>
  <c r="G238" i="42"/>
  <c r="H262" i="43"/>
  <c r="G334" i="43"/>
  <c r="H273" i="44"/>
  <c r="G236" i="42"/>
  <c r="H334" i="43"/>
  <c r="G276" i="42"/>
  <c r="H309" i="44"/>
  <c r="G305" i="44"/>
  <c r="G295" i="44"/>
  <c r="F273" i="44"/>
  <c r="G263" i="44"/>
  <c r="F299" i="44"/>
  <c r="G247" i="42"/>
  <c r="H311" i="42"/>
  <c r="G336" i="43"/>
  <c r="H278" i="44"/>
  <c r="G279" i="44"/>
  <c r="H294" i="42"/>
  <c r="F311" i="42"/>
  <c r="F272" i="43"/>
  <c r="H336" i="43"/>
  <c r="F339" i="44"/>
  <c r="F265" i="44"/>
  <c r="G253" i="42"/>
  <c r="G294" i="42"/>
  <c r="G272" i="43"/>
  <c r="G339" i="44"/>
  <c r="H242" i="42"/>
  <c r="F242" i="42"/>
  <c r="G293" i="42"/>
  <c r="F265" i="42"/>
  <c r="F271" i="44"/>
  <c r="F245" i="42"/>
  <c r="H245" i="42"/>
  <c r="H261" i="42"/>
  <c r="F332" i="43"/>
  <c r="F310" i="44"/>
  <c r="F302" i="44"/>
  <c r="F281" i="42"/>
  <c r="G281" i="42"/>
  <c r="H271" i="42"/>
  <c r="G268" i="42"/>
  <c r="G302" i="44"/>
  <c r="H273" i="42"/>
  <c r="H239" i="42"/>
  <c r="F233" i="42"/>
  <c r="H268" i="42"/>
  <c r="F307" i="42"/>
  <c r="F261" i="42"/>
  <c r="H317" i="43"/>
  <c r="H288" i="44"/>
  <c r="F259" i="43"/>
  <c r="G243" i="42"/>
  <c r="F340" i="43"/>
  <c r="H250" i="44"/>
  <c r="G327" i="42"/>
  <c r="F321" i="42"/>
  <c r="H327" i="42"/>
  <c r="H280" i="42"/>
  <c r="F250" i="42"/>
  <c r="G321" i="42"/>
  <c r="G339" i="43"/>
  <c r="F280" i="42"/>
  <c r="G250" i="42"/>
  <c r="H339" i="43"/>
  <c r="F278" i="42"/>
  <c r="F238" i="42"/>
  <c r="G260" i="42"/>
  <c r="H246" i="43"/>
  <c r="G275" i="44"/>
  <c r="F260" i="42"/>
  <c r="G310" i="42"/>
  <c r="F275" i="44"/>
  <c r="G278" i="43"/>
  <c r="H288" i="42"/>
  <c r="H282" i="44"/>
  <c r="F246" i="42"/>
  <c r="F270" i="43"/>
  <c r="F328" i="43"/>
  <c r="H246" i="42"/>
  <c r="G270" i="43"/>
  <c r="G274" i="44"/>
  <c r="F276" i="44"/>
  <c r="F296" i="44"/>
  <c r="F254" i="42"/>
  <c r="G312" i="42"/>
  <c r="F274" i="44"/>
  <c r="F291" i="42"/>
  <c r="H254" i="42"/>
  <c r="H312" i="42"/>
  <c r="F255" i="42"/>
  <c r="F257" i="43"/>
  <c r="G291" i="42"/>
  <c r="G255" i="42"/>
  <c r="H306" i="42"/>
  <c r="G306" i="42"/>
  <c r="F299" i="43"/>
  <c r="H300" i="44"/>
  <c r="G325" i="44"/>
  <c r="F305" i="44"/>
  <c r="H267" i="42"/>
  <c r="G299" i="43"/>
  <c r="G338" i="43"/>
  <c r="F325" i="44"/>
  <c r="H338" i="43"/>
  <c r="H328" i="42"/>
  <c r="G302" i="43"/>
  <c r="F281" i="44"/>
  <c r="F321" i="44"/>
  <c r="F308" i="44"/>
  <c r="H295" i="44"/>
  <c r="H248" i="42"/>
  <c r="F283" i="42"/>
  <c r="G328" i="42"/>
  <c r="F234" i="42"/>
  <c r="G321" i="44"/>
  <c r="F248" i="42"/>
  <c r="H236" i="42"/>
  <c r="G283" i="42"/>
  <c r="H234" i="42"/>
  <c r="G309" i="44"/>
  <c r="F300" i="44"/>
  <c r="F298" i="43"/>
  <c r="G307" i="42"/>
  <c r="G259" i="43"/>
  <c r="F269" i="43"/>
  <c r="H264" i="42"/>
  <c r="F262" i="42"/>
  <c r="F287" i="42"/>
  <c r="H292" i="42"/>
  <c r="F264" i="42"/>
  <c r="G262" i="42"/>
  <c r="G287" i="42"/>
  <c r="F273" i="42"/>
  <c r="G292" i="42"/>
  <c r="F239" i="42"/>
  <c r="G332" i="43"/>
  <c r="G233" i="42"/>
  <c r="G288" i="43"/>
  <c r="H338" i="44"/>
  <c r="H266" i="42"/>
  <c r="F319" i="43"/>
  <c r="F338" i="44"/>
  <c r="F266" i="42"/>
  <c r="F323" i="42"/>
  <c r="F256" i="43"/>
  <c r="H264" i="43"/>
  <c r="H261" i="44"/>
  <c r="G271" i="44"/>
  <c r="H281" i="44"/>
  <c r="G265" i="44"/>
  <c r="H308" i="44"/>
  <c r="F237" i="42"/>
  <c r="G323" i="42"/>
  <c r="G256" i="43"/>
  <c r="F261" i="44"/>
  <c r="F288" i="44"/>
  <c r="F319" i="44"/>
  <c r="H308" i="43"/>
  <c r="F231" i="42"/>
  <c r="H330" i="43"/>
  <c r="F301" i="43"/>
  <c r="G298" i="43"/>
  <c r="G301" i="43"/>
  <c r="H325" i="42"/>
  <c r="F330" i="42"/>
  <c r="F313" i="42"/>
  <c r="G325" i="42"/>
  <c r="G313" i="42"/>
  <c r="F285" i="42"/>
  <c r="G285" i="42"/>
  <c r="F262" i="43"/>
  <c r="H282" i="42"/>
  <c r="G231" i="42"/>
  <c r="H302" i="43"/>
  <c r="G256" i="44"/>
  <c r="H324" i="42"/>
  <c r="F256" i="44"/>
  <c r="G324" i="42"/>
  <c r="F277" i="42"/>
  <c r="H318" i="43"/>
  <c r="G277" i="42"/>
  <c r="H252" i="44"/>
  <c r="G330" i="42"/>
  <c r="G258" i="42"/>
  <c r="F330" i="43"/>
  <c r="G252" i="44"/>
  <c r="F263" i="42"/>
  <c r="F305" i="42"/>
  <c r="F252" i="42"/>
  <c r="G232" i="42"/>
  <c r="H256" i="42"/>
  <c r="H287" i="43"/>
  <c r="G292" i="43"/>
  <c r="F318" i="43"/>
  <c r="H305" i="42"/>
  <c r="G256" i="42"/>
  <c r="F308" i="43"/>
  <c r="F264" i="43"/>
  <c r="H292" i="43"/>
  <c r="F323" i="43"/>
  <c r="F311" i="44"/>
  <c r="F244" i="42"/>
  <c r="G323" i="43"/>
  <c r="F249" i="43"/>
  <c r="G311" i="44"/>
  <c r="F315" i="42"/>
  <c r="G244" i="42"/>
  <c r="F270" i="42"/>
  <c r="F300" i="43"/>
  <c r="G249" i="43"/>
  <c r="F307" i="44"/>
  <c r="G315" i="42"/>
  <c r="F241" i="42"/>
  <c r="F232" i="42"/>
  <c r="G270" i="42"/>
  <c r="G300" i="43"/>
  <c r="F287" i="43"/>
  <c r="G307" i="44"/>
  <c r="G241" i="42"/>
  <c r="F280" i="43"/>
  <c r="F240" i="42"/>
  <c r="F289" i="42"/>
  <c r="F253" i="42"/>
  <c r="F279" i="42"/>
  <c r="G319" i="44"/>
  <c r="F249" i="42"/>
  <c r="G279" i="42"/>
  <c r="H329" i="42"/>
  <c r="G264" i="44"/>
  <c r="H272" i="42"/>
  <c r="F329" i="42"/>
  <c r="H264" i="44"/>
  <c r="F272" i="42"/>
  <c r="G289" i="42"/>
  <c r="H272" i="44"/>
  <c r="F290" i="42"/>
  <c r="G257" i="43"/>
  <c r="G328" i="43"/>
  <c r="G276" i="44"/>
  <c r="G296" i="44"/>
  <c r="H284" i="42"/>
  <c r="F253" i="43"/>
  <c r="G272" i="44"/>
  <c r="F284" i="42"/>
  <c r="G253" i="43"/>
  <c r="F251" i="42"/>
  <c r="G251" i="42"/>
  <c r="G249" i="42"/>
  <c r="H297" i="42"/>
  <c r="G240" i="42"/>
  <c r="H288" i="43"/>
  <c r="F254" i="43"/>
  <c r="G297" i="42"/>
  <c r="F296" i="43"/>
  <c r="G254" i="43"/>
  <c r="G296" i="43"/>
  <c r="F291" i="43"/>
  <c r="F251" i="43"/>
  <c r="H304" i="42"/>
  <c r="F320" i="43"/>
  <c r="G291" i="43"/>
  <c r="G251" i="43"/>
  <c r="G304" i="42"/>
  <c r="F315" i="43"/>
  <c r="G320" i="43"/>
  <c r="F290" i="43"/>
  <c r="G315" i="43"/>
  <c r="G290" i="43"/>
  <c r="F317" i="43"/>
  <c r="G282" i="42"/>
  <c r="G281" i="43"/>
  <c r="F258" i="42"/>
  <c r="H281" i="43"/>
  <c r="G237" i="42"/>
  <c r="H286" i="42"/>
  <c r="F261" i="43"/>
  <c r="F295" i="42"/>
  <c r="G286" i="42"/>
  <c r="G261" i="43"/>
  <c r="G331" i="43"/>
  <c r="H300" i="42"/>
  <c r="G295" i="42"/>
  <c r="F273" i="43"/>
  <c r="H331" i="43"/>
  <c r="G300" i="42"/>
  <c r="G273" i="43"/>
  <c r="F326" i="42"/>
  <c r="H278" i="43"/>
  <c r="H274" i="43"/>
  <c r="F246" i="43"/>
  <c r="F265" i="43"/>
  <c r="G265" i="43"/>
  <c r="F263" i="43"/>
  <c r="G263" i="43"/>
  <c r="G343" i="43"/>
  <c r="F286" i="43"/>
  <c r="H343" i="43"/>
  <c r="G286" i="43"/>
  <c r="G263" i="42"/>
  <c r="G285" i="43"/>
  <c r="H245" i="43"/>
  <c r="G329" i="43"/>
  <c r="F267" i="43"/>
  <c r="G267" i="43"/>
  <c r="F274" i="42"/>
  <c r="G302" i="42"/>
  <c r="G314" i="42"/>
  <c r="F279" i="43"/>
  <c r="H342" i="43"/>
  <c r="G274" i="42"/>
  <c r="G308" i="42"/>
  <c r="H314" i="42"/>
  <c r="G279" i="43"/>
  <c r="F342" i="43"/>
  <c r="H255" i="44"/>
  <c r="G255" i="44"/>
  <c r="F255" i="44"/>
  <c r="H302" i="42"/>
  <c r="H329" i="43"/>
  <c r="H285" i="43"/>
  <c r="H298" i="44"/>
  <c r="G298" i="44"/>
  <c r="F298" i="44"/>
  <c r="F367" i="44"/>
  <c r="E367" i="44"/>
  <c r="E371" i="44"/>
  <c r="F371" i="44"/>
  <c r="F380" i="44"/>
  <c r="E380" i="44"/>
  <c r="E376" i="44"/>
  <c r="F376" i="44"/>
  <c r="G318" i="42"/>
  <c r="F274" i="43"/>
  <c r="F305" i="43"/>
  <c r="F245" i="43"/>
  <c r="H260" i="44"/>
  <c r="F260" i="44"/>
  <c r="G260" i="44"/>
  <c r="F369" i="44"/>
  <c r="E369" i="44"/>
  <c r="F321" i="43"/>
  <c r="G319" i="43"/>
  <c r="F378" i="44"/>
  <c r="G378" i="44" s="1"/>
  <c r="E378" i="44"/>
  <c r="H321" i="43"/>
  <c r="H318" i="42"/>
  <c r="G280" i="43"/>
  <c r="G305" i="43"/>
  <c r="G269" i="43"/>
  <c r="H294" i="43"/>
  <c r="G294" i="43"/>
  <c r="F294" i="43"/>
  <c r="H311" i="43"/>
  <c r="G311" i="43"/>
  <c r="F311" i="43"/>
  <c r="H316" i="43"/>
  <c r="G316" i="43"/>
  <c r="F316" i="43"/>
  <c r="H277" i="43"/>
  <c r="G277" i="43"/>
  <c r="F277" i="43"/>
  <c r="H295" i="43"/>
  <c r="G295" i="43"/>
  <c r="F295" i="43"/>
  <c r="H255" i="43"/>
  <c r="G255" i="43"/>
  <c r="F255" i="43"/>
  <c r="F333" i="43"/>
  <c r="H333" i="43"/>
  <c r="G333" i="43"/>
  <c r="H283" i="43"/>
  <c r="G283" i="43"/>
  <c r="F283" i="43"/>
  <c r="H276" i="43"/>
  <c r="G276" i="43"/>
  <c r="F276" i="43"/>
  <c r="H282" i="43"/>
  <c r="G282" i="43"/>
  <c r="F282" i="43"/>
  <c r="H260" i="43"/>
  <c r="G260" i="43"/>
  <c r="F260" i="43"/>
  <c r="F335" i="43"/>
  <c r="H335" i="43"/>
  <c r="G335" i="43"/>
  <c r="H266" i="43"/>
  <c r="G266" i="43"/>
  <c r="F266" i="43"/>
  <c r="F344" i="43"/>
  <c r="H344" i="43"/>
  <c r="G344" i="43"/>
  <c r="H258" i="43"/>
  <c r="G258" i="43"/>
  <c r="F258" i="43"/>
  <c r="H275" i="43"/>
  <c r="G275" i="43"/>
  <c r="F275" i="43"/>
  <c r="H326" i="43"/>
  <c r="G326" i="43"/>
  <c r="F326" i="43"/>
  <c r="H284" i="43"/>
  <c r="G284" i="43"/>
  <c r="F284" i="43"/>
  <c r="H250" i="43"/>
  <c r="G250" i="43"/>
  <c r="F250" i="43"/>
  <c r="H313" i="43"/>
  <c r="G313" i="43"/>
  <c r="F313" i="43"/>
  <c r="H314" i="43"/>
  <c r="G314" i="43"/>
  <c r="F314" i="43"/>
  <c r="H297" i="43"/>
  <c r="G297" i="43"/>
  <c r="F297" i="43"/>
  <c r="H309" i="43"/>
  <c r="G309" i="43"/>
  <c r="F309" i="43"/>
  <c r="H268" i="43"/>
  <c r="G268" i="43"/>
  <c r="F268" i="43"/>
  <c r="H304" i="43"/>
  <c r="G304" i="43"/>
  <c r="F304" i="43"/>
  <c r="E374" i="43"/>
  <c r="F374" i="43"/>
  <c r="H252" i="43"/>
  <c r="G252" i="43"/>
  <c r="F252" i="43"/>
  <c r="F376" i="43"/>
  <c r="E376" i="43"/>
  <c r="F365" i="43"/>
  <c r="E365" i="43"/>
  <c r="H303" i="43"/>
  <c r="G303" i="43"/>
  <c r="F303" i="43"/>
  <c r="H325" i="43"/>
  <c r="G325" i="43"/>
  <c r="F325" i="43"/>
  <c r="F378" i="43"/>
  <c r="E378" i="43"/>
  <c r="H289" i="43"/>
  <c r="G289" i="43"/>
  <c r="F289" i="43"/>
  <c r="H293" i="43"/>
  <c r="G293" i="43"/>
  <c r="F293" i="43"/>
  <c r="H322" i="43"/>
  <c r="G322" i="43"/>
  <c r="F322" i="43"/>
  <c r="H324" i="43"/>
  <c r="G324" i="43"/>
  <c r="F324" i="43"/>
  <c r="H307" i="43"/>
  <c r="G307" i="43"/>
  <c r="F307" i="43"/>
  <c r="H306" i="43"/>
  <c r="G306" i="43"/>
  <c r="F306" i="43"/>
  <c r="H271" i="43"/>
  <c r="G271" i="43"/>
  <c r="F271" i="43"/>
  <c r="H310" i="43"/>
  <c r="G310" i="43"/>
  <c r="F310" i="43"/>
  <c r="H327" i="43"/>
  <c r="G327" i="43"/>
  <c r="F327" i="43"/>
  <c r="F355" i="42"/>
  <c r="E355" i="42"/>
  <c r="G309" i="42"/>
  <c r="F309" i="42"/>
  <c r="H309" i="42"/>
  <c r="F364" i="42"/>
  <c r="E364" i="42"/>
  <c r="E360" i="42"/>
  <c r="F360" i="42"/>
  <c r="F320" i="42"/>
  <c r="H320" i="42"/>
  <c r="G320" i="42"/>
  <c r="F351" i="42"/>
  <c r="E351" i="42"/>
  <c r="F362" i="42"/>
  <c r="E362" i="42"/>
  <c r="E365" i="41"/>
  <c r="F365" i="41"/>
  <c r="G365" i="41" s="1"/>
  <c r="F367" i="41"/>
  <c r="E367" i="41"/>
  <c r="F363" i="41"/>
  <c r="E363" i="41"/>
  <c r="I155" i="21"/>
  <c r="I154" i="21"/>
  <c r="I153" i="21"/>
  <c r="D150" i="21"/>
  <c r="C150" i="21"/>
  <c r="G150" i="21"/>
  <c r="F150" i="21"/>
  <c r="E150" i="21"/>
  <c r="E369" i="43" l="1"/>
  <c r="G353" i="42"/>
  <c r="E353" i="42"/>
  <c r="G367" i="43"/>
  <c r="E367" i="43"/>
  <c r="E90" i="41"/>
  <c r="E92" i="41" s="1"/>
  <c r="E88" i="41"/>
  <c r="N37" i="31"/>
  <c r="C222" i="41" l="1"/>
  <c r="C346" i="41"/>
  <c r="C115" i="21"/>
  <c r="C114" i="21"/>
  <c r="C113" i="21"/>
  <c r="C112" i="21"/>
  <c r="C111" i="21"/>
  <c r="E67" i="32" l="1"/>
  <c r="C237" i="43" l="1"/>
  <c r="C239" i="44"/>
  <c r="C226" i="41"/>
  <c r="C223" i="42"/>
  <c r="D45" i="40" l="1"/>
  <c r="D44" i="40"/>
  <c r="D32" i="40"/>
  <c r="C47" i="32"/>
  <c r="E55" i="40"/>
  <c r="H54" i="40"/>
  <c r="K54" i="40"/>
  <c r="E52" i="40"/>
  <c r="K151" i="40"/>
  <c r="K150" i="40"/>
  <c r="K149" i="40"/>
  <c r="K148" i="40"/>
  <c r="K147" i="40"/>
  <c r="K146" i="40"/>
  <c r="K145" i="40"/>
  <c r="K144" i="40"/>
  <c r="K143" i="40"/>
  <c r="K142" i="40"/>
  <c r="K141" i="40"/>
  <c r="K140"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3" i="40"/>
  <c r="K52" i="40"/>
  <c r="H151" i="40"/>
  <c r="H150" i="40"/>
  <c r="H149" i="40"/>
  <c r="H148" i="40"/>
  <c r="H147" i="40"/>
  <c r="H146" i="40"/>
  <c r="H145" i="40"/>
  <c r="H144" i="40"/>
  <c r="H143" i="40"/>
  <c r="H142" i="40"/>
  <c r="H141" i="40"/>
  <c r="H140" i="40"/>
  <c r="H139" i="40"/>
  <c r="H138" i="40"/>
  <c r="H137" i="40"/>
  <c r="H136" i="40"/>
  <c r="H135" i="40"/>
  <c r="H134" i="40"/>
  <c r="H133" i="40"/>
  <c r="H132" i="40"/>
  <c r="H131" i="40"/>
  <c r="H130" i="40"/>
  <c r="H129" i="40"/>
  <c r="H128" i="40"/>
  <c r="H127" i="40"/>
  <c r="H126" i="40"/>
  <c r="H125" i="40"/>
  <c r="H124" i="40"/>
  <c r="H123" i="40"/>
  <c r="H122" i="40"/>
  <c r="H121" i="40"/>
  <c r="H120" i="40"/>
  <c r="H119" i="40"/>
  <c r="H118" i="40"/>
  <c r="H117" i="40"/>
  <c r="H116" i="40"/>
  <c r="H115" i="40"/>
  <c r="H114" i="40"/>
  <c r="H113" i="40"/>
  <c r="H112" i="40"/>
  <c r="H111" i="40"/>
  <c r="H110" i="40"/>
  <c r="H109" i="40"/>
  <c r="H108" i="40"/>
  <c r="H107" i="40"/>
  <c r="H106" i="40"/>
  <c r="H105" i="40"/>
  <c r="H104" i="40"/>
  <c r="H103" i="40"/>
  <c r="H102" i="40"/>
  <c r="H101" i="40"/>
  <c r="H100" i="40"/>
  <c r="H99" i="40"/>
  <c r="H98" i="40"/>
  <c r="H97" i="40"/>
  <c r="H96" i="40"/>
  <c r="H95" i="40"/>
  <c r="H94" i="40"/>
  <c r="H93" i="40"/>
  <c r="H92" i="40"/>
  <c r="H91" i="40"/>
  <c r="H90" i="40"/>
  <c r="H89" i="40"/>
  <c r="H88" i="40"/>
  <c r="H87" i="40"/>
  <c r="H86" i="40"/>
  <c r="H85" i="40"/>
  <c r="H84" i="40"/>
  <c r="H83" i="40"/>
  <c r="H82" i="40"/>
  <c r="H81" i="40"/>
  <c r="H80" i="40"/>
  <c r="H79" i="40"/>
  <c r="H78" i="40"/>
  <c r="H77" i="40"/>
  <c r="H76" i="40"/>
  <c r="H75" i="40"/>
  <c r="H74" i="40"/>
  <c r="H73" i="40"/>
  <c r="H72" i="40"/>
  <c r="H71" i="40"/>
  <c r="H70" i="40"/>
  <c r="H69" i="40"/>
  <c r="H68" i="40"/>
  <c r="H67" i="40"/>
  <c r="H66" i="40"/>
  <c r="H65" i="40"/>
  <c r="H64" i="40"/>
  <c r="H63" i="40"/>
  <c r="H62" i="40"/>
  <c r="H61" i="40"/>
  <c r="H60" i="40"/>
  <c r="H59" i="40"/>
  <c r="H58" i="40"/>
  <c r="H57" i="40"/>
  <c r="H56" i="40"/>
  <c r="H55" i="40"/>
  <c r="H53" i="40"/>
  <c r="H52" i="40"/>
  <c r="E151" i="40"/>
  <c r="E150" i="40"/>
  <c r="E149" i="40"/>
  <c r="E148" i="40"/>
  <c r="E147" i="40"/>
  <c r="E146" i="40"/>
  <c r="E145" i="40"/>
  <c r="E144" i="40"/>
  <c r="E143" i="40"/>
  <c r="E142" i="40"/>
  <c r="E141" i="40"/>
  <c r="E140" i="40"/>
  <c r="E139" i="40"/>
  <c r="E138" i="40"/>
  <c r="E137" i="40"/>
  <c r="E136" i="40"/>
  <c r="E135" i="40"/>
  <c r="E134" i="40"/>
  <c r="E133" i="40"/>
  <c r="E132" i="40"/>
  <c r="E131" i="40"/>
  <c r="E130" i="40"/>
  <c r="E129" i="40"/>
  <c r="E128" i="40"/>
  <c r="E127" i="40"/>
  <c r="E126" i="40"/>
  <c r="E125" i="40"/>
  <c r="E124" i="40"/>
  <c r="E123" i="40"/>
  <c r="E122" i="40"/>
  <c r="E121" i="40"/>
  <c r="E120" i="40"/>
  <c r="E119" i="40"/>
  <c r="E118" i="40"/>
  <c r="E117" i="40"/>
  <c r="E116" i="40"/>
  <c r="E115" i="40"/>
  <c r="E114" i="40"/>
  <c r="E113" i="40"/>
  <c r="E112" i="40"/>
  <c r="E111" i="40"/>
  <c r="E110" i="40"/>
  <c r="E109" i="40"/>
  <c r="E108" i="40"/>
  <c r="E107" i="40"/>
  <c r="E106" i="40"/>
  <c r="E105" i="40"/>
  <c r="E104" i="40"/>
  <c r="E103" i="40"/>
  <c r="E102" i="40"/>
  <c r="E101" i="40"/>
  <c r="E100" i="40"/>
  <c r="E99" i="40"/>
  <c r="E98" i="40"/>
  <c r="E97" i="40"/>
  <c r="E96" i="40"/>
  <c r="E95" i="40"/>
  <c r="E94" i="40"/>
  <c r="E93" i="40"/>
  <c r="E92" i="40"/>
  <c r="E91" i="40"/>
  <c r="E90" i="40"/>
  <c r="E89" i="40"/>
  <c r="E88" i="40"/>
  <c r="E87" i="40"/>
  <c r="E86" i="40"/>
  <c r="E85" i="40"/>
  <c r="E84" i="40"/>
  <c r="E83" i="40"/>
  <c r="E82" i="40"/>
  <c r="E81" i="40"/>
  <c r="E80" i="40"/>
  <c r="E79" i="40"/>
  <c r="E78" i="40"/>
  <c r="E77" i="40"/>
  <c r="E76" i="40"/>
  <c r="E75" i="40"/>
  <c r="E74" i="40"/>
  <c r="E73" i="40"/>
  <c r="E72" i="40"/>
  <c r="E71" i="40"/>
  <c r="E70" i="40"/>
  <c r="E69" i="40"/>
  <c r="E68" i="40"/>
  <c r="E67" i="40"/>
  <c r="E66" i="40"/>
  <c r="E65" i="40"/>
  <c r="E64" i="40"/>
  <c r="E63" i="40"/>
  <c r="E62" i="40"/>
  <c r="E61" i="40"/>
  <c r="E60" i="40"/>
  <c r="E59" i="40"/>
  <c r="E58" i="40"/>
  <c r="E57" i="40"/>
  <c r="E56" i="40"/>
  <c r="E54" i="40"/>
  <c r="E53" i="40"/>
  <c r="D37" i="40" l="1"/>
  <c r="D36" i="40"/>
  <c r="D38" i="40"/>
  <c r="D46" i="40"/>
  <c r="D47" i="40" l="1"/>
  <c r="D48" i="40" s="1"/>
  <c r="D40" i="40"/>
  <c r="D42" i="40" s="1"/>
  <c r="C46" i="32" s="1"/>
  <c r="E17" i="49" s="1"/>
  <c r="C6" i="40"/>
  <c r="C3" i="40"/>
  <c r="C114" i="39" l="1"/>
  <c r="C115" i="39"/>
  <c r="C113" i="39"/>
  <c r="C112" i="39"/>
  <c r="C111" i="39"/>
  <c r="C121" i="39"/>
  <c r="G121" i="39"/>
  <c r="F121" i="39"/>
  <c r="E121" i="39"/>
  <c r="I125" i="39"/>
  <c r="I126" i="39"/>
  <c r="I124" i="39"/>
  <c r="I124" i="21"/>
  <c r="D121" i="39" l="1"/>
  <c r="E66" i="32" l="1"/>
  <c r="C175" i="21" l="1"/>
  <c r="C121" i="21"/>
  <c r="I125" i="21"/>
  <c r="I126" i="21"/>
  <c r="D121" i="21" l="1"/>
  <c r="B127" i="39" l="1"/>
  <c r="D261" i="21" l="1"/>
  <c r="C261" i="2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32" i="31"/>
  <c r="N33" i="31"/>
  <c r="N34" i="31"/>
  <c r="N35" i="31"/>
  <c r="N36"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32" i="31"/>
  <c r="M3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G44" i="31"/>
  <c r="G43" i="31"/>
  <c r="G42" i="31"/>
  <c r="G41" i="31"/>
  <c r="G40" i="31"/>
  <c r="G39" i="31"/>
  <c r="G38" i="31"/>
  <c r="G37" i="31"/>
  <c r="G36" i="31"/>
  <c r="G35" i="31"/>
  <c r="G34" i="31"/>
  <c r="G33" i="31"/>
  <c r="G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R33" i="31" l="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L159" i="15" l="1"/>
  <c r="L158" i="15" s="1"/>
  <c r="L164" i="15"/>
  <c r="L166" i="15"/>
  <c r="L165" i="15"/>
  <c r="E121" i="21"/>
  <c r="B112" i="21"/>
  <c r="B113" i="39"/>
  <c r="B113" i="21"/>
  <c r="B112" i="39"/>
  <c r="L162" i="15"/>
  <c r="L161" i="15"/>
  <c r="L160" i="15"/>
  <c r="D14" i="11" l="1"/>
  <c r="E47" i="11" l="1"/>
  <c r="E39" i="11"/>
  <c r="D24" i="11"/>
  <c r="D32" i="11"/>
  <c r="D42" i="11" l="1"/>
  <c r="C317" i="21" l="1"/>
  <c r="E14" i="11"/>
  <c r="E51" i="11" l="1"/>
  <c r="E20" i="11"/>
  <c r="E21" i="11"/>
  <c r="E50" i="11"/>
  <c r="E27" i="11"/>
  <c r="E24" i="11"/>
  <c r="E23" i="11"/>
  <c r="E42" i="11"/>
  <c r="E56" i="11"/>
  <c r="E46" i="11"/>
  <c r="E31" i="11"/>
  <c r="E53" i="11"/>
  <c r="E22" i="11"/>
  <c r="E52" i="11"/>
  <c r="E36" i="11"/>
  <c r="E54" i="11"/>
  <c r="E55" i="11"/>
  <c r="E35" i="11"/>
  <c r="E30" i="11"/>
  <c r="E17" i="11"/>
  <c r="D30" i="11" l="1"/>
  <c r="D31" i="11"/>
  <c r="D17" i="11"/>
  <c r="D23" i="11"/>
  <c r="D20" i="11"/>
  <c r="D27" i="11"/>
  <c r="D22" i="11"/>
  <c r="D21" i="11"/>
  <c r="G188" i="15" l="1"/>
  <c r="E21" i="41" s="1"/>
  <c r="H188" i="15"/>
  <c r="I188" i="15"/>
  <c r="J188" i="15"/>
  <c r="L188" i="15"/>
  <c r="E188" i="15"/>
  <c r="E46" i="41" s="1"/>
  <c r="F188" i="15"/>
  <c r="E20" i="41" s="1"/>
  <c r="K188" i="15"/>
  <c r="D188" i="15"/>
  <c r="E42" i="41" s="1"/>
  <c r="C188" i="15"/>
  <c r="E41" i="41" s="1"/>
  <c r="C243" i="21"/>
  <c r="R32" i="31"/>
  <c r="S49" i="31"/>
  <c r="S50" i="31"/>
  <c r="S71" i="31"/>
  <c r="G138" i="15"/>
  <c r="G139" i="15"/>
  <c r="G140" i="15"/>
  <c r="G141" i="15"/>
  <c r="G137" i="15"/>
  <c r="E23" i="41" l="1"/>
  <c r="E27" i="41"/>
  <c r="E136" i="41" l="1"/>
  <c r="E115" i="41" s="1"/>
  <c r="E117" i="41" s="1"/>
  <c r="E59" i="41"/>
  <c r="E47" i="41"/>
  <c r="C229" i="41"/>
  <c r="E83" i="41"/>
  <c r="E94" i="41" s="1"/>
  <c r="E82" i="41"/>
  <c r="C219" i="41" s="1"/>
  <c r="E62" i="41"/>
  <c r="B30" i="32"/>
  <c r="B29" i="32"/>
  <c r="C220" i="41" l="1"/>
  <c r="C347" i="41"/>
  <c r="E61" i="41"/>
  <c r="E53" i="41"/>
  <c r="E107" i="41"/>
  <c r="C295" i="39"/>
  <c r="C293" i="39"/>
  <c r="C278" i="39"/>
  <c r="C277" i="39"/>
  <c r="C276" i="39"/>
  <c r="C273" i="39"/>
  <c r="B178" i="39"/>
  <c r="B173" i="39"/>
  <c r="B172" i="39"/>
  <c r="B171" i="39"/>
  <c r="B169" i="39"/>
  <c r="C152" i="39"/>
  <c r="D151" i="39"/>
  <c r="C145" i="39"/>
  <c r="C140" i="39"/>
  <c r="B115" i="39"/>
  <c r="B114" i="39"/>
  <c r="C68" i="39"/>
  <c r="D61" i="39"/>
  <c r="C6" i="39"/>
  <c r="C3" i="39"/>
  <c r="D174" i="21"/>
  <c r="C301" i="21"/>
  <c r="C300" i="21"/>
  <c r="C299" i="21"/>
  <c r="C296" i="21"/>
  <c r="B201" i="21"/>
  <c r="E118" i="41" l="1"/>
  <c r="E284" i="41"/>
  <c r="E311" i="41"/>
  <c r="E245" i="41"/>
  <c r="E234" i="41"/>
  <c r="E280" i="41"/>
  <c r="E291" i="41"/>
  <c r="E295" i="41"/>
  <c r="E316" i="41"/>
  <c r="E255" i="41"/>
  <c r="E317" i="41"/>
  <c r="E248" i="41"/>
  <c r="E286" i="41"/>
  <c r="E322" i="41"/>
  <c r="E253" i="41"/>
  <c r="E289" i="41"/>
  <c r="E308" i="41"/>
  <c r="E312" i="41"/>
  <c r="E325" i="41"/>
  <c r="E302" i="41"/>
  <c r="E296" i="41"/>
  <c r="E272" i="41"/>
  <c r="E299" i="41"/>
  <c r="E323" i="41"/>
  <c r="E332" i="41"/>
  <c r="E238" i="41"/>
  <c r="E239" i="41"/>
  <c r="E249" i="41"/>
  <c r="E273" i="41"/>
  <c r="E276" i="41"/>
  <c r="E254" i="41"/>
  <c r="E240" i="41"/>
  <c r="E256" i="41"/>
  <c r="E263" i="41"/>
  <c r="E314" i="41"/>
  <c r="E326" i="41"/>
  <c r="E330" i="41"/>
  <c r="E301" i="41"/>
  <c r="E313" i="41"/>
  <c r="E285" i="41"/>
  <c r="E283" i="41"/>
  <c r="E315" i="41"/>
  <c r="E293" i="41"/>
  <c r="E305" i="41"/>
  <c r="E324" i="41"/>
  <c r="E241" i="41"/>
  <c r="E328" i="41"/>
  <c r="E282" i="41"/>
  <c r="E327" i="41"/>
  <c r="E329" i="41"/>
  <c r="E260" i="41"/>
  <c r="E271" i="41"/>
  <c r="E288" i="41"/>
  <c r="E252" i="41"/>
  <c r="E235" i="41"/>
  <c r="E275" i="41"/>
  <c r="E274" i="41"/>
  <c r="E266" i="41"/>
  <c r="E268" i="41"/>
  <c r="E298" i="41"/>
  <c r="E306" i="41"/>
  <c r="E277" i="41"/>
  <c r="E300" i="41"/>
  <c r="E243" i="41"/>
  <c r="E318" i="41"/>
  <c r="E297" i="41"/>
  <c r="E303" i="41"/>
  <c r="E333" i="41"/>
  <c r="E262" i="41"/>
  <c r="E307" i="41"/>
  <c r="E319" i="41"/>
  <c r="E320" i="41"/>
  <c r="E287" i="41"/>
  <c r="E267" i="41"/>
  <c r="E264" i="41"/>
  <c r="E294" i="41"/>
  <c r="E290" i="41"/>
  <c r="E331" i="41"/>
  <c r="E251" i="41"/>
  <c r="E244" i="41"/>
  <c r="E309" i="41"/>
  <c r="E269" i="41"/>
  <c r="E310" i="41"/>
  <c r="E270" i="41"/>
  <c r="E259" i="41"/>
  <c r="E265" i="41"/>
  <c r="E261" i="41"/>
  <c r="E292" i="41"/>
  <c r="E242" i="41"/>
  <c r="E278" i="41"/>
  <c r="E247" i="41"/>
  <c r="E304" i="41"/>
  <c r="E279" i="41"/>
  <c r="E257" i="41"/>
  <c r="E258" i="41"/>
  <c r="E321" i="41"/>
  <c r="E237" i="41"/>
  <c r="E236" i="41"/>
  <c r="E246" i="41"/>
  <c r="E250" i="41"/>
  <c r="E281" i="41"/>
  <c r="E108" i="41"/>
  <c r="E111" i="41" s="1"/>
  <c r="B196" i="21"/>
  <c r="B195" i="21"/>
  <c r="B194" i="21"/>
  <c r="B192" i="21"/>
  <c r="B115" i="21"/>
  <c r="B114" i="21"/>
  <c r="D61" i="21"/>
  <c r="F121" i="21"/>
  <c r="G121" i="21"/>
  <c r="C294" i="39"/>
  <c r="L163" i="15"/>
  <c r="G261" i="41" l="1"/>
  <c r="F261" i="41"/>
  <c r="H261" i="41"/>
  <c r="G251" i="41"/>
  <c r="H251" i="41"/>
  <c r="F251" i="41"/>
  <c r="F319" i="41"/>
  <c r="G319" i="41"/>
  <c r="H319" i="41"/>
  <c r="H300" i="41"/>
  <c r="F300" i="41"/>
  <c r="G300" i="41"/>
  <c r="H235" i="41"/>
  <c r="F235" i="41"/>
  <c r="G235" i="41"/>
  <c r="H328" i="41"/>
  <c r="F328" i="41"/>
  <c r="G328" i="41"/>
  <c r="H313" i="41"/>
  <c r="F313" i="41"/>
  <c r="G313" i="41"/>
  <c r="F254" i="41"/>
  <c r="H254" i="41"/>
  <c r="G254" i="41"/>
  <c r="H299" i="41"/>
  <c r="G299" i="41"/>
  <c r="F299" i="41"/>
  <c r="F253" i="41"/>
  <c r="G253" i="41"/>
  <c r="H253" i="41"/>
  <c r="H291" i="41"/>
  <c r="F291" i="41"/>
  <c r="G291" i="41"/>
  <c r="G257" i="41"/>
  <c r="F257" i="41"/>
  <c r="H257" i="41"/>
  <c r="F331" i="41"/>
  <c r="G331" i="41"/>
  <c r="H331" i="41"/>
  <c r="G307" i="41"/>
  <c r="F307" i="41"/>
  <c r="H307" i="41"/>
  <c r="H277" i="41"/>
  <c r="G277" i="41"/>
  <c r="F277" i="41"/>
  <c r="H252" i="41"/>
  <c r="G252" i="41"/>
  <c r="F252" i="41"/>
  <c r="F241" i="41"/>
  <c r="H241" i="41"/>
  <c r="G241" i="41"/>
  <c r="G301" i="41"/>
  <c r="F301" i="41"/>
  <c r="H301" i="41"/>
  <c r="F276" i="41"/>
  <c r="H276" i="41"/>
  <c r="G276" i="41"/>
  <c r="G272" i="41"/>
  <c r="H272" i="41"/>
  <c r="F272" i="41"/>
  <c r="F322" i="41"/>
  <c r="H322" i="41"/>
  <c r="G322" i="41"/>
  <c r="F280" i="41"/>
  <c r="G280" i="41"/>
  <c r="H280" i="41"/>
  <c r="F279" i="41"/>
  <c r="G279" i="41"/>
  <c r="H279" i="41"/>
  <c r="G259" i="41"/>
  <c r="H259" i="41"/>
  <c r="F259" i="41"/>
  <c r="H290" i="41"/>
  <c r="F290" i="41"/>
  <c r="G290" i="41"/>
  <c r="G262" i="41"/>
  <c r="F262" i="41"/>
  <c r="H262" i="41"/>
  <c r="F306" i="41"/>
  <c r="G306" i="41"/>
  <c r="H306" i="41"/>
  <c r="H288" i="41"/>
  <c r="F288" i="41"/>
  <c r="G288" i="41"/>
  <c r="F324" i="41"/>
  <c r="H324" i="41"/>
  <c r="G324" i="41"/>
  <c r="G330" i="41"/>
  <c r="H330" i="41"/>
  <c r="F330" i="41"/>
  <c r="G273" i="41"/>
  <c r="H273" i="41"/>
  <c r="F273" i="41"/>
  <c r="F296" i="41"/>
  <c r="H296" i="41"/>
  <c r="G296" i="41"/>
  <c r="F286" i="41"/>
  <c r="H286" i="41"/>
  <c r="G286" i="41"/>
  <c r="G234" i="41"/>
  <c r="H234" i="41"/>
  <c r="F234" i="41"/>
  <c r="H250" i="41"/>
  <c r="F250" i="41"/>
  <c r="G250" i="41"/>
  <c r="F270" i="41"/>
  <c r="H270" i="41"/>
  <c r="G270" i="41"/>
  <c r="F294" i="41"/>
  <c r="G294" i="41"/>
  <c r="H294" i="41"/>
  <c r="F333" i="41"/>
  <c r="G333" i="41"/>
  <c r="H333" i="41"/>
  <c r="F298" i="41"/>
  <c r="G298" i="41"/>
  <c r="H298" i="41"/>
  <c r="G271" i="41"/>
  <c r="H271" i="41"/>
  <c r="F271" i="41"/>
  <c r="G305" i="41"/>
  <c r="F305" i="41"/>
  <c r="H305" i="41"/>
  <c r="H326" i="41"/>
  <c r="F326" i="41"/>
  <c r="G326" i="41"/>
  <c r="G249" i="41"/>
  <c r="F249" i="41"/>
  <c r="H249" i="41"/>
  <c r="F302" i="41"/>
  <c r="G302" i="41"/>
  <c r="H302" i="41"/>
  <c r="G248" i="41"/>
  <c r="H248" i="41"/>
  <c r="F248" i="41"/>
  <c r="G245" i="41"/>
  <c r="F245" i="41"/>
  <c r="H245" i="41"/>
  <c r="G265" i="41"/>
  <c r="F265" i="41"/>
  <c r="H265" i="41"/>
  <c r="G304" i="41"/>
  <c r="H304" i="41"/>
  <c r="F304" i="41"/>
  <c r="H246" i="41"/>
  <c r="F246" i="41"/>
  <c r="G246" i="41"/>
  <c r="H247" i="41"/>
  <c r="G247" i="41"/>
  <c r="F247" i="41"/>
  <c r="H310" i="41"/>
  <c r="F310" i="41"/>
  <c r="G310" i="41"/>
  <c r="F264" i="41"/>
  <c r="H264" i="41"/>
  <c r="G264" i="41"/>
  <c r="G303" i="41"/>
  <c r="F303" i="41"/>
  <c r="H303" i="41"/>
  <c r="F268" i="41"/>
  <c r="G268" i="41"/>
  <c r="H268" i="41"/>
  <c r="F260" i="41"/>
  <c r="G260" i="41"/>
  <c r="H260" i="41"/>
  <c r="G293" i="41"/>
  <c r="F293" i="41"/>
  <c r="H293" i="41"/>
  <c r="F314" i="41"/>
  <c r="G314" i="41"/>
  <c r="H314" i="41"/>
  <c r="H239" i="41"/>
  <c r="F239" i="41"/>
  <c r="G239" i="41"/>
  <c r="H325" i="41"/>
  <c r="G325" i="41"/>
  <c r="F325" i="41"/>
  <c r="G317" i="41"/>
  <c r="F317" i="41"/>
  <c r="H317" i="41"/>
  <c r="G311" i="41"/>
  <c r="F311" i="41"/>
  <c r="H311" i="41"/>
  <c r="G258" i="41"/>
  <c r="F258" i="41"/>
  <c r="H258" i="41"/>
  <c r="G281" i="41"/>
  <c r="H281" i="41"/>
  <c r="F281" i="41"/>
  <c r="H236" i="41"/>
  <c r="G236" i="41"/>
  <c r="F236" i="41"/>
  <c r="H278" i="41"/>
  <c r="F278" i="41"/>
  <c r="G278" i="41"/>
  <c r="F269" i="41"/>
  <c r="H269" i="41"/>
  <c r="G269" i="41"/>
  <c r="F267" i="41"/>
  <c r="H267" i="41"/>
  <c r="G267" i="41"/>
  <c r="G297" i="41"/>
  <c r="F297" i="41"/>
  <c r="H297" i="41"/>
  <c r="H266" i="41"/>
  <c r="F266" i="41"/>
  <c r="G266" i="41"/>
  <c r="H329" i="41"/>
  <c r="G329" i="41"/>
  <c r="F329" i="41"/>
  <c r="G315" i="41"/>
  <c r="H315" i="41"/>
  <c r="F315" i="41"/>
  <c r="G263" i="41"/>
  <c r="H263" i="41"/>
  <c r="F263" i="41"/>
  <c r="G238" i="41"/>
  <c r="F238" i="41"/>
  <c r="H238" i="41"/>
  <c r="F312" i="41"/>
  <c r="H312" i="41"/>
  <c r="G312" i="41"/>
  <c r="G255" i="41"/>
  <c r="F255" i="41"/>
  <c r="H255" i="41"/>
  <c r="G284" i="41"/>
  <c r="H284" i="41"/>
  <c r="F284" i="41"/>
  <c r="G242" i="41"/>
  <c r="F242" i="41"/>
  <c r="H242" i="41"/>
  <c r="F309" i="41"/>
  <c r="H309" i="41"/>
  <c r="G309" i="41"/>
  <c r="F287" i="41"/>
  <c r="G287" i="41"/>
  <c r="H287" i="41"/>
  <c r="H318" i="41"/>
  <c r="G318" i="41"/>
  <c r="F318" i="41"/>
  <c r="F274" i="41"/>
  <c r="H274" i="41"/>
  <c r="G274" i="41"/>
  <c r="H327" i="41"/>
  <c r="F327" i="41"/>
  <c r="G327" i="41"/>
  <c r="G283" i="41"/>
  <c r="F283" i="41"/>
  <c r="H283" i="41"/>
  <c r="F256" i="41"/>
  <c r="H256" i="41"/>
  <c r="G256" i="41"/>
  <c r="H332" i="41"/>
  <c r="G332" i="41"/>
  <c r="F332" i="41"/>
  <c r="G308" i="41"/>
  <c r="F308" i="41"/>
  <c r="H308" i="41"/>
  <c r="F316" i="41"/>
  <c r="G316" i="41"/>
  <c r="H316" i="41"/>
  <c r="F237" i="41"/>
  <c r="G237" i="41"/>
  <c r="H237" i="41"/>
  <c r="H321" i="41"/>
  <c r="G321" i="41"/>
  <c r="F321" i="41"/>
  <c r="F292" i="41"/>
  <c r="H292" i="41"/>
  <c r="G292" i="41"/>
  <c r="F244" i="41"/>
  <c r="H244" i="41"/>
  <c r="G244" i="41"/>
  <c r="F320" i="41"/>
  <c r="H320" i="41"/>
  <c r="G320" i="41"/>
  <c r="G243" i="41"/>
  <c r="H243" i="41"/>
  <c r="F243" i="41"/>
  <c r="H275" i="41"/>
  <c r="F275" i="41"/>
  <c r="G275" i="41"/>
  <c r="F282" i="41"/>
  <c r="H282" i="41"/>
  <c r="G282" i="41"/>
  <c r="G285" i="41"/>
  <c r="H285" i="41"/>
  <c r="F285" i="41"/>
  <c r="G240" i="41"/>
  <c r="H240" i="41"/>
  <c r="F240" i="41"/>
  <c r="G323" i="41"/>
  <c r="F323" i="41"/>
  <c r="H323" i="41"/>
  <c r="G289" i="41"/>
  <c r="H289" i="41"/>
  <c r="F289" i="41"/>
  <c r="G295" i="41"/>
  <c r="F295" i="41"/>
  <c r="H295" i="41"/>
  <c r="L157" i="15"/>
  <c r="C6" i="24" l="1"/>
  <c r="C3" i="24"/>
  <c r="C6" i="30"/>
  <c r="C3" i="30"/>
  <c r="C6" i="31"/>
  <c r="C3" i="31"/>
  <c r="C6" i="32"/>
  <c r="C3" i="32"/>
  <c r="C6" i="21"/>
  <c r="C3" i="21"/>
  <c r="C6" i="35"/>
  <c r="C3" i="35"/>
  <c r="C6" i="11"/>
  <c r="C3" i="11"/>
  <c r="C6" i="36"/>
  <c r="C3" i="36"/>
  <c r="C6" i="29"/>
  <c r="C3" i="29"/>
  <c r="C6" i="15"/>
  <c r="C3" i="15"/>
  <c r="C8" i="25"/>
  <c r="C7" i="25"/>
  <c r="C7" i="47" s="1"/>
  <c r="C6" i="25"/>
  <c r="C5" i="25"/>
  <c r="C4" i="25"/>
  <c r="C4" i="47" l="1"/>
  <c r="C4" i="48"/>
  <c r="C4" i="46"/>
  <c r="C5" i="47"/>
  <c r="C5" i="46"/>
  <c r="C5" i="48"/>
  <c r="C7" i="46"/>
  <c r="C7" i="48"/>
  <c r="C5" i="49"/>
  <c r="C5" i="50"/>
  <c r="C5" i="45"/>
  <c r="C5" i="41"/>
  <c r="C5" i="44"/>
  <c r="C5" i="43"/>
  <c r="C5" i="42"/>
  <c r="C4" i="49"/>
  <c r="C4" i="50"/>
  <c r="C4" i="41"/>
  <c r="C4" i="42"/>
  <c r="C4" i="45"/>
  <c r="C4" i="30"/>
  <c r="C4" i="44"/>
  <c r="C4" i="43"/>
  <c r="C8" i="40"/>
  <c r="C8" i="50"/>
  <c r="C8" i="49"/>
  <c r="C8" i="45"/>
  <c r="C8" i="44"/>
  <c r="C8" i="41"/>
  <c r="C8" i="42"/>
  <c r="C8" i="43"/>
  <c r="C7" i="49"/>
  <c r="C7" i="50"/>
  <c r="C7" i="44"/>
  <c r="C7" i="45"/>
  <c r="C7" i="42"/>
  <c r="C7" i="43"/>
  <c r="C7" i="40"/>
  <c r="C7" i="41"/>
  <c r="C4" i="40"/>
  <c r="C4" i="39"/>
  <c r="C5" i="40"/>
  <c r="C5" i="39"/>
  <c r="C8" i="39"/>
  <c r="C7" i="15"/>
  <c r="C7" i="39"/>
  <c r="C5" i="32"/>
  <c r="C4" i="29"/>
  <c r="C8" i="36"/>
  <c r="C8" i="15"/>
  <c r="C8" i="29"/>
  <c r="C8" i="30"/>
  <c r="C8" i="31"/>
  <c r="C8" i="11"/>
  <c r="C8" i="21"/>
  <c r="C8" i="32"/>
  <c r="C8" i="35"/>
  <c r="C5" i="11"/>
  <c r="C5" i="35"/>
  <c r="C5" i="15"/>
  <c r="C4" i="24"/>
  <c r="C4" i="15"/>
  <c r="C4" i="35"/>
  <c r="C4" i="31"/>
  <c r="C5" i="31"/>
  <c r="C5" i="29"/>
  <c r="C4" i="36"/>
  <c r="C4" i="21"/>
  <c r="C5" i="30"/>
  <c r="C5" i="24"/>
  <c r="C5" i="36"/>
  <c r="C4" i="11"/>
  <c r="C5" i="21"/>
  <c r="C4" i="32"/>
  <c r="C7" i="24"/>
  <c r="C7" i="30"/>
  <c r="C7" i="31"/>
  <c r="C7" i="32"/>
  <c r="C7" i="21"/>
  <c r="C7" i="35"/>
  <c r="C7" i="11"/>
  <c r="C7" i="29"/>
  <c r="C7" i="36"/>
  <c r="C61" i="21" l="1"/>
  <c r="C168" i="21"/>
  <c r="D15" i="29"/>
  <c r="G26" i="30" s="1"/>
  <c r="H29" i="30"/>
  <c r="G29" i="30"/>
  <c r="H28" i="30"/>
  <c r="G28" i="30"/>
  <c r="H27" i="30"/>
  <c r="G27" i="30"/>
  <c r="H26" i="30"/>
  <c r="C225" i="43" l="1"/>
  <c r="M306" i="43" s="1"/>
  <c r="C227" i="44"/>
  <c r="M257" i="44" s="1"/>
  <c r="C214" i="41"/>
  <c r="M287" i="41" s="1"/>
  <c r="C211" i="42"/>
  <c r="M288" i="42" s="1"/>
  <c r="M331" i="43" l="1"/>
  <c r="O331" i="43" s="1"/>
  <c r="I331" i="43" s="1"/>
  <c r="J331" i="43" s="1"/>
  <c r="M342" i="43"/>
  <c r="O342" i="43" s="1"/>
  <c r="I342" i="43" s="1"/>
  <c r="L342" i="43" s="1"/>
  <c r="M273" i="43"/>
  <c r="N273" i="43" s="1"/>
  <c r="M235" i="42"/>
  <c r="N235" i="42" s="1"/>
  <c r="M250" i="42"/>
  <c r="O250" i="42" s="1"/>
  <c r="I250" i="42" s="1"/>
  <c r="K250" i="42" s="1"/>
  <c r="M310" i="42"/>
  <c r="N310" i="42" s="1"/>
  <c r="M293" i="42"/>
  <c r="O293" i="42" s="1"/>
  <c r="I293" i="42" s="1"/>
  <c r="K293" i="42" s="1"/>
  <c r="M317" i="42"/>
  <c r="O317" i="42" s="1"/>
  <c r="I317" i="42" s="1"/>
  <c r="K317" i="42" s="1"/>
  <c r="M249" i="41"/>
  <c r="N249" i="41" s="1"/>
  <c r="M259" i="41"/>
  <c r="N259" i="41" s="1"/>
  <c r="O287" i="41"/>
  <c r="I287" i="41" s="1"/>
  <c r="N287" i="41"/>
  <c r="O257" i="44"/>
  <c r="I257" i="44" s="1"/>
  <c r="N257" i="44"/>
  <c r="O288" i="42"/>
  <c r="I288" i="42" s="1"/>
  <c r="N288" i="42"/>
  <c r="O306" i="43"/>
  <c r="I306" i="43" s="1"/>
  <c r="N306" i="43"/>
  <c r="M333" i="41"/>
  <c r="M312" i="41"/>
  <c r="M264" i="44"/>
  <c r="M259" i="42"/>
  <c r="M326" i="44"/>
  <c r="M254" i="44"/>
  <c r="M281" i="44"/>
  <c r="M312" i="42"/>
  <c r="M271" i="43"/>
  <c r="M341" i="44"/>
  <c r="M275" i="44"/>
  <c r="M320" i="43"/>
  <c r="M280" i="41"/>
  <c r="M323" i="41"/>
  <c r="M270" i="41"/>
  <c r="M262" i="41"/>
  <c r="M278" i="41"/>
  <c r="M279" i="41"/>
  <c r="M299" i="41"/>
  <c r="M330" i="41"/>
  <c r="M257" i="41"/>
  <c r="M307" i="41"/>
  <c r="M260" i="41"/>
  <c r="M289" i="41"/>
  <c r="M281" i="41"/>
  <c r="M328" i="41"/>
  <c r="M245" i="41"/>
  <c r="M265" i="41"/>
  <c r="M303" i="41"/>
  <c r="M286" i="41"/>
  <c r="M301" i="41"/>
  <c r="M243" i="41"/>
  <c r="M242" i="41"/>
  <c r="M263" i="41"/>
  <c r="M251" i="41"/>
  <c r="M258" i="41"/>
  <c r="M304" i="41"/>
  <c r="M331" i="41"/>
  <c r="M326" i="41"/>
  <c r="M291" i="41"/>
  <c r="M290" i="41"/>
  <c r="M296" i="41"/>
  <c r="M283" i="41"/>
  <c r="M247" i="41"/>
  <c r="M308" i="41"/>
  <c r="M298" i="41"/>
  <c r="M322" i="41"/>
  <c r="M325" i="41"/>
  <c r="M294" i="41"/>
  <c r="M276" i="41"/>
  <c r="M321" i="41"/>
  <c r="M320" i="41"/>
  <c r="M248" i="41"/>
  <c r="M319" i="41"/>
  <c r="M305" i="41"/>
  <c r="M264" i="41"/>
  <c r="M254" i="41"/>
  <c r="M250" i="41"/>
  <c r="M236" i="41"/>
  <c r="M282" i="41"/>
  <c r="M285" i="41"/>
  <c r="M284" i="41"/>
  <c r="M302" i="41"/>
  <c r="M329" i="41"/>
  <c r="M273" i="41"/>
  <c r="M332" i="41"/>
  <c r="M292" i="41"/>
  <c r="M316" i="41"/>
  <c r="M271" i="41"/>
  <c r="M252" i="41"/>
  <c r="M275" i="41"/>
  <c r="M266" i="41"/>
  <c r="M272" i="41"/>
  <c r="M311" i="41"/>
  <c r="M274" i="41"/>
  <c r="M318" i="41"/>
  <c r="M310" i="41"/>
  <c r="M268" i="41"/>
  <c r="M295" i="41"/>
  <c r="M313" i="41"/>
  <c r="M237" i="41"/>
  <c r="M293" i="41"/>
  <c r="M297" i="41"/>
  <c r="M235" i="41"/>
  <c r="M256" i="41"/>
  <c r="M238" i="41"/>
  <c r="M261" i="41"/>
  <c r="M253" i="41"/>
  <c r="M288" i="41"/>
  <c r="M317" i="41"/>
  <c r="M277" i="41"/>
  <c r="M234" i="41"/>
  <c r="M246" i="41"/>
  <c r="M269" i="41"/>
  <c r="M241" i="41"/>
  <c r="M327" i="41"/>
  <c r="M314" i="41"/>
  <c r="M240" i="41"/>
  <c r="M244" i="41"/>
  <c r="M306" i="41"/>
  <c r="M239" i="41"/>
  <c r="M301" i="43"/>
  <c r="M281" i="43"/>
  <c r="M324" i="43"/>
  <c r="M344" i="44"/>
  <c r="M237" i="42"/>
  <c r="M308" i="42"/>
  <c r="M286" i="42"/>
  <c r="M245" i="42"/>
  <c r="M295" i="42"/>
  <c r="M251" i="42"/>
  <c r="M243" i="42"/>
  <c r="M305" i="42"/>
  <c r="M296" i="42"/>
  <c r="M330" i="42"/>
  <c r="M262" i="42"/>
  <c r="M283" i="42"/>
  <c r="M254" i="42"/>
  <c r="M294" i="42"/>
  <c r="M290" i="42"/>
  <c r="M271" i="42"/>
  <c r="M239" i="42"/>
  <c r="M318" i="42"/>
  <c r="M275" i="42"/>
  <c r="M269" i="42"/>
  <c r="M324" i="42"/>
  <c r="M298" i="42"/>
  <c r="M291" i="42"/>
  <c r="M281" i="42"/>
  <c r="M265" i="42"/>
  <c r="M233" i="42"/>
  <c r="M240" i="42"/>
  <c r="M246" i="42"/>
  <c r="M323" i="42"/>
  <c r="M236" i="42"/>
  <c r="M321" i="42"/>
  <c r="M292" i="42"/>
  <c r="M287" i="42"/>
  <c r="M315" i="42"/>
  <c r="M267" i="42"/>
  <c r="M256" i="42"/>
  <c r="M297" i="42"/>
  <c r="M309" i="42"/>
  <c r="M247" i="42"/>
  <c r="M270" i="42"/>
  <c r="M279" i="42"/>
  <c r="M248" i="42"/>
  <c r="M300" i="42"/>
  <c r="M234" i="42"/>
  <c r="M264" i="42"/>
  <c r="M320" i="42"/>
  <c r="M299" i="42"/>
  <c r="M263" i="42"/>
  <c r="M257" i="42"/>
  <c r="M261" i="42"/>
  <c r="M328" i="42"/>
  <c r="M276" i="42"/>
  <c r="M322" i="42"/>
  <c r="M289" i="42"/>
  <c r="M273" i="42"/>
  <c r="M326" i="42"/>
  <c r="M329" i="42"/>
  <c r="M242" i="42"/>
  <c r="M319" i="42"/>
  <c r="M307" i="42"/>
  <c r="M253" i="42"/>
  <c r="M260" i="42"/>
  <c r="M249" i="42"/>
  <c r="M244" i="42"/>
  <c r="M241" i="42"/>
  <c r="M278" i="42"/>
  <c r="M238" i="42"/>
  <c r="M232" i="42"/>
  <c r="M285" i="42"/>
  <c r="M266" i="42"/>
  <c r="M272" i="42"/>
  <c r="M327" i="42"/>
  <c r="M258" i="42"/>
  <c r="M306" i="42"/>
  <c r="M282" i="42"/>
  <c r="M313" i="42"/>
  <c r="M280" i="42"/>
  <c r="M314" i="42"/>
  <c r="M316" i="42"/>
  <c r="M304" i="42"/>
  <c r="M302" i="42"/>
  <c r="M252" i="42"/>
  <c r="M284" i="42"/>
  <c r="M255" i="42"/>
  <c r="M325" i="42"/>
  <c r="M274" i="42"/>
  <c r="M311" i="42"/>
  <c r="M277" i="42"/>
  <c r="M303" i="42"/>
  <c r="M231" i="42"/>
  <c r="M268" i="42"/>
  <c r="M301" i="42"/>
  <c r="M315" i="44"/>
  <c r="M258" i="44"/>
  <c r="M270" i="43"/>
  <c r="M261" i="43"/>
  <c r="M300" i="41"/>
  <c r="M260" i="44"/>
  <c r="M342" i="44"/>
  <c r="M315" i="41"/>
  <c r="M324" i="41"/>
  <c r="M257" i="43"/>
  <c r="M314" i="43"/>
  <c r="M293" i="43"/>
  <c r="M290" i="43"/>
  <c r="M260" i="43"/>
  <c r="M343" i="43"/>
  <c r="M316" i="43"/>
  <c r="M279" i="43"/>
  <c r="M254" i="43"/>
  <c r="M297" i="43"/>
  <c r="M282" i="43"/>
  <c r="M255" i="43"/>
  <c r="M264" i="43"/>
  <c r="M339" i="43"/>
  <c r="M325" i="43"/>
  <c r="M269" i="43"/>
  <c r="M272" i="43"/>
  <c r="M278" i="43"/>
  <c r="M274" i="43"/>
  <c r="M286" i="43"/>
  <c r="M344" i="43"/>
  <c r="M291" i="43"/>
  <c r="M304" i="43"/>
  <c r="M308" i="43"/>
  <c r="M295" i="43"/>
  <c r="M265" i="43"/>
  <c r="M321" i="43"/>
  <c r="M300" i="43"/>
  <c r="M307" i="43"/>
  <c r="M340" i="43"/>
  <c r="M277" i="43"/>
  <c r="M267" i="43"/>
  <c r="M333" i="43"/>
  <c r="M319" i="43"/>
  <c r="M252" i="43"/>
  <c r="M245" i="43"/>
  <c r="M296" i="43"/>
  <c r="M247" i="43"/>
  <c r="M258" i="43"/>
  <c r="M288" i="43"/>
  <c r="M327" i="43"/>
  <c r="M256" i="43"/>
  <c r="M310" i="43"/>
  <c r="M246" i="43"/>
  <c r="M292" i="43"/>
  <c r="M294" i="43"/>
  <c r="M298" i="43"/>
  <c r="M338" i="43"/>
  <c r="M315" i="43"/>
  <c r="M323" i="43"/>
  <c r="M329" i="43"/>
  <c r="M334" i="43"/>
  <c r="M251" i="43"/>
  <c r="M275" i="43"/>
  <c r="M284" i="43"/>
  <c r="M289" i="43"/>
  <c r="M328" i="43"/>
  <c r="M336" i="43"/>
  <c r="M317" i="43"/>
  <c r="M283" i="43"/>
  <c r="M276" i="43"/>
  <c r="M309" i="43"/>
  <c r="M330" i="43"/>
  <c r="M332" i="43"/>
  <c r="M303" i="43"/>
  <c r="M262" i="43"/>
  <c r="M326" i="43"/>
  <c r="M299" i="43"/>
  <c r="M253" i="43"/>
  <c r="M248" i="43"/>
  <c r="M318" i="43"/>
  <c r="M312" i="43"/>
  <c r="M337" i="43"/>
  <c r="M322" i="43"/>
  <c r="M268" i="43"/>
  <c r="M259" i="43"/>
  <c r="M302" i="43"/>
  <c r="M335" i="43"/>
  <c r="M341" i="43"/>
  <c r="M266" i="43"/>
  <c r="M287" i="43"/>
  <c r="M285" i="43"/>
  <c r="M280" i="43"/>
  <c r="M250" i="43"/>
  <c r="M313" i="43"/>
  <c r="M305" i="43"/>
  <c r="M249" i="43"/>
  <c r="M263" i="43"/>
  <c r="M311" i="43"/>
  <c r="M250" i="44"/>
  <c r="M267" i="41"/>
  <c r="M288" i="44"/>
  <c r="M286" i="44"/>
  <c r="M310" i="44"/>
  <c r="M324" i="44"/>
  <c r="M268" i="44"/>
  <c r="M247" i="44"/>
  <c r="M277" i="44"/>
  <c r="M322" i="44"/>
  <c r="M265" i="44"/>
  <c r="M333" i="44"/>
  <c r="M259" i="44"/>
  <c r="M284" i="44"/>
  <c r="M285" i="44"/>
  <c r="M251" i="44"/>
  <c r="M252" i="44"/>
  <c r="M327" i="44"/>
  <c r="M319" i="44"/>
  <c r="M346" i="44"/>
  <c r="M273" i="44"/>
  <c r="M266" i="44"/>
  <c r="M297" i="44"/>
  <c r="M261" i="44"/>
  <c r="M267" i="44"/>
  <c r="M313" i="44"/>
  <c r="M263" i="44"/>
  <c r="M276" i="44"/>
  <c r="M272" i="44"/>
  <c r="M298" i="44"/>
  <c r="M331" i="44"/>
  <c r="M311" i="44"/>
  <c r="M274" i="44"/>
  <c r="M320" i="44"/>
  <c r="M303" i="44"/>
  <c r="M290" i="44"/>
  <c r="M299" i="44"/>
  <c r="M271" i="44"/>
  <c r="M282" i="44"/>
  <c r="M287" i="44"/>
  <c r="M249" i="44"/>
  <c r="M293" i="44"/>
  <c r="M321" i="44"/>
  <c r="M269" i="44"/>
  <c r="M323" i="44"/>
  <c r="M302" i="44"/>
  <c r="M294" i="44"/>
  <c r="M309" i="44"/>
  <c r="M253" i="44"/>
  <c r="M255" i="44"/>
  <c r="M340" i="44"/>
  <c r="M345" i="44"/>
  <c r="M248" i="44"/>
  <c r="M292" i="44"/>
  <c r="M312" i="44"/>
  <c r="M334" i="44"/>
  <c r="M256" i="44"/>
  <c r="M283" i="44"/>
  <c r="M337" i="44"/>
  <c r="M279" i="44"/>
  <c r="M308" i="44"/>
  <c r="M325" i="44"/>
  <c r="M306" i="44"/>
  <c r="M305" i="44"/>
  <c r="M307" i="44"/>
  <c r="M329" i="44"/>
  <c r="M291" i="44"/>
  <c r="M280" i="44"/>
  <c r="M262" i="44"/>
  <c r="M301" i="44"/>
  <c r="M289" i="44"/>
  <c r="M328" i="44"/>
  <c r="M339" i="44"/>
  <c r="M335" i="44"/>
  <c r="M295" i="44"/>
  <c r="M330" i="44"/>
  <c r="M296" i="44"/>
  <c r="M332" i="44"/>
  <c r="M270" i="44"/>
  <c r="M318" i="44"/>
  <c r="M336" i="44"/>
  <c r="M278" i="44"/>
  <c r="M316" i="44"/>
  <c r="M314" i="44"/>
  <c r="M338" i="44"/>
  <c r="M300" i="44"/>
  <c r="M343" i="44"/>
  <c r="M317" i="44"/>
  <c r="M255" i="41"/>
  <c r="M309" i="41"/>
  <c r="M304" i="44"/>
  <c r="O235" i="42" l="1"/>
  <c r="I235" i="42" s="1"/>
  <c r="L235" i="42" s="1"/>
  <c r="O273" i="43"/>
  <c r="I273" i="43" s="1"/>
  <c r="K273" i="43" s="1"/>
  <c r="K331" i="43"/>
  <c r="L331" i="43"/>
  <c r="N331" i="43"/>
  <c r="J342" i="43"/>
  <c r="N342" i="43"/>
  <c r="K342" i="43"/>
  <c r="L293" i="42"/>
  <c r="J293" i="42"/>
  <c r="N293" i="42"/>
  <c r="L250" i="42"/>
  <c r="O310" i="42"/>
  <c r="I310" i="42" s="1"/>
  <c r="K310" i="42" s="1"/>
  <c r="L317" i="42"/>
  <c r="J317" i="42"/>
  <c r="N317" i="42"/>
  <c r="N250" i="42"/>
  <c r="J250" i="42"/>
  <c r="O259" i="41"/>
  <c r="I259" i="41" s="1"/>
  <c r="L259" i="41" s="1"/>
  <c r="O249" i="41"/>
  <c r="I249" i="41" s="1"/>
  <c r="J249" i="41" s="1"/>
  <c r="O296" i="44"/>
  <c r="I296" i="44" s="1"/>
  <c r="N296" i="44"/>
  <c r="O248" i="44"/>
  <c r="I248" i="44" s="1"/>
  <c r="N248" i="44"/>
  <c r="O316" i="44"/>
  <c r="I316" i="44" s="1"/>
  <c r="N316" i="44"/>
  <c r="O291" i="44"/>
  <c r="I291" i="44" s="1"/>
  <c r="N291" i="44"/>
  <c r="O340" i="44"/>
  <c r="I340" i="44" s="1"/>
  <c r="N340" i="44"/>
  <c r="O303" i="44"/>
  <c r="I303" i="44" s="1"/>
  <c r="N303" i="44"/>
  <c r="O319" i="44"/>
  <c r="I319" i="44" s="1"/>
  <c r="N319" i="44"/>
  <c r="O288" i="44"/>
  <c r="I288" i="44" s="1"/>
  <c r="N288" i="44"/>
  <c r="O302" i="43"/>
  <c r="I302" i="43" s="1"/>
  <c r="N302" i="43"/>
  <c r="O276" i="43"/>
  <c r="I276" i="43" s="1"/>
  <c r="N276" i="43"/>
  <c r="O292" i="43"/>
  <c r="I292" i="43" s="1"/>
  <c r="N292" i="43"/>
  <c r="N307" i="43"/>
  <c r="O307" i="43"/>
  <c r="I307" i="43" s="1"/>
  <c r="O264" i="43"/>
  <c r="I264" i="43" s="1"/>
  <c r="N264" i="43"/>
  <c r="O278" i="44"/>
  <c r="I278" i="44" s="1"/>
  <c r="N278" i="44"/>
  <c r="O335" i="44"/>
  <c r="I335" i="44" s="1"/>
  <c r="N335" i="44"/>
  <c r="O329" i="44"/>
  <c r="I329" i="44" s="1"/>
  <c r="N329" i="44"/>
  <c r="O283" i="44"/>
  <c r="I283" i="44" s="1"/>
  <c r="N283" i="44"/>
  <c r="O255" i="44"/>
  <c r="I255" i="44" s="1"/>
  <c r="N255" i="44"/>
  <c r="O293" i="44"/>
  <c r="I293" i="44" s="1"/>
  <c r="N293" i="44"/>
  <c r="O320" i="44"/>
  <c r="I320" i="44" s="1"/>
  <c r="N320" i="44"/>
  <c r="O313" i="44"/>
  <c r="I313" i="44" s="1"/>
  <c r="N313" i="44"/>
  <c r="O327" i="44"/>
  <c r="I327" i="44" s="1"/>
  <c r="N327" i="44"/>
  <c r="N322" i="44"/>
  <c r="O322" i="44"/>
  <c r="I322" i="44" s="1"/>
  <c r="O267" i="41"/>
  <c r="I267" i="41" s="1"/>
  <c r="N267" i="41"/>
  <c r="O250" i="43"/>
  <c r="I250" i="43" s="1"/>
  <c r="N250" i="43"/>
  <c r="O259" i="43"/>
  <c r="I259" i="43" s="1"/>
  <c r="N259" i="43"/>
  <c r="O299" i="43"/>
  <c r="I299" i="43" s="1"/>
  <c r="N299" i="43"/>
  <c r="O283" i="43"/>
  <c r="I283" i="43" s="1"/>
  <c r="N283" i="43"/>
  <c r="O334" i="43"/>
  <c r="I334" i="43" s="1"/>
  <c r="N334" i="43"/>
  <c r="O246" i="43"/>
  <c r="I246" i="43" s="1"/>
  <c r="N246" i="43"/>
  <c r="O245" i="43"/>
  <c r="I245" i="43" s="1"/>
  <c r="N245" i="43"/>
  <c r="O300" i="43"/>
  <c r="I300" i="43" s="1"/>
  <c r="N300" i="43"/>
  <c r="O286" i="43"/>
  <c r="I286" i="43" s="1"/>
  <c r="N286" i="43"/>
  <c r="O255" i="43"/>
  <c r="I255" i="43" s="1"/>
  <c r="N255" i="43"/>
  <c r="O290" i="43"/>
  <c r="I290" i="43" s="1"/>
  <c r="N290" i="43"/>
  <c r="O311" i="42"/>
  <c r="I311" i="42" s="1"/>
  <c r="N311" i="42"/>
  <c r="O316" i="42"/>
  <c r="I316" i="42" s="1"/>
  <c r="N316" i="42"/>
  <c r="O272" i="42"/>
  <c r="I272" i="42" s="1"/>
  <c r="N272" i="42"/>
  <c r="O249" i="42"/>
  <c r="I249" i="42" s="1"/>
  <c r="N249" i="42"/>
  <c r="O273" i="42"/>
  <c r="I273" i="42" s="1"/>
  <c r="N273" i="42"/>
  <c r="O299" i="42"/>
  <c r="I299" i="42" s="1"/>
  <c r="N299" i="42"/>
  <c r="O247" i="42"/>
  <c r="I247" i="42" s="1"/>
  <c r="N247" i="42"/>
  <c r="O321" i="42"/>
  <c r="I321" i="42" s="1"/>
  <c r="N321" i="42"/>
  <c r="O291" i="42"/>
  <c r="I291" i="42" s="1"/>
  <c r="N291" i="42"/>
  <c r="O290" i="42"/>
  <c r="I290" i="42" s="1"/>
  <c r="N290" i="42"/>
  <c r="O243" i="42"/>
  <c r="I243" i="42" s="1"/>
  <c r="N243" i="42"/>
  <c r="O324" i="43"/>
  <c r="I324" i="43" s="1"/>
  <c r="N324" i="43"/>
  <c r="O244" i="41"/>
  <c r="I244" i="41" s="1"/>
  <c r="N244" i="41"/>
  <c r="O277" i="41"/>
  <c r="I277" i="41" s="1"/>
  <c r="N277" i="41"/>
  <c r="O297" i="41"/>
  <c r="I297" i="41" s="1"/>
  <c r="N297" i="41"/>
  <c r="O274" i="41"/>
  <c r="I274" i="41" s="1"/>
  <c r="N274" i="41"/>
  <c r="O292" i="41"/>
  <c r="I292" i="41" s="1"/>
  <c r="N292" i="41"/>
  <c r="O236" i="41"/>
  <c r="I236" i="41" s="1"/>
  <c r="N236" i="41"/>
  <c r="O321" i="41"/>
  <c r="I321" i="41" s="1"/>
  <c r="N321" i="41"/>
  <c r="O283" i="41"/>
  <c r="I283" i="41" s="1"/>
  <c r="N283" i="41"/>
  <c r="O251" i="41"/>
  <c r="I251" i="41" s="1"/>
  <c r="N251" i="41"/>
  <c r="O245" i="41"/>
  <c r="I245" i="41" s="1"/>
  <c r="N245" i="41"/>
  <c r="O299" i="41"/>
  <c r="I299" i="41" s="1"/>
  <c r="N299" i="41"/>
  <c r="O341" i="44"/>
  <c r="I341" i="44" s="1"/>
  <c r="N341" i="44"/>
  <c r="O264" i="44"/>
  <c r="I264" i="44" s="1"/>
  <c r="N264" i="44"/>
  <c r="O333" i="41"/>
  <c r="I333" i="41" s="1"/>
  <c r="N333" i="41"/>
  <c r="L306" i="43"/>
  <c r="K306" i="43"/>
  <c r="J306" i="43"/>
  <c r="O307" i="44"/>
  <c r="I307" i="44" s="1"/>
  <c r="N307" i="44"/>
  <c r="O249" i="44"/>
  <c r="I249" i="44" s="1"/>
  <c r="N249" i="44"/>
  <c r="N267" i="44"/>
  <c r="O267" i="44"/>
  <c r="I267" i="44" s="1"/>
  <c r="O252" i="44"/>
  <c r="I252" i="44" s="1"/>
  <c r="N252" i="44"/>
  <c r="O277" i="44"/>
  <c r="I277" i="44" s="1"/>
  <c r="N277" i="44"/>
  <c r="O280" i="43"/>
  <c r="I280" i="43" s="1"/>
  <c r="N280" i="43"/>
  <c r="O326" i="43"/>
  <c r="I326" i="43" s="1"/>
  <c r="N326" i="43"/>
  <c r="O329" i="43"/>
  <c r="I329" i="43" s="1"/>
  <c r="N329" i="43"/>
  <c r="O252" i="43"/>
  <c r="I252" i="43" s="1"/>
  <c r="N252" i="43"/>
  <c r="O321" i="43"/>
  <c r="I321" i="43" s="1"/>
  <c r="N321" i="43"/>
  <c r="O282" i="43"/>
  <c r="I282" i="43" s="1"/>
  <c r="N282" i="43"/>
  <c r="O293" i="43"/>
  <c r="I293" i="43" s="1"/>
  <c r="N293" i="43"/>
  <c r="O300" i="41"/>
  <c r="I300" i="41" s="1"/>
  <c r="N300" i="41"/>
  <c r="O274" i="42"/>
  <c r="I274" i="42" s="1"/>
  <c r="N274" i="42"/>
  <c r="O314" i="42"/>
  <c r="I314" i="42" s="1"/>
  <c r="N314" i="42"/>
  <c r="O266" i="42"/>
  <c r="I266" i="42" s="1"/>
  <c r="N266" i="42"/>
  <c r="O289" i="42"/>
  <c r="I289" i="42" s="1"/>
  <c r="N289" i="42"/>
  <c r="O320" i="42"/>
  <c r="I320" i="42" s="1"/>
  <c r="N320" i="42"/>
  <c r="O309" i="42"/>
  <c r="I309" i="42" s="1"/>
  <c r="N309" i="42"/>
  <c r="O236" i="42"/>
  <c r="I236" i="42" s="1"/>
  <c r="N236" i="42"/>
  <c r="O298" i="42"/>
  <c r="I298" i="42" s="1"/>
  <c r="N298" i="42"/>
  <c r="O294" i="42"/>
  <c r="I294" i="42" s="1"/>
  <c r="N294" i="42"/>
  <c r="O251" i="42"/>
  <c r="I251" i="42" s="1"/>
  <c r="N251" i="42"/>
  <c r="O281" i="43"/>
  <c r="I281" i="43" s="1"/>
  <c r="N281" i="43"/>
  <c r="O240" i="41"/>
  <c r="I240" i="41" s="1"/>
  <c r="N240" i="41"/>
  <c r="O317" i="41"/>
  <c r="I317" i="41" s="1"/>
  <c r="N317" i="41"/>
  <c r="O293" i="41"/>
  <c r="I293" i="41" s="1"/>
  <c r="N293" i="41"/>
  <c r="O311" i="41"/>
  <c r="I311" i="41" s="1"/>
  <c r="N311" i="41"/>
  <c r="O332" i="41"/>
  <c r="I332" i="41" s="1"/>
  <c r="N332" i="41"/>
  <c r="O250" i="41"/>
  <c r="I250" i="41" s="1"/>
  <c r="N250" i="41"/>
  <c r="O276" i="41"/>
  <c r="I276" i="41" s="1"/>
  <c r="N276" i="41"/>
  <c r="N296" i="41"/>
  <c r="O296" i="41"/>
  <c r="I296" i="41" s="1"/>
  <c r="O263" i="41"/>
  <c r="I263" i="41" s="1"/>
  <c r="N263" i="41"/>
  <c r="O328" i="41"/>
  <c r="I328" i="41" s="1"/>
  <c r="N328" i="41"/>
  <c r="O279" i="41"/>
  <c r="I279" i="41" s="1"/>
  <c r="N279" i="41"/>
  <c r="O271" i="43"/>
  <c r="I271" i="43" s="1"/>
  <c r="N271" i="43"/>
  <c r="O339" i="44"/>
  <c r="I339" i="44" s="1"/>
  <c r="N339" i="44"/>
  <c r="O274" i="44"/>
  <c r="I274" i="44" s="1"/>
  <c r="N274" i="44"/>
  <c r="O268" i="43"/>
  <c r="I268" i="43" s="1"/>
  <c r="N268" i="43"/>
  <c r="O317" i="43"/>
  <c r="I317" i="43" s="1"/>
  <c r="N317" i="43"/>
  <c r="O310" i="43"/>
  <c r="I310" i="43" s="1"/>
  <c r="N310" i="43"/>
  <c r="O274" i="43"/>
  <c r="I274" i="43" s="1"/>
  <c r="N274" i="43"/>
  <c r="O260" i="42"/>
  <c r="I260" i="42" s="1"/>
  <c r="N260" i="42"/>
  <c r="N317" i="44"/>
  <c r="O317" i="44"/>
  <c r="I317" i="44" s="1"/>
  <c r="O318" i="44"/>
  <c r="I318" i="44" s="1"/>
  <c r="N318" i="44"/>
  <c r="O328" i="44"/>
  <c r="I328" i="44" s="1"/>
  <c r="N328" i="44"/>
  <c r="O305" i="44"/>
  <c r="I305" i="44" s="1"/>
  <c r="N305" i="44"/>
  <c r="O334" i="44"/>
  <c r="I334" i="44" s="1"/>
  <c r="N334" i="44"/>
  <c r="O309" i="44"/>
  <c r="I309" i="44" s="1"/>
  <c r="N309" i="44"/>
  <c r="O287" i="44"/>
  <c r="I287" i="44" s="1"/>
  <c r="N287" i="44"/>
  <c r="O311" i="44"/>
  <c r="I311" i="44" s="1"/>
  <c r="N311" i="44"/>
  <c r="O261" i="44"/>
  <c r="I261" i="44" s="1"/>
  <c r="N261" i="44"/>
  <c r="O251" i="44"/>
  <c r="I251" i="44" s="1"/>
  <c r="N251" i="44"/>
  <c r="O247" i="44"/>
  <c r="I247" i="44" s="1"/>
  <c r="N247" i="44"/>
  <c r="O250" i="44"/>
  <c r="I250" i="44" s="1"/>
  <c r="N250" i="44"/>
  <c r="O285" i="43"/>
  <c r="I285" i="43" s="1"/>
  <c r="N285" i="43"/>
  <c r="O322" i="43"/>
  <c r="I322" i="43" s="1"/>
  <c r="N322" i="43"/>
  <c r="O262" i="43"/>
  <c r="I262" i="43" s="1"/>
  <c r="N262" i="43"/>
  <c r="O336" i="43"/>
  <c r="I336" i="43" s="1"/>
  <c r="N336" i="43"/>
  <c r="O323" i="43"/>
  <c r="I323" i="43" s="1"/>
  <c r="N323" i="43"/>
  <c r="O256" i="43"/>
  <c r="I256" i="43" s="1"/>
  <c r="N256" i="43"/>
  <c r="O319" i="43"/>
  <c r="I319" i="43" s="1"/>
  <c r="N319" i="43"/>
  <c r="O265" i="43"/>
  <c r="I265" i="43" s="1"/>
  <c r="N265" i="43"/>
  <c r="O278" i="43"/>
  <c r="I278" i="43" s="1"/>
  <c r="N278" i="43"/>
  <c r="O297" i="43"/>
  <c r="I297" i="43" s="1"/>
  <c r="N297" i="43"/>
  <c r="O314" i="43"/>
  <c r="I314" i="43" s="1"/>
  <c r="N314" i="43"/>
  <c r="O260" i="44"/>
  <c r="I260" i="44" s="1"/>
  <c r="N260" i="44"/>
  <c r="O315" i="44"/>
  <c r="I315" i="44" s="1"/>
  <c r="N315" i="44"/>
  <c r="O325" i="42"/>
  <c r="I325" i="42" s="1"/>
  <c r="N325" i="42"/>
  <c r="O280" i="42"/>
  <c r="I280" i="42" s="1"/>
  <c r="N280" i="42"/>
  <c r="O285" i="42"/>
  <c r="I285" i="42" s="1"/>
  <c r="N285" i="42"/>
  <c r="O253" i="42"/>
  <c r="I253" i="42" s="1"/>
  <c r="N253" i="42"/>
  <c r="O322" i="42"/>
  <c r="I322" i="42" s="1"/>
  <c r="N322" i="42"/>
  <c r="O264" i="42"/>
  <c r="I264" i="42" s="1"/>
  <c r="N264" i="42"/>
  <c r="O297" i="42"/>
  <c r="I297" i="42" s="1"/>
  <c r="N297" i="42"/>
  <c r="O323" i="42"/>
  <c r="I323" i="42" s="1"/>
  <c r="N323" i="42"/>
  <c r="O324" i="42"/>
  <c r="I324" i="42" s="1"/>
  <c r="N324" i="42"/>
  <c r="O254" i="42"/>
  <c r="I254" i="42" s="1"/>
  <c r="N254" i="42"/>
  <c r="O295" i="42"/>
  <c r="I295" i="42" s="1"/>
  <c r="N295" i="42"/>
  <c r="O314" i="41"/>
  <c r="I314" i="41" s="1"/>
  <c r="N314" i="41"/>
  <c r="O288" i="41"/>
  <c r="I288" i="41" s="1"/>
  <c r="N288" i="41"/>
  <c r="O237" i="41"/>
  <c r="I237" i="41" s="1"/>
  <c r="N237" i="41"/>
  <c r="O272" i="41"/>
  <c r="I272" i="41" s="1"/>
  <c r="N272" i="41"/>
  <c r="O273" i="41"/>
  <c r="I273" i="41" s="1"/>
  <c r="N273" i="41"/>
  <c r="O254" i="41"/>
  <c r="I254" i="41" s="1"/>
  <c r="N254" i="41"/>
  <c r="O294" i="41"/>
  <c r="I294" i="41" s="1"/>
  <c r="N294" i="41"/>
  <c r="O290" i="41"/>
  <c r="I290" i="41" s="1"/>
  <c r="N290" i="41"/>
  <c r="O242" i="41"/>
  <c r="I242" i="41" s="1"/>
  <c r="N242" i="41"/>
  <c r="O281" i="41"/>
  <c r="I281" i="41" s="1"/>
  <c r="N281" i="41"/>
  <c r="O278" i="41"/>
  <c r="I278" i="41" s="1"/>
  <c r="N278" i="41"/>
  <c r="O312" i="42"/>
  <c r="I312" i="42" s="1"/>
  <c r="N312" i="42"/>
  <c r="O312" i="41"/>
  <c r="I312" i="41" s="1"/>
  <c r="N312" i="41"/>
  <c r="K257" i="44"/>
  <c r="J257" i="44"/>
  <c r="L257" i="44"/>
  <c r="O253" i="44"/>
  <c r="I253" i="44" s="1"/>
  <c r="N253" i="44"/>
  <c r="O270" i="44"/>
  <c r="I270" i="44" s="1"/>
  <c r="N270" i="44"/>
  <c r="O306" i="44"/>
  <c r="I306" i="44" s="1"/>
  <c r="N306" i="44"/>
  <c r="O294" i="44"/>
  <c r="I294" i="44" s="1"/>
  <c r="N294" i="44"/>
  <c r="O331" i="44"/>
  <c r="I331" i="44" s="1"/>
  <c r="N331" i="44"/>
  <c r="O285" i="44"/>
  <c r="I285" i="44" s="1"/>
  <c r="N285" i="44"/>
  <c r="O311" i="43"/>
  <c r="I311" i="43" s="1"/>
  <c r="N311" i="43"/>
  <c r="O337" i="43"/>
  <c r="I337" i="43" s="1"/>
  <c r="N337" i="43"/>
  <c r="N328" i="43"/>
  <c r="O328" i="43"/>
  <c r="I328" i="43" s="1"/>
  <c r="O327" i="43"/>
  <c r="I327" i="43" s="1"/>
  <c r="N327" i="43"/>
  <c r="O295" i="43"/>
  <c r="I295" i="43" s="1"/>
  <c r="N295" i="43"/>
  <c r="O254" i="43"/>
  <c r="I254" i="43" s="1"/>
  <c r="N254" i="43"/>
  <c r="O257" i="43"/>
  <c r="I257" i="43" s="1"/>
  <c r="N257" i="43"/>
  <c r="O261" i="43"/>
  <c r="I261" i="43" s="1"/>
  <c r="N261" i="43"/>
  <c r="O301" i="42"/>
  <c r="I301" i="42" s="1"/>
  <c r="N301" i="42"/>
  <c r="O255" i="42"/>
  <c r="I255" i="42" s="1"/>
  <c r="N255" i="42"/>
  <c r="O313" i="42"/>
  <c r="I313" i="42" s="1"/>
  <c r="N313" i="42"/>
  <c r="N232" i="42"/>
  <c r="O232" i="42"/>
  <c r="I232" i="42" s="1"/>
  <c r="O307" i="42"/>
  <c r="I307" i="42" s="1"/>
  <c r="N307" i="42"/>
  <c r="N276" i="42"/>
  <c r="O276" i="42"/>
  <c r="I276" i="42" s="1"/>
  <c r="O234" i="42"/>
  <c r="I234" i="42" s="1"/>
  <c r="N234" i="42"/>
  <c r="O256" i="42"/>
  <c r="I256" i="42" s="1"/>
  <c r="N256" i="42"/>
  <c r="O246" i="42"/>
  <c r="I246" i="42" s="1"/>
  <c r="N246" i="42"/>
  <c r="O269" i="42"/>
  <c r="I269" i="42" s="1"/>
  <c r="N269" i="42"/>
  <c r="O283" i="42"/>
  <c r="I283" i="42" s="1"/>
  <c r="N283" i="42"/>
  <c r="O245" i="42"/>
  <c r="I245" i="42" s="1"/>
  <c r="N245" i="42"/>
  <c r="O301" i="43"/>
  <c r="I301" i="43" s="1"/>
  <c r="N301" i="43"/>
  <c r="O327" i="41"/>
  <c r="I327" i="41" s="1"/>
  <c r="N327" i="41"/>
  <c r="O253" i="41"/>
  <c r="I253" i="41" s="1"/>
  <c r="N253" i="41"/>
  <c r="O313" i="41"/>
  <c r="I313" i="41" s="1"/>
  <c r="N313" i="41"/>
  <c r="O266" i="41"/>
  <c r="I266" i="41" s="1"/>
  <c r="N266" i="41"/>
  <c r="O329" i="41"/>
  <c r="I329" i="41" s="1"/>
  <c r="N329" i="41"/>
  <c r="O264" i="41"/>
  <c r="I264" i="41" s="1"/>
  <c r="N264" i="41"/>
  <c r="O325" i="41"/>
  <c r="I325" i="41" s="1"/>
  <c r="N325" i="41"/>
  <c r="O291" i="41"/>
  <c r="I291" i="41" s="1"/>
  <c r="N291" i="41"/>
  <c r="O243" i="41"/>
  <c r="I243" i="41" s="1"/>
  <c r="N243" i="41"/>
  <c r="O289" i="41"/>
  <c r="I289" i="41" s="1"/>
  <c r="N289" i="41"/>
  <c r="O262" i="41"/>
  <c r="I262" i="41" s="1"/>
  <c r="N262" i="41"/>
  <c r="O336" i="44"/>
  <c r="I336" i="44" s="1"/>
  <c r="N336" i="44"/>
  <c r="O256" i="44"/>
  <c r="I256" i="44" s="1"/>
  <c r="N256" i="44"/>
  <c r="O343" i="44"/>
  <c r="I343" i="44" s="1"/>
  <c r="N343" i="44"/>
  <c r="O289" i="44"/>
  <c r="I289" i="44" s="1"/>
  <c r="N289" i="44"/>
  <c r="O312" i="44"/>
  <c r="I312" i="44" s="1"/>
  <c r="N312" i="44"/>
  <c r="O282" i="44"/>
  <c r="I282" i="44" s="1"/>
  <c r="N282" i="44"/>
  <c r="O297" i="44"/>
  <c r="I297" i="44" s="1"/>
  <c r="N297" i="44"/>
  <c r="O268" i="44"/>
  <c r="I268" i="44" s="1"/>
  <c r="N268" i="44"/>
  <c r="O287" i="43"/>
  <c r="I287" i="43" s="1"/>
  <c r="N287" i="43"/>
  <c r="O303" i="43"/>
  <c r="I303" i="43" s="1"/>
  <c r="N303" i="43"/>
  <c r="O315" i="43"/>
  <c r="I315" i="43" s="1"/>
  <c r="N315" i="43"/>
  <c r="O333" i="43"/>
  <c r="I333" i="43" s="1"/>
  <c r="N333" i="43"/>
  <c r="O272" i="43"/>
  <c r="I272" i="43" s="1"/>
  <c r="N272" i="43"/>
  <c r="O304" i="44"/>
  <c r="I304" i="44" s="1"/>
  <c r="N304" i="44"/>
  <c r="O300" i="44"/>
  <c r="I300" i="44" s="1"/>
  <c r="N300" i="44"/>
  <c r="O332" i="44"/>
  <c r="I332" i="44" s="1"/>
  <c r="N332" i="44"/>
  <c r="O301" i="44"/>
  <c r="I301" i="44" s="1"/>
  <c r="N301" i="44"/>
  <c r="O325" i="44"/>
  <c r="I325" i="44" s="1"/>
  <c r="N325" i="44"/>
  <c r="O292" i="44"/>
  <c r="I292" i="44" s="1"/>
  <c r="N292" i="44"/>
  <c r="O302" i="44"/>
  <c r="I302" i="44" s="1"/>
  <c r="N302" i="44"/>
  <c r="O271" i="44"/>
  <c r="I271" i="44" s="1"/>
  <c r="N271" i="44"/>
  <c r="O298" i="44"/>
  <c r="I298" i="44" s="1"/>
  <c r="N298" i="44"/>
  <c r="O266" i="44"/>
  <c r="I266" i="44" s="1"/>
  <c r="N266" i="44"/>
  <c r="O284" i="44"/>
  <c r="I284" i="44" s="1"/>
  <c r="N284" i="44"/>
  <c r="O324" i="44"/>
  <c r="I324" i="44" s="1"/>
  <c r="N324" i="44"/>
  <c r="O263" i="43"/>
  <c r="I263" i="43" s="1"/>
  <c r="N263" i="43"/>
  <c r="O266" i="43"/>
  <c r="I266" i="43" s="1"/>
  <c r="N266" i="43"/>
  <c r="O312" i="43"/>
  <c r="I312" i="43" s="1"/>
  <c r="N312" i="43"/>
  <c r="O332" i="43"/>
  <c r="I332" i="43" s="1"/>
  <c r="N332" i="43"/>
  <c r="O289" i="43"/>
  <c r="I289" i="43" s="1"/>
  <c r="N289" i="43"/>
  <c r="O338" i="43"/>
  <c r="I338" i="43" s="1"/>
  <c r="N338" i="43"/>
  <c r="O288" i="43"/>
  <c r="I288" i="43" s="1"/>
  <c r="N288" i="43"/>
  <c r="O267" i="43"/>
  <c r="I267" i="43" s="1"/>
  <c r="N267" i="43"/>
  <c r="O308" i="43"/>
  <c r="I308" i="43" s="1"/>
  <c r="N308" i="43"/>
  <c r="O269" i="43"/>
  <c r="I269" i="43" s="1"/>
  <c r="N269" i="43"/>
  <c r="O279" i="43"/>
  <c r="I279" i="43" s="1"/>
  <c r="N279" i="43"/>
  <c r="O324" i="41"/>
  <c r="I324" i="41" s="1"/>
  <c r="N324" i="41"/>
  <c r="O268" i="42"/>
  <c r="I268" i="42" s="1"/>
  <c r="N268" i="42"/>
  <c r="O284" i="42"/>
  <c r="I284" i="42" s="1"/>
  <c r="N284" i="42"/>
  <c r="O282" i="42"/>
  <c r="I282" i="42" s="1"/>
  <c r="N282" i="42"/>
  <c r="O238" i="42"/>
  <c r="I238" i="42" s="1"/>
  <c r="N238" i="42"/>
  <c r="O319" i="42"/>
  <c r="I319" i="42" s="1"/>
  <c r="N319" i="42"/>
  <c r="O328" i="42"/>
  <c r="I328" i="42" s="1"/>
  <c r="N328" i="42"/>
  <c r="O300" i="42"/>
  <c r="I300" i="42" s="1"/>
  <c r="N300" i="42"/>
  <c r="O267" i="42"/>
  <c r="I267" i="42" s="1"/>
  <c r="N267" i="42"/>
  <c r="O240" i="42"/>
  <c r="I240" i="42" s="1"/>
  <c r="N240" i="42"/>
  <c r="O275" i="42"/>
  <c r="I275" i="42" s="1"/>
  <c r="N275" i="42"/>
  <c r="O262" i="42"/>
  <c r="I262" i="42" s="1"/>
  <c r="N262" i="42"/>
  <c r="O286" i="42"/>
  <c r="I286" i="42" s="1"/>
  <c r="N286" i="42"/>
  <c r="O241" i="41"/>
  <c r="I241" i="41" s="1"/>
  <c r="N241" i="41"/>
  <c r="O261" i="41"/>
  <c r="I261" i="41" s="1"/>
  <c r="N261" i="41"/>
  <c r="O295" i="41"/>
  <c r="I295" i="41" s="1"/>
  <c r="N295" i="41"/>
  <c r="O275" i="41"/>
  <c r="I275" i="41" s="1"/>
  <c r="N275" i="41"/>
  <c r="O302" i="41"/>
  <c r="I302" i="41" s="1"/>
  <c r="N302" i="41"/>
  <c r="O305" i="41"/>
  <c r="I305" i="41" s="1"/>
  <c r="N305" i="41"/>
  <c r="O322" i="41"/>
  <c r="I322" i="41" s="1"/>
  <c r="N322" i="41"/>
  <c r="O326" i="41"/>
  <c r="I326" i="41" s="1"/>
  <c r="N326" i="41"/>
  <c r="O301" i="41"/>
  <c r="I301" i="41" s="1"/>
  <c r="N301" i="41"/>
  <c r="O260" i="41"/>
  <c r="I260" i="41" s="1"/>
  <c r="N260" i="41"/>
  <c r="O270" i="41"/>
  <c r="I270" i="41" s="1"/>
  <c r="N270" i="41"/>
  <c r="O281" i="44"/>
  <c r="I281" i="44" s="1"/>
  <c r="N281" i="44"/>
  <c r="J287" i="41"/>
  <c r="K287" i="41"/>
  <c r="L287" i="41"/>
  <c r="O309" i="41"/>
  <c r="I309" i="41" s="1"/>
  <c r="N309" i="41"/>
  <c r="O262" i="44"/>
  <c r="I262" i="44" s="1"/>
  <c r="N262" i="44"/>
  <c r="O323" i="44"/>
  <c r="I323" i="44" s="1"/>
  <c r="N323" i="44"/>
  <c r="O272" i="44"/>
  <c r="I272" i="44" s="1"/>
  <c r="N272" i="44"/>
  <c r="O310" i="44"/>
  <c r="I310" i="44" s="1"/>
  <c r="N310" i="44"/>
  <c r="O341" i="43"/>
  <c r="I341" i="43" s="1"/>
  <c r="N341" i="43"/>
  <c r="O330" i="43"/>
  <c r="I330" i="43" s="1"/>
  <c r="N330" i="43"/>
  <c r="O298" i="43"/>
  <c r="I298" i="43" s="1"/>
  <c r="N298" i="43"/>
  <c r="O277" i="43"/>
  <c r="I277" i="43" s="1"/>
  <c r="N277" i="43"/>
  <c r="O325" i="43"/>
  <c r="I325" i="43" s="1"/>
  <c r="N325" i="43"/>
  <c r="O315" i="41"/>
  <c r="I315" i="41" s="1"/>
  <c r="N315" i="41"/>
  <c r="O231" i="42"/>
  <c r="I231" i="42" s="1"/>
  <c r="N231" i="42"/>
  <c r="O306" i="42"/>
  <c r="I306" i="42" s="1"/>
  <c r="N306" i="42"/>
  <c r="O242" i="42"/>
  <c r="I242" i="42" s="1"/>
  <c r="N242" i="42"/>
  <c r="O248" i="42"/>
  <c r="I248" i="42" s="1"/>
  <c r="N248" i="42"/>
  <c r="O233" i="42"/>
  <c r="I233" i="42" s="1"/>
  <c r="N233" i="42"/>
  <c r="O330" i="42"/>
  <c r="I330" i="42" s="1"/>
  <c r="N330" i="42"/>
  <c r="O269" i="41"/>
  <c r="I269" i="41" s="1"/>
  <c r="N269" i="41"/>
  <c r="O238" i="41"/>
  <c r="I238" i="41" s="1"/>
  <c r="N238" i="41"/>
  <c r="O268" i="41"/>
  <c r="I268" i="41" s="1"/>
  <c r="N268" i="41"/>
  <c r="O252" i="41"/>
  <c r="I252" i="41" s="1"/>
  <c r="N252" i="41"/>
  <c r="O284" i="41"/>
  <c r="I284" i="41" s="1"/>
  <c r="N284" i="41"/>
  <c r="O319" i="41"/>
  <c r="I319" i="41" s="1"/>
  <c r="N319" i="41"/>
  <c r="O298" i="41"/>
  <c r="I298" i="41" s="1"/>
  <c r="N298" i="41"/>
  <c r="O331" i="41"/>
  <c r="I331" i="41" s="1"/>
  <c r="N331" i="41"/>
  <c r="O286" i="41"/>
  <c r="I286" i="41" s="1"/>
  <c r="N286" i="41"/>
  <c r="O307" i="41"/>
  <c r="I307" i="41" s="1"/>
  <c r="N307" i="41"/>
  <c r="O323" i="41"/>
  <c r="I323" i="41" s="1"/>
  <c r="N323" i="41"/>
  <c r="N254" i="44"/>
  <c r="O254" i="44"/>
  <c r="I254" i="44" s="1"/>
  <c r="L288" i="42"/>
  <c r="K288" i="42"/>
  <c r="J288" i="42"/>
  <c r="O338" i="44"/>
  <c r="I338" i="44" s="1"/>
  <c r="N338" i="44"/>
  <c r="O308" i="44"/>
  <c r="I308" i="44" s="1"/>
  <c r="N308" i="44"/>
  <c r="O299" i="44"/>
  <c r="I299" i="44" s="1"/>
  <c r="N299" i="44"/>
  <c r="O273" i="44"/>
  <c r="I273" i="44" s="1"/>
  <c r="N273" i="44"/>
  <c r="O259" i="44"/>
  <c r="I259" i="44" s="1"/>
  <c r="N259" i="44"/>
  <c r="O249" i="43"/>
  <c r="I249" i="43" s="1"/>
  <c r="N249" i="43"/>
  <c r="O318" i="43"/>
  <c r="I318" i="43" s="1"/>
  <c r="N318" i="43"/>
  <c r="O284" i="43"/>
  <c r="I284" i="43" s="1"/>
  <c r="N284" i="43"/>
  <c r="O258" i="43"/>
  <c r="I258" i="43" s="1"/>
  <c r="N258" i="43"/>
  <c r="O304" i="43"/>
  <c r="I304" i="43" s="1"/>
  <c r="N304" i="43"/>
  <c r="O316" i="43"/>
  <c r="I316" i="43" s="1"/>
  <c r="N316" i="43"/>
  <c r="N252" i="42"/>
  <c r="O252" i="42"/>
  <c r="I252" i="42" s="1"/>
  <c r="O278" i="42"/>
  <c r="I278" i="42" s="1"/>
  <c r="N278" i="42"/>
  <c r="O261" i="42"/>
  <c r="I261" i="42" s="1"/>
  <c r="N261" i="42"/>
  <c r="O315" i="42"/>
  <c r="I315" i="42" s="1"/>
  <c r="N315" i="42"/>
  <c r="O318" i="42"/>
  <c r="I318" i="42" s="1"/>
  <c r="N318" i="42"/>
  <c r="O308" i="42"/>
  <c r="I308" i="42" s="1"/>
  <c r="N308" i="42"/>
  <c r="O255" i="41"/>
  <c r="I255" i="41" s="1"/>
  <c r="N255" i="41"/>
  <c r="O314" i="44"/>
  <c r="I314" i="44" s="1"/>
  <c r="N314" i="44"/>
  <c r="O330" i="44"/>
  <c r="I330" i="44" s="1"/>
  <c r="N330" i="44"/>
  <c r="O280" i="44"/>
  <c r="I280" i="44" s="1"/>
  <c r="N280" i="44"/>
  <c r="O279" i="44"/>
  <c r="I279" i="44" s="1"/>
  <c r="N279" i="44"/>
  <c r="O345" i="44"/>
  <c r="I345" i="44" s="1"/>
  <c r="N345" i="44"/>
  <c r="O269" i="44"/>
  <c r="I269" i="44" s="1"/>
  <c r="N269" i="44"/>
  <c r="O290" i="44"/>
  <c r="I290" i="44" s="1"/>
  <c r="N290" i="44"/>
  <c r="O276" i="44"/>
  <c r="I276" i="44" s="1"/>
  <c r="N276" i="44"/>
  <c r="O346" i="44"/>
  <c r="I346" i="44" s="1"/>
  <c r="N346" i="44"/>
  <c r="O333" i="44"/>
  <c r="I333" i="44" s="1"/>
  <c r="N333" i="44"/>
  <c r="O286" i="44"/>
  <c r="I286" i="44" s="1"/>
  <c r="N286" i="44"/>
  <c r="O305" i="43"/>
  <c r="I305" i="43" s="1"/>
  <c r="N305" i="43"/>
  <c r="O335" i="43"/>
  <c r="I335" i="43" s="1"/>
  <c r="N335" i="43"/>
  <c r="O248" i="43"/>
  <c r="I248" i="43" s="1"/>
  <c r="N248" i="43"/>
  <c r="O309" i="43"/>
  <c r="I309" i="43" s="1"/>
  <c r="N309" i="43"/>
  <c r="O275" i="43"/>
  <c r="I275" i="43" s="1"/>
  <c r="N275" i="43"/>
  <c r="O294" i="43"/>
  <c r="I294" i="43" s="1"/>
  <c r="N294" i="43"/>
  <c r="O247" i="43"/>
  <c r="I247" i="43" s="1"/>
  <c r="N247" i="43"/>
  <c r="N340" i="43"/>
  <c r="O340" i="43"/>
  <c r="I340" i="43" s="1"/>
  <c r="O291" i="43"/>
  <c r="I291" i="43" s="1"/>
  <c r="N291" i="43"/>
  <c r="O339" i="43"/>
  <c r="I339" i="43" s="1"/>
  <c r="N339" i="43"/>
  <c r="O343" i="43"/>
  <c r="I343" i="43" s="1"/>
  <c r="N343" i="43"/>
  <c r="O342" i="44"/>
  <c r="I342" i="44" s="1"/>
  <c r="N342" i="44"/>
  <c r="O270" i="43"/>
  <c r="I270" i="43" s="1"/>
  <c r="N270" i="43"/>
  <c r="O303" i="42"/>
  <c r="I303" i="42" s="1"/>
  <c r="N303" i="42"/>
  <c r="O302" i="42"/>
  <c r="I302" i="42" s="1"/>
  <c r="N302" i="42"/>
  <c r="O258" i="42"/>
  <c r="I258" i="42" s="1"/>
  <c r="N258" i="42"/>
  <c r="O241" i="42"/>
  <c r="I241" i="42" s="1"/>
  <c r="N241" i="42"/>
  <c r="O329" i="42"/>
  <c r="I329" i="42" s="1"/>
  <c r="N329" i="42"/>
  <c r="O257" i="42"/>
  <c r="I257" i="42" s="1"/>
  <c r="N257" i="42"/>
  <c r="O279" i="42"/>
  <c r="I279" i="42" s="1"/>
  <c r="N279" i="42"/>
  <c r="O287" i="42"/>
  <c r="I287" i="42" s="1"/>
  <c r="N287" i="42"/>
  <c r="N265" i="42"/>
  <c r="O265" i="42"/>
  <c r="I265" i="42" s="1"/>
  <c r="O239" i="42"/>
  <c r="I239" i="42" s="1"/>
  <c r="N239" i="42"/>
  <c r="O296" i="42"/>
  <c r="I296" i="42" s="1"/>
  <c r="N296" i="42"/>
  <c r="O237" i="42"/>
  <c r="I237" i="42" s="1"/>
  <c r="N237" i="42"/>
  <c r="O239" i="41"/>
  <c r="I239" i="41" s="1"/>
  <c r="N239" i="41"/>
  <c r="O246" i="41"/>
  <c r="I246" i="41" s="1"/>
  <c r="N246" i="41"/>
  <c r="O256" i="41"/>
  <c r="I256" i="41" s="1"/>
  <c r="N256" i="41"/>
  <c r="O310" i="41"/>
  <c r="I310" i="41" s="1"/>
  <c r="N310" i="41"/>
  <c r="O271" i="41"/>
  <c r="I271" i="41" s="1"/>
  <c r="N271" i="41"/>
  <c r="O285" i="41"/>
  <c r="I285" i="41" s="1"/>
  <c r="N285" i="41"/>
  <c r="O248" i="41"/>
  <c r="I248" i="41" s="1"/>
  <c r="N248" i="41"/>
  <c r="O308" i="41"/>
  <c r="I308" i="41" s="1"/>
  <c r="N308" i="41"/>
  <c r="O304" i="41"/>
  <c r="I304" i="41" s="1"/>
  <c r="N304" i="41"/>
  <c r="O303" i="41"/>
  <c r="I303" i="41" s="1"/>
  <c r="N303" i="41"/>
  <c r="O257" i="41"/>
  <c r="I257" i="41" s="1"/>
  <c r="N257" i="41"/>
  <c r="O280" i="41"/>
  <c r="I280" i="41" s="1"/>
  <c r="N280" i="41"/>
  <c r="O320" i="43"/>
  <c r="I320" i="43" s="1"/>
  <c r="N320" i="43"/>
  <c r="N326" i="44"/>
  <c r="O326" i="44"/>
  <c r="I326" i="44" s="1"/>
  <c r="O295" i="44"/>
  <c r="I295" i="44" s="1"/>
  <c r="N295" i="44"/>
  <c r="O337" i="44"/>
  <c r="I337" i="44" s="1"/>
  <c r="N337" i="44"/>
  <c r="O321" i="44"/>
  <c r="I321" i="44" s="1"/>
  <c r="N321" i="44"/>
  <c r="O263" i="44"/>
  <c r="I263" i="44" s="1"/>
  <c r="N263" i="44"/>
  <c r="N265" i="44"/>
  <c r="O265" i="44"/>
  <c r="I265" i="44" s="1"/>
  <c r="O313" i="43"/>
  <c r="I313" i="43" s="1"/>
  <c r="N313" i="43"/>
  <c r="O253" i="43"/>
  <c r="I253" i="43" s="1"/>
  <c r="N253" i="43"/>
  <c r="O251" i="43"/>
  <c r="I251" i="43" s="1"/>
  <c r="N251" i="43"/>
  <c r="O296" i="43"/>
  <c r="I296" i="43" s="1"/>
  <c r="N296" i="43"/>
  <c r="O344" i="43"/>
  <c r="I344" i="43" s="1"/>
  <c r="N344" i="43"/>
  <c r="O260" i="43"/>
  <c r="I260" i="43" s="1"/>
  <c r="N260" i="43"/>
  <c r="O258" i="44"/>
  <c r="I258" i="44" s="1"/>
  <c r="N258" i="44"/>
  <c r="O277" i="42"/>
  <c r="I277" i="42" s="1"/>
  <c r="N277" i="42"/>
  <c r="O304" i="42"/>
  <c r="I304" i="42" s="1"/>
  <c r="N304" i="42"/>
  <c r="O327" i="42"/>
  <c r="I327" i="42" s="1"/>
  <c r="N327" i="42"/>
  <c r="O244" i="42"/>
  <c r="I244" i="42" s="1"/>
  <c r="N244" i="42"/>
  <c r="O326" i="42"/>
  <c r="I326" i="42" s="1"/>
  <c r="N326" i="42"/>
  <c r="O263" i="42"/>
  <c r="I263" i="42" s="1"/>
  <c r="N263" i="42"/>
  <c r="O270" i="42"/>
  <c r="I270" i="42" s="1"/>
  <c r="N270" i="42"/>
  <c r="O292" i="42"/>
  <c r="I292" i="42" s="1"/>
  <c r="N292" i="42"/>
  <c r="O281" i="42"/>
  <c r="I281" i="42" s="1"/>
  <c r="N281" i="42"/>
  <c r="O271" i="42"/>
  <c r="I271" i="42" s="1"/>
  <c r="N271" i="42"/>
  <c r="O305" i="42"/>
  <c r="I305" i="42" s="1"/>
  <c r="N305" i="42"/>
  <c r="O344" i="44"/>
  <c r="I344" i="44" s="1"/>
  <c r="N344" i="44"/>
  <c r="O306" i="41"/>
  <c r="I306" i="41" s="1"/>
  <c r="N306" i="41"/>
  <c r="O234" i="41"/>
  <c r="I234" i="41" s="1"/>
  <c r="N234" i="41"/>
  <c r="O235" i="41"/>
  <c r="I235" i="41" s="1"/>
  <c r="N235" i="41"/>
  <c r="O318" i="41"/>
  <c r="I318" i="41" s="1"/>
  <c r="N318" i="41"/>
  <c r="O316" i="41"/>
  <c r="I316" i="41" s="1"/>
  <c r="N316" i="41"/>
  <c r="O282" i="41"/>
  <c r="I282" i="41" s="1"/>
  <c r="N282" i="41"/>
  <c r="O320" i="41"/>
  <c r="I320" i="41" s="1"/>
  <c r="N320" i="41"/>
  <c r="O247" i="41"/>
  <c r="I247" i="41" s="1"/>
  <c r="N247" i="41"/>
  <c r="O258" i="41"/>
  <c r="I258" i="41" s="1"/>
  <c r="N258" i="41"/>
  <c r="O265" i="41"/>
  <c r="I265" i="41" s="1"/>
  <c r="N265" i="41"/>
  <c r="O330" i="41"/>
  <c r="I330" i="41" s="1"/>
  <c r="N330" i="41"/>
  <c r="O275" i="44"/>
  <c r="I275" i="44" s="1"/>
  <c r="N275" i="44"/>
  <c r="O259" i="42"/>
  <c r="I259" i="42" s="1"/>
  <c r="N259" i="42"/>
  <c r="J235" i="42" l="1"/>
  <c r="K235" i="42"/>
  <c r="J273" i="43"/>
  <c r="L273" i="43"/>
  <c r="J310" i="42"/>
  <c r="L310" i="42"/>
  <c r="L249" i="41"/>
  <c r="J259" i="41"/>
  <c r="K259" i="41"/>
  <c r="K249" i="41"/>
  <c r="J265" i="41"/>
  <c r="L265" i="41"/>
  <c r="K265" i="41"/>
  <c r="K270" i="42"/>
  <c r="J270" i="42"/>
  <c r="L270" i="42"/>
  <c r="K327" i="42"/>
  <c r="L327" i="42"/>
  <c r="J327" i="42"/>
  <c r="K253" i="43"/>
  <c r="L253" i="43"/>
  <c r="J253" i="43"/>
  <c r="L308" i="41"/>
  <c r="K308" i="41"/>
  <c r="J308" i="41"/>
  <c r="J237" i="42"/>
  <c r="L237" i="42"/>
  <c r="K237" i="42"/>
  <c r="J241" i="42"/>
  <c r="K241" i="42"/>
  <c r="L241" i="42"/>
  <c r="K291" i="43"/>
  <c r="J291" i="43"/>
  <c r="L291" i="43"/>
  <c r="K305" i="43"/>
  <c r="L305" i="43"/>
  <c r="J305" i="43"/>
  <c r="L279" i="44"/>
  <c r="K279" i="44"/>
  <c r="J279" i="44"/>
  <c r="L316" i="43"/>
  <c r="J316" i="43"/>
  <c r="K316" i="43"/>
  <c r="J299" i="44"/>
  <c r="L299" i="44"/>
  <c r="K299" i="44"/>
  <c r="L286" i="41"/>
  <c r="K286" i="41"/>
  <c r="J286" i="41"/>
  <c r="K269" i="41"/>
  <c r="J269" i="41"/>
  <c r="L269" i="41"/>
  <c r="K301" i="41"/>
  <c r="J301" i="41"/>
  <c r="L301" i="41"/>
  <c r="J234" i="41"/>
  <c r="L234" i="41"/>
  <c r="K234" i="41"/>
  <c r="K340" i="43"/>
  <c r="L340" i="43"/>
  <c r="J340" i="43"/>
  <c r="K248" i="42"/>
  <c r="J248" i="42"/>
  <c r="L248" i="42"/>
  <c r="J231" i="42"/>
  <c r="L231" i="42"/>
  <c r="K231" i="42"/>
  <c r="J298" i="43"/>
  <c r="K298" i="43"/>
  <c r="L298" i="43"/>
  <c r="L272" i="44"/>
  <c r="K272" i="44"/>
  <c r="J272" i="44"/>
  <c r="L262" i="41"/>
  <c r="K262" i="41"/>
  <c r="J262" i="41"/>
  <c r="J325" i="41"/>
  <c r="L325" i="41"/>
  <c r="K325" i="41"/>
  <c r="K313" i="41"/>
  <c r="J313" i="41"/>
  <c r="L313" i="41"/>
  <c r="L245" i="42"/>
  <c r="K245" i="42"/>
  <c r="J245" i="42"/>
  <c r="J256" i="42"/>
  <c r="K256" i="42"/>
  <c r="L256" i="42"/>
  <c r="K261" i="43"/>
  <c r="L261" i="43"/>
  <c r="J261" i="43"/>
  <c r="L327" i="43"/>
  <c r="J327" i="43"/>
  <c r="K327" i="43"/>
  <c r="L285" i="44"/>
  <c r="K285" i="44"/>
  <c r="J285" i="44"/>
  <c r="L270" i="44"/>
  <c r="J270" i="44"/>
  <c r="K270" i="44"/>
  <c r="J260" i="44"/>
  <c r="L260" i="44"/>
  <c r="K260" i="44"/>
  <c r="K265" i="43"/>
  <c r="J265" i="43"/>
  <c r="L265" i="43"/>
  <c r="K336" i="43"/>
  <c r="L336" i="43"/>
  <c r="J336" i="43"/>
  <c r="L250" i="44"/>
  <c r="K250" i="44"/>
  <c r="J250" i="44"/>
  <c r="J261" i="44"/>
  <c r="L261" i="44"/>
  <c r="K261" i="44"/>
  <c r="K334" i="44"/>
  <c r="L334" i="44"/>
  <c r="J334" i="44"/>
  <c r="K310" i="43"/>
  <c r="L310" i="43"/>
  <c r="J310" i="43"/>
  <c r="K299" i="41"/>
  <c r="L299" i="41"/>
  <c r="J299" i="41"/>
  <c r="K321" i="41"/>
  <c r="L321" i="41"/>
  <c r="J321" i="41"/>
  <c r="K297" i="41"/>
  <c r="J297" i="41"/>
  <c r="L297" i="41"/>
  <c r="K243" i="42"/>
  <c r="J243" i="42"/>
  <c r="L243" i="42"/>
  <c r="L247" i="42"/>
  <c r="K247" i="42"/>
  <c r="J247" i="42"/>
  <c r="J272" i="42"/>
  <c r="K272" i="42"/>
  <c r="L272" i="42"/>
  <c r="L307" i="43"/>
  <c r="J307" i="43"/>
  <c r="K307" i="43"/>
  <c r="L258" i="41"/>
  <c r="K258" i="41"/>
  <c r="J258" i="41"/>
  <c r="J313" i="43"/>
  <c r="L313" i="43"/>
  <c r="K313" i="43"/>
  <c r="L256" i="41"/>
  <c r="K256" i="41"/>
  <c r="J256" i="41"/>
  <c r="K286" i="44"/>
  <c r="L286" i="44"/>
  <c r="J286" i="44"/>
  <c r="K249" i="43"/>
  <c r="J249" i="43"/>
  <c r="L249" i="43"/>
  <c r="K267" i="42"/>
  <c r="L267" i="42"/>
  <c r="J267" i="42"/>
  <c r="K238" i="42"/>
  <c r="L238" i="42"/>
  <c r="J238" i="42"/>
  <c r="J324" i="41"/>
  <c r="L324" i="41"/>
  <c r="K324" i="41"/>
  <c r="K267" i="43"/>
  <c r="L267" i="43"/>
  <c r="J267" i="43"/>
  <c r="K332" i="43"/>
  <c r="J332" i="43"/>
  <c r="L332" i="43"/>
  <c r="J324" i="44"/>
  <c r="L324" i="44"/>
  <c r="K324" i="44"/>
  <c r="L271" i="44"/>
  <c r="J271" i="44"/>
  <c r="K271" i="44"/>
  <c r="L301" i="44"/>
  <c r="J301" i="44"/>
  <c r="K301" i="44"/>
  <c r="K272" i="43"/>
  <c r="J272" i="43"/>
  <c r="L272" i="43"/>
  <c r="J287" i="43"/>
  <c r="L287" i="43"/>
  <c r="K287" i="43"/>
  <c r="L312" i="44"/>
  <c r="K312" i="44"/>
  <c r="J312" i="44"/>
  <c r="L336" i="44"/>
  <c r="J336" i="44"/>
  <c r="K336" i="44"/>
  <c r="L328" i="43"/>
  <c r="K328" i="43"/>
  <c r="J328" i="43"/>
  <c r="J281" i="41"/>
  <c r="L281" i="41"/>
  <c r="K281" i="41"/>
  <c r="K254" i="41"/>
  <c r="J254" i="41"/>
  <c r="L254" i="41"/>
  <c r="L288" i="41"/>
  <c r="J288" i="41"/>
  <c r="K288" i="41"/>
  <c r="K324" i="42"/>
  <c r="L324" i="42"/>
  <c r="J324" i="42"/>
  <c r="K322" i="42"/>
  <c r="L322" i="42"/>
  <c r="J322" i="42"/>
  <c r="L325" i="42"/>
  <c r="J325" i="42"/>
  <c r="K325" i="42"/>
  <c r="J274" i="44"/>
  <c r="K274" i="44"/>
  <c r="L274" i="44"/>
  <c r="K263" i="41"/>
  <c r="L263" i="41"/>
  <c r="J263" i="41"/>
  <c r="J332" i="41"/>
  <c r="L332" i="41"/>
  <c r="K332" i="41"/>
  <c r="K240" i="41"/>
  <c r="J240" i="41"/>
  <c r="L240" i="41"/>
  <c r="J298" i="42"/>
  <c r="L298" i="42"/>
  <c r="K298" i="42"/>
  <c r="L289" i="42"/>
  <c r="J289" i="42"/>
  <c r="K289" i="42"/>
  <c r="L300" i="41"/>
  <c r="J300" i="41"/>
  <c r="K300" i="41"/>
  <c r="K252" i="43"/>
  <c r="J252" i="43"/>
  <c r="L252" i="43"/>
  <c r="K277" i="44"/>
  <c r="L277" i="44"/>
  <c r="J277" i="44"/>
  <c r="L307" i="44"/>
  <c r="J307" i="44"/>
  <c r="K307" i="44"/>
  <c r="K290" i="43"/>
  <c r="J290" i="43"/>
  <c r="L290" i="43"/>
  <c r="L283" i="43"/>
  <c r="J283" i="43"/>
  <c r="K283" i="43"/>
  <c r="L267" i="41"/>
  <c r="K267" i="41"/>
  <c r="J267" i="41"/>
  <c r="J320" i="44"/>
  <c r="L320" i="44"/>
  <c r="K320" i="44"/>
  <c r="L329" i="44"/>
  <c r="K329" i="44"/>
  <c r="J329" i="44"/>
  <c r="K288" i="44"/>
  <c r="L288" i="44"/>
  <c r="J288" i="44"/>
  <c r="K291" i="44"/>
  <c r="L291" i="44"/>
  <c r="J291" i="44"/>
  <c r="K271" i="42"/>
  <c r="L271" i="42"/>
  <c r="J271" i="42"/>
  <c r="L309" i="43"/>
  <c r="J309" i="43"/>
  <c r="K309" i="43"/>
  <c r="K308" i="44"/>
  <c r="J308" i="44"/>
  <c r="L308" i="44"/>
  <c r="L281" i="44"/>
  <c r="K281" i="44"/>
  <c r="J281" i="44"/>
  <c r="J265" i="44"/>
  <c r="K265" i="44"/>
  <c r="L265" i="44"/>
  <c r="K326" i="44"/>
  <c r="L326" i="44"/>
  <c r="J326" i="44"/>
  <c r="J252" i="42"/>
  <c r="L252" i="42"/>
  <c r="K252" i="42"/>
  <c r="K242" i="42"/>
  <c r="J242" i="42"/>
  <c r="L242" i="42"/>
  <c r="L315" i="41"/>
  <c r="J315" i="41"/>
  <c r="K315" i="41"/>
  <c r="K330" i="43"/>
  <c r="J330" i="43"/>
  <c r="L330" i="43"/>
  <c r="J323" i="44"/>
  <c r="L323" i="44"/>
  <c r="K323" i="44"/>
  <c r="J289" i="41"/>
  <c r="L289" i="41"/>
  <c r="K289" i="41"/>
  <c r="J264" i="41"/>
  <c r="L264" i="41"/>
  <c r="K264" i="41"/>
  <c r="J253" i="41"/>
  <c r="L253" i="41"/>
  <c r="K253" i="41"/>
  <c r="L283" i="42"/>
  <c r="J283" i="42"/>
  <c r="K283" i="42"/>
  <c r="J234" i="42"/>
  <c r="L234" i="42"/>
  <c r="K234" i="42"/>
  <c r="L313" i="42"/>
  <c r="K313" i="42"/>
  <c r="J313" i="42"/>
  <c r="J257" i="43"/>
  <c r="L257" i="43"/>
  <c r="K257" i="43"/>
  <c r="K331" i="44"/>
  <c r="J331" i="44"/>
  <c r="L331" i="44"/>
  <c r="J253" i="44"/>
  <c r="K253" i="44"/>
  <c r="L253" i="44"/>
  <c r="K314" i="43"/>
  <c r="L314" i="43"/>
  <c r="J314" i="43"/>
  <c r="J319" i="43"/>
  <c r="K319" i="43"/>
  <c r="L319" i="43"/>
  <c r="J262" i="43"/>
  <c r="K262" i="43"/>
  <c r="L262" i="43"/>
  <c r="J311" i="44"/>
  <c r="K311" i="44"/>
  <c r="L311" i="44"/>
  <c r="K305" i="44"/>
  <c r="L305" i="44"/>
  <c r="J305" i="44"/>
  <c r="L260" i="42"/>
  <c r="K260" i="42"/>
  <c r="J260" i="42"/>
  <c r="J317" i="43"/>
  <c r="K317" i="43"/>
  <c r="L317" i="43"/>
  <c r="L296" i="41"/>
  <c r="K296" i="41"/>
  <c r="J296" i="41"/>
  <c r="J245" i="41"/>
  <c r="K245" i="41"/>
  <c r="L245" i="41"/>
  <c r="L236" i="41"/>
  <c r="J236" i="41"/>
  <c r="K236" i="41"/>
  <c r="K277" i="41"/>
  <c r="J277" i="41"/>
  <c r="L277" i="41"/>
  <c r="K290" i="42"/>
  <c r="L290" i="42"/>
  <c r="J290" i="42"/>
  <c r="L299" i="42"/>
  <c r="K299" i="42"/>
  <c r="J299" i="42"/>
  <c r="J316" i="42"/>
  <c r="L316" i="42"/>
  <c r="K316" i="42"/>
  <c r="K322" i="44"/>
  <c r="J322" i="44"/>
  <c r="L322" i="44"/>
  <c r="L304" i="42"/>
  <c r="J304" i="42"/>
  <c r="K304" i="42"/>
  <c r="J342" i="44"/>
  <c r="K342" i="44"/>
  <c r="L342" i="44"/>
  <c r="L304" i="43"/>
  <c r="K304" i="43"/>
  <c r="J304" i="43"/>
  <c r="K275" i="41"/>
  <c r="J275" i="41"/>
  <c r="L275" i="41"/>
  <c r="K281" i="42"/>
  <c r="L281" i="42"/>
  <c r="J281" i="42"/>
  <c r="L239" i="42"/>
  <c r="K239" i="42"/>
  <c r="J239" i="42"/>
  <c r="K302" i="42"/>
  <c r="J302" i="42"/>
  <c r="L302" i="42"/>
  <c r="J247" i="43"/>
  <c r="K247" i="43"/>
  <c r="L247" i="43"/>
  <c r="L333" i="44"/>
  <c r="K333" i="44"/>
  <c r="J333" i="44"/>
  <c r="K330" i="44"/>
  <c r="J330" i="44"/>
  <c r="L330" i="44"/>
  <c r="J258" i="43"/>
  <c r="K258" i="43"/>
  <c r="L258" i="43"/>
  <c r="J338" i="44"/>
  <c r="L338" i="44"/>
  <c r="K338" i="44"/>
  <c r="K323" i="41"/>
  <c r="L323" i="41"/>
  <c r="J323" i="41"/>
  <c r="K268" i="41"/>
  <c r="J268" i="41"/>
  <c r="L268" i="41"/>
  <c r="J270" i="41"/>
  <c r="L270" i="41"/>
  <c r="K270" i="41"/>
  <c r="J262" i="42"/>
  <c r="L262" i="42"/>
  <c r="K262" i="42"/>
  <c r="L282" i="42"/>
  <c r="J282" i="42"/>
  <c r="K282" i="42"/>
  <c r="L288" i="43"/>
  <c r="J288" i="43"/>
  <c r="K288" i="43"/>
  <c r="J312" i="43"/>
  <c r="L312" i="43"/>
  <c r="K312" i="43"/>
  <c r="J284" i="44"/>
  <c r="L284" i="44"/>
  <c r="K284" i="44"/>
  <c r="J332" i="44"/>
  <c r="L332" i="44"/>
  <c r="K332" i="44"/>
  <c r="J333" i="43"/>
  <c r="L333" i="43"/>
  <c r="K333" i="43"/>
  <c r="J268" i="44"/>
  <c r="K268" i="44"/>
  <c r="L268" i="44"/>
  <c r="J289" i="44"/>
  <c r="L289" i="44"/>
  <c r="K289" i="44"/>
  <c r="L276" i="42"/>
  <c r="J276" i="42"/>
  <c r="K276" i="42"/>
  <c r="L312" i="41"/>
  <c r="J312" i="41"/>
  <c r="K312" i="41"/>
  <c r="J242" i="41"/>
  <c r="L242" i="41"/>
  <c r="K242" i="41"/>
  <c r="L273" i="41"/>
  <c r="K273" i="41"/>
  <c r="J273" i="41"/>
  <c r="L314" i="41"/>
  <c r="K314" i="41"/>
  <c r="J314" i="41"/>
  <c r="L323" i="42"/>
  <c r="K323" i="42"/>
  <c r="J323" i="42"/>
  <c r="K253" i="42"/>
  <c r="J253" i="42"/>
  <c r="L253" i="42"/>
  <c r="K315" i="44"/>
  <c r="J315" i="44"/>
  <c r="L315" i="44"/>
  <c r="K339" i="44"/>
  <c r="L339" i="44"/>
  <c r="J339" i="44"/>
  <c r="K271" i="43"/>
  <c r="J271" i="43"/>
  <c r="L271" i="43"/>
  <c r="L311" i="41"/>
  <c r="K311" i="41"/>
  <c r="J311" i="41"/>
  <c r="L281" i="43"/>
  <c r="K281" i="43"/>
  <c r="J281" i="43"/>
  <c r="J236" i="42"/>
  <c r="L236" i="42"/>
  <c r="K236" i="42"/>
  <c r="K266" i="42"/>
  <c r="L266" i="42"/>
  <c r="J266" i="42"/>
  <c r="K293" i="43"/>
  <c r="L293" i="43"/>
  <c r="J293" i="43"/>
  <c r="J329" i="43"/>
  <c r="K329" i="43"/>
  <c r="L329" i="43"/>
  <c r="K252" i="44"/>
  <c r="J252" i="44"/>
  <c r="L252" i="44"/>
  <c r="J255" i="43"/>
  <c r="L255" i="43"/>
  <c r="K255" i="43"/>
  <c r="J245" i="43"/>
  <c r="K245" i="43"/>
  <c r="L245" i="43"/>
  <c r="J299" i="43"/>
  <c r="L299" i="43"/>
  <c r="K299" i="43"/>
  <c r="J293" i="44"/>
  <c r="L293" i="44"/>
  <c r="K293" i="44"/>
  <c r="K335" i="44"/>
  <c r="L335" i="44"/>
  <c r="J335" i="44"/>
  <c r="K292" i="43"/>
  <c r="J292" i="43"/>
  <c r="L292" i="43"/>
  <c r="L319" i="44"/>
  <c r="J319" i="44"/>
  <c r="K319" i="44"/>
  <c r="J316" i="44"/>
  <c r="L316" i="44"/>
  <c r="K316" i="44"/>
  <c r="K337" i="44"/>
  <c r="J337" i="44"/>
  <c r="L337" i="44"/>
  <c r="J296" i="42"/>
  <c r="L296" i="42"/>
  <c r="K296" i="42"/>
  <c r="L290" i="44"/>
  <c r="J290" i="44"/>
  <c r="K290" i="44"/>
  <c r="J331" i="41"/>
  <c r="K331" i="41"/>
  <c r="L331" i="41"/>
  <c r="K275" i="44"/>
  <c r="J275" i="44"/>
  <c r="L275" i="44"/>
  <c r="J326" i="42"/>
  <c r="K326" i="42"/>
  <c r="L326" i="42"/>
  <c r="J303" i="41"/>
  <c r="L303" i="41"/>
  <c r="K303" i="41"/>
  <c r="L257" i="42"/>
  <c r="K257" i="42"/>
  <c r="J257" i="42"/>
  <c r="J343" i="43"/>
  <c r="K343" i="43"/>
  <c r="L343" i="43"/>
  <c r="K248" i="43"/>
  <c r="J248" i="43"/>
  <c r="L248" i="43"/>
  <c r="J269" i="44"/>
  <c r="K269" i="44"/>
  <c r="L269" i="44"/>
  <c r="K318" i="42"/>
  <c r="J318" i="42"/>
  <c r="L318" i="42"/>
  <c r="L259" i="44"/>
  <c r="K259" i="44"/>
  <c r="J259" i="44"/>
  <c r="J298" i="41"/>
  <c r="K298" i="41"/>
  <c r="L298" i="41"/>
  <c r="L322" i="41"/>
  <c r="K322" i="41"/>
  <c r="J322" i="41"/>
  <c r="J295" i="41"/>
  <c r="L295" i="41"/>
  <c r="K295" i="41"/>
  <c r="L300" i="42"/>
  <c r="K300" i="42"/>
  <c r="J300" i="42"/>
  <c r="K279" i="43"/>
  <c r="J279" i="43"/>
  <c r="L279" i="43"/>
  <c r="J302" i="44"/>
  <c r="L302" i="44"/>
  <c r="K302" i="44"/>
  <c r="K265" i="42"/>
  <c r="L265" i="42"/>
  <c r="J265" i="42"/>
  <c r="L330" i="42"/>
  <c r="J330" i="42"/>
  <c r="K330" i="42"/>
  <c r="J306" i="42"/>
  <c r="L306" i="42"/>
  <c r="K306" i="42"/>
  <c r="J325" i="43"/>
  <c r="L325" i="43"/>
  <c r="K325" i="43"/>
  <c r="J341" i="43"/>
  <c r="L341" i="43"/>
  <c r="K341" i="43"/>
  <c r="J262" i="44"/>
  <c r="K262" i="44"/>
  <c r="L262" i="44"/>
  <c r="L243" i="41"/>
  <c r="K243" i="41"/>
  <c r="J243" i="41"/>
  <c r="K329" i="41"/>
  <c r="J329" i="41"/>
  <c r="L329" i="41"/>
  <c r="J327" i="41"/>
  <c r="K327" i="41"/>
  <c r="L327" i="41"/>
  <c r="K269" i="42"/>
  <c r="L269" i="42"/>
  <c r="J269" i="42"/>
  <c r="L255" i="42"/>
  <c r="J255" i="42"/>
  <c r="K255" i="42"/>
  <c r="L254" i="43"/>
  <c r="K254" i="43"/>
  <c r="J254" i="43"/>
  <c r="K337" i="43"/>
  <c r="J337" i="43"/>
  <c r="L337" i="43"/>
  <c r="J294" i="44"/>
  <c r="L294" i="44"/>
  <c r="K294" i="44"/>
  <c r="L297" i="43"/>
  <c r="K297" i="43"/>
  <c r="J297" i="43"/>
  <c r="L256" i="43"/>
  <c r="J256" i="43"/>
  <c r="K256" i="43"/>
  <c r="K322" i="43"/>
  <c r="J322" i="43"/>
  <c r="L322" i="43"/>
  <c r="J247" i="44"/>
  <c r="L247" i="44"/>
  <c r="K247" i="44"/>
  <c r="K287" i="44"/>
  <c r="L287" i="44"/>
  <c r="J287" i="44"/>
  <c r="J328" i="44"/>
  <c r="K328" i="44"/>
  <c r="L328" i="44"/>
  <c r="J268" i="43"/>
  <c r="K268" i="43"/>
  <c r="L268" i="43"/>
  <c r="L267" i="44"/>
  <c r="J267" i="44"/>
  <c r="K267" i="44"/>
  <c r="K264" i="44"/>
  <c r="L264" i="44"/>
  <c r="J264" i="44"/>
  <c r="J251" i="41"/>
  <c r="L251" i="41"/>
  <c r="K251" i="41"/>
  <c r="L292" i="41"/>
  <c r="K292" i="41"/>
  <c r="J292" i="41"/>
  <c r="K244" i="41"/>
  <c r="L244" i="41"/>
  <c r="J244" i="41"/>
  <c r="K291" i="42"/>
  <c r="L291" i="42"/>
  <c r="J291" i="42"/>
  <c r="K273" i="42"/>
  <c r="J273" i="42"/>
  <c r="L273" i="42"/>
  <c r="L311" i="42"/>
  <c r="K311" i="42"/>
  <c r="J311" i="42"/>
  <c r="K316" i="41"/>
  <c r="J316" i="41"/>
  <c r="L316" i="41"/>
  <c r="K279" i="42"/>
  <c r="J279" i="42"/>
  <c r="L279" i="42"/>
  <c r="K280" i="44"/>
  <c r="L280" i="44"/>
  <c r="J280" i="44"/>
  <c r="L252" i="41"/>
  <c r="J252" i="41"/>
  <c r="K252" i="41"/>
  <c r="J326" i="41"/>
  <c r="L326" i="41"/>
  <c r="K326" i="41"/>
  <c r="K247" i="41"/>
  <c r="L247" i="41"/>
  <c r="J247" i="41"/>
  <c r="J277" i="42"/>
  <c r="K277" i="42"/>
  <c r="L277" i="42"/>
  <c r="J246" i="41"/>
  <c r="L246" i="41"/>
  <c r="K246" i="41"/>
  <c r="L330" i="41"/>
  <c r="K330" i="41"/>
  <c r="J330" i="41"/>
  <c r="K344" i="44"/>
  <c r="J344" i="44"/>
  <c r="L344" i="44"/>
  <c r="J258" i="44"/>
  <c r="K258" i="44"/>
  <c r="L258" i="44"/>
  <c r="K304" i="41"/>
  <c r="L304" i="41"/>
  <c r="J304" i="41"/>
  <c r="K329" i="42"/>
  <c r="J329" i="42"/>
  <c r="L329" i="42"/>
  <c r="J346" i="44"/>
  <c r="L346" i="44"/>
  <c r="K346" i="44"/>
  <c r="J260" i="41"/>
  <c r="K260" i="41"/>
  <c r="L260" i="41"/>
  <c r="K305" i="41"/>
  <c r="J305" i="41"/>
  <c r="L305" i="41"/>
  <c r="J261" i="41"/>
  <c r="L261" i="41"/>
  <c r="K261" i="41"/>
  <c r="K275" i="42"/>
  <c r="L275" i="42"/>
  <c r="J275" i="42"/>
  <c r="L328" i="42"/>
  <c r="K328" i="42"/>
  <c r="J328" i="42"/>
  <c r="J284" i="42"/>
  <c r="L284" i="42"/>
  <c r="K284" i="42"/>
  <c r="J269" i="43"/>
  <c r="L269" i="43"/>
  <c r="K269" i="43"/>
  <c r="L338" i="43"/>
  <c r="K338" i="43"/>
  <c r="J338" i="43"/>
  <c r="L266" i="43"/>
  <c r="K266" i="43"/>
  <c r="J266" i="43"/>
  <c r="L266" i="44"/>
  <c r="K266" i="44"/>
  <c r="J266" i="44"/>
  <c r="J292" i="44"/>
  <c r="K292" i="44"/>
  <c r="L292" i="44"/>
  <c r="K300" i="44"/>
  <c r="L300" i="44"/>
  <c r="J300" i="44"/>
  <c r="K315" i="43"/>
  <c r="J315" i="43"/>
  <c r="L315" i="43"/>
  <c r="L297" i="44"/>
  <c r="J297" i="44"/>
  <c r="K297" i="44"/>
  <c r="J343" i="44"/>
  <c r="K343" i="44"/>
  <c r="L343" i="44"/>
  <c r="J312" i="42"/>
  <c r="K312" i="42"/>
  <c r="L312" i="42"/>
  <c r="J290" i="41"/>
  <c r="L290" i="41"/>
  <c r="K290" i="41"/>
  <c r="K272" i="41"/>
  <c r="J272" i="41"/>
  <c r="L272" i="41"/>
  <c r="L295" i="42"/>
  <c r="K295" i="42"/>
  <c r="J295" i="42"/>
  <c r="K297" i="42"/>
  <c r="L297" i="42"/>
  <c r="J297" i="42"/>
  <c r="K285" i="42"/>
  <c r="L285" i="42"/>
  <c r="J285" i="42"/>
  <c r="L279" i="41"/>
  <c r="J279" i="41"/>
  <c r="K279" i="41"/>
  <c r="L276" i="41"/>
  <c r="K276" i="41"/>
  <c r="J276" i="41"/>
  <c r="L293" i="41"/>
  <c r="K293" i="41"/>
  <c r="J293" i="41"/>
  <c r="L251" i="42"/>
  <c r="K251" i="42"/>
  <c r="J251" i="42"/>
  <c r="J309" i="42"/>
  <c r="K309" i="42"/>
  <c r="L309" i="42"/>
  <c r="K314" i="42"/>
  <c r="J314" i="42"/>
  <c r="L314" i="42"/>
  <c r="J282" i="43"/>
  <c r="K282" i="43"/>
  <c r="L282" i="43"/>
  <c r="J326" i="43"/>
  <c r="K326" i="43"/>
  <c r="L326" i="43"/>
  <c r="K286" i="43"/>
  <c r="L286" i="43"/>
  <c r="J286" i="43"/>
  <c r="J246" i="43"/>
  <c r="K246" i="43"/>
  <c r="L246" i="43"/>
  <c r="L259" i="43"/>
  <c r="J259" i="43"/>
  <c r="K259" i="43"/>
  <c r="L327" i="44"/>
  <c r="K327" i="44"/>
  <c r="J327" i="44"/>
  <c r="L255" i="44"/>
  <c r="J255" i="44"/>
  <c r="K255" i="44"/>
  <c r="K278" i="44"/>
  <c r="L278" i="44"/>
  <c r="J278" i="44"/>
  <c r="J276" i="43"/>
  <c r="L276" i="43"/>
  <c r="K276" i="43"/>
  <c r="L303" i="44"/>
  <c r="K303" i="44"/>
  <c r="J303" i="44"/>
  <c r="L248" i="44"/>
  <c r="K248" i="44"/>
  <c r="J248" i="44"/>
  <c r="J259" i="42"/>
  <c r="K259" i="42"/>
  <c r="L259" i="42"/>
  <c r="J344" i="43"/>
  <c r="L344" i="43"/>
  <c r="K344" i="43"/>
  <c r="J248" i="41"/>
  <c r="L248" i="41"/>
  <c r="K248" i="41"/>
  <c r="J278" i="42"/>
  <c r="K278" i="42"/>
  <c r="L278" i="42"/>
  <c r="J306" i="41"/>
  <c r="L306" i="41"/>
  <c r="K306" i="41"/>
  <c r="K295" i="44"/>
  <c r="J295" i="44"/>
  <c r="L295" i="44"/>
  <c r="J235" i="41"/>
  <c r="L235" i="41"/>
  <c r="K235" i="41"/>
  <c r="L244" i="42"/>
  <c r="K244" i="42"/>
  <c r="J244" i="42"/>
  <c r="K263" i="44"/>
  <c r="J263" i="44"/>
  <c r="L263" i="44"/>
  <c r="J239" i="41"/>
  <c r="L239" i="41"/>
  <c r="K239" i="41"/>
  <c r="K303" i="42"/>
  <c r="L303" i="42"/>
  <c r="J303" i="42"/>
  <c r="L294" i="43"/>
  <c r="J294" i="43"/>
  <c r="K294" i="43"/>
  <c r="J345" i="44"/>
  <c r="L345" i="44"/>
  <c r="K345" i="44"/>
  <c r="K315" i="42"/>
  <c r="L315" i="42"/>
  <c r="J315" i="42"/>
  <c r="L284" i="43"/>
  <c r="K284" i="43"/>
  <c r="J284" i="43"/>
  <c r="J307" i="41"/>
  <c r="L307" i="41"/>
  <c r="K307" i="41"/>
  <c r="L238" i="41"/>
  <c r="K238" i="41"/>
  <c r="J238" i="41"/>
  <c r="K233" i="42"/>
  <c r="J233" i="42"/>
  <c r="L233" i="42"/>
  <c r="L277" i="43"/>
  <c r="J277" i="43"/>
  <c r="K277" i="43"/>
  <c r="L310" i="44"/>
  <c r="J310" i="44"/>
  <c r="K310" i="44"/>
  <c r="L309" i="41"/>
  <c r="J309" i="41"/>
  <c r="K309" i="41"/>
  <c r="L291" i="41"/>
  <c r="K291" i="41"/>
  <c r="J291" i="41"/>
  <c r="J266" i="41"/>
  <c r="K266" i="41"/>
  <c r="L266" i="41"/>
  <c r="J301" i="43"/>
  <c r="K301" i="43"/>
  <c r="L301" i="43"/>
  <c r="J246" i="42"/>
  <c r="L246" i="42"/>
  <c r="K246" i="42"/>
  <c r="K307" i="42"/>
  <c r="J307" i="42"/>
  <c r="L307" i="42"/>
  <c r="L301" i="42"/>
  <c r="K301" i="42"/>
  <c r="J301" i="42"/>
  <c r="K295" i="43"/>
  <c r="J295" i="43"/>
  <c r="L295" i="43"/>
  <c r="J311" i="43"/>
  <c r="L311" i="43"/>
  <c r="K311" i="43"/>
  <c r="K306" i="44"/>
  <c r="J306" i="44"/>
  <c r="L306" i="44"/>
  <c r="L278" i="43"/>
  <c r="K278" i="43"/>
  <c r="J278" i="43"/>
  <c r="K323" i="43"/>
  <c r="J323" i="43"/>
  <c r="L323" i="43"/>
  <c r="K285" i="43"/>
  <c r="J285" i="43"/>
  <c r="L285" i="43"/>
  <c r="J251" i="44"/>
  <c r="K251" i="44"/>
  <c r="L251" i="44"/>
  <c r="L309" i="44"/>
  <c r="J309" i="44"/>
  <c r="K309" i="44"/>
  <c r="L318" i="44"/>
  <c r="J318" i="44"/>
  <c r="K318" i="44"/>
  <c r="J274" i="43"/>
  <c r="L274" i="43"/>
  <c r="K274" i="43"/>
  <c r="J333" i="41"/>
  <c r="K333" i="41"/>
  <c r="L333" i="41"/>
  <c r="L341" i="44"/>
  <c r="K341" i="44"/>
  <c r="J341" i="44"/>
  <c r="K283" i="41"/>
  <c r="J283" i="41"/>
  <c r="L283" i="41"/>
  <c r="J274" i="41"/>
  <c r="L274" i="41"/>
  <c r="K274" i="41"/>
  <c r="K324" i="43"/>
  <c r="L324" i="43"/>
  <c r="J324" i="43"/>
  <c r="J321" i="42"/>
  <c r="K321" i="42"/>
  <c r="L321" i="42"/>
  <c r="K249" i="42"/>
  <c r="J249" i="42"/>
  <c r="L249" i="42"/>
  <c r="L263" i="42"/>
  <c r="J263" i="42"/>
  <c r="K263" i="42"/>
  <c r="J257" i="41"/>
  <c r="L257" i="41"/>
  <c r="K257" i="41"/>
  <c r="L258" i="42"/>
  <c r="K258" i="42"/>
  <c r="J258" i="42"/>
  <c r="L308" i="42"/>
  <c r="J308" i="42"/>
  <c r="K308" i="42"/>
  <c r="K286" i="42"/>
  <c r="J286" i="42"/>
  <c r="L286" i="42"/>
  <c r="K318" i="41"/>
  <c r="L318" i="41"/>
  <c r="J318" i="41"/>
  <c r="J296" i="43"/>
  <c r="K296" i="43"/>
  <c r="L296" i="43"/>
  <c r="K285" i="41"/>
  <c r="L285" i="41"/>
  <c r="J285" i="41"/>
  <c r="L320" i="41"/>
  <c r="J320" i="41"/>
  <c r="K320" i="41"/>
  <c r="J292" i="42"/>
  <c r="K292" i="42"/>
  <c r="L292" i="42"/>
  <c r="L251" i="43"/>
  <c r="J251" i="43"/>
  <c r="K251" i="43"/>
  <c r="L320" i="43"/>
  <c r="K320" i="43"/>
  <c r="J320" i="43"/>
  <c r="K271" i="41"/>
  <c r="L271" i="41"/>
  <c r="J271" i="41"/>
  <c r="K339" i="43"/>
  <c r="J339" i="43"/>
  <c r="L339" i="43"/>
  <c r="K335" i="43"/>
  <c r="L335" i="43"/>
  <c r="J335" i="43"/>
  <c r="K314" i="44"/>
  <c r="L314" i="44"/>
  <c r="J314" i="44"/>
  <c r="L273" i="44"/>
  <c r="K273" i="44"/>
  <c r="J273" i="44"/>
  <c r="L254" i="44"/>
  <c r="J254" i="44"/>
  <c r="K254" i="44"/>
  <c r="K319" i="41"/>
  <c r="L319" i="41"/>
  <c r="J319" i="41"/>
  <c r="J282" i="41"/>
  <c r="L282" i="41"/>
  <c r="K282" i="41"/>
  <c r="K305" i="42"/>
  <c r="J305" i="42"/>
  <c r="L305" i="42"/>
  <c r="K260" i="43"/>
  <c r="L260" i="43"/>
  <c r="J260" i="43"/>
  <c r="K321" i="44"/>
  <c r="J321" i="44"/>
  <c r="L321" i="44"/>
  <c r="K280" i="41"/>
  <c r="J280" i="41"/>
  <c r="L280" i="41"/>
  <c r="L310" i="41"/>
  <c r="J310" i="41"/>
  <c r="K310" i="41"/>
  <c r="K287" i="42"/>
  <c r="L287" i="42"/>
  <c r="J287" i="42"/>
  <c r="J270" i="43"/>
  <c r="L270" i="43"/>
  <c r="K270" i="43"/>
  <c r="L275" i="43"/>
  <c r="K275" i="43"/>
  <c r="J275" i="43"/>
  <c r="L276" i="44"/>
  <c r="J276" i="44"/>
  <c r="K276" i="44"/>
  <c r="K255" i="41"/>
  <c r="L255" i="41"/>
  <c r="J255" i="41"/>
  <c r="K261" i="42"/>
  <c r="J261" i="42"/>
  <c r="L261" i="42"/>
  <c r="L318" i="43"/>
  <c r="K318" i="43"/>
  <c r="J318" i="43"/>
  <c r="J284" i="41"/>
  <c r="L284" i="41"/>
  <c r="K284" i="41"/>
  <c r="L302" i="41"/>
  <c r="K302" i="41"/>
  <c r="J302" i="41"/>
  <c r="L241" i="41"/>
  <c r="K241" i="41"/>
  <c r="J241" i="41"/>
  <c r="J240" i="42"/>
  <c r="L240" i="42"/>
  <c r="K240" i="42"/>
  <c r="K319" i="42"/>
  <c r="L319" i="42"/>
  <c r="J319" i="42"/>
  <c r="K268" i="42"/>
  <c r="J268" i="42"/>
  <c r="L268" i="42"/>
  <c r="L308" i="43"/>
  <c r="K308" i="43"/>
  <c r="J308" i="43"/>
  <c r="L289" i="43"/>
  <c r="J289" i="43"/>
  <c r="K289" i="43"/>
  <c r="J263" i="43"/>
  <c r="L263" i="43"/>
  <c r="K263" i="43"/>
  <c r="J298" i="44"/>
  <c r="L298" i="44"/>
  <c r="K298" i="44"/>
  <c r="L325" i="44"/>
  <c r="K325" i="44"/>
  <c r="J325" i="44"/>
  <c r="J304" i="44"/>
  <c r="L304" i="44"/>
  <c r="K304" i="44"/>
  <c r="K303" i="43"/>
  <c r="J303" i="43"/>
  <c r="L303" i="43"/>
  <c r="K282" i="44"/>
  <c r="J282" i="44"/>
  <c r="L282" i="44"/>
  <c r="K256" i="44"/>
  <c r="L256" i="44"/>
  <c r="J256" i="44"/>
  <c r="J232" i="42"/>
  <c r="L232" i="42"/>
  <c r="K232" i="42"/>
  <c r="K278" i="41"/>
  <c r="L278" i="41"/>
  <c r="J278" i="41"/>
  <c r="L294" i="41"/>
  <c r="K294" i="41"/>
  <c r="J294" i="41"/>
  <c r="J237" i="41"/>
  <c r="L237" i="41"/>
  <c r="K237" i="41"/>
  <c r="K254" i="42"/>
  <c r="J254" i="42"/>
  <c r="L254" i="42"/>
  <c r="J264" i="42"/>
  <c r="K264" i="42"/>
  <c r="L264" i="42"/>
  <c r="K280" i="42"/>
  <c r="J280" i="42"/>
  <c r="L280" i="42"/>
  <c r="J317" i="44"/>
  <c r="L317" i="44"/>
  <c r="K317" i="44"/>
  <c r="J328" i="41"/>
  <c r="L328" i="41"/>
  <c r="K328" i="41"/>
  <c r="L250" i="41"/>
  <c r="K250" i="41"/>
  <c r="J250" i="41"/>
  <c r="J317" i="41"/>
  <c r="L317" i="41"/>
  <c r="K317" i="41"/>
  <c r="L294" i="42"/>
  <c r="K294" i="42"/>
  <c r="J294" i="42"/>
  <c r="K320" i="42"/>
  <c r="J320" i="42"/>
  <c r="L320" i="42"/>
  <c r="J274" i="42"/>
  <c r="K274" i="42"/>
  <c r="L274" i="42"/>
  <c r="J321" i="43"/>
  <c r="K321" i="43"/>
  <c r="L321" i="43"/>
  <c r="J280" i="43"/>
  <c r="L280" i="43"/>
  <c r="K280" i="43"/>
  <c r="K249" i="44"/>
  <c r="L249" i="44"/>
  <c r="J249" i="44"/>
  <c r="K300" i="43"/>
  <c r="L300" i="43"/>
  <c r="J300" i="43"/>
  <c r="J334" i="43"/>
  <c r="K334" i="43"/>
  <c r="L334" i="43"/>
  <c r="L250" i="43"/>
  <c r="J250" i="43"/>
  <c r="K250" i="43"/>
  <c r="L313" i="44"/>
  <c r="K313" i="44"/>
  <c r="J313" i="44"/>
  <c r="J283" i="44"/>
  <c r="K283" i="44"/>
  <c r="L283" i="44"/>
  <c r="J264" i="43"/>
  <c r="L264" i="43"/>
  <c r="K264" i="43"/>
  <c r="J302" i="43"/>
  <c r="L302" i="43"/>
  <c r="K302" i="43"/>
  <c r="L340" i="44"/>
  <c r="J340" i="44"/>
  <c r="K340" i="44"/>
  <c r="J296" i="44"/>
  <c r="K296" i="44"/>
  <c r="L296" i="44"/>
  <c r="C242" i="43" l="1"/>
  <c r="C228" i="42"/>
  <c r="C227" i="42"/>
  <c r="C244" i="44"/>
  <c r="C243" i="44"/>
  <c r="C231" i="41"/>
  <c r="E96" i="41" s="1"/>
  <c r="C230" i="41"/>
  <c r="E95" i="41" s="1"/>
  <c r="E97" i="41" s="1"/>
  <c r="C241" i="43"/>
  <c r="C339" i="41"/>
  <c r="D353" i="41" s="1"/>
  <c r="E110" i="41" l="1"/>
  <c r="E109" i="41"/>
  <c r="E353" i="41"/>
  <c r="F353" i="41"/>
  <c r="D354" i="41"/>
  <c r="C357" i="41"/>
  <c r="C358" i="41" s="1"/>
  <c r="C353" i="41"/>
  <c r="C354" i="41" s="1"/>
  <c r="G354" i="41"/>
  <c r="E100" i="41" s="1"/>
  <c r="D355" i="41"/>
  <c r="D357" i="41"/>
  <c r="C355" i="41"/>
  <c r="C356" i="41" s="1"/>
  <c r="G353" i="41"/>
  <c r="E99" i="41" s="1"/>
  <c r="G357" i="41" l="1"/>
  <c r="E103" i="41" s="1"/>
  <c r="E357" i="41"/>
  <c r="D358" i="41"/>
  <c r="F357" i="41"/>
  <c r="F354" i="41"/>
  <c r="E354" i="41"/>
  <c r="E355" i="41"/>
  <c r="G355" i="41" s="1"/>
  <c r="E101" i="41" s="1"/>
  <c r="F355" i="41"/>
  <c r="D356" i="41"/>
  <c r="G358" i="41" l="1"/>
  <c r="E104" i="41" s="1"/>
  <c r="E120" i="41" s="1"/>
  <c r="E121" i="41" s="1"/>
  <c r="E126" i="41" s="1"/>
  <c r="E358" i="41"/>
  <c r="F358" i="41"/>
  <c r="F356" i="41"/>
  <c r="E356" i="41"/>
  <c r="G356" i="41"/>
  <c r="E102" i="41" s="1"/>
  <c r="E169" i="41" l="1"/>
  <c r="E132" i="41"/>
  <c r="E196" i="41" l="1"/>
  <c r="E189" i="41"/>
  <c r="E190" i="41" l="1"/>
  <c r="E199" i="41"/>
  <c r="E182" i="41" s="1"/>
  <c r="E191" i="41" l="1"/>
  <c r="E185" i="4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<sst xmlns="http://schemas.openxmlformats.org/spreadsheetml/2006/main" count="5105" uniqueCount="1317">
  <si>
    <t>Table of Contents</t>
  </si>
  <si>
    <t>Test Conditions</t>
  </si>
  <si>
    <t>Photos</t>
  </si>
  <si>
    <t>Step 1</t>
  </si>
  <si>
    <t>Step 2</t>
  </si>
  <si>
    <t>Step 3</t>
  </si>
  <si>
    <t>Step 4</t>
  </si>
  <si>
    <t>Step 5</t>
  </si>
  <si>
    <t>Step 6</t>
  </si>
  <si>
    <t>Step 7</t>
  </si>
  <si>
    <t>Step 8</t>
  </si>
  <si>
    <t>Step 9</t>
  </si>
  <si>
    <t>Product Information</t>
  </si>
  <si>
    <t>Lab Name:</t>
  </si>
  <si>
    <t>Accuracy</t>
  </si>
  <si>
    <t>Date of Last Calibration</t>
  </si>
  <si>
    <t>Deadline for Next Calibration</t>
  </si>
  <si>
    <t>Circulation</t>
  </si>
  <si>
    <t>Air</t>
  </si>
  <si>
    <t>Gas</t>
  </si>
  <si>
    <t>None</t>
  </si>
  <si>
    <t>Condensing</t>
  </si>
  <si>
    <t>Control</t>
  </si>
  <si>
    <t>Single Stage</t>
  </si>
  <si>
    <t>Two-Stage Modulating</t>
  </si>
  <si>
    <t>Step Modulating</t>
  </si>
  <si>
    <t>Installation</t>
  </si>
  <si>
    <t>Test Pressure (in. Water)</t>
  </si>
  <si>
    <t>Type</t>
  </si>
  <si>
    <t>Sp. Gr. (Air = 1)</t>
  </si>
  <si>
    <t>Normal</t>
  </si>
  <si>
    <t>Increased</t>
  </si>
  <si>
    <t>AFUE</t>
  </si>
  <si>
    <t>Variable</t>
  </si>
  <si>
    <t>Value</t>
  </si>
  <si>
    <t>Unit</t>
  </si>
  <si>
    <t>min</t>
  </si>
  <si>
    <t>Btu/h</t>
  </si>
  <si>
    <t>α</t>
  </si>
  <si>
    <t>System Number</t>
  </si>
  <si>
    <t>Natural Gas</t>
  </si>
  <si>
    <t>Fuel</t>
  </si>
  <si>
    <t>Manufactured Gas</t>
  </si>
  <si>
    <t>A/F</t>
  </si>
  <si>
    <t>A</t>
  </si>
  <si>
    <t>B</t>
  </si>
  <si>
    <t>CF(1)</t>
  </si>
  <si>
    <t>CF(2)</t>
  </si>
  <si>
    <t>CF(3)</t>
  </si>
  <si>
    <t>CF(4)</t>
  </si>
  <si>
    <t>CF(5)</t>
  </si>
  <si>
    <t>°F</t>
  </si>
  <si>
    <t>Measurements</t>
  </si>
  <si>
    <t>Room Temperature</t>
  </si>
  <si>
    <t>DHR</t>
  </si>
  <si>
    <t>Design Heating Requirement</t>
  </si>
  <si>
    <t>Flue Gas Temperature (°F)</t>
  </si>
  <si>
    <t>kW</t>
  </si>
  <si>
    <t>K</t>
  </si>
  <si>
    <t>HHV</t>
  </si>
  <si>
    <t>S/F</t>
  </si>
  <si>
    <t>Fuel Higher Heating Value</t>
  </si>
  <si>
    <t>Equation Section</t>
  </si>
  <si>
    <t>Range</t>
  </si>
  <si>
    <t>Low</t>
  </si>
  <si>
    <t>High</t>
  </si>
  <si>
    <t>+</t>
  </si>
  <si>
    <t>Balance-Point Temperature</t>
  </si>
  <si>
    <t>Average Steady-State Efficiency for the Modulating Mode for Furnaces and Boilers Equipped with Step Modulating Controls</t>
  </si>
  <si>
    <t>Weighted-Average Steady-State Efficiency</t>
  </si>
  <si>
    <t>Average Heat Output Rate for the Modulating Mode for Furnaces and Boilers Equipped with Step Modulating Controls</t>
  </si>
  <si>
    <t>Variable Name</t>
  </si>
  <si>
    <t>Average Part-Load Efficiency for the Modulating Mode for Furnaces and Boilers Equipped with Step Modulating Controls</t>
  </si>
  <si>
    <t>Off-Cycle Stack Gas Draft Factor</t>
  </si>
  <si>
    <t>11.3.11.1</t>
  </si>
  <si>
    <t>lb</t>
  </si>
  <si>
    <t>Total Container and Condensate Weight</t>
  </si>
  <si>
    <t>Tare Container Weight</t>
  </si>
  <si>
    <t>Humidity Condition Met?</t>
  </si>
  <si>
    <t>Btu</t>
  </si>
  <si>
    <t>11.3.11.2</t>
  </si>
  <si>
    <t>General Info &amp; Test Results</t>
  </si>
  <si>
    <t>Off_Cycle_Devices</t>
  </si>
  <si>
    <t>Drop Downs</t>
  </si>
  <si>
    <t>Average On-Cycle Infiltration Heat Loss for the Modulating Mode for Furnaces and Boilers Equipped with Step Modulating Controls</t>
  </si>
  <si>
    <t>Condition Met?</t>
  </si>
  <si>
    <t>External Static Pressure (in. water)</t>
  </si>
  <si>
    <t>Input to Furnace Range</t>
  </si>
  <si>
    <t>Room Air Temperature</t>
  </si>
  <si>
    <t>Fuel Energy Input</t>
  </si>
  <si>
    <t>Flue Gas Temperature (Cycle 1)</t>
  </si>
  <si>
    <t>Flue Gas Temperature (Cycle 2)</t>
  </si>
  <si>
    <t>Flue Gas Temperature Condition Met?</t>
  </si>
  <si>
    <t>Condensate Mass Condition Met?</t>
  </si>
  <si>
    <t>Total Condensate Collected</t>
  </si>
  <si>
    <t>PE</t>
  </si>
  <si>
    <t>BE</t>
  </si>
  <si>
    <t>Max Input Falls in range?</t>
  </si>
  <si>
    <t>Tab</t>
  </si>
  <si>
    <t>Contents</t>
  </si>
  <si>
    <t>Instructions</t>
  </si>
  <si>
    <t>Instructions and Table of Contents</t>
  </si>
  <si>
    <t>Test Data Inputs &amp; Calculations</t>
  </si>
  <si>
    <t>Comments</t>
  </si>
  <si>
    <t>Report Sign-Off Block</t>
  </si>
  <si>
    <t>Version Control</t>
  </si>
  <si>
    <t>LEGEND</t>
  </si>
  <si>
    <t>Input cell</t>
  </si>
  <si>
    <t>NOT USED</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</si>
  <si>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</si>
  <si>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</si>
  <si>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</si>
  <si>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</si>
  <si>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</si>
  <si>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Report Sign-off Block</t>
  </si>
  <si>
    <t>File Name:</t>
  </si>
  <si>
    <t>Tab Name:</t>
  </si>
  <si>
    <t>Version Number:</t>
  </si>
  <si>
    <t xml:space="preserve">Latest Template Revision: </t>
  </si>
  <si>
    <t xml:space="preserve">Test Completion Date: </t>
  </si>
  <si>
    <t>Revisions List</t>
  </si>
  <si>
    <t>Version</t>
  </si>
  <si>
    <t>Date</t>
  </si>
  <si>
    <t>[MM/DD/YYYY]</t>
  </si>
  <si>
    <t>Back to Instructions tab</t>
  </si>
  <si>
    <t>Max Test</t>
  </si>
  <si>
    <t>Reduced Test</t>
  </si>
  <si>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</si>
  <si>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</si>
  <si>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</si>
  <si>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Entity</t>
  </si>
  <si>
    <t>Test Completion</t>
  </si>
  <si>
    <t>[Test Lab Name]</t>
  </si>
  <si>
    <t>Template Completion</t>
  </si>
  <si>
    <t>Report Review by Test Lab</t>
  </si>
  <si>
    <t>Result</t>
  </si>
  <si>
    <t>Units</t>
  </si>
  <si>
    <t>Test Information</t>
  </si>
  <si>
    <t>Date Test Started:</t>
  </si>
  <si>
    <t>Date Test Finished:</t>
  </si>
  <si>
    <t xml:space="preserve">Brand: </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</si>
  <si>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</si>
  <si>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Manufacturer: </t>
  </si>
  <si>
    <t xml:space="preserve">Manufacturer model number: </t>
  </si>
  <si>
    <t xml:space="preserve">Serial number: </t>
  </si>
  <si>
    <t>Date of Manufacture (if available):</t>
  </si>
  <si>
    <t>Date Product Received:</t>
  </si>
  <si>
    <t>Condition as received:</t>
  </si>
  <si>
    <t>Product Characteristics</t>
  </si>
  <si>
    <t>Steady State Efficiency</t>
  </si>
  <si>
    <t>Heating Seasonal Efficiency</t>
  </si>
  <si>
    <t>Annual Fuel Utilization Efficiency</t>
  </si>
  <si>
    <t>Setup (This table should include instrumentation, sensors, and all equipment used during testing)</t>
  </si>
  <si>
    <t>Instrument Type</t>
  </si>
  <si>
    <t>Brand</t>
  </si>
  <si>
    <t>Model #</t>
  </si>
  <si>
    <t>Sensor Location</t>
  </si>
  <si>
    <t>If additional sensors were used, describe placement:</t>
  </si>
  <si>
    <t>Describe placement of thermocouple grid:</t>
  </si>
  <si>
    <t>Maximum Test</t>
  </si>
  <si>
    <t>• Watts</t>
  </si>
  <si>
    <t>• Watt-hours</t>
  </si>
  <si>
    <t>• Volts</t>
  </si>
  <si>
    <t>• Amps</t>
  </si>
  <si>
    <r>
      <t>Include the following as a function of time for at least the duration of the steady state</t>
    </r>
    <r>
      <rPr>
        <b/>
        <sz val="11"/>
        <color indexed="8"/>
        <rFont val="Palatino Linotype"/>
        <family val="1"/>
      </rPr>
      <t xml:space="preserve"> period</t>
    </r>
    <r>
      <rPr>
        <sz val="11"/>
        <color indexed="8"/>
        <rFont val="Palatino Linotype"/>
        <family val="1"/>
      </rPr>
      <t xml:space="preserve"> and </t>
    </r>
    <r>
      <rPr>
        <b/>
        <sz val="11"/>
        <color indexed="8"/>
        <rFont val="Palatino Linotype"/>
        <family val="1"/>
      </rPr>
      <t>all test periods</t>
    </r>
    <r>
      <rPr>
        <sz val="11"/>
        <color indexed="8"/>
        <rFont val="Palatino Linotype"/>
        <family val="1"/>
      </rPr>
      <t>:</t>
    </r>
  </si>
  <si>
    <t>• Temperatures from thermocouple grid</t>
  </si>
  <si>
    <t>Step 10</t>
  </si>
  <si>
    <t>Raw Data Import Instructions</t>
  </si>
  <si>
    <t>Import raw data into the appropriate data tabs (see instructions directly below)</t>
  </si>
  <si>
    <t>1. Nameplate showing model number and serial number (if applicable)</t>
  </si>
  <si>
    <t>4. Exact placement of all sensors on, in, or around the device</t>
  </si>
  <si>
    <t>2. FTC EnergyGuide and ENERGY STAR labels (if present)</t>
  </si>
  <si>
    <t>• Temperatures from jacket surface</t>
  </si>
  <si>
    <t>Nameplate Rate (Btu/h)</t>
  </si>
  <si>
    <t>Measured Rate (Btu/h)</t>
  </si>
  <si>
    <t>-</t>
  </si>
  <si>
    <t>sec</t>
  </si>
  <si>
    <t>Maximum Humidity During Test</t>
  </si>
  <si>
    <t>Time (Minutes)</t>
  </si>
  <si>
    <t>W</t>
  </si>
  <si>
    <t>Max Input Data</t>
  </si>
  <si>
    <t>Reduced Input Data</t>
  </si>
  <si>
    <t>Lab information, product information and test results</t>
  </si>
  <si>
    <t>Instrumentation requirements and space for sensor placement descriptions</t>
  </si>
  <si>
    <t>Table of test condition requirements for each test</t>
  </si>
  <si>
    <t>Calculates values at the maximum input rating</t>
  </si>
  <si>
    <t>Inputs for photographs</t>
  </si>
  <si>
    <t>Measurement inputs and automated calculations</t>
  </si>
  <si>
    <t>Inputs for report template user to provide comments</t>
  </si>
  <si>
    <t>Report review history</t>
  </si>
  <si>
    <t>Drop downs used and tables referenced</t>
  </si>
  <si>
    <t>Revision history</t>
  </si>
  <si>
    <t>• Temperatures from ambient thermocouples</t>
  </si>
  <si>
    <t>Nameplate Voltage (V):</t>
  </si>
  <si>
    <t>NOTE: This is only a copy; sign off is done in the Report Sign-Off Block tab</t>
  </si>
  <si>
    <t>Control Type:</t>
  </si>
  <si>
    <t>Test Results</t>
  </si>
  <si>
    <t xml:space="preserve">Lab Information </t>
  </si>
  <si>
    <t>Instrumentation</t>
  </si>
  <si>
    <t>Off Period Minimum Flue Gas Temperature (Equilibrium)</t>
  </si>
  <si>
    <t>Raw data for the Max Test</t>
  </si>
  <si>
    <t>Raw data for the Reduced Test</t>
  </si>
  <si>
    <t>Yes_No</t>
  </si>
  <si>
    <t>Yes</t>
  </si>
  <si>
    <t>No</t>
  </si>
  <si>
    <t>Drop-Downs &amp; Tables</t>
  </si>
  <si>
    <t>Calculates values at the reduced input rating</t>
  </si>
  <si>
    <t>Reduced Test Required?</t>
  </si>
  <si>
    <r>
      <t>Table 7: Fuel Characteristics and Parameters for Calculating Steady-State Sensible Heat Loss{</t>
    </r>
    <r>
      <rPr>
        <b/>
        <i/>
        <sz val="11"/>
        <color indexed="8"/>
        <rFont val="Palatino Linotype"/>
        <family val="1"/>
      </rPr>
      <t>L</t>
    </r>
    <r>
      <rPr>
        <b/>
        <i/>
        <vertAlign val="subscript"/>
        <sz val="11"/>
        <color indexed="8"/>
        <rFont val="Palatino Linotype"/>
        <family val="1"/>
      </rPr>
      <t>S,SS</t>
    </r>
    <r>
      <rPr>
        <b/>
        <sz val="11"/>
        <color indexed="8"/>
        <rFont val="Palatino Linotype"/>
        <family val="1"/>
      </rPr>
      <t>} and Steady-State Efficiency {</t>
    </r>
    <r>
      <rPr>
        <b/>
        <i/>
        <sz val="11"/>
        <color indexed="8"/>
        <rFont val="Palatino Linotype"/>
        <family val="1"/>
      </rPr>
      <t>Effy</t>
    </r>
    <r>
      <rPr>
        <b/>
        <i/>
        <vertAlign val="subscript"/>
        <sz val="11"/>
        <color indexed="8"/>
        <rFont val="Palatino Linotype"/>
        <family val="1"/>
      </rPr>
      <t>SS</t>
    </r>
    <r>
      <rPr>
        <b/>
        <sz val="11"/>
        <color indexed="8"/>
        <rFont val="Palatino Linotype"/>
        <family val="1"/>
      </rPr>
      <t>}</t>
    </r>
  </si>
  <si>
    <t>Table 1: (from 8.2.1.3)</t>
  </si>
  <si>
    <t xml:space="preserve">Table 8: Output Capacity (Btu/h) DHR (kBtu/h) </t>
  </si>
  <si>
    <t>% (0-100)</t>
  </si>
  <si>
    <t>Jacket Loss Factor</t>
  </si>
  <si>
    <t>Heating Value (Btu/SCF)</t>
  </si>
  <si>
    <t>Specific Heat of Air</t>
  </si>
  <si>
    <t>Jacket Loss Factor Determination Method</t>
  </si>
  <si>
    <t>Default Value</t>
  </si>
  <si>
    <t>Optional Test</t>
  </si>
  <si>
    <t>Jacket_Loss</t>
  </si>
  <si>
    <t>Power Burner Draft Factor</t>
  </si>
  <si>
    <t>Off-Cycle Draft Factor for Flue Gas Flow</t>
  </si>
  <si>
    <t>Infiltration Parameter</t>
  </si>
  <si>
    <t>φ</t>
  </si>
  <si>
    <t>Optional Test Data</t>
  </si>
  <si>
    <t>Raw data for the Optional Test</t>
  </si>
  <si>
    <t>Reference Test Procedures</t>
  </si>
  <si>
    <r>
      <t>HHV</t>
    </r>
    <r>
      <rPr>
        <b/>
        <i/>
        <vertAlign val="subscript"/>
        <sz val="11"/>
        <color indexed="8"/>
        <rFont val="Palatino Linotype"/>
        <family val="1"/>
      </rPr>
      <t>A</t>
    </r>
  </si>
  <si>
    <r>
      <t>L</t>
    </r>
    <r>
      <rPr>
        <b/>
        <i/>
        <vertAlign val="subscript"/>
        <sz val="11"/>
        <color indexed="8"/>
        <rFont val="Palatino Linotype"/>
        <family val="1"/>
      </rPr>
      <t>L,A</t>
    </r>
  </si>
  <si>
    <t>Title Block</t>
  </si>
  <si>
    <t>Test Report Template Name:</t>
  </si>
  <si>
    <t>Tabs</t>
  </si>
  <si>
    <t>Tabs with input cells</t>
  </si>
  <si>
    <t>Tabs with space to paste raw data</t>
  </si>
  <si>
    <t>Cells</t>
  </si>
  <si>
    <t>Auto-populated cell</t>
  </si>
  <si>
    <t>Provided data</t>
  </si>
  <si>
    <t>Btu/lb</t>
  </si>
  <si>
    <t>11.6.1</t>
  </si>
  <si>
    <t>11.6.2</t>
  </si>
  <si>
    <t>11.6.3</t>
  </si>
  <si>
    <t>Percent by volume of measured tracer gas in the flue gas sample</t>
  </si>
  <si>
    <t>Flow rate of tracer gas into heat exchanger during the measurement period</t>
  </si>
  <si>
    <r>
      <t>lb/ft</t>
    </r>
    <r>
      <rPr>
        <vertAlign val="superscript"/>
        <sz val="11"/>
        <color indexed="8"/>
        <rFont val="Palatino Linotype"/>
        <family val="1"/>
      </rPr>
      <t>3</t>
    </r>
  </si>
  <si>
    <t>cfm</t>
  </si>
  <si>
    <t>Electrical Power Input to Interrupted Ignition Device</t>
  </si>
  <si>
    <t>Nameplate Ignition Device On-time Interval</t>
  </si>
  <si>
    <r>
      <t>Btu/ft</t>
    </r>
    <r>
      <rPr>
        <vertAlign val="superscript"/>
        <sz val="11"/>
        <color indexed="8"/>
        <rFont val="Palatino Linotype"/>
        <family val="1"/>
      </rPr>
      <t>3</t>
    </r>
  </si>
  <si>
    <t>Mass of Condensate Collected During Steady State Condensate Collection Period</t>
  </si>
  <si>
    <t>Maximum Humidity During Steady-State Condensate Collection</t>
  </si>
  <si>
    <t>Is post purge time &lt;5 seconds?</t>
  </si>
  <si>
    <t>Was optional tracer gas test performed that indicates no flow through the heat exchanger when the burner is off?</t>
  </si>
  <si>
    <t>If the answer to the two above questions is "Yes" for both, the heat-up and cool-down tests are optional. Were the heat-up and cool-down tests performed?</t>
  </si>
  <si>
    <t>Consumer Boiler</t>
  </si>
  <si>
    <t>v0.1</t>
  </si>
  <si>
    <t>Table 2: (from 8.2.2.4.1)</t>
  </si>
  <si>
    <t>Properties</t>
  </si>
  <si>
    <t>Min</t>
  </si>
  <si>
    <t>Max</t>
  </si>
  <si>
    <t>No. 1</t>
  </si>
  <si>
    <t>No. 2</t>
  </si>
  <si>
    <t>Gravity, degree API*</t>
  </si>
  <si>
    <r>
      <t>Viscosity: Saybolt universal at 100</t>
    </r>
    <r>
      <rPr>
        <sz val="11"/>
        <color indexed="8"/>
        <rFont val="Calibri"/>
        <family val="2"/>
      </rPr>
      <t>°</t>
    </r>
    <r>
      <rPr>
        <sz val="11"/>
        <color indexed="8"/>
        <rFont val="Palatino Linotype"/>
        <family val="1"/>
      </rPr>
      <t>F</t>
    </r>
  </si>
  <si>
    <t>Percent of carbon residue on 10% residum</t>
  </si>
  <si>
    <t>*Gravity and viscosity shall conform to the above limits. Other properties shall conform to the limits of ASTM D396-90A (see Table 3)</t>
  </si>
  <si>
    <t>**Carbon residue for other than atomizing burners.</t>
  </si>
  <si>
    <t>Table 3: (from 8.3.1.2)</t>
  </si>
  <si>
    <t>Grade of Fuel Oil</t>
  </si>
  <si>
    <t>Water and Sediment</t>
  </si>
  <si>
    <t>F</t>
  </si>
  <si>
    <t>% by Vol.</t>
  </si>
  <si>
    <t>Pour Point</t>
  </si>
  <si>
    <t>Flash Point</t>
  </si>
  <si>
    <t>Carbon on 10% Bottoms</t>
  </si>
  <si>
    <t>%</t>
  </si>
  <si>
    <t>Distillation Temperatures</t>
  </si>
  <si>
    <t>Saybolt Viscosity</t>
  </si>
  <si>
    <t>Kinematic Viscosity</t>
  </si>
  <si>
    <t>Gravity</t>
  </si>
  <si>
    <t>Copper Strip Corrosion</t>
  </si>
  <si>
    <t>Sulfur</t>
  </si>
  <si>
    <t>10% Point</t>
  </si>
  <si>
    <t>90% Point</t>
  </si>
  <si>
    <t>Universal at 100F</t>
  </si>
  <si>
    <t>At 100F</t>
  </si>
  <si>
    <t>centistokes</t>
  </si>
  <si>
    <t>deg API</t>
  </si>
  <si>
    <t>No. 1 A distillate oil intended for vaporizing pot-type burners and other burners requiring this grade of fuel</t>
  </si>
  <si>
    <t>No. 2 A distillate oil for general purpose domestic heating for use in burners not requiring No. 1 fuel oil</t>
  </si>
  <si>
    <t>Trace</t>
  </si>
  <si>
    <t>No. 3</t>
  </si>
  <si>
    <t>??</t>
  </si>
  <si>
    <t>b Outside USA, the sulfur limit for No. 2 shall be 1.0%.</t>
  </si>
  <si>
    <t>c Legal requirements to be met.</t>
  </si>
  <si>
    <t>d Lower or higher pour points may be specified whenever required by conditions of storage or use. When point less than 0°F is specified, the minimum viscosity shall be 1.8 cSt (32.0 sec Saybolt Universal) and the minimum 90% point shall be waived.</t>
  </si>
  <si>
    <t>f Viscosity values in parentheses are for information only and not necessarily limiting.</t>
  </si>
  <si>
    <t>g The amount of water by distillation plus the sediment by extraction shall not exceed 2.00%. The amount of sediment by extraction shall not exceed 0.50%. A deduction in quantity shall be made for all water and sediment in excess of 1.0%.</t>
  </si>
  <si>
    <t>Oil Furnace with a Temperature Rise Less Than or Equal to 65F</t>
  </si>
  <si>
    <t>Oil Furnace with a Temperature Rise Greater Than 65F</t>
  </si>
  <si>
    <t>Gas Furnace</t>
  </si>
  <si>
    <t>Table 4: Relation of Furnace input to Minimum External Static Pressure* for Performance and Rating Test Purposes (All tests preformed without a filter)</t>
  </si>
  <si>
    <t>* These static pressures apply for operation at maximum rated input only.</t>
  </si>
  <si>
    <t>Table 5: Minimum External Static Pressure for Electric Central Furnaces</t>
  </si>
  <si>
    <t>Standard Air Quantity</t>
  </si>
  <si>
    <t>scfm</t>
  </si>
  <si>
    <t>Min. External Static Pressure</t>
  </si>
  <si>
    <t>in. water</t>
  </si>
  <si>
    <t>Table 6: System Numbers</t>
  </si>
  <si>
    <t>Locate the column where all the characteristics arc applicable to the equipment under test.</t>
  </si>
  <si>
    <t>Characteristics</t>
  </si>
  <si>
    <t>Indoor Combustion Air</t>
  </si>
  <si>
    <t>Outdoor, Direct Vent or Isolated Combust. System</t>
  </si>
  <si>
    <t>Draft Hood or Draft Diverter</t>
  </si>
  <si>
    <t>Barometric Draft Control</t>
  </si>
  <si>
    <t>Electrical/Mechanical Stack Damper</t>
  </si>
  <si>
    <t>Atmospheric Burner</t>
  </si>
  <si>
    <t>Power Burner</t>
  </si>
  <si>
    <t>Burner Inlet Damper or Flue Damper**</t>
  </si>
  <si>
    <t>DF</t>
  </si>
  <si>
    <t>** Power burner may or may not have electro-mechanical inlet or flue damper.</t>
  </si>
  <si>
    <t>Note: System 7 was intentionally omitted.</t>
  </si>
  <si>
    <t>X</t>
  </si>
  <si>
    <t>Direct Exhaust</t>
  </si>
  <si>
    <t>*</t>
  </si>
  <si>
    <t>DO</t>
  </si>
  <si>
    <t>1.4 or test#</t>
  </si>
  <si>
    <t>* Calculated from CO2 values.</t>
  </si>
  <si>
    <t>kBtu/h</t>
  </si>
  <si>
    <t>Average Design Heating Requirements (DHR)</t>
  </si>
  <si>
    <t>Typical Design Heating Requirements</t>
  </si>
  <si>
    <t>5, 10</t>
  </si>
  <si>
    <t>10, 15</t>
  </si>
  <si>
    <t>15, 20, 25</t>
  </si>
  <si>
    <t>25, 30, 35, 40</t>
  </si>
  <si>
    <t>35, 40, 45, 50</t>
  </si>
  <si>
    <t>40, 45, 50, 60</t>
  </si>
  <si>
    <t>50, 60, 70, 80</t>
  </si>
  <si>
    <t>60, 70, 80, 90</t>
  </si>
  <si>
    <t>70, 80, 90, 100</t>
  </si>
  <si>
    <t>80, 90, 100, 110, 120</t>
  </si>
  <si>
    <t>90, 100, 110, 120, 130</t>
  </si>
  <si>
    <t>100, 110, 120, 130, 140</t>
  </si>
  <si>
    <t>120, 130, 140, 150, 160</t>
  </si>
  <si>
    <t>Table 10: Fractional Heating Loads and Average Outdoor Temperatures for Furnaces and Boilers Equipped with Modulating Controls</t>
  </si>
  <si>
    <t>Table 9: Average Burner On-Time and Off-Time Per Cycle for Furnaces and Boilers (Minutes}</t>
  </si>
  <si>
    <t>Furnaces</t>
  </si>
  <si>
    <t>Boilers</t>
  </si>
  <si>
    <t>Control Type</t>
  </si>
  <si>
    <t>Two Stage</t>
  </si>
  <si>
    <r>
      <t>t</t>
    </r>
    <r>
      <rPr>
        <b/>
        <vertAlign val="subscript"/>
        <sz val="11"/>
        <color rgb="FF000000"/>
        <rFont val="Palatino Linotype"/>
        <family val="1"/>
      </rPr>
      <t>on</t>
    </r>
  </si>
  <si>
    <r>
      <t>t</t>
    </r>
    <r>
      <rPr>
        <b/>
        <vertAlign val="subscript"/>
        <sz val="11"/>
        <color rgb="FF000000"/>
        <rFont val="Palatino Linotype"/>
        <family val="1"/>
      </rPr>
      <t>off</t>
    </r>
  </si>
  <si>
    <t>Reduced Rate</t>
  </si>
  <si>
    <t>Modulating or Maximum Rate</t>
  </si>
  <si>
    <t>Fractional Heating Load</t>
  </si>
  <si>
    <t>Average Outdoor Temperature (F)</t>
  </si>
  <si>
    <t>Balance Point Temperature Range (F)</t>
  </si>
  <si>
    <r>
      <t>T</t>
    </r>
    <r>
      <rPr>
        <b/>
        <vertAlign val="subscript"/>
        <sz val="11"/>
        <color rgb="FF000000"/>
        <rFont val="Palatino Linotype"/>
        <family val="1"/>
      </rPr>
      <t>C</t>
    </r>
  </si>
  <si>
    <r>
      <t>X</t>
    </r>
    <r>
      <rPr>
        <b/>
        <vertAlign val="subscript"/>
        <sz val="11"/>
        <color rgb="FF000000"/>
        <rFont val="Palatino Linotype"/>
        <family val="1"/>
      </rPr>
      <t>R</t>
    </r>
  </si>
  <si>
    <r>
      <t>X</t>
    </r>
    <r>
      <rPr>
        <b/>
        <vertAlign val="subscript"/>
        <sz val="11"/>
        <color rgb="FF000000"/>
        <rFont val="Palatino Linotype"/>
        <family val="1"/>
      </rPr>
      <t>H</t>
    </r>
  </si>
  <si>
    <r>
      <t>T</t>
    </r>
    <r>
      <rPr>
        <b/>
        <vertAlign val="subscript"/>
        <sz val="11"/>
        <color rgb="FF000000"/>
        <rFont val="Palatino Linotype"/>
        <family val="1"/>
      </rPr>
      <t>OA,R</t>
    </r>
  </si>
  <si>
    <r>
      <t>T</t>
    </r>
    <r>
      <rPr>
        <b/>
        <vertAlign val="subscript"/>
        <sz val="11"/>
        <color rgb="FF000000"/>
        <rFont val="Palatino Linotype"/>
        <family val="1"/>
      </rPr>
      <t>OA,H</t>
    </r>
  </si>
  <si>
    <t>NOTE: This table is based on national average 5,200 degree-days.</t>
  </si>
  <si>
    <t>No. 1 Fuel Oil</t>
  </si>
  <si>
    <t>No. 2 Fuel Oil</t>
  </si>
  <si>
    <t>Electricity</t>
  </si>
  <si>
    <t>Atmospheric</t>
  </si>
  <si>
    <t>Steam</t>
  </si>
  <si>
    <t>Water</t>
  </si>
  <si>
    <t>Indoor</t>
  </si>
  <si>
    <t>Outdoor</t>
  </si>
  <si>
    <t>Combustion_Air</t>
  </si>
  <si>
    <t>Tables from ASHRAE 103-1993</t>
  </si>
  <si>
    <t xml:space="preserve">Product Class: </t>
  </si>
  <si>
    <t>Stack Gas Temperature (°F)</t>
  </si>
  <si>
    <t>Outlet Water Temperature (°F)</t>
  </si>
  <si>
    <t>(May or may not be present. Does not affect the results.)</t>
  </si>
  <si>
    <t>Tolerances met?</t>
  </si>
  <si>
    <t>Tolerance Check</t>
  </si>
  <si>
    <t>Was the boiler pump electrical usage captured in the steady-state measurement?</t>
  </si>
  <si>
    <t>Steady State Electrical Power to Burner (including energizing the ignition system, controls, gas valve or oil control valve, draft inducer, and boiler pump)</t>
  </si>
  <si>
    <t>Boiler Pump Nameplate Power, if applicable (enter 0.13 if not available)</t>
  </si>
  <si>
    <t>Steady State Electrical Power to Burner</t>
  </si>
  <si>
    <t>Draft Hood</t>
  </si>
  <si>
    <t>Integral Draft Diverter</t>
  </si>
  <si>
    <t>Nameplate Input Rate</t>
  </si>
  <si>
    <t>Time delay between burner shut-off and pump shut-off</t>
  </si>
  <si>
    <t>(Enter 0 if less than or equal to 30 seconds and 180 if greater than or equal to 180 seconds)</t>
  </si>
  <si>
    <t>Does the boiler employ a post-purge?</t>
  </si>
  <si>
    <t>Does the boiler have a pump delay?</t>
  </si>
  <si>
    <t>Flue Gas Temperature at 1.0 minutes after main burner comes on</t>
  </si>
  <si>
    <t>Flue Gas Temperature at 5.5 minutes after main burner comes on</t>
  </si>
  <si>
    <t>t+</t>
  </si>
  <si>
    <t>Temperature of tracer gas entering the flowmeter</t>
  </si>
  <si>
    <t>Barometric Pressure</t>
  </si>
  <si>
    <t>in. HG</t>
  </si>
  <si>
    <t>Mass of Condensate</t>
  </si>
  <si>
    <t>Test Cycle</t>
  </si>
  <si>
    <t>4, if necessary</t>
  </si>
  <si>
    <t>5, if necessary</t>
  </si>
  <si>
    <t>6, if necessary</t>
  </si>
  <si>
    <t>(including any pilot light input)</t>
  </si>
  <si>
    <t>Steady-State Conditions Met?</t>
  </si>
  <si>
    <t>Power Input</t>
  </si>
  <si>
    <t>This only needs to be performed once in the Max Test. Results are shown here also for reference.</t>
  </si>
  <si>
    <t>Dates Valid?</t>
  </si>
  <si>
    <t>Measurement</t>
  </si>
  <si>
    <t>Propane Gas</t>
  </si>
  <si>
    <t>Butane Gas</t>
  </si>
  <si>
    <t>Isolated Combustion System</t>
  </si>
  <si>
    <r>
      <t>Manufacturer Recommended CO</t>
    </r>
    <r>
      <rPr>
        <vertAlign val="subscript"/>
        <sz val="11"/>
        <color rgb="FF000000"/>
        <rFont val="Palatino Linotype"/>
        <family val="1"/>
      </rPr>
      <t>2</t>
    </r>
    <r>
      <rPr>
        <sz val="11"/>
        <color indexed="8"/>
        <rFont val="Palatino Linotype"/>
        <family val="1"/>
      </rPr>
      <t xml:space="preserve"> Reading:</t>
    </r>
  </si>
  <si>
    <t>Jacket Loss</t>
  </si>
  <si>
    <t>Ratio of Combustion and Relief Air to Stoichiometric Air</t>
  </si>
  <si>
    <t>Ratio of Combustion Air to Stoichiometric Air</t>
  </si>
  <si>
    <t>Average Ratio of Stack Gas to Flue Gas Mass Flow Rate</t>
  </si>
  <si>
    <t>Stack Gas Temperature Difference</t>
  </si>
  <si>
    <t>Flue Gas Temperature Difference</t>
  </si>
  <si>
    <t>Average Sensible Heat Loss at Steady-State Operation</t>
  </si>
  <si>
    <t>Steady-State Efficiency</t>
  </si>
  <si>
    <t>Steady-State Nameplate Input Rate</t>
  </si>
  <si>
    <t>Finned-Tube Boiler?</t>
  </si>
  <si>
    <t>Jacket Loss Installation Adjustment Factor</t>
  </si>
  <si>
    <t>Oversize Factor</t>
  </si>
  <si>
    <t>Multiplication Factor for Sensible Heat Loss During Burner On-Cycle</t>
  </si>
  <si>
    <t>Multiplication Factor for Infiltration Loss During Burner On-Cycle</t>
  </si>
  <si>
    <t>Measured Stack Gas Temperature at Steady State</t>
  </si>
  <si>
    <t>Measured Room Temperature of Conditioned Space</t>
  </si>
  <si>
    <t>Measure Flue Gas Temperature at Steady-State</t>
  </si>
  <si>
    <t>Equivalent Field Stade Gas Temperature at Full-Load Steady-State Operation</t>
  </si>
  <si>
    <r>
      <t>Flue Gas Temperature Measured at Time t</t>
    </r>
    <r>
      <rPr>
        <vertAlign val="subscript"/>
        <sz val="11"/>
        <color rgb="FF000000"/>
        <rFont val="Palatino Linotype"/>
        <family val="1"/>
      </rPr>
      <t>1</t>
    </r>
  </si>
  <si>
    <r>
      <t>Flue Gas Temperature Measured at Time t</t>
    </r>
    <r>
      <rPr>
        <vertAlign val="subscript"/>
        <sz val="11"/>
        <color rgb="FF000000"/>
        <rFont val="Palatino Linotype"/>
        <family val="1"/>
      </rPr>
      <t>2</t>
    </r>
  </si>
  <si>
    <t>On-Cycle Time Constant</t>
  </si>
  <si>
    <t>Effective Flue Gas Temperature Difference at Start-up</t>
  </si>
  <si>
    <t>Post-Purge Period</t>
  </si>
  <si>
    <r>
      <t>Flue Gas Temperature Measured at Time t</t>
    </r>
    <r>
      <rPr>
        <vertAlign val="subscript"/>
        <sz val="11"/>
        <color rgb="FF000000"/>
        <rFont val="Palatino Linotype"/>
        <family val="1"/>
      </rPr>
      <t>3</t>
    </r>
  </si>
  <si>
    <r>
      <t>Flue Gas Temperature Measured at Time t</t>
    </r>
    <r>
      <rPr>
        <vertAlign val="subscript"/>
        <sz val="11"/>
        <color rgb="FF000000"/>
        <rFont val="Palatino Linotype"/>
        <family val="1"/>
      </rPr>
      <t>4</t>
    </r>
  </si>
  <si>
    <r>
      <t>Flue Gas Temperature Measured at Time t</t>
    </r>
    <r>
      <rPr>
        <vertAlign val="subscript"/>
        <sz val="11"/>
        <color rgb="FF000000"/>
        <rFont val="Palatino Linotype"/>
        <family val="1"/>
      </rPr>
      <t>5</t>
    </r>
  </si>
  <si>
    <t>Off-Cycle Time Constant</t>
  </si>
  <si>
    <t>Effective Flue Gas Temperature Difference at Shutdown</t>
  </si>
  <si>
    <t>Minimum Flue Gas Temperature Difference above Room Temperature</t>
  </si>
  <si>
    <t>`+ For atmospheric burner w/burner inlet damper or flue damper that closes within 10 seconds after the burner shuts off.</t>
  </si>
  <si>
    <t>Off-Cycle Flue Gas Draft Factor</t>
  </si>
  <si>
    <t>Effective Stack Gas Temperature Difference at Shutdown</t>
  </si>
  <si>
    <t>Ratio of Average Burner On-Time Per Cycle to On-Cycle Time Constant</t>
  </si>
  <si>
    <t>Average Burner On-Time Per Cycle</t>
  </si>
  <si>
    <t>Average Burner Off-Time Per Cycle</t>
  </si>
  <si>
    <t>Ratio of Average Burner Off-Time Per Cycle to Off-Cycle Time Constant</t>
  </si>
  <si>
    <t>Start-up Burner Cycling Effect Correction Factor</t>
  </si>
  <si>
    <t>Shutdown Burner Cycling Effect Correction Factor</t>
  </si>
  <si>
    <t>Correction Factor for Units using Intermittent or Interrupted Ignition Devices</t>
  </si>
  <si>
    <t>Off-Period Correction Factor for Outdoor Units, Units Intended for Installation in Unheated Spaces, or Direct Vent Units</t>
  </si>
  <si>
    <t>Effective Flue Gas Temperature Difference at Burner Shutdown, Corrected for Burner Cycling Effect</t>
  </si>
  <si>
    <t>Effective Stack Gas Temperature Difference at Burner Shutdown, Corrected for Burner Cycling Effect</t>
  </si>
  <si>
    <t>Stack Damper Effectiveness Factor</t>
  </si>
  <si>
    <t>Infiltration Correction Factor for Stack Damper Effectiveness</t>
  </si>
  <si>
    <t>Off-Cycle Sensible Heat Loss Integration Factors</t>
  </si>
  <si>
    <t>F3</t>
  </si>
  <si>
    <t>F4</t>
  </si>
  <si>
    <t>F5</t>
  </si>
  <si>
    <t>F6</t>
  </si>
  <si>
    <t>F7</t>
  </si>
  <si>
    <t>Off-Cycle Infiltration Heat Loss Integration Factors</t>
  </si>
  <si>
    <t>F8</t>
  </si>
  <si>
    <t>Effective Flue Gas Temperature Difference at Burner Start-Up, Corrected for Burner Cycling Effect</t>
  </si>
  <si>
    <t>Multiplication Factor for Sensible Heat Loss During Burner Off-Cycle</t>
  </si>
  <si>
    <t>Multiplication Factor for Infiltration Loss During Burner Off-Cycle</t>
  </si>
  <si>
    <t>On-Cycle Sensible Heat Loss</t>
  </si>
  <si>
    <t>Off-Cycle Sensible Heat Loss</t>
  </si>
  <si>
    <t>On-Cycle Infiltration Heat Loss</t>
  </si>
  <si>
    <t>Off-Cycle Infiltration Heat Loss</t>
  </si>
  <si>
    <t>Pilot Flame Fuel Input Rate</t>
  </si>
  <si>
    <t>Latent Heat Gain Due to Condensation Under Steady-State Conditions</t>
  </si>
  <si>
    <t>Latent Heat Gain Under Part-Load Conditions</t>
  </si>
  <si>
    <t>Fuel Energy Input During Entire (3 or 6 test cycles) Cyclic Condensate Collection Test</t>
  </si>
  <si>
    <t>Part-Load Heat Loss Due to Condensate Going Down the Drain</t>
  </si>
  <si>
    <r>
      <t>R</t>
    </r>
    <r>
      <rPr>
        <vertAlign val="subscript"/>
        <sz val="11"/>
        <color rgb="FF000000"/>
        <rFont val="Palatino Linotype"/>
        <family val="1"/>
      </rPr>
      <t>T,F</t>
    </r>
  </si>
  <si>
    <r>
      <t>R</t>
    </r>
    <r>
      <rPr>
        <vertAlign val="subscript"/>
        <sz val="11"/>
        <color rgb="FF000000"/>
        <rFont val="Palatino Linotype"/>
        <family val="1"/>
      </rPr>
      <t>T,S</t>
    </r>
  </si>
  <si>
    <r>
      <t>T</t>
    </r>
    <r>
      <rPr>
        <vertAlign val="subscript"/>
        <sz val="11"/>
        <color rgb="FF000000"/>
        <rFont val="Palatino Linotype"/>
        <family val="1"/>
      </rPr>
      <t>RA</t>
    </r>
  </si>
  <si>
    <r>
      <t>T</t>
    </r>
    <r>
      <rPr>
        <vertAlign val="subscript"/>
        <sz val="11"/>
        <color rgb="FF000000"/>
        <rFont val="Palatino Linotype"/>
        <family val="1"/>
      </rPr>
      <t>S,SS,X</t>
    </r>
  </si>
  <si>
    <r>
      <t>ΔT</t>
    </r>
    <r>
      <rPr>
        <vertAlign val="subscript"/>
        <sz val="11"/>
        <color rgb="FF000000"/>
        <rFont val="Palatino Linotype"/>
        <family val="1"/>
      </rPr>
      <t>S,SS</t>
    </r>
  </si>
  <si>
    <r>
      <t>T</t>
    </r>
    <r>
      <rPr>
        <vertAlign val="subscript"/>
        <sz val="11"/>
        <color rgb="FF000000"/>
        <rFont val="Palatino Linotype"/>
        <family val="1"/>
      </rPr>
      <t>F,SS</t>
    </r>
  </si>
  <si>
    <r>
      <t>ΔT</t>
    </r>
    <r>
      <rPr>
        <vertAlign val="subscript"/>
        <sz val="11"/>
        <color rgb="FF000000"/>
        <rFont val="Palatino Linotype"/>
        <family val="1"/>
      </rPr>
      <t>F,SS</t>
    </r>
  </si>
  <si>
    <r>
      <t>L</t>
    </r>
    <r>
      <rPr>
        <vertAlign val="subscript"/>
        <sz val="11"/>
        <color indexed="8"/>
        <rFont val="Palatino Linotype"/>
        <family val="1"/>
      </rPr>
      <t>S,SS</t>
    </r>
  </si>
  <si>
    <r>
      <t>Effy</t>
    </r>
    <r>
      <rPr>
        <vertAlign val="subscript"/>
        <sz val="11"/>
        <color rgb="FF000000"/>
        <rFont val="Palatino Linotype"/>
        <family val="1"/>
      </rPr>
      <t>SS</t>
    </r>
  </si>
  <si>
    <r>
      <t>Q</t>
    </r>
    <r>
      <rPr>
        <vertAlign val="subscript"/>
        <sz val="11"/>
        <color rgb="FF000000"/>
        <rFont val="Palatino Linotype"/>
        <family val="1"/>
      </rPr>
      <t>IN</t>
    </r>
  </si>
  <si>
    <r>
      <t>L</t>
    </r>
    <r>
      <rPr>
        <vertAlign val="subscript"/>
        <sz val="11"/>
        <color rgb="FF000000"/>
        <rFont val="Palatino Linotype"/>
        <family val="1"/>
      </rPr>
      <t>J</t>
    </r>
  </si>
  <si>
    <r>
      <t>Q</t>
    </r>
    <r>
      <rPr>
        <vertAlign val="subscript"/>
        <sz val="11"/>
        <color rgb="FF000000"/>
        <rFont val="Palatino Linotype"/>
        <family val="1"/>
      </rPr>
      <t>OUT</t>
    </r>
  </si>
  <si>
    <r>
      <t>X</t>
    </r>
    <r>
      <rPr>
        <vertAlign val="subscript"/>
        <sz val="11"/>
        <color rgb="FF000000"/>
        <rFont val="Palatino Linotype"/>
        <family val="1"/>
      </rPr>
      <t>CO2,F</t>
    </r>
  </si>
  <si>
    <r>
      <t>X</t>
    </r>
    <r>
      <rPr>
        <vertAlign val="subscript"/>
        <sz val="11"/>
        <color rgb="FF000000"/>
        <rFont val="Palatino Linotype"/>
        <family val="1"/>
      </rPr>
      <t>CO2,S</t>
    </r>
  </si>
  <si>
    <r>
      <t>HHV</t>
    </r>
    <r>
      <rPr>
        <vertAlign val="subscript"/>
        <sz val="11"/>
        <color rgb="FF000000"/>
        <rFont val="Palatino Linotype"/>
        <family val="1"/>
      </rPr>
      <t>A</t>
    </r>
  </si>
  <si>
    <t>Max Input Rate</t>
  </si>
  <si>
    <t>Reduced Input Rate</t>
  </si>
  <si>
    <r>
      <t>L</t>
    </r>
    <r>
      <rPr>
        <vertAlign val="subscript"/>
        <sz val="11"/>
        <color rgb="FF000000"/>
        <rFont val="Palatino Linotype"/>
        <family val="1"/>
      </rPr>
      <t>L,A</t>
    </r>
  </si>
  <si>
    <t>Fraction of Heating Load at Reduced Fuel Input Rate Operating Mode</t>
  </si>
  <si>
    <r>
      <t>Q</t>
    </r>
    <r>
      <rPr>
        <i/>
        <vertAlign val="subscript"/>
        <sz val="11"/>
        <color rgb="FF000000"/>
        <rFont val="Palatino Linotype"/>
        <family val="1"/>
      </rPr>
      <t>IN</t>
    </r>
  </si>
  <si>
    <t>On-Period Mass Flow Rate</t>
  </si>
  <si>
    <t>Measured Mass Flow Rate</t>
  </si>
  <si>
    <r>
      <t>Density of flue gas at T</t>
    </r>
    <r>
      <rPr>
        <vertAlign val="subscript"/>
        <sz val="11"/>
        <color rgb="FF000000"/>
        <rFont val="Palatino Linotype"/>
        <family val="1"/>
      </rPr>
      <t>T</t>
    </r>
  </si>
  <si>
    <t>Temperature of Tracer Gas Entering the Flowmeter</t>
  </si>
  <si>
    <r>
      <t>Density of Flue Gas at T</t>
    </r>
    <r>
      <rPr>
        <vertAlign val="subscript"/>
        <sz val="11"/>
        <color rgb="FF000000"/>
        <rFont val="Palatino Linotype"/>
        <family val="1"/>
      </rPr>
      <t>T</t>
    </r>
  </si>
  <si>
    <t>Flow Rate of Tracer Gas into Heat Exchanger during the Measurement Period</t>
  </si>
  <si>
    <t>Percent by Volume of Measured Tracer Gas in the Flue Gas Sample</t>
  </si>
  <si>
    <t>Off-Period Mass Flow Rate</t>
  </si>
  <si>
    <t>Temperature of the Flue Gas When Sampled</t>
  </si>
  <si>
    <t>Was a draft maintained during the steady-state or cool-down tests?</t>
  </si>
  <si>
    <t>DP+</t>
  </si>
  <si>
    <t>DP</t>
  </si>
  <si>
    <t>DP*</t>
  </si>
  <si>
    <t>0.85xDO or 
(0.79+DP)/1.4xDO</t>
  </si>
  <si>
    <t>0.85 or 
(0.79+DP)/1.4</t>
  </si>
  <si>
    <t>Btu/(lb °F)</t>
  </si>
  <si>
    <t>Off-Cycle Sensible Heat Loss During the Post-Purge Period</t>
  </si>
  <si>
    <t>Off-Cycle Sensible Heat Loss After the Post-Purge Period</t>
  </si>
  <si>
    <r>
      <t>Flue Gas Temperature Measured at Time t</t>
    </r>
    <r>
      <rPr>
        <vertAlign val="subscript"/>
        <sz val="11"/>
        <color rgb="FF000000"/>
        <rFont val="Palatino Linotype"/>
        <family val="1"/>
      </rPr>
      <t>P</t>
    </r>
  </si>
  <si>
    <t>Off-Cycle Infiltration Heat Loss During the Post-Purge Period</t>
  </si>
  <si>
    <t>Off-Cycle Infiltration Heat Loss After the Post-Purge Period</t>
  </si>
  <si>
    <t>Part-Load Efficiency at Reduced Fuel Input Rate</t>
  </si>
  <si>
    <t>Part-Load Efficiency at Maximum Fuel Input Rate</t>
  </si>
  <si>
    <t>Fuel Energy Input During Steady State Condensate Collection Period</t>
  </si>
  <si>
    <t>Was a draft imposed during the steady-state or cool-down tests?</t>
  </si>
  <si>
    <t>Calculations Subsection</t>
  </si>
  <si>
    <r>
      <t>Concentration by Volume of CO</t>
    </r>
    <r>
      <rPr>
        <vertAlign val="subscript"/>
        <sz val="11"/>
        <color rgb="FF000000"/>
        <rFont val="Palatino Linotype"/>
        <family val="1"/>
      </rPr>
      <t>2</t>
    </r>
    <r>
      <rPr>
        <sz val="11"/>
        <color indexed="8"/>
        <rFont val="Palatino Linotype"/>
        <family val="1"/>
      </rPr>
      <t xml:space="preserve"> Present in Dry Flue Gas</t>
    </r>
  </si>
  <si>
    <r>
      <t>Concentration by Volume of CO</t>
    </r>
    <r>
      <rPr>
        <vertAlign val="subscript"/>
        <sz val="11"/>
        <color rgb="FF000000"/>
        <rFont val="Palatino Linotype"/>
        <family val="1"/>
      </rPr>
      <t>2</t>
    </r>
    <r>
      <rPr>
        <sz val="11"/>
        <color indexed="8"/>
        <rFont val="Palatino Linotype"/>
        <family val="1"/>
      </rPr>
      <t xml:space="preserve"> Present in Dry Stack Gas</t>
    </r>
  </si>
  <si>
    <t>Mass Ratio of Stoichiometric Air to Fuel</t>
  </si>
  <si>
    <t>Latent Heat Loss</t>
  </si>
  <si>
    <t>Higher Heating Value of the Fuel</t>
  </si>
  <si>
    <t>lb/min</t>
  </si>
  <si>
    <t>Time Step</t>
  </si>
  <si>
    <t>Heating Seasonal Efficiency, Steady-State Efficiency, and AFUE</t>
  </si>
  <si>
    <t>Non-Condensing and Non-Modulating Gas or Oil Furnaces and Boilers</t>
  </si>
  <si>
    <t>Non-Modulating and Condensing Gas or Oil Furnaces and Boilers</t>
  </si>
  <si>
    <t>Modulating and Non-Condensing Gas or Oil Furnaces and Boilers</t>
  </si>
  <si>
    <t>Modulating and Condensing Gas or Oil Furnaces or Boilers</t>
  </si>
  <si>
    <t>Total Number of Time Steps</t>
  </si>
  <si>
    <t>Modified Ratio of Average Burner Off-Time Per Cycle to Off-Cycle Time Constant</t>
  </si>
  <si>
    <t>Correction Factor That Corrects for the Use of Outside Air for Combustion</t>
  </si>
  <si>
    <t>f(0)</t>
  </si>
  <si>
    <t>Integration Factor</t>
  </si>
  <si>
    <t>This calculation uses the Simpson's Rule to approximate the integrals located in Appendix E of the ANSI/ASHRAE test procedure.</t>
  </si>
  <si>
    <t>11.6.4</t>
  </si>
  <si>
    <t>Optionally Determined Power Burner Draft Factor</t>
  </si>
  <si>
    <t>11.7.1</t>
  </si>
  <si>
    <t>Optionally Determined Off-Cycle Flue Gas Draft Factor</t>
  </si>
  <si>
    <t>11.7.2</t>
  </si>
  <si>
    <t>Optionally Determined Off-Cycle Stack Gas Draft Factor</t>
  </si>
  <si>
    <t>11.8.1</t>
  </si>
  <si>
    <t>Off-Cycle Loss Factor</t>
  </si>
  <si>
    <t>11.8.2</t>
  </si>
  <si>
    <t>n</t>
  </si>
  <si>
    <t>t</t>
  </si>
  <si>
    <t>Fuel Supply Characteristics</t>
  </si>
  <si>
    <t>Input Voltage</t>
  </si>
  <si>
    <t>Jacket Loss Measurement</t>
  </si>
  <si>
    <t>Tracer Gas Draft Factors</t>
  </si>
  <si>
    <t>"Standby" and "Off" Power Measurement</t>
  </si>
  <si>
    <t>Maximum Differential</t>
  </si>
  <si>
    <t>Ω</t>
  </si>
  <si>
    <t>Radians</t>
  </si>
  <si>
    <t>Cross-Sectional Area of the Stack</t>
  </si>
  <si>
    <t>Net Area of a Stack Damper Plate</t>
  </si>
  <si>
    <t>Angle the Damper Makes, When Closed, With a Plane Perpendicular to the Axis of the Stack</t>
  </si>
  <si>
    <t>Open Area (Holes and Cutouts) in Stack Damper Plate</t>
  </si>
  <si>
    <t>Leakage Area Around Stack Damper Shaft and Damper Edges</t>
  </si>
  <si>
    <t>Time When Damper Starts to Close</t>
  </si>
  <si>
    <t>Duration of Damper Closing</t>
  </si>
  <si>
    <r>
      <t>in</t>
    </r>
    <r>
      <rPr>
        <vertAlign val="superscript"/>
        <sz val="11"/>
        <color rgb="FF000000"/>
        <rFont val="Palatino Linotype"/>
        <family val="1"/>
      </rPr>
      <t>2</t>
    </r>
  </si>
  <si>
    <r>
      <t>A</t>
    </r>
    <r>
      <rPr>
        <vertAlign val="subscript"/>
        <sz val="11"/>
        <color rgb="FF000000"/>
        <rFont val="Palatino Linotype"/>
        <family val="1"/>
      </rPr>
      <t>S</t>
    </r>
  </si>
  <si>
    <r>
      <t>A</t>
    </r>
    <r>
      <rPr>
        <vertAlign val="subscript"/>
        <sz val="11"/>
        <color rgb="FF000000"/>
        <rFont val="Palatino Linotype"/>
        <family val="1"/>
      </rPr>
      <t>D</t>
    </r>
  </si>
  <si>
    <r>
      <t>A</t>
    </r>
    <r>
      <rPr>
        <vertAlign val="subscript"/>
        <sz val="11"/>
        <color rgb="FF000000"/>
        <rFont val="Palatino Linotype"/>
        <family val="1"/>
      </rPr>
      <t>O,D</t>
    </r>
  </si>
  <si>
    <r>
      <t>A</t>
    </r>
    <r>
      <rPr>
        <vertAlign val="subscript"/>
        <sz val="11"/>
        <color rgb="FF000000"/>
        <rFont val="Palatino Linotype"/>
        <family val="1"/>
      </rPr>
      <t>O,L</t>
    </r>
  </si>
  <si>
    <r>
      <t>t</t>
    </r>
    <r>
      <rPr>
        <vertAlign val="subscript"/>
        <sz val="11"/>
        <color rgb="FF000000"/>
        <rFont val="Palatino Linotype"/>
        <family val="1"/>
      </rPr>
      <t>s</t>
    </r>
  </si>
  <si>
    <r>
      <t>t</t>
    </r>
    <r>
      <rPr>
        <vertAlign val="subscript"/>
        <sz val="11"/>
        <color rgb="FF000000"/>
        <rFont val="Palatino Linotype"/>
        <family val="1"/>
      </rPr>
      <t>d</t>
    </r>
  </si>
  <si>
    <r>
      <t>P</t>
    </r>
    <r>
      <rPr>
        <vertAlign val="subscript"/>
        <sz val="11"/>
        <color indexed="8"/>
        <rFont val="Palatino Linotype"/>
        <family val="1"/>
      </rPr>
      <t>W,SB</t>
    </r>
  </si>
  <si>
    <r>
      <t>P</t>
    </r>
    <r>
      <rPr>
        <vertAlign val="subscript"/>
        <sz val="11"/>
        <color indexed="8"/>
        <rFont val="Palatino Linotype"/>
        <family val="1"/>
      </rPr>
      <t>W,OFF</t>
    </r>
  </si>
  <si>
    <r>
      <t>D</t>
    </r>
    <r>
      <rPr>
        <vertAlign val="subscript"/>
        <sz val="11"/>
        <color indexed="8"/>
        <rFont val="Palatino Linotype"/>
        <family val="1"/>
      </rPr>
      <t>P</t>
    </r>
  </si>
  <si>
    <r>
      <t>D</t>
    </r>
    <r>
      <rPr>
        <vertAlign val="subscript"/>
        <sz val="11"/>
        <color indexed="8"/>
        <rFont val="Palatino Linotype"/>
        <family val="1"/>
      </rPr>
      <t>F</t>
    </r>
  </si>
  <si>
    <r>
      <t>L</t>
    </r>
    <r>
      <rPr>
        <vertAlign val="subscript"/>
        <sz val="11"/>
        <color indexed="8"/>
        <rFont val="Palatino Linotype"/>
        <family val="1"/>
      </rPr>
      <t>J</t>
    </r>
  </si>
  <si>
    <t>V</t>
  </si>
  <si>
    <t>Nameplate Voltage</t>
  </si>
  <si>
    <t>Minimum Voltage</t>
  </si>
  <si>
    <t>Maximum Voltage</t>
  </si>
  <si>
    <r>
      <t>A</t>
    </r>
    <r>
      <rPr>
        <vertAlign val="subscript"/>
        <sz val="11"/>
        <color rgb="FF000000"/>
        <rFont val="Palatino Linotype"/>
        <family val="1"/>
      </rPr>
      <t>O</t>
    </r>
  </si>
  <si>
    <r>
      <t>D</t>
    </r>
    <r>
      <rPr>
        <vertAlign val="subscript"/>
        <sz val="11"/>
        <color rgb="FF000000"/>
        <rFont val="Palatino Linotype"/>
        <family val="1"/>
      </rPr>
      <t>E</t>
    </r>
  </si>
  <si>
    <t>Minimum Opening (including Leakage) Area of the Damper When Closed</t>
  </si>
  <si>
    <t>Time When Damper Finishes Closing</t>
  </si>
  <si>
    <r>
      <t>t</t>
    </r>
    <r>
      <rPr>
        <vertAlign val="subscript"/>
        <sz val="11"/>
        <color rgb="FF000000"/>
        <rFont val="Palatino Linotype"/>
        <family val="1"/>
      </rPr>
      <t>e</t>
    </r>
  </si>
  <si>
    <t>j</t>
  </si>
  <si>
    <t>Dimensionless Time Increment Given by 1/n</t>
  </si>
  <si>
    <r>
      <t>T</t>
    </r>
    <r>
      <rPr>
        <vertAlign val="subscript"/>
        <sz val="11"/>
        <color rgb="FF000000"/>
        <rFont val="Palatino Linotype"/>
        <family val="1"/>
      </rPr>
      <t>OA</t>
    </r>
  </si>
  <si>
    <r>
      <t>T</t>
    </r>
    <r>
      <rPr>
        <vertAlign val="subscript"/>
        <sz val="11"/>
        <color rgb="FF000000"/>
        <rFont val="Palatino Linotype"/>
        <family val="1"/>
      </rPr>
      <t>C</t>
    </r>
  </si>
  <si>
    <r>
      <t>X</t>
    </r>
    <r>
      <rPr>
        <vertAlign val="subscript"/>
        <sz val="11"/>
        <color rgb="FF000000"/>
        <rFont val="Palatino Linotype"/>
        <family val="1"/>
      </rPr>
      <t>H</t>
    </r>
  </si>
  <si>
    <r>
      <t>X</t>
    </r>
    <r>
      <rPr>
        <vertAlign val="subscript"/>
        <sz val="11"/>
        <color rgb="FF000000"/>
        <rFont val="Palatino Linotype"/>
        <family val="1"/>
      </rPr>
      <t>R</t>
    </r>
  </si>
  <si>
    <r>
      <t>Effy</t>
    </r>
    <r>
      <rPr>
        <vertAlign val="subscript"/>
        <sz val="11"/>
        <color rgb="FF000000"/>
        <rFont val="Palatino Linotype"/>
        <family val="1"/>
      </rPr>
      <t>SS,M</t>
    </r>
  </si>
  <si>
    <r>
      <t>Effy</t>
    </r>
    <r>
      <rPr>
        <vertAlign val="subscript"/>
        <sz val="11"/>
        <color rgb="FF000000"/>
        <rFont val="Palatino Linotype"/>
        <family val="1"/>
      </rPr>
      <t>SS,W</t>
    </r>
  </si>
  <si>
    <r>
      <t>Q</t>
    </r>
    <r>
      <rPr>
        <vertAlign val="subscript"/>
        <sz val="11"/>
        <color rgb="FF000000"/>
        <rFont val="Palatino Linotype"/>
        <family val="1"/>
      </rPr>
      <t>OUT,M</t>
    </r>
  </si>
  <si>
    <r>
      <t>C</t>
    </r>
    <r>
      <rPr>
        <vertAlign val="subscript"/>
        <sz val="11"/>
        <color rgb="FF000000"/>
        <rFont val="Palatino Linotype"/>
        <family val="1"/>
      </rPr>
      <t>P</t>
    </r>
  </si>
  <si>
    <r>
      <t>K</t>
    </r>
    <r>
      <rPr>
        <vertAlign val="subscript"/>
        <sz val="11"/>
        <color rgb="FF000000"/>
        <rFont val="Palatino Linotype"/>
        <family val="1"/>
      </rPr>
      <t>S,ON</t>
    </r>
  </si>
  <si>
    <r>
      <t>K</t>
    </r>
    <r>
      <rPr>
        <vertAlign val="subscript"/>
        <sz val="11"/>
        <color rgb="FF000000"/>
        <rFont val="Palatino Linotype"/>
        <family val="1"/>
      </rPr>
      <t>I,ON</t>
    </r>
  </si>
  <si>
    <r>
      <t>L</t>
    </r>
    <r>
      <rPr>
        <vertAlign val="subscript"/>
        <sz val="11"/>
        <color rgb="FF000000"/>
        <rFont val="Palatino Linotype"/>
        <family val="1"/>
      </rPr>
      <t>I,ON,M</t>
    </r>
  </si>
  <si>
    <r>
      <t>Effy</t>
    </r>
    <r>
      <rPr>
        <vertAlign val="subscript"/>
        <sz val="11"/>
        <color rgb="FF000000"/>
        <rFont val="Palatino Linotype"/>
        <family val="1"/>
      </rPr>
      <t>U,M</t>
    </r>
  </si>
  <si>
    <r>
      <t>T</t>
    </r>
    <r>
      <rPr>
        <vertAlign val="subscript"/>
        <sz val="11"/>
        <color rgb="FF000000"/>
        <rFont val="Palatino Linotype"/>
        <family val="1"/>
      </rPr>
      <t>S,SS</t>
    </r>
  </si>
  <si>
    <r>
      <t>t</t>
    </r>
    <r>
      <rPr>
        <vertAlign val="subscript"/>
        <sz val="11"/>
        <color rgb="FF000000"/>
        <rFont val="Palatino Linotype"/>
        <family val="1"/>
      </rPr>
      <t>1</t>
    </r>
  </si>
  <si>
    <r>
      <t>t</t>
    </r>
    <r>
      <rPr>
        <vertAlign val="subscript"/>
        <sz val="11"/>
        <color rgb="FF000000"/>
        <rFont val="Palatino Linotype"/>
        <family val="1"/>
      </rPr>
      <t>2</t>
    </r>
  </si>
  <si>
    <r>
      <t>T</t>
    </r>
    <r>
      <rPr>
        <vertAlign val="subscript"/>
        <sz val="11"/>
        <color rgb="FF000000"/>
        <rFont val="Palatino Linotype"/>
        <family val="1"/>
      </rPr>
      <t>F,ON</t>
    </r>
    <r>
      <rPr>
        <sz val="11"/>
        <color indexed="8"/>
        <rFont val="Palatino Linotype"/>
        <family val="1"/>
      </rPr>
      <t>(t</t>
    </r>
    <r>
      <rPr>
        <vertAlign val="subscript"/>
        <sz val="11"/>
        <color rgb="FF000000"/>
        <rFont val="Palatino Linotype"/>
        <family val="1"/>
      </rPr>
      <t>1</t>
    </r>
    <r>
      <rPr>
        <sz val="11"/>
        <color indexed="8"/>
        <rFont val="Palatino Linotype"/>
        <family val="1"/>
      </rPr>
      <t>)</t>
    </r>
  </si>
  <si>
    <r>
      <t>T</t>
    </r>
    <r>
      <rPr>
        <vertAlign val="subscript"/>
        <sz val="11"/>
        <color rgb="FF000000"/>
        <rFont val="Palatino Linotype"/>
        <family val="1"/>
      </rPr>
      <t>F,ON</t>
    </r>
    <r>
      <rPr>
        <sz val="11"/>
        <color indexed="8"/>
        <rFont val="Palatino Linotype"/>
        <family val="1"/>
      </rPr>
      <t>(t</t>
    </r>
    <r>
      <rPr>
        <vertAlign val="subscript"/>
        <sz val="11"/>
        <color rgb="FF000000"/>
        <rFont val="Palatino Linotype"/>
        <family val="1"/>
      </rPr>
      <t>2</t>
    </r>
    <r>
      <rPr>
        <sz val="11"/>
        <color indexed="8"/>
        <rFont val="Palatino Linotype"/>
        <family val="1"/>
      </rPr>
      <t>)</t>
    </r>
  </si>
  <si>
    <r>
      <t>τ</t>
    </r>
    <r>
      <rPr>
        <vertAlign val="subscript"/>
        <sz val="11"/>
        <color rgb="FF000000"/>
        <rFont val="Palatino Linotype"/>
        <family val="1"/>
      </rPr>
      <t>ON</t>
    </r>
  </si>
  <si>
    <r>
      <t>θ</t>
    </r>
    <r>
      <rPr>
        <vertAlign val="subscript"/>
        <sz val="11"/>
        <color rgb="FF000000"/>
        <rFont val="Palatino Linotype"/>
        <family val="1"/>
      </rPr>
      <t>F,O,X</t>
    </r>
  </si>
  <si>
    <r>
      <t>t</t>
    </r>
    <r>
      <rPr>
        <vertAlign val="subscript"/>
        <sz val="11"/>
        <color rgb="FF000000"/>
        <rFont val="Palatino Linotype"/>
        <family val="1"/>
      </rPr>
      <t>3</t>
    </r>
  </si>
  <si>
    <r>
      <t>t</t>
    </r>
    <r>
      <rPr>
        <vertAlign val="subscript"/>
        <sz val="11"/>
        <color rgb="FF000000"/>
        <rFont val="Palatino Linotype"/>
        <family val="1"/>
      </rPr>
      <t>4</t>
    </r>
  </si>
  <si>
    <r>
      <t>t</t>
    </r>
    <r>
      <rPr>
        <vertAlign val="subscript"/>
        <sz val="11"/>
        <color rgb="FF000000"/>
        <rFont val="Palatino Linotype"/>
        <family val="1"/>
      </rPr>
      <t>5</t>
    </r>
  </si>
  <si>
    <r>
      <t>t</t>
    </r>
    <r>
      <rPr>
        <vertAlign val="subscript"/>
        <sz val="11"/>
        <color rgb="FF000000"/>
        <rFont val="Palatino Linotype"/>
        <family val="1"/>
      </rPr>
      <t>p</t>
    </r>
  </si>
  <si>
    <r>
      <t>T</t>
    </r>
    <r>
      <rPr>
        <vertAlign val="subscript"/>
        <sz val="11"/>
        <color rgb="FF000000"/>
        <rFont val="Palatino Linotype"/>
        <family val="1"/>
      </rPr>
      <t>F,OFF</t>
    </r>
    <r>
      <rPr>
        <sz val="11"/>
        <color indexed="8"/>
        <rFont val="Palatino Linotype"/>
        <family val="1"/>
      </rPr>
      <t>(t</t>
    </r>
    <r>
      <rPr>
        <vertAlign val="subscript"/>
        <sz val="11"/>
        <color rgb="FF000000"/>
        <rFont val="Palatino Linotype"/>
        <family val="1"/>
      </rPr>
      <t>3</t>
    </r>
    <r>
      <rPr>
        <sz val="11"/>
        <color indexed="8"/>
        <rFont val="Palatino Linotype"/>
        <family val="1"/>
      </rPr>
      <t>)</t>
    </r>
  </si>
  <si>
    <r>
      <t>T</t>
    </r>
    <r>
      <rPr>
        <vertAlign val="subscript"/>
        <sz val="11"/>
        <color rgb="FF000000"/>
        <rFont val="Palatino Linotype"/>
        <family val="1"/>
      </rPr>
      <t>F,OFF</t>
    </r>
    <r>
      <rPr>
        <sz val="11"/>
        <color indexed="8"/>
        <rFont val="Palatino Linotype"/>
        <family val="1"/>
      </rPr>
      <t>(t</t>
    </r>
    <r>
      <rPr>
        <vertAlign val="subscript"/>
        <sz val="11"/>
        <color rgb="FF000000"/>
        <rFont val="Palatino Linotype"/>
        <family val="1"/>
      </rPr>
      <t>4</t>
    </r>
    <r>
      <rPr>
        <sz val="11"/>
        <color indexed="8"/>
        <rFont val="Palatino Linotype"/>
        <family val="1"/>
      </rPr>
      <t>)</t>
    </r>
  </si>
  <si>
    <r>
      <t>T</t>
    </r>
    <r>
      <rPr>
        <vertAlign val="subscript"/>
        <sz val="11"/>
        <color rgb="FF000000"/>
        <rFont val="Palatino Linotype"/>
        <family val="1"/>
      </rPr>
      <t>F,OFF</t>
    </r>
    <r>
      <rPr>
        <sz val="11"/>
        <color indexed="8"/>
        <rFont val="Palatino Linotype"/>
        <family val="1"/>
      </rPr>
      <t>(t</t>
    </r>
    <r>
      <rPr>
        <vertAlign val="subscript"/>
        <sz val="11"/>
        <color rgb="FF000000"/>
        <rFont val="Palatino Linotype"/>
        <family val="1"/>
      </rPr>
      <t>5</t>
    </r>
    <r>
      <rPr>
        <sz val="11"/>
        <color indexed="8"/>
        <rFont val="Palatino Linotype"/>
        <family val="1"/>
      </rPr>
      <t>)</t>
    </r>
  </si>
  <si>
    <r>
      <t>τ</t>
    </r>
    <r>
      <rPr>
        <vertAlign val="subscript"/>
        <sz val="11"/>
        <color rgb="FF000000"/>
        <rFont val="Palatino Linotype"/>
        <family val="1"/>
      </rPr>
      <t>OFF</t>
    </r>
  </si>
  <si>
    <r>
      <t>ψ</t>
    </r>
    <r>
      <rPr>
        <vertAlign val="subscript"/>
        <sz val="11"/>
        <color rgb="FF000000"/>
        <rFont val="Palatino Linotype"/>
        <family val="1"/>
      </rPr>
      <t>F,O,X</t>
    </r>
  </si>
  <si>
    <r>
      <t>ψ</t>
    </r>
    <r>
      <rPr>
        <vertAlign val="subscript"/>
        <sz val="11"/>
        <color rgb="FF000000"/>
        <rFont val="Palatino Linotype"/>
        <family val="1"/>
      </rPr>
      <t>F,∞,X</t>
    </r>
  </si>
  <si>
    <r>
      <t>M</t>
    </r>
    <r>
      <rPr>
        <vertAlign val="subscript"/>
        <sz val="11"/>
        <color rgb="FF000000"/>
        <rFont val="Palatino Linotype"/>
        <family val="1"/>
      </rPr>
      <t>F,ON</t>
    </r>
  </si>
  <si>
    <r>
      <t>M</t>
    </r>
    <r>
      <rPr>
        <vertAlign val="subscript"/>
        <sz val="11"/>
        <color rgb="FF000000"/>
        <rFont val="Palatino Linotype"/>
        <family val="1"/>
      </rPr>
      <t>F,M</t>
    </r>
  </si>
  <si>
    <r>
      <t>T</t>
    </r>
    <r>
      <rPr>
        <vertAlign val="subscript"/>
        <sz val="11"/>
        <color rgb="FF000000"/>
        <rFont val="Palatino Linotype"/>
        <family val="1"/>
      </rPr>
      <t>F,OFF</t>
    </r>
  </si>
  <si>
    <r>
      <t>M</t>
    </r>
    <r>
      <rPr>
        <vertAlign val="subscript"/>
        <sz val="11"/>
        <color rgb="FF000000"/>
        <rFont val="Palatino Linotype"/>
        <family val="1"/>
      </rPr>
      <t>F,OFF</t>
    </r>
  </si>
  <si>
    <r>
      <t>D</t>
    </r>
    <r>
      <rPr>
        <vertAlign val="subscript"/>
        <sz val="11"/>
        <color rgb="FF000000"/>
        <rFont val="Palatino Linotype"/>
        <family val="1"/>
      </rPr>
      <t>P</t>
    </r>
  </si>
  <si>
    <r>
      <t>D</t>
    </r>
    <r>
      <rPr>
        <vertAlign val="subscript"/>
        <sz val="11"/>
        <color rgb="FF000000"/>
        <rFont val="Palatino Linotype"/>
        <family val="1"/>
      </rPr>
      <t>F</t>
    </r>
  </si>
  <si>
    <r>
      <t>D</t>
    </r>
    <r>
      <rPr>
        <vertAlign val="subscript"/>
        <sz val="11"/>
        <color rgb="FF000000"/>
        <rFont val="Palatino Linotype"/>
        <family val="1"/>
      </rPr>
      <t>S</t>
    </r>
  </si>
  <si>
    <r>
      <t>K</t>
    </r>
    <r>
      <rPr>
        <vertAlign val="subscript"/>
        <sz val="11"/>
        <color rgb="FF000000"/>
        <rFont val="Palatino Linotype"/>
        <family val="1"/>
      </rPr>
      <t>L</t>
    </r>
  </si>
  <si>
    <r>
      <t>D</t>
    </r>
    <r>
      <rPr>
        <vertAlign val="subscript"/>
        <sz val="11"/>
        <color rgb="FF000000"/>
        <rFont val="Palatino Linotype"/>
        <family val="1"/>
      </rPr>
      <t>S</t>
    </r>
    <r>
      <rPr>
        <vertAlign val="superscript"/>
        <sz val="11"/>
        <color rgb="FF000000"/>
        <rFont val="Palatino Linotype"/>
        <family val="1"/>
      </rPr>
      <t>O</t>
    </r>
  </si>
  <si>
    <r>
      <t>ψ</t>
    </r>
    <r>
      <rPr>
        <vertAlign val="subscript"/>
        <sz val="11"/>
        <color rgb="FF000000"/>
        <rFont val="Palatino Linotype"/>
        <family val="1"/>
      </rPr>
      <t>S,∞,X</t>
    </r>
  </si>
  <si>
    <r>
      <t>ψ</t>
    </r>
    <r>
      <rPr>
        <vertAlign val="subscript"/>
        <sz val="11"/>
        <color rgb="FF000000"/>
        <rFont val="Palatino Linotype"/>
        <family val="1"/>
      </rPr>
      <t>S,O,X</t>
    </r>
  </si>
  <si>
    <r>
      <t>t</t>
    </r>
    <r>
      <rPr>
        <vertAlign val="subscript"/>
        <sz val="11"/>
        <color rgb="FF000000"/>
        <rFont val="Palatino Linotype"/>
        <family val="1"/>
      </rPr>
      <t>ON</t>
    </r>
  </si>
  <si>
    <r>
      <t>R</t>
    </r>
    <r>
      <rPr>
        <vertAlign val="subscript"/>
        <sz val="11"/>
        <color rgb="FF000000"/>
        <rFont val="Palatino Linotype"/>
        <family val="1"/>
      </rPr>
      <t>ON</t>
    </r>
  </si>
  <si>
    <r>
      <t>t</t>
    </r>
    <r>
      <rPr>
        <vertAlign val="subscript"/>
        <sz val="11"/>
        <color rgb="FF000000"/>
        <rFont val="Palatino Linotype"/>
        <family val="1"/>
      </rPr>
      <t>OFF</t>
    </r>
  </si>
  <si>
    <r>
      <t>R</t>
    </r>
    <r>
      <rPr>
        <vertAlign val="subscript"/>
        <sz val="11"/>
        <color rgb="FF000000"/>
        <rFont val="Palatino Linotype"/>
        <family val="1"/>
      </rPr>
      <t>OFF</t>
    </r>
  </si>
  <si>
    <r>
      <t>C</t>
    </r>
    <r>
      <rPr>
        <vertAlign val="subscript"/>
        <sz val="11"/>
        <color rgb="FF000000"/>
        <rFont val="Palatino Linotype"/>
        <family val="1"/>
      </rPr>
      <t>T,ON</t>
    </r>
  </si>
  <si>
    <r>
      <t>C</t>
    </r>
    <r>
      <rPr>
        <vertAlign val="subscript"/>
        <sz val="11"/>
        <color rgb="FF000000"/>
        <rFont val="Palatino Linotype"/>
        <family val="1"/>
      </rPr>
      <t>IID</t>
    </r>
  </si>
  <si>
    <r>
      <t>C</t>
    </r>
    <r>
      <rPr>
        <vertAlign val="subscript"/>
        <sz val="11"/>
        <color rgb="FF000000"/>
        <rFont val="Palatino Linotype"/>
        <family val="1"/>
      </rPr>
      <t>T,OFF</t>
    </r>
  </si>
  <si>
    <r>
      <t>C'</t>
    </r>
    <r>
      <rPr>
        <vertAlign val="subscript"/>
        <sz val="11"/>
        <color rgb="FF000000"/>
        <rFont val="Palatino Linotype"/>
        <family val="1"/>
      </rPr>
      <t>S</t>
    </r>
  </si>
  <si>
    <r>
      <t>ψ</t>
    </r>
    <r>
      <rPr>
        <vertAlign val="subscript"/>
        <sz val="11"/>
        <color rgb="FF000000"/>
        <rFont val="Palatino Linotype"/>
        <family val="1"/>
      </rPr>
      <t>F,O</t>
    </r>
  </si>
  <si>
    <r>
      <t>ψ</t>
    </r>
    <r>
      <rPr>
        <vertAlign val="subscript"/>
        <sz val="11"/>
        <color rgb="FF000000"/>
        <rFont val="Palatino Linotype"/>
        <family val="1"/>
      </rPr>
      <t>F,∞</t>
    </r>
  </si>
  <si>
    <r>
      <t>ψ</t>
    </r>
    <r>
      <rPr>
        <vertAlign val="subscript"/>
        <sz val="11"/>
        <color rgb="FF000000"/>
        <rFont val="Palatino Linotype"/>
        <family val="1"/>
      </rPr>
      <t>S,O</t>
    </r>
  </si>
  <si>
    <r>
      <t>D</t>
    </r>
    <r>
      <rPr>
        <vertAlign val="subscript"/>
        <sz val="11"/>
        <color rgb="FF000000"/>
        <rFont val="Palatino Linotype"/>
        <family val="1"/>
      </rPr>
      <t>O</t>
    </r>
  </si>
  <si>
    <r>
      <t>D</t>
    </r>
    <r>
      <rPr>
        <vertAlign val="subscript"/>
        <sz val="11"/>
        <color rgb="FF000000"/>
        <rFont val="Palatino Linotype"/>
        <family val="1"/>
      </rPr>
      <t>OI</t>
    </r>
  </si>
  <si>
    <r>
      <t>C</t>
    </r>
    <r>
      <rPr>
        <vertAlign val="subscript"/>
        <sz val="11"/>
        <color rgb="FF000000"/>
        <rFont val="Palatino Linotype"/>
        <family val="1"/>
      </rPr>
      <t>S</t>
    </r>
  </si>
  <si>
    <r>
      <t>θ</t>
    </r>
    <r>
      <rPr>
        <vertAlign val="subscript"/>
        <sz val="11"/>
        <color rgb="FF000000"/>
        <rFont val="Palatino Linotype"/>
        <family val="1"/>
      </rPr>
      <t>F,O</t>
    </r>
  </si>
  <si>
    <r>
      <t>K</t>
    </r>
    <r>
      <rPr>
        <vertAlign val="subscript"/>
        <sz val="11"/>
        <color rgb="FF000000"/>
        <rFont val="Palatino Linotype"/>
        <family val="1"/>
      </rPr>
      <t>S,OFF</t>
    </r>
  </si>
  <si>
    <r>
      <t>K</t>
    </r>
    <r>
      <rPr>
        <vertAlign val="subscript"/>
        <sz val="11"/>
        <color rgb="FF000000"/>
        <rFont val="Palatino Linotype"/>
        <family val="1"/>
      </rPr>
      <t>I,OFF</t>
    </r>
  </si>
  <si>
    <r>
      <t>L</t>
    </r>
    <r>
      <rPr>
        <vertAlign val="subscript"/>
        <sz val="11"/>
        <color rgb="FF000000"/>
        <rFont val="Palatino Linotype"/>
        <family val="1"/>
      </rPr>
      <t>S,ON</t>
    </r>
  </si>
  <si>
    <r>
      <t>C</t>
    </r>
    <r>
      <rPr>
        <vertAlign val="subscript"/>
        <sz val="11"/>
        <color rgb="FF000000"/>
        <rFont val="Palatino Linotype"/>
        <family val="1"/>
      </rPr>
      <t>TS</t>
    </r>
  </si>
  <si>
    <r>
      <t>T</t>
    </r>
    <r>
      <rPr>
        <vertAlign val="subscript"/>
        <sz val="11"/>
        <color rgb="FF000000"/>
        <rFont val="Palatino Linotype"/>
        <family val="1"/>
      </rPr>
      <t>F,OFF</t>
    </r>
    <r>
      <rPr>
        <sz val="11"/>
        <color indexed="8"/>
        <rFont val="Palatino Linotype"/>
        <family val="1"/>
      </rPr>
      <t>(t</t>
    </r>
    <r>
      <rPr>
        <vertAlign val="subscript"/>
        <sz val="11"/>
        <color rgb="FF000000"/>
        <rFont val="Palatino Linotype"/>
        <family val="1"/>
      </rPr>
      <t>P</t>
    </r>
    <r>
      <rPr>
        <sz val="11"/>
        <color indexed="8"/>
        <rFont val="Palatino Linotype"/>
        <family val="1"/>
      </rPr>
      <t>)</t>
    </r>
  </si>
  <si>
    <r>
      <t>L</t>
    </r>
    <r>
      <rPr>
        <vertAlign val="subscript"/>
        <sz val="11"/>
        <color rgb="FF000000"/>
        <rFont val="Palatino Linotype"/>
        <family val="1"/>
      </rPr>
      <t>S,OFF1</t>
    </r>
  </si>
  <si>
    <r>
      <t>L</t>
    </r>
    <r>
      <rPr>
        <vertAlign val="subscript"/>
        <sz val="11"/>
        <color rgb="FF000000"/>
        <rFont val="Palatino Linotype"/>
        <family val="1"/>
      </rPr>
      <t>S,OFF2</t>
    </r>
  </si>
  <si>
    <r>
      <t>L</t>
    </r>
    <r>
      <rPr>
        <vertAlign val="subscript"/>
        <sz val="11"/>
        <color rgb="FF000000"/>
        <rFont val="Palatino Linotype"/>
        <family val="1"/>
      </rPr>
      <t>S,OFF</t>
    </r>
  </si>
  <si>
    <r>
      <t>L</t>
    </r>
    <r>
      <rPr>
        <vertAlign val="subscript"/>
        <sz val="11"/>
        <color rgb="FF000000"/>
        <rFont val="Palatino Linotype"/>
        <family val="1"/>
      </rPr>
      <t>I,ON</t>
    </r>
  </si>
  <si>
    <r>
      <t>L</t>
    </r>
    <r>
      <rPr>
        <vertAlign val="subscript"/>
        <sz val="11"/>
        <color rgb="FF000000"/>
        <rFont val="Palatino Linotype"/>
        <family val="1"/>
      </rPr>
      <t>I,OFF1</t>
    </r>
  </si>
  <si>
    <r>
      <t>L</t>
    </r>
    <r>
      <rPr>
        <vertAlign val="subscript"/>
        <sz val="11"/>
        <color rgb="FF000000"/>
        <rFont val="Palatino Linotype"/>
        <family val="1"/>
      </rPr>
      <t>I,OFF2</t>
    </r>
    <r>
      <rPr>
        <sz val="11"/>
        <color theme="1"/>
        <rFont val="Calibri"/>
        <family val="2"/>
        <scheme val="minor"/>
      </rPr>
      <t/>
    </r>
  </si>
  <si>
    <r>
      <t>L</t>
    </r>
    <r>
      <rPr>
        <vertAlign val="subscript"/>
        <sz val="11"/>
        <color rgb="FF000000"/>
        <rFont val="Palatino Linotype"/>
        <family val="1"/>
      </rPr>
      <t>I,OFF</t>
    </r>
  </si>
  <si>
    <r>
      <t>C</t>
    </r>
    <r>
      <rPr>
        <vertAlign val="subscript"/>
        <sz val="11"/>
        <color rgb="FF000000"/>
        <rFont val="Palatino Linotype"/>
        <family val="1"/>
      </rPr>
      <t>J</t>
    </r>
  </si>
  <si>
    <r>
      <t>Q</t>
    </r>
    <r>
      <rPr>
        <vertAlign val="subscript"/>
        <sz val="11"/>
        <color rgb="FF000000"/>
        <rFont val="Palatino Linotype"/>
        <family val="1"/>
      </rPr>
      <t>P</t>
    </r>
  </si>
  <si>
    <r>
      <t>M</t>
    </r>
    <r>
      <rPr>
        <vertAlign val="subscript"/>
        <sz val="11"/>
        <color rgb="FF000000"/>
        <rFont val="Palatino Linotype"/>
        <family val="1"/>
      </rPr>
      <t>C</t>
    </r>
  </si>
  <si>
    <r>
      <t>Q</t>
    </r>
    <r>
      <rPr>
        <vertAlign val="subscript"/>
        <sz val="11"/>
        <color rgb="FF000000"/>
        <rFont val="Palatino Linotype"/>
        <family val="1"/>
      </rPr>
      <t>C</t>
    </r>
  </si>
  <si>
    <r>
      <t>L</t>
    </r>
    <r>
      <rPr>
        <vertAlign val="subscript"/>
        <sz val="11"/>
        <color rgb="FF000000"/>
        <rFont val="Palatino Linotype"/>
        <family val="1"/>
      </rPr>
      <t>G</t>
    </r>
  </si>
  <si>
    <r>
      <t>L</t>
    </r>
    <r>
      <rPr>
        <vertAlign val="subscript"/>
        <sz val="11"/>
        <color rgb="FF000000"/>
        <rFont val="Palatino Linotype"/>
        <family val="1"/>
      </rPr>
      <t>C</t>
    </r>
  </si>
  <si>
    <r>
      <t>Effy</t>
    </r>
    <r>
      <rPr>
        <vertAlign val="subscript"/>
        <sz val="11"/>
        <color rgb="FF000000"/>
        <rFont val="Palatino Linotype"/>
        <family val="1"/>
      </rPr>
      <t>U,R</t>
    </r>
  </si>
  <si>
    <r>
      <t>Effy</t>
    </r>
    <r>
      <rPr>
        <vertAlign val="subscript"/>
        <sz val="11"/>
        <color rgb="FF000000"/>
        <rFont val="Palatino Linotype"/>
        <family val="1"/>
      </rPr>
      <t>U,H</t>
    </r>
  </si>
  <si>
    <r>
      <t>Effy</t>
    </r>
    <r>
      <rPr>
        <vertAlign val="subscript"/>
        <sz val="11"/>
        <color rgb="FF000000"/>
        <rFont val="Palatino Linotype"/>
        <family val="1"/>
      </rPr>
      <t>HS</t>
    </r>
  </si>
  <si>
    <r>
      <t>Number of Segments between t/t</t>
    </r>
    <r>
      <rPr>
        <vertAlign val="subscript"/>
        <sz val="11"/>
        <color rgb="FF000000"/>
        <rFont val="Palatino Linotype"/>
        <family val="1"/>
      </rPr>
      <t>OFF</t>
    </r>
    <r>
      <rPr>
        <sz val="11"/>
        <color indexed="8"/>
        <rFont val="Palatino Linotype"/>
        <family val="1"/>
      </rPr>
      <t xml:space="preserve"> = 0 to t/t</t>
    </r>
    <r>
      <rPr>
        <vertAlign val="subscript"/>
        <sz val="11"/>
        <color rgb="FF000000"/>
        <rFont val="Palatino Linotype"/>
        <family val="1"/>
      </rPr>
      <t>OFF</t>
    </r>
    <r>
      <rPr>
        <sz val="11"/>
        <color indexed="8"/>
        <rFont val="Palatino Linotype"/>
        <family val="1"/>
      </rPr>
      <t xml:space="preserve"> = 1.0</t>
    </r>
  </si>
  <si>
    <r>
      <t>h</t>
    </r>
    <r>
      <rPr>
        <vertAlign val="subscript"/>
        <sz val="11"/>
        <color rgb="FF000000"/>
        <rFont val="Palatino Linotype"/>
        <family val="1"/>
      </rPr>
      <t>j</t>
    </r>
  </si>
  <si>
    <r>
      <t>ψ</t>
    </r>
    <r>
      <rPr>
        <vertAlign val="subscript"/>
        <sz val="11"/>
        <color rgb="FF000000"/>
        <rFont val="Palatino Linotype"/>
        <family val="1"/>
      </rPr>
      <t>S,∞,j</t>
    </r>
  </si>
  <si>
    <r>
      <t>ψ</t>
    </r>
    <r>
      <rPr>
        <vertAlign val="subscript"/>
        <sz val="11"/>
        <color rgb="FF000000"/>
        <rFont val="Palatino Linotype"/>
        <family val="1"/>
      </rPr>
      <t>S,O,j</t>
    </r>
  </si>
  <si>
    <r>
      <t>R</t>
    </r>
    <r>
      <rPr>
        <vertAlign val="subscript"/>
        <sz val="11"/>
        <color rgb="FF000000"/>
        <rFont val="Palatino Linotype"/>
        <family val="1"/>
      </rPr>
      <t>OFF,Modified</t>
    </r>
  </si>
  <si>
    <r>
      <t>Δ</t>
    </r>
    <r>
      <rPr>
        <sz val="8.8000000000000007"/>
        <color indexed="8"/>
        <rFont val="Palatino Linotype"/>
        <family val="1"/>
      </rPr>
      <t>t</t>
    </r>
  </si>
  <si>
    <r>
      <t>R</t>
    </r>
    <r>
      <rPr>
        <b/>
        <vertAlign val="subscript"/>
        <sz val="11"/>
        <color theme="1"/>
        <rFont val="Palatino Linotype"/>
        <family val="1"/>
      </rPr>
      <t>OFF</t>
    </r>
    <r>
      <rPr>
        <b/>
        <sz val="11"/>
        <color theme="1"/>
        <rFont val="Palatino Linotype"/>
        <family val="1"/>
      </rPr>
      <t xml:space="preserve"> Used</t>
    </r>
  </si>
  <si>
    <t>ψ Used</t>
  </si>
  <si>
    <r>
      <t>t/τ</t>
    </r>
    <r>
      <rPr>
        <vertAlign val="subscript"/>
        <sz val="11"/>
        <color theme="1"/>
        <rFont val="Palatino Linotype"/>
        <family val="1"/>
      </rPr>
      <t>off</t>
    </r>
  </si>
  <si>
    <t>Coefficient for Test Fuel</t>
  </si>
  <si>
    <t>Corrected Shutdown Burner Cycling Effect Correction Factor (Variable is not actually named in ANSI/ASHRAE)</t>
  </si>
  <si>
    <t>Average Annual Heating Degree-Days</t>
  </si>
  <si>
    <t>°F-days</t>
  </si>
  <si>
    <t>Average Non-Heating-Season Hours per Year</t>
  </si>
  <si>
    <t>h/yr</t>
  </si>
  <si>
    <t>Heating Degree-Days per Day at 65°F – 5°F divided by 24 h/day</t>
  </si>
  <si>
    <r>
      <t>PE</t>
    </r>
    <r>
      <rPr>
        <vertAlign val="subscript"/>
        <sz val="11"/>
        <color rgb="FF000000"/>
        <rFont val="Palatino Linotype"/>
        <family val="1"/>
      </rPr>
      <t>IG</t>
    </r>
  </si>
  <si>
    <r>
      <t>t</t>
    </r>
    <r>
      <rPr>
        <vertAlign val="subscript"/>
        <sz val="11"/>
        <color rgb="FF000000"/>
        <rFont val="Palatino Linotype"/>
        <family val="1"/>
      </rPr>
      <t>IG</t>
    </r>
  </si>
  <si>
    <r>
      <t>E</t>
    </r>
    <r>
      <rPr>
        <vertAlign val="subscript"/>
        <sz val="11"/>
        <color rgb="FF000000"/>
        <rFont val="Palatino Linotype"/>
        <family val="1"/>
      </rPr>
      <t>IN</t>
    </r>
  </si>
  <si>
    <r>
      <t>Q</t>
    </r>
    <r>
      <rPr>
        <vertAlign val="subscript"/>
        <sz val="11"/>
        <color rgb="FF000000"/>
        <rFont val="Palatino Linotype"/>
        <family val="1"/>
      </rPr>
      <t>C,SS</t>
    </r>
  </si>
  <si>
    <r>
      <t>M</t>
    </r>
    <r>
      <rPr>
        <vertAlign val="subscript"/>
        <sz val="11"/>
        <color rgb="FF000000"/>
        <rFont val="Palatino Linotype"/>
        <family val="1"/>
      </rPr>
      <t>C,SS</t>
    </r>
  </si>
  <si>
    <r>
      <t>T</t>
    </r>
    <r>
      <rPr>
        <vertAlign val="subscript"/>
        <sz val="11"/>
        <color rgb="FF000000"/>
        <rFont val="Palatino Linotype"/>
        <family val="1"/>
      </rPr>
      <t>F,OFF</t>
    </r>
    <r>
      <rPr>
        <sz val="11"/>
        <color indexed="8"/>
        <rFont val="Palatino Linotype"/>
        <family val="1"/>
      </rPr>
      <t>(t</t>
    </r>
    <r>
      <rPr>
        <vertAlign val="subscript"/>
        <sz val="11"/>
        <color rgb="FF000000"/>
        <rFont val="Palatino Linotype"/>
        <family val="1"/>
      </rPr>
      <t>p</t>
    </r>
    <r>
      <rPr>
        <sz val="11"/>
        <color indexed="8"/>
        <rFont val="Palatino Linotype"/>
        <family val="1"/>
      </rPr>
      <t>)</t>
    </r>
  </si>
  <si>
    <r>
      <t>V</t>
    </r>
    <r>
      <rPr>
        <vertAlign val="subscript"/>
        <sz val="11"/>
        <color rgb="FF000000"/>
        <rFont val="Palatino Linotype"/>
        <family val="1"/>
      </rPr>
      <t>T</t>
    </r>
  </si>
  <si>
    <r>
      <t>C</t>
    </r>
    <r>
      <rPr>
        <vertAlign val="subscript"/>
        <sz val="11"/>
        <color rgb="FF000000"/>
        <rFont val="Palatino Linotype"/>
        <family val="1"/>
      </rPr>
      <t>T</t>
    </r>
  </si>
  <si>
    <r>
      <t>T</t>
    </r>
    <r>
      <rPr>
        <vertAlign val="subscript"/>
        <sz val="11"/>
        <color rgb="FF000000"/>
        <rFont val="Palatino Linotype"/>
        <family val="1"/>
      </rPr>
      <t>T</t>
    </r>
  </si>
  <si>
    <r>
      <t>P</t>
    </r>
    <r>
      <rPr>
        <vertAlign val="subscript"/>
        <sz val="11"/>
        <color rgb="FF000000"/>
        <rFont val="Palatino Linotype"/>
        <family val="1"/>
      </rPr>
      <t>B</t>
    </r>
  </si>
  <si>
    <r>
      <rPr>
        <sz val="11"/>
        <color indexed="8"/>
        <rFont val="Calibri"/>
        <family val="2"/>
      </rPr>
      <t>ρ</t>
    </r>
    <r>
      <rPr>
        <vertAlign val="subscript"/>
        <sz val="9.35"/>
        <color rgb="FF000000"/>
        <rFont val="Palatino Linotype"/>
        <family val="1"/>
      </rPr>
      <t>F</t>
    </r>
  </si>
  <si>
    <r>
      <t>C</t>
    </r>
    <r>
      <rPr>
        <vertAlign val="subscript"/>
        <sz val="11"/>
        <color rgb="FF000000"/>
        <rFont val="Palatino Linotype"/>
        <family val="1"/>
      </rPr>
      <t>TB</t>
    </r>
  </si>
  <si>
    <r>
      <t>C</t>
    </r>
    <r>
      <rPr>
        <vertAlign val="subscript"/>
        <sz val="11"/>
        <color rgb="FF000000"/>
        <rFont val="Palatino Linotype"/>
        <family val="1"/>
      </rPr>
      <t>TM</t>
    </r>
  </si>
  <si>
    <r>
      <t>T</t>
    </r>
    <r>
      <rPr>
        <vertAlign val="subscript"/>
        <sz val="11"/>
        <color rgb="FF000000"/>
        <rFont val="Palatino Linotype"/>
        <family val="1"/>
      </rPr>
      <t>S,OFF</t>
    </r>
  </si>
  <si>
    <r>
      <t>Q</t>
    </r>
    <r>
      <rPr>
        <vertAlign val="subscript"/>
        <sz val="11"/>
        <color rgb="FF000000"/>
        <rFont val="Palatino Linotype"/>
        <family val="1"/>
      </rPr>
      <t>S,OFF</t>
    </r>
  </si>
  <si>
    <t>National Average Heating Load Hours</t>
  </si>
  <si>
    <t>h</t>
  </si>
  <si>
    <t>Adjusts the calculated DHR and heating load hours to the actual heating load experienced by the heating system</t>
  </si>
  <si>
    <t>Ratio of Power Burner Combustion Blower On-Time to Average Burner On-Time</t>
  </si>
  <si>
    <t>Ratio of Electrical Interrupted Ignition Device On-Time to Average Burner On-Time</t>
  </si>
  <si>
    <t>Electrical Power to the Interrupted Ignition Device</t>
  </si>
  <si>
    <t>Electrical Power to Burner</t>
  </si>
  <si>
    <t>Electrical Power to Circulating Air Blower or Water Pump</t>
  </si>
  <si>
    <r>
      <t>y</t>
    </r>
    <r>
      <rPr>
        <vertAlign val="subscript"/>
        <sz val="11"/>
        <color rgb="FF000000"/>
        <rFont val="Palatino Linotype"/>
        <family val="1"/>
      </rPr>
      <t>p</t>
    </r>
  </si>
  <si>
    <r>
      <t>y</t>
    </r>
    <r>
      <rPr>
        <vertAlign val="subscript"/>
        <sz val="11"/>
        <color rgb="FF000000"/>
        <rFont val="Palatino Linotype"/>
        <family val="1"/>
      </rPr>
      <t>IG</t>
    </r>
  </si>
  <si>
    <t>Electrical Interrupted Ignition Device On-Time</t>
  </si>
  <si>
    <t>Power</t>
  </si>
  <si>
    <t>N/A</t>
  </si>
  <si>
    <t>Forced Draft</t>
  </si>
  <si>
    <t>Induced Draft</t>
  </si>
  <si>
    <t>Product</t>
  </si>
  <si>
    <t>Furnace</t>
  </si>
  <si>
    <t>Boiler</t>
  </si>
  <si>
    <t>Gravity (air, steam)</t>
  </si>
  <si>
    <t>Forced (air, water)</t>
  </si>
  <si>
    <t>Oil</t>
  </si>
  <si>
    <t>Power Burner Type</t>
  </si>
  <si>
    <t>Natural Draft</t>
  </si>
  <si>
    <t>Pulse Combustion</t>
  </si>
  <si>
    <t>Stack Damper</t>
  </si>
  <si>
    <t>Electro-mechanical Inlet Damper</t>
  </si>
  <si>
    <t>Electro-Mechanical Flue Damper</t>
  </si>
  <si>
    <t>Heating Medium</t>
  </si>
  <si>
    <t>Energy Source</t>
  </si>
  <si>
    <t>Burner Type</t>
  </si>
  <si>
    <t>Ignition</t>
  </si>
  <si>
    <t>Intermittent or Interrupted Operating Ignition</t>
  </si>
  <si>
    <t>Draft Equipment</t>
  </si>
  <si>
    <t>Yes. With Heat Exchange.</t>
  </si>
  <si>
    <t>Yes. Without Heat Exchange.</t>
  </si>
  <si>
    <t>Direct Vent (Indoor Installations Only)</t>
  </si>
  <si>
    <t>Non-Condensing</t>
  </si>
  <si>
    <t>Fuel Used</t>
  </si>
  <si>
    <t>Flue Gas</t>
  </si>
  <si>
    <t>Gas Pressure</t>
  </si>
  <si>
    <t>±</t>
  </si>
  <si>
    <t>All instruments shall be in working order and be calibrated periodically. Records of periodic calibration shall be kept and they shall contain at a minimum the date of calibration, method of calibration, and reference standard used.</t>
  </si>
  <si>
    <r>
      <t>in. H</t>
    </r>
    <r>
      <rPr>
        <vertAlign val="subscript"/>
        <sz val="11"/>
        <color theme="1"/>
        <rFont val="Palatino Linotype"/>
        <family val="1"/>
      </rPr>
      <t>2</t>
    </r>
    <r>
      <rPr>
        <sz val="11"/>
        <color theme="1"/>
        <rFont val="Palatino Linotype"/>
        <family val="1"/>
      </rPr>
      <t>O</t>
    </r>
  </si>
  <si>
    <t>Oil Pressure</t>
  </si>
  <si>
    <t>Air Pressure</t>
  </si>
  <si>
    <t>Steam Pressure</t>
  </si>
  <si>
    <t>psi</t>
  </si>
  <si>
    <t>Draft</t>
  </si>
  <si>
    <r>
      <t>CO</t>
    </r>
    <r>
      <rPr>
        <vertAlign val="subscript"/>
        <sz val="11"/>
        <color theme="1"/>
        <rFont val="Palatino Linotype"/>
        <family val="1"/>
      </rPr>
      <t>2</t>
    </r>
  </si>
  <si>
    <t>Weight</t>
  </si>
  <si>
    <t>% of quantity measured</t>
  </si>
  <si>
    <t>Volume</t>
  </si>
  <si>
    <t>Time</t>
  </si>
  <si>
    <t>seconds/hour</t>
  </si>
  <si>
    <t>Tracer Gas Mass Flow Rate</t>
  </si>
  <si>
    <t>Electrical Energy Flow Rate</t>
  </si>
  <si>
    <t>Gas Energy Flow Rate</t>
  </si>
  <si>
    <t>Oil Energy Flow Rate</t>
  </si>
  <si>
    <t>HHV: Gas</t>
  </si>
  <si>
    <t>HHV: Oil</t>
  </si>
  <si>
    <t>ANSI/ASHRAE Section 6: Instruments (Accuracy)</t>
  </si>
  <si>
    <t>Nameplate Power Burner Motor Efficiency</t>
  </si>
  <si>
    <t>Nameplate Power Burner Motor Efficiency Used</t>
  </si>
  <si>
    <r>
      <t>Eff</t>
    </r>
    <r>
      <rPr>
        <vertAlign val="subscript"/>
        <sz val="11"/>
        <color rgb="FF000000"/>
        <rFont val="Palatino Linotype"/>
        <family val="1"/>
      </rPr>
      <t>motor</t>
    </r>
  </si>
  <si>
    <t>y</t>
  </si>
  <si>
    <t>Ratio of Blower or Pump On-Time to Average Burner On-Time</t>
  </si>
  <si>
    <t>Time Delay Between Burner Shut-Off and Pump Shut-Off</t>
  </si>
  <si>
    <r>
      <t>t</t>
    </r>
    <r>
      <rPr>
        <vertAlign val="superscript"/>
        <sz val="11"/>
        <color rgb="FF000000"/>
        <rFont val="Palatino Linotype"/>
        <family val="1"/>
      </rPr>
      <t>+</t>
    </r>
  </si>
  <si>
    <t>National Average Number of Burner Operating Hours</t>
  </si>
  <si>
    <r>
      <t>BOH</t>
    </r>
    <r>
      <rPr>
        <vertAlign val="subscript"/>
        <sz val="11"/>
        <color rgb="FF000000"/>
        <rFont val="Palatino Linotype"/>
        <family val="1"/>
      </rPr>
      <t>SS</t>
    </r>
  </si>
  <si>
    <t>Total Number of Hours Per Year</t>
  </si>
  <si>
    <t>National Average Number of Burner Operating Hours at the Maximum Operating Mode</t>
  </si>
  <si>
    <r>
      <t>BOH</t>
    </r>
    <r>
      <rPr>
        <vertAlign val="subscript"/>
        <sz val="11"/>
        <color rgb="FF000000"/>
        <rFont val="Palatino Linotype"/>
        <family val="1"/>
      </rPr>
      <t>M</t>
    </r>
  </si>
  <si>
    <t>National Average Number of Burner Operating Hours at the Reduced and Maximum Operating Modes</t>
  </si>
  <si>
    <r>
      <t>BOH</t>
    </r>
    <r>
      <rPr>
        <vertAlign val="subscript"/>
        <sz val="11"/>
        <color rgb="FF000000"/>
        <rFont val="Palatino Linotype"/>
        <family val="1"/>
      </rPr>
      <t>(R,H)</t>
    </r>
  </si>
  <si>
    <r>
      <t>Q</t>
    </r>
    <r>
      <rPr>
        <vertAlign val="subscript"/>
        <sz val="11"/>
        <color rgb="FF000000"/>
        <rFont val="Palatino Linotype"/>
        <family val="1"/>
      </rPr>
      <t>IN,M</t>
    </r>
  </si>
  <si>
    <t>Average Heat Input Rate for the Modulating Mode for Furnaces and Boilers Equipped with Step Modulating Controls</t>
  </si>
  <si>
    <t>EF</t>
  </si>
  <si>
    <t>Average Annual Fuel Energy Consumption</t>
  </si>
  <si>
    <r>
      <t>E</t>
    </r>
    <r>
      <rPr>
        <vertAlign val="subscript"/>
        <sz val="11"/>
        <color rgb="FF000000"/>
        <rFont val="Palatino Linotype"/>
        <family val="1"/>
      </rPr>
      <t>F</t>
    </r>
  </si>
  <si>
    <t>Average Annual Auxiliary Electrical Energy Consumption</t>
  </si>
  <si>
    <r>
      <t>E</t>
    </r>
    <r>
      <rPr>
        <vertAlign val="subscript"/>
        <sz val="11"/>
        <color rgb="FF000000"/>
        <rFont val="Palatino Linotype"/>
        <family val="1"/>
      </rPr>
      <t>AE</t>
    </r>
  </si>
  <si>
    <r>
      <t>E</t>
    </r>
    <r>
      <rPr>
        <vertAlign val="subscript"/>
        <sz val="11"/>
        <color rgb="FF000000"/>
        <rFont val="Palatino Linotype"/>
        <family val="1"/>
      </rPr>
      <t>E</t>
    </r>
  </si>
  <si>
    <t>Average Annual Electric Energy Consumption</t>
  </si>
  <si>
    <t>DOE 10.5</t>
  </si>
  <si>
    <t>Energy Factor</t>
  </si>
  <si>
    <r>
      <t>E</t>
    </r>
    <r>
      <rPr>
        <vertAlign val="subscript"/>
        <sz val="11"/>
        <color rgb="FF000000"/>
        <rFont val="Palatino Linotype"/>
        <family val="1"/>
      </rPr>
      <t>FR</t>
    </r>
  </si>
  <si>
    <r>
      <t>E</t>
    </r>
    <r>
      <rPr>
        <vertAlign val="subscript"/>
        <sz val="11"/>
        <color rgb="FF000000"/>
        <rFont val="Palatino Linotype"/>
        <family val="1"/>
      </rPr>
      <t>AER</t>
    </r>
  </si>
  <si>
    <r>
      <t>E</t>
    </r>
    <r>
      <rPr>
        <vertAlign val="subscript"/>
        <sz val="11"/>
        <color rgb="FF000000"/>
        <rFont val="Palatino Linotype"/>
        <family val="1"/>
      </rPr>
      <t>ER</t>
    </r>
  </si>
  <si>
    <t>Average Annual Auxiliary Electrical Energy Consumption for Units Located in a Different Geographic Region of the United States and in Buildings with Different DHRs.</t>
  </si>
  <si>
    <t>Average Annual Fuel Energy Consumption for Units Located in a Different Geographic Region of the United States and in Buildings with Different DHRs.</t>
  </si>
  <si>
    <t>Heating Load Hours for a Specific Geographic Region Determined from the Heating Load Hour Map in Figure 1 of the DOE Test Procedure</t>
  </si>
  <si>
    <t>Average Annual Electric Energy Consumption for Units Located in a Different Geographic Region of the United States and in Buildings with Different DHRs.</t>
  </si>
  <si>
    <t>HLH</t>
  </si>
  <si>
    <t>DOE 10.7.3</t>
  </si>
  <si>
    <t>Standby Mode Power</t>
  </si>
  <si>
    <t>Off Mode Power</t>
  </si>
  <si>
    <r>
      <t>P</t>
    </r>
    <r>
      <rPr>
        <vertAlign val="subscript"/>
        <sz val="11"/>
        <color rgb="FF000000"/>
        <rFont val="Palatino Linotype"/>
        <family val="1"/>
      </rPr>
      <t>W,SB</t>
    </r>
  </si>
  <si>
    <r>
      <t>P</t>
    </r>
    <r>
      <rPr>
        <vertAlign val="subscript"/>
        <sz val="11"/>
        <color rgb="FF000000"/>
        <rFont val="Palatino Linotype"/>
        <family val="1"/>
      </rPr>
      <t>W,OFF</t>
    </r>
  </si>
  <si>
    <t>BOH</t>
  </si>
  <si>
    <t>Total Burner Operating Hours</t>
  </si>
  <si>
    <t>Average Heating Season Hours per Year</t>
  </si>
  <si>
    <t>Average Annual Electrical Standby Mode and Off Mode Energy Consumption</t>
  </si>
  <si>
    <r>
      <t>E</t>
    </r>
    <r>
      <rPr>
        <vertAlign val="subscript"/>
        <sz val="11"/>
        <color rgb="FF000000"/>
        <rFont val="Palatino Linotype"/>
        <family val="1"/>
      </rPr>
      <t>SO</t>
    </r>
  </si>
  <si>
    <t>Conversion Factor from Wh to kWh</t>
  </si>
  <si>
    <t>kWh/Wh</t>
  </si>
  <si>
    <r>
      <t>E</t>
    </r>
    <r>
      <rPr>
        <vertAlign val="subscript"/>
        <sz val="11"/>
        <color rgb="FF000000"/>
        <rFont val="Palatino Linotype"/>
        <family val="1"/>
      </rPr>
      <t>SOR</t>
    </r>
  </si>
  <si>
    <t>Btu/yr</t>
  </si>
  <si>
    <t>kWh</t>
  </si>
  <si>
    <t>Regional Average Annual Electrical Standby Mode and Off Mode Energy Consumption</t>
  </si>
  <si>
    <t>Continuous Burning Pilot</t>
  </si>
  <si>
    <t>Flue Gas: (Condensing or Non-Condensing)</t>
  </si>
  <si>
    <r>
      <t>D</t>
    </r>
    <r>
      <rPr>
        <vertAlign val="subscript"/>
        <sz val="11"/>
        <color rgb="FF000000"/>
        <rFont val="Palatino Linotype"/>
        <family val="1"/>
      </rPr>
      <t>F</t>
    </r>
    <r>
      <rPr>
        <sz val="11"/>
        <color indexed="8"/>
        <rFont val="Palatino Linotype"/>
        <family val="1"/>
      </rPr>
      <t xml:space="preserve"> (Constant)</t>
    </r>
  </si>
  <si>
    <r>
      <t>D</t>
    </r>
    <r>
      <rPr>
        <vertAlign val="subscript"/>
        <sz val="11"/>
        <color rgb="FF000000"/>
        <rFont val="Palatino Linotype"/>
        <family val="1"/>
      </rPr>
      <t>F</t>
    </r>
    <r>
      <rPr>
        <sz val="11"/>
        <color indexed="8"/>
        <rFont val="Palatino Linotype"/>
        <family val="1"/>
      </rPr>
      <t xml:space="preserve"> (Based on D</t>
    </r>
    <r>
      <rPr>
        <vertAlign val="subscript"/>
        <sz val="11"/>
        <color rgb="FF000000"/>
        <rFont val="Palatino Linotype"/>
        <family val="1"/>
      </rPr>
      <t>P</t>
    </r>
    <r>
      <rPr>
        <sz val="11"/>
        <color indexed="8"/>
        <rFont val="Palatino Linotype"/>
        <family val="1"/>
      </rPr>
      <t>)</t>
    </r>
  </si>
  <si>
    <t>Background concentration of the tracer gas</t>
  </si>
  <si>
    <t>Off-Cycle Sensible Loss</t>
  </si>
  <si>
    <t>Stack gas temperature</t>
  </si>
  <si>
    <t>Power Burner Draft Factor - USED</t>
  </si>
  <si>
    <t>Off-Cycle Flue Gas Draft Factor - USED</t>
  </si>
  <si>
    <t>Off-Cycle Stack Gas Draft Factor - USED</t>
  </si>
  <si>
    <t>Nameplate Maximum Input (Btu/h or kW):</t>
  </si>
  <si>
    <t>Nameplate Reduced Input (Btu/h or kW):</t>
  </si>
  <si>
    <t>heating load hours</t>
  </si>
  <si>
    <t>11. Arrival Photos (if necessary)</t>
  </si>
  <si>
    <t>3. Test unit from all sides (including photo of control panel)</t>
  </si>
  <si>
    <t>5. Photos of Ducts and Plenums</t>
  </si>
  <si>
    <t>6. Photos of Stack and Thermocouple Grid in Flue</t>
  </si>
  <si>
    <t>7. Photos of Ambient Temperature Sensors</t>
  </si>
  <si>
    <t>8. Photos of Burner</t>
  </si>
  <si>
    <t>9.  Photo of Controls at Maximum Input</t>
  </si>
  <si>
    <t>10.  Photo of Controls at Reduced Input</t>
  </si>
  <si>
    <t>12. Additional Photos (if necessary)</t>
  </si>
  <si>
    <t>Thermocouple Grid</t>
  </si>
  <si>
    <t>Thermometer</t>
  </si>
  <si>
    <t>Thermocouple</t>
  </si>
  <si>
    <t>Smoke</t>
  </si>
  <si>
    <t>Other</t>
  </si>
  <si>
    <t>Smoke-measuring instruments shall comply with requirements for smoke meters as outlined in Test Method for Smoke Density in the Flue Gases from Burning Distillate Fuels, ASTM-D-2156-80 (1980).</t>
  </si>
  <si>
    <t>TP required units for specified measurements</t>
  </si>
  <si>
    <t>Units for measurements other than specified by TP</t>
  </si>
  <si>
    <t>Further Description</t>
  </si>
  <si>
    <t>Test Procedure required Accuracy</t>
  </si>
  <si>
    <t>Meets required Accuracy?</t>
  </si>
  <si>
    <t>Supply Water Temperature</t>
  </si>
  <si>
    <t>Tolerance Met?</t>
  </si>
  <si>
    <t>Tolerance</t>
  </si>
  <si>
    <t>Temperature Rise</t>
  </si>
  <si>
    <t>Return Water Temperature (second 0 to second 30)</t>
  </si>
  <si>
    <t>Return Water Temperature (second 30 to second 60)</t>
  </si>
  <si>
    <t>Return Water Temperature (second 60 to end of test)</t>
  </si>
  <si>
    <t>psig</t>
  </si>
  <si>
    <r>
      <rPr>
        <b/>
        <sz val="11"/>
        <rFont val="Palatino Linotype"/>
        <family val="1"/>
      </rPr>
      <t>ASHRAE 103-1993, Sections 9.5.2.2 - 9.5.2.5</t>
    </r>
    <r>
      <rPr>
        <i/>
        <sz val="11"/>
        <rFont val="Palatino Linotype"/>
        <family val="1"/>
      </rPr>
      <t xml:space="preserve">
9.5.2.2 Make a third flue gas temperature measurement 45 minutes after the burner shuts off to determine the off-period minimum flue gas temperature (T</t>
    </r>
    <r>
      <rPr>
        <i/>
        <vertAlign val="subscript"/>
        <sz val="11"/>
        <rFont val="Palatino Linotype"/>
        <family val="1"/>
      </rPr>
      <t>F,OFF</t>
    </r>
    <r>
      <rPr>
        <i/>
        <sz val="11"/>
        <rFont val="Palatino Linotype"/>
        <family val="1"/>
      </rPr>
      <t>(t</t>
    </r>
    <r>
      <rPr>
        <i/>
        <vertAlign val="subscript"/>
        <sz val="11"/>
        <rFont val="Palatino Linotype"/>
        <family val="1"/>
      </rPr>
      <t>5</t>
    </r>
    <r>
      <rPr>
        <i/>
        <sz val="11"/>
        <rFont val="Palatino Linotype"/>
        <family val="1"/>
      </rPr>
      <t>)). 
9.5.2.3 During this cool-down test, measure the energy input rate to the pilot light (Q</t>
    </r>
    <r>
      <rPr>
        <i/>
        <vertAlign val="subscript"/>
        <sz val="11"/>
        <rFont val="Palatino Linotype"/>
        <family val="1"/>
      </rPr>
      <t>p</t>
    </r>
    <r>
      <rPr>
        <i/>
        <sz val="11"/>
        <rFont val="Palatino Linotype"/>
        <family val="1"/>
      </rPr>
      <t>), if the unit is so equipped, to within an error no larger than ±3 %. Record all measured values. For oil-fueled or power gas burner units employing barometric dampers for draft control and not equipped with stack dampers, maintain the draft in the flue within the same ranges specified in 9.5.1.2.
9.5.2.4 For boilers equipped with step modulating controls, the cool-down test shall be conducted after steady-state conditions have been reached at the reduced input rate, as specified in 8.4.1.1.2.
9.5.2.5 For boilers equipped with two-stage controls, separate cool-down tests shall be conducted after steady-state conditions have been reached at both the reduced and maximum fuel input rates.</t>
    </r>
  </si>
  <si>
    <r>
      <t xml:space="preserve">ASHRAE 103-1993, Section 9.7.3: Timing 
</t>
    </r>
    <r>
      <rPr>
        <i/>
        <sz val="11"/>
        <rFont val="Palatino Linotype"/>
        <family val="1"/>
      </rPr>
      <t>Between 5 and 6 minutes after the unit is shut off to start the cool-down test, measure the percent volumetric concentration of tracer gas present in the diluted flue gas sample, C</t>
    </r>
    <r>
      <rPr>
        <i/>
        <vertAlign val="subscript"/>
        <sz val="11"/>
        <rFont val="Palatino Linotype"/>
        <family val="1"/>
      </rPr>
      <t>T</t>
    </r>
    <r>
      <rPr>
        <i/>
        <sz val="11"/>
        <rFont val="Palatino Linotype"/>
        <family val="1"/>
      </rPr>
      <t xml:space="preserve">
At the same time, for units where draft is not maintained, measure the flue gas temperature, T</t>
    </r>
    <r>
      <rPr>
        <i/>
        <vertAlign val="subscript"/>
        <sz val="11"/>
        <rFont val="Palatino Linotype"/>
        <family val="1"/>
      </rPr>
      <t>F,OFF</t>
    </r>
    <r>
      <rPr>
        <i/>
        <sz val="11"/>
        <rFont val="Palatino Linotype"/>
        <family val="1"/>
      </rPr>
      <t>, using the thermocouple grid described in 7.6. 
For systems that employ post purge, with a post-purge time period t</t>
    </r>
    <r>
      <rPr>
        <i/>
        <vertAlign val="subscript"/>
        <sz val="11"/>
        <rFont val="Palatino Linotype"/>
        <family val="1"/>
      </rPr>
      <t>P</t>
    </r>
    <r>
      <rPr>
        <i/>
        <sz val="11"/>
        <rFont val="Palatino Linotype"/>
        <family val="1"/>
      </rPr>
      <t>, measure the percent volumetric concentration of the tracer gas present in the diluted flue gas sample, C</t>
    </r>
    <r>
      <rPr>
        <i/>
        <vertAlign val="subscript"/>
        <sz val="11"/>
        <rFont val="Palatino Linotype"/>
        <family val="1"/>
      </rPr>
      <t>T</t>
    </r>
    <r>
      <rPr>
        <i/>
        <sz val="11"/>
        <rFont val="Palatino Linotype"/>
        <family val="1"/>
      </rPr>
      <t>, at between (5 + t</t>
    </r>
    <r>
      <rPr>
        <i/>
        <vertAlign val="subscript"/>
        <sz val="11"/>
        <rFont val="Palatino Linotype"/>
        <family val="1"/>
      </rPr>
      <t>P</t>
    </r>
    <r>
      <rPr>
        <i/>
        <sz val="11"/>
        <rFont val="Palatino Linotype"/>
        <family val="1"/>
      </rPr>
      <t>) and (6 + t</t>
    </r>
    <r>
      <rPr>
        <i/>
        <vertAlign val="subscript"/>
        <sz val="11"/>
        <rFont val="Palatino Linotype"/>
        <family val="1"/>
      </rPr>
      <t>P</t>
    </r>
    <r>
      <rPr>
        <i/>
        <sz val="11"/>
        <rFont val="Palatino Linotype"/>
        <family val="1"/>
      </rPr>
      <t>) minutes after the burner is shut off. During the same time period, for units where draft is not maintained, measure the flue gas temperature, T</t>
    </r>
    <r>
      <rPr>
        <i/>
        <vertAlign val="subscript"/>
        <sz val="11"/>
        <rFont val="Palatino Linotype"/>
        <family val="1"/>
      </rPr>
      <t>F,OFF</t>
    </r>
    <r>
      <rPr>
        <i/>
        <sz val="11"/>
        <rFont val="Palatino Linotype"/>
        <family val="1"/>
      </rPr>
      <t>, using the thermocouple grid described in 7.6.</t>
    </r>
  </si>
  <si>
    <r>
      <t xml:space="preserve">ASHRAE 103-1993, Section 9.7.2: Measurement 
</t>
    </r>
    <r>
      <rPr>
        <i/>
        <sz val="11"/>
        <rFont val="Palatino Linotype"/>
        <family val="1"/>
      </rPr>
      <t>Obtain the concentration of tracer gas present in the flue gas sample (C</t>
    </r>
    <r>
      <rPr>
        <i/>
        <vertAlign val="subscript"/>
        <sz val="11"/>
        <rFont val="Palatino Linotype"/>
        <family val="1"/>
      </rPr>
      <t>T</t>
    </r>
    <r>
      <rPr>
        <i/>
        <sz val="11"/>
        <rFont val="Palatino Linotype"/>
        <family val="1"/>
      </rPr>
      <t>) using an instrument that will result in an accuracy of ±2 % in the measured value. If the use of a continuously reading type instrument results in a delay time between the drawing of a sample and its analysis, take this delay into account so the temperature measurement and the measurement of tracer gas concentration coincide. Determine the temperature of the tracer gas entering the flowmeter (T</t>
    </r>
    <r>
      <rPr>
        <i/>
        <vertAlign val="subscript"/>
        <sz val="11"/>
        <rFont val="Palatino Linotype"/>
        <family val="1"/>
      </rPr>
      <t>T</t>
    </r>
    <r>
      <rPr>
        <i/>
        <sz val="11"/>
        <rFont val="Palatino Linotype"/>
        <family val="1"/>
      </rPr>
      <t>) and the barometric pressure (P</t>
    </r>
    <r>
      <rPr>
        <i/>
        <vertAlign val="subscript"/>
        <sz val="11"/>
        <rFont val="Palatino Linotype"/>
        <family val="1"/>
      </rPr>
      <t>B</t>
    </r>
    <r>
      <rPr>
        <i/>
        <sz val="11"/>
        <rFont val="Palatino Linotype"/>
        <family val="1"/>
      </rPr>
      <t>).</t>
    </r>
  </si>
  <si>
    <r>
      <t>9.7.6.1 The tracer gas chosen for this task should have a density that is less than or approximately equal to the density of air. Use a gas that is of a different chemical species or different concentration from the flue gas to be measured and unreactive with the environment to be encountered. Obtain the concentration of tracer gas present in the flue gas sample (Cr) using an analyzer or instrument that will result in an accuracy of ±2 % in the measured value. Determine the temperature of the tracer gas entering the flowmeter (Tr) and the barometric pressure (P</t>
    </r>
    <r>
      <rPr>
        <i/>
        <vertAlign val="subscript"/>
        <sz val="11"/>
        <rFont val="Palatino Linotype"/>
        <family val="1"/>
      </rPr>
      <t>B</t>
    </r>
    <r>
      <rPr>
        <i/>
        <sz val="11"/>
        <rFont val="Palatino Linotype"/>
        <family val="1"/>
      </rPr>
      <t>).</t>
    </r>
  </si>
  <si>
    <r>
      <t>9.7.6.3 Tum the burner ON until steady-state conditions are again achieved as specified in 9 .1.2.1. Turn the burner OFF for a 10-minute cool-down period. Adjust or bypass the electro-mechanical damper (inlet damper or flue damper) so that it remains open during this cool-down period. Within one minute after the unit is shut off to start this cool-down test, begin feeding a tracer gas with a known, certified concentration C</t>
    </r>
    <r>
      <rPr>
        <i/>
        <vertAlign val="subscript"/>
        <sz val="11"/>
        <rFont val="Palatino Linotype"/>
        <family val="1"/>
      </rPr>
      <t>TM</t>
    </r>
    <r>
      <rPr>
        <i/>
        <sz val="11"/>
        <rFont val="Palatino Linotype"/>
        <family val="1"/>
      </rPr>
      <t xml:space="preserve"> at a constant flow rate V</t>
    </r>
    <r>
      <rPr>
        <i/>
        <vertAlign val="subscript"/>
        <sz val="11"/>
        <rFont val="Palatino Linotype"/>
        <family val="1"/>
      </rPr>
      <t>T</t>
    </r>
    <r>
      <rPr>
        <i/>
        <sz val="11"/>
        <rFont val="Palatino Linotype"/>
        <family val="1"/>
      </rPr>
      <t xml:space="preserve"> into the lower part of the test stack just above the test plane where the stack thermocouple grid is located (see 8.2.1.5.1). Periodically measure the value of V</t>
    </r>
    <r>
      <rPr>
        <i/>
        <vertAlign val="subscript"/>
        <sz val="11"/>
        <rFont val="Palatino Linotype"/>
        <family val="1"/>
      </rPr>
      <t>T</t>
    </r>
    <r>
      <rPr>
        <i/>
        <sz val="11"/>
        <rFont val="Palatino Linotype"/>
        <family val="1"/>
      </rPr>
      <t xml:space="preserve"> with an instantaneously reading flowmeter having an accuracy of ±3 % of the quantity measured and maintain that value of tracer gas flow rate at less than 1 % of the airflow rate through the test stack.</t>
    </r>
  </si>
  <si>
    <r>
      <t>9.7.6.6 At the end of the 10-minute cool-down period, tum on the burner until steady-state conditions are again achieved as specified in 9.1.2.1. Tum the burner OFF for another 10-minute cool-down period. Let the electro-mechanical damper (inlet damper or flue damper) close the way it is designed to. Repeat the test steps of 9.7.6.3 through 9.7.6.5 except that the electro-mechanical damper is to remain closed. Note that the tracer gas feeding rate, V</t>
    </r>
    <r>
      <rPr>
        <i/>
        <vertAlign val="subscript"/>
        <sz val="11"/>
        <rFont val="Palatino Linotype"/>
        <family val="1"/>
      </rPr>
      <t>T</t>
    </r>
    <r>
      <rPr>
        <i/>
        <sz val="11"/>
        <rFont val="Palatino Linotype"/>
        <family val="1"/>
      </rPr>
      <t>, may have to be adjusted to a lower rate to keep the sample concentration within the range of the gas analyzer used. 
9.7.6.7 The rate of the stack gas flow through the stack, the cycle sensible loss rate, and the loss factor K</t>
    </r>
    <r>
      <rPr>
        <i/>
        <vertAlign val="subscript"/>
        <sz val="11"/>
        <rFont val="Palatino Linotype"/>
        <family val="1"/>
      </rPr>
      <t>L</t>
    </r>
    <r>
      <rPr>
        <i/>
        <sz val="11"/>
        <rFont val="Palatino Linotype"/>
        <family val="1"/>
      </rPr>
      <t xml:space="preserve"> are calculated by the equations in 11.8.1.</t>
    </r>
  </si>
  <si>
    <t>Average Ratio of Stack Gas Mass Flow Rate to Flue Gas Mass Flow Rate</t>
  </si>
  <si>
    <t>Stack Temperature Rise</t>
  </si>
  <si>
    <t>Heat Capacity and Part-Load Constants</t>
  </si>
  <si>
    <t>Calculations Affected by Outside Air</t>
  </si>
  <si>
    <r>
      <t>Optional Tracer Gas Procedure for Determination of D</t>
    </r>
    <r>
      <rPr>
        <b/>
        <vertAlign val="subscript"/>
        <sz val="11"/>
        <color rgb="FF000000"/>
        <rFont val="Palatino Linotype"/>
        <family val="1"/>
      </rPr>
      <t>P</t>
    </r>
    <r>
      <rPr>
        <b/>
        <sz val="11"/>
        <color indexed="8"/>
        <rFont val="Palatino Linotype"/>
        <family val="1"/>
      </rPr>
      <t xml:space="preserve"> for Furnaces or Boilers Employing a Power Burner or Direct Vent</t>
    </r>
  </si>
  <si>
    <t>Optional Procedure for Determining Off-Cycle Draft Factors for Furnaces or Boilers Employing a Power Burner or Direct Vent</t>
  </si>
  <si>
    <t>Systems Number</t>
  </si>
  <si>
    <t>Average Annual Fuel Energy Consumption for Gas or Oil Fueled Furnaces or Boilers</t>
  </si>
  <si>
    <t>Average Annual Auxiliary Electrical Energy Consumption for Gas or Oil-Fueled Furnaces or Boilers</t>
  </si>
  <si>
    <t>Average Annual Electric Energy Consumption for Electric Furnaces or Boilers</t>
  </si>
  <si>
    <t>Average Annual Energy Consumption for Furnaces and Boilers Located in a Different Geographic Region of the United States and in Buildings with Different Design Heating Requirements</t>
  </si>
  <si>
    <r>
      <t>End: Optional Tracer Gas Test Procedures for Determining Draft Factors for D</t>
    </r>
    <r>
      <rPr>
        <b/>
        <vertAlign val="subscript"/>
        <sz val="11"/>
        <rFont val="Palatino Linotype"/>
        <family val="1"/>
      </rPr>
      <t>P</t>
    </r>
    <r>
      <rPr>
        <b/>
        <sz val="11"/>
        <rFont val="Palatino Linotype"/>
        <family val="2"/>
      </rPr>
      <t>, D</t>
    </r>
    <r>
      <rPr>
        <b/>
        <vertAlign val="subscript"/>
        <sz val="11"/>
        <rFont val="Palatino Linotype"/>
        <family val="1"/>
      </rPr>
      <t>F</t>
    </r>
    <r>
      <rPr>
        <b/>
        <sz val="11"/>
        <rFont val="Palatino Linotype"/>
        <family val="2"/>
      </rPr>
      <t>, and D</t>
    </r>
    <r>
      <rPr>
        <b/>
        <vertAlign val="subscript"/>
        <sz val="11"/>
        <rFont val="Palatino Linotype"/>
        <family val="1"/>
      </rPr>
      <t>S</t>
    </r>
    <r>
      <rPr>
        <b/>
        <sz val="11"/>
        <rFont val="Palatino Linotype"/>
        <family val="2"/>
      </rPr>
      <t xml:space="preserve"> for Systems Equipped with Power Burners or Direct Vent and Not Equipped with Stack Dampers</t>
    </r>
  </si>
  <si>
    <r>
      <t>End: Tracer Gas Test Procedures for Determining Off-Cycle Loss Factor K</t>
    </r>
    <r>
      <rPr>
        <b/>
        <vertAlign val="subscript"/>
        <sz val="11"/>
        <rFont val="Palatino Linotype"/>
        <family val="1"/>
      </rPr>
      <t>L</t>
    </r>
  </si>
  <si>
    <r>
      <t>ρ</t>
    </r>
    <r>
      <rPr>
        <i/>
        <vertAlign val="subscript"/>
        <sz val="11"/>
        <color rgb="FF000000"/>
        <rFont val="Palatino Linotype"/>
        <family val="1"/>
      </rPr>
      <t>F</t>
    </r>
  </si>
  <si>
    <r>
      <t>lb/ft</t>
    </r>
    <r>
      <rPr>
        <vertAlign val="superscript"/>
        <sz val="11"/>
        <color rgb="FF000000"/>
        <rFont val="Palatino Linotype"/>
        <family val="1"/>
      </rPr>
      <t>3</t>
    </r>
  </si>
  <si>
    <t>With Damper Open</t>
  </si>
  <si>
    <t>With Damper Closed</t>
  </si>
  <si>
    <t>Procedure for Determining Off-Cycle Loss Factor and Off-Cycle Draft Factor for Atmospheric Furnaces or Boilers with Integral Draft Diverter or Draft Hood and Equipped with an Electro-Mechanical Inlet or Flue Damper That Restricts the Flow Through the Heat Exchanger During the Off-Cycle</t>
  </si>
  <si>
    <t>Inlet Water Temperature (°F)</t>
  </si>
  <si>
    <t>Water Temperature Rise (°F)</t>
  </si>
  <si>
    <t>Tested Value</t>
  </si>
  <si>
    <t>Room Ambient Temperature (°F)</t>
  </si>
  <si>
    <t>Combustion/Draft Air Temperature (°F)</t>
  </si>
  <si>
    <r>
      <t>9.1.2.3.3 On units employing barometric draft regulators, measure the room air temperature (T</t>
    </r>
    <r>
      <rPr>
        <i/>
        <vertAlign val="subscript"/>
        <sz val="11"/>
        <color theme="1"/>
        <rFont val="Palatino Linotype"/>
        <family val="1"/>
      </rPr>
      <t>RA</t>
    </r>
    <r>
      <rPr>
        <i/>
        <sz val="11"/>
        <color theme="1"/>
        <rFont val="Palatino Linotype"/>
        <family val="1"/>
      </rPr>
      <t>). Measure the steady-state flue gas temperature (T</t>
    </r>
    <r>
      <rPr>
        <i/>
        <vertAlign val="subscript"/>
        <sz val="11"/>
        <color theme="1"/>
        <rFont val="Palatino Linotype"/>
        <family val="1"/>
      </rPr>
      <t>F,SS</t>
    </r>
    <r>
      <rPr>
        <i/>
        <sz val="11"/>
        <color theme="1"/>
        <rFont val="Palatino Linotype"/>
        <family val="1"/>
      </rPr>
      <t>) using the thermocouple grid located in the flue pipe. Secure a sample of the flue gas in the plane of temperature measurement and determine the concentration by volume of CO</t>
    </r>
    <r>
      <rPr>
        <i/>
        <vertAlign val="subscript"/>
        <sz val="11"/>
        <color theme="1"/>
        <rFont val="Palatino Linotype"/>
        <family val="1"/>
      </rPr>
      <t>2</t>
    </r>
    <r>
      <rPr>
        <i/>
        <sz val="11"/>
        <color theme="1"/>
        <rFont val="Palatino Linotype"/>
        <family val="1"/>
      </rPr>
      <t xml:space="preserve"> (X</t>
    </r>
    <r>
      <rPr>
        <i/>
        <vertAlign val="subscript"/>
        <sz val="11"/>
        <color theme="1"/>
        <rFont val="Palatino Linotype"/>
        <family val="1"/>
      </rPr>
      <t>CO2F</t>
    </r>
    <r>
      <rPr>
        <i/>
        <sz val="11"/>
        <color theme="1"/>
        <rFont val="Palatino Linotype"/>
        <family val="1"/>
      </rPr>
      <t>) present in dry flue gas (see Figure 5).</t>
    </r>
  </si>
  <si>
    <t xml:space="preserve">Variation </t>
  </si>
  <si>
    <t>Tolerances</t>
  </si>
  <si>
    <r>
      <t>Flue CO</t>
    </r>
    <r>
      <rPr>
        <b/>
        <vertAlign val="subscript"/>
        <sz val="11"/>
        <color rgb="FF000000"/>
        <rFont val="Palatino Linotype"/>
        <family val="1"/>
      </rPr>
      <t>2</t>
    </r>
    <r>
      <rPr>
        <b/>
        <sz val="11"/>
        <color indexed="8"/>
        <rFont val="Palatino Linotype"/>
        <family val="1"/>
      </rPr>
      <t xml:space="preserve"> Concentration (%)</t>
    </r>
  </si>
  <si>
    <r>
      <t>Stack CO</t>
    </r>
    <r>
      <rPr>
        <b/>
        <vertAlign val="subscript"/>
        <sz val="11"/>
        <color rgb="FF000000"/>
        <rFont val="Palatino Linotype"/>
        <family val="1"/>
      </rPr>
      <t>2</t>
    </r>
    <r>
      <rPr>
        <b/>
        <sz val="11"/>
        <color indexed="8"/>
        <rFont val="Palatino Linotype"/>
        <family val="1"/>
      </rPr>
      <t xml:space="preserve"> Concentration (%)</t>
    </r>
  </si>
  <si>
    <t>For units with modulating controls, the following applies: (a) for step modulating units, the test is conducted at reduced input rate only; (b) for two-stage units, the test is conducted at both maximum and reduced input rates.</t>
  </si>
  <si>
    <r>
      <t xml:space="preserve">9.8.1 Preparation for Test 
</t>
    </r>
    <r>
      <rPr>
        <i/>
        <sz val="11"/>
        <rFont val="Palatino Linotype"/>
        <family val="1"/>
      </rPr>
      <t>Control devices shall be installed to allow cyclical operation of the unit and return water or airflows as described in 9.2. The test unit shall be leveled prior to the test. Humidity of the room air shall at no time exceed 80%.</t>
    </r>
  </si>
  <si>
    <r>
      <t xml:space="preserve">9.8.2 Condensate Collection Containers 
</t>
    </r>
    <r>
      <rPr>
        <i/>
        <sz val="11"/>
        <rFont val="Palatino Linotype"/>
        <family val="1"/>
      </rPr>
      <t>The condensing furnace or boiler shall be tested by the flue loss method in accordance with the provisions for condensing units, as specified in Section 8. The condensate collection containers shall be dried prior to each use and shall be at room ambient temperature prior to a sample collection. Tare weight of the collection container must be measured and recorded prior to each sample collection.</t>
    </r>
  </si>
  <si>
    <r>
      <t xml:space="preserve">9.8.3 Test Requirements 
</t>
    </r>
    <r>
      <rPr>
        <i/>
        <sz val="11"/>
        <rFont val="Palatino Linotype"/>
        <family val="1"/>
      </rPr>
      <t>The unit shall be operated in a cyclical manner until flue gas temperatures at the end of each on-cycle are within 5°F of each other for two consecutive cycles. On-cycle and off-cycle times are listed in Table 9. Control of ON or OFF operation actions shall be within ±6 seconds of the scheduled time. Begin three test cycles. Return air temperature for furnaces shall be as specified in 8.5.2. Return water temperature for boilers shall be as specified in 8.4.2.3. Operation of the furnace blower shall conform to the time delay requirements specified in 9.5.1 for cool-down and heat-up tests. Operation of the boiler pump shall conform to the time delay requirements specified in 9.6.1.</t>
    </r>
  </si>
  <si>
    <r>
      <t xml:space="preserve">9.8.4 Condensate Collection 
</t>
    </r>
    <r>
      <rPr>
        <i/>
        <sz val="11"/>
        <rFont val="Palatino Linotype"/>
        <family val="1"/>
      </rPr>
      <t>Begin condensate collection at one minute before the on-cycle period of the first test cycle. The container shall be removed one minute before the end of each off-cycle period. Condensate mass shall be measured for each test cycle.</t>
    </r>
  </si>
  <si>
    <r>
      <t>Btu/ft</t>
    </r>
    <r>
      <rPr>
        <vertAlign val="superscript"/>
        <sz val="11"/>
        <color rgb="FF000000"/>
        <rFont val="Palatino Linotype"/>
        <family val="1"/>
      </rPr>
      <t>3</t>
    </r>
  </si>
  <si>
    <t>Higher Heating Value (HHV)</t>
  </si>
  <si>
    <t>Specific Gravity</t>
  </si>
  <si>
    <t>Test Pressure Range - Max Test</t>
  </si>
  <si>
    <t>in. WC</t>
  </si>
  <si>
    <t>Is there any chance of airflow through the combustion chamber and heat exchanger when the burner(s) is off?</t>
  </si>
  <si>
    <r>
      <t>D</t>
    </r>
    <r>
      <rPr>
        <vertAlign val="subscript"/>
        <sz val="11"/>
        <color indexed="8"/>
        <rFont val="Palatino Linotype"/>
        <family val="1"/>
      </rPr>
      <t>S</t>
    </r>
  </si>
  <si>
    <r>
      <t>Optional Tracer Gas Procedure from ASHRAE 103-1993, Section 8.8.2 Used?
If Yes is selected, D</t>
    </r>
    <r>
      <rPr>
        <vertAlign val="subscript"/>
        <sz val="11"/>
        <color rgb="FF000000"/>
        <rFont val="Palatino Linotype"/>
        <family val="1"/>
      </rPr>
      <t>F</t>
    </r>
    <r>
      <rPr>
        <sz val="11"/>
        <color indexed="8"/>
        <rFont val="Palatino Linotype"/>
        <family val="1"/>
      </rPr>
      <t>=D</t>
    </r>
    <r>
      <rPr>
        <vertAlign val="subscript"/>
        <sz val="11"/>
        <color rgb="FF000000"/>
        <rFont val="Palatino Linotype"/>
        <family val="1"/>
      </rPr>
      <t>P</t>
    </r>
    <r>
      <rPr>
        <sz val="11"/>
        <color indexed="8"/>
        <rFont val="Palatino Linotype"/>
        <family val="1"/>
      </rPr>
      <t>.
If No is selected, constants from Table 6 are used for D</t>
    </r>
    <r>
      <rPr>
        <vertAlign val="subscript"/>
        <sz val="11"/>
        <color rgb="FF000000"/>
        <rFont val="Palatino Linotype"/>
        <family val="1"/>
      </rPr>
      <t>F</t>
    </r>
    <r>
      <rPr>
        <sz val="11"/>
        <color indexed="8"/>
        <rFont val="Palatino Linotype"/>
        <family val="1"/>
      </rPr>
      <t xml:space="preserve">. </t>
    </r>
  </si>
  <si>
    <t>End: Tracer Gas Draft Factors</t>
  </si>
  <si>
    <r>
      <t>Stack Damper Effectiveness Factor (D</t>
    </r>
    <r>
      <rPr>
        <b/>
        <vertAlign val="subscript"/>
        <sz val="11"/>
        <rFont val="Palatino Linotype"/>
        <family val="1"/>
      </rPr>
      <t>O</t>
    </r>
    <r>
      <rPr>
        <b/>
        <sz val="11"/>
        <rFont val="Palatino Linotype"/>
        <family val="1"/>
      </rPr>
      <t>) of Automatic Stack Damper</t>
    </r>
  </si>
  <si>
    <t>Measurements for this procedure are recorded in the Steady-State Test.</t>
  </si>
  <si>
    <t>Jacket Loss Test</t>
  </si>
  <si>
    <t>Top Surface</t>
  </si>
  <si>
    <t>Group Area (sq ft)</t>
  </si>
  <si>
    <t>Surface Temp (°F)</t>
  </si>
  <si>
    <t>Temp Difference (°F)</t>
  </si>
  <si>
    <t>Area 1</t>
  </si>
  <si>
    <t>Area 2</t>
  </si>
  <si>
    <t>Area 3</t>
  </si>
  <si>
    <t>Area 4</t>
  </si>
  <si>
    <t>Area 5</t>
  </si>
  <si>
    <t>Area 6</t>
  </si>
  <si>
    <t>Area 7</t>
  </si>
  <si>
    <t>Area 8</t>
  </si>
  <si>
    <t>Area 9</t>
  </si>
  <si>
    <t>Area 10</t>
  </si>
  <si>
    <t>Area 11</t>
  </si>
  <si>
    <t>Area 12</t>
  </si>
  <si>
    <t>Area 13</t>
  </si>
  <si>
    <t>Area 14</t>
  </si>
  <si>
    <t>Area 15</t>
  </si>
  <si>
    <t>Area 16</t>
  </si>
  <si>
    <t>Area 17</t>
  </si>
  <si>
    <t>Area 18</t>
  </si>
  <si>
    <t>Area 19</t>
  </si>
  <si>
    <t>Area 20</t>
  </si>
  <si>
    <t>Area 21</t>
  </si>
  <si>
    <t>Area 22</t>
  </si>
  <si>
    <t>Area 23</t>
  </si>
  <si>
    <t>Area 24</t>
  </si>
  <si>
    <t>Area 25</t>
  </si>
  <si>
    <t>Area 26</t>
  </si>
  <si>
    <t>Area 27</t>
  </si>
  <si>
    <t>Area 28</t>
  </si>
  <si>
    <t>Area 29</t>
  </si>
  <si>
    <t>Area 30</t>
  </si>
  <si>
    <t>Area 31</t>
  </si>
  <si>
    <t>Area 32</t>
  </si>
  <si>
    <t>Area 33</t>
  </si>
  <si>
    <t>Area 34</t>
  </si>
  <si>
    <t>Area 35</t>
  </si>
  <si>
    <t>Area 36</t>
  </si>
  <si>
    <t>Area 37</t>
  </si>
  <si>
    <t>Area 38</t>
  </si>
  <si>
    <t>Area 39</t>
  </si>
  <si>
    <t>Area 40</t>
  </si>
  <si>
    <t>Area 41</t>
  </si>
  <si>
    <t>Area 42</t>
  </si>
  <si>
    <t>Area 43</t>
  </si>
  <si>
    <t>Area 44</t>
  </si>
  <si>
    <t>Area 45</t>
  </si>
  <si>
    <t>Area 46</t>
  </si>
  <si>
    <t>Area 47</t>
  </si>
  <si>
    <t>Area 48</t>
  </si>
  <si>
    <t>Area 49</t>
  </si>
  <si>
    <t>Area 50</t>
  </si>
  <si>
    <t>Area 51</t>
  </si>
  <si>
    <t>Area 52</t>
  </si>
  <si>
    <t>Area 53</t>
  </si>
  <si>
    <t>Area 54</t>
  </si>
  <si>
    <t>Area 55</t>
  </si>
  <si>
    <t>Area 56</t>
  </si>
  <si>
    <t>Area 57</t>
  </si>
  <si>
    <t>Area 58</t>
  </si>
  <si>
    <t>Area 59</t>
  </si>
  <si>
    <t>Area 60</t>
  </si>
  <si>
    <t>Area 61</t>
  </si>
  <si>
    <t>Area 62</t>
  </si>
  <si>
    <t>Area 63</t>
  </si>
  <si>
    <t>Area 64</t>
  </si>
  <si>
    <t>Area 65</t>
  </si>
  <si>
    <t>Area 66</t>
  </si>
  <si>
    <t>Area 67</t>
  </si>
  <si>
    <t>Area 68</t>
  </si>
  <si>
    <t>Area 69</t>
  </si>
  <si>
    <t>Area 70</t>
  </si>
  <si>
    <t>Area 71</t>
  </si>
  <si>
    <t>Area 72</t>
  </si>
  <si>
    <t>Area 73</t>
  </si>
  <si>
    <t>Area 74</t>
  </si>
  <si>
    <t>Area 75</t>
  </si>
  <si>
    <t>Area 76</t>
  </si>
  <si>
    <t>Area 77</t>
  </si>
  <si>
    <t>Area 78</t>
  </si>
  <si>
    <t>Area 79</t>
  </si>
  <si>
    <t>Area 80</t>
  </si>
  <si>
    <t>Area 81</t>
  </si>
  <si>
    <t>Area 82</t>
  </si>
  <si>
    <t>Area 83</t>
  </si>
  <si>
    <t>Area 84</t>
  </si>
  <si>
    <t>Area 85</t>
  </si>
  <si>
    <t>Area 86</t>
  </si>
  <si>
    <t>Area 87</t>
  </si>
  <si>
    <t>Area 88</t>
  </si>
  <si>
    <t>Area 89</t>
  </si>
  <si>
    <t>Area 90</t>
  </si>
  <si>
    <t>Area 91</t>
  </si>
  <si>
    <t>Area 92</t>
  </si>
  <si>
    <t>Area 93</t>
  </si>
  <si>
    <t>Area 94</t>
  </si>
  <si>
    <t>Area 95</t>
  </si>
  <si>
    <t>Area 96</t>
  </si>
  <si>
    <t>Area 97</t>
  </si>
  <si>
    <t>Area 98</t>
  </si>
  <si>
    <t>Area 99</t>
  </si>
  <si>
    <t>Area 100</t>
  </si>
  <si>
    <t>Bottom Surface</t>
  </si>
  <si>
    <t>Side Surfaces</t>
  </si>
  <si>
    <t>Jacket Loss - Used</t>
  </si>
  <si>
    <t>Jacket Loss - Calculation</t>
  </si>
  <si>
    <t>Jacket Loss - Manual Entry</t>
  </si>
  <si>
    <t>Top Coefficient of Convection</t>
  </si>
  <si>
    <t>Bottom Coefficient of Convection</t>
  </si>
  <si>
    <t>Side Coefficient of Convection</t>
  </si>
  <si>
    <t>Coefficient of Radiation, ε=1.0</t>
  </si>
  <si>
    <t>Coefficient of Radiation, surface</t>
  </si>
  <si>
    <t>Btu/h/sq ft/°F</t>
  </si>
  <si>
    <t>Top Surface Hourly Heat Loss</t>
  </si>
  <si>
    <t>Bottom Surface Hourly Heat Loss</t>
  </si>
  <si>
    <t>Side Surfaces Hourly Heat Loss</t>
  </si>
  <si>
    <r>
      <t>L</t>
    </r>
    <r>
      <rPr>
        <vertAlign val="subscript"/>
        <sz val="11"/>
        <color theme="1"/>
        <rFont val="Palatino Linotype"/>
        <family val="1"/>
      </rPr>
      <t>J</t>
    </r>
  </si>
  <si>
    <r>
      <t>h</t>
    </r>
    <r>
      <rPr>
        <vertAlign val="subscript"/>
        <sz val="11"/>
        <color theme="1"/>
        <rFont val="Palatino Linotype"/>
        <family val="1"/>
      </rPr>
      <t>C</t>
    </r>
  </si>
  <si>
    <r>
      <t>h</t>
    </r>
    <r>
      <rPr>
        <vertAlign val="subscript"/>
        <sz val="11"/>
        <color theme="1"/>
        <rFont val="Palatino Linotype"/>
        <family val="1"/>
      </rPr>
      <t>ri</t>
    </r>
  </si>
  <si>
    <t>Description</t>
  </si>
  <si>
    <r>
      <t>h</t>
    </r>
    <r>
      <rPr>
        <vertAlign val="subscript"/>
        <sz val="11"/>
        <color theme="1"/>
        <rFont val="Palatino Linotype"/>
        <family val="1"/>
      </rPr>
      <t>rs</t>
    </r>
  </si>
  <si>
    <r>
      <t>8.6.1.3 The hourly heat loss through the jacket, H</t>
    </r>
    <r>
      <rPr>
        <i/>
        <vertAlign val="subscript"/>
        <sz val="11"/>
        <color theme="1"/>
        <rFont val="Palatino Linotype"/>
        <family val="1"/>
      </rPr>
      <t>S</t>
    </r>
    <r>
      <rPr>
        <i/>
        <sz val="11"/>
        <color theme="1"/>
        <rFont val="Palatino Linotype"/>
        <family val="2"/>
      </rPr>
      <t xml:space="preserve">, shall be the sum of the hourly heat loss, </t>
    </r>
    <r>
      <rPr>
        <i/>
        <sz val="11"/>
        <color theme="1"/>
        <rFont val="Calibri"/>
        <family val="2"/>
      </rPr>
      <t>Σ</t>
    </r>
    <r>
      <rPr>
        <i/>
        <sz val="11"/>
        <color theme="1"/>
        <rFont val="Palatino Linotype"/>
        <family val="2"/>
      </rPr>
      <t>H</t>
    </r>
    <r>
      <rPr>
        <i/>
        <vertAlign val="subscript"/>
        <sz val="11"/>
        <color theme="1"/>
        <rFont val="Palatino Linotype"/>
        <family val="1"/>
      </rPr>
      <t>S</t>
    </r>
    <r>
      <rPr>
        <i/>
        <sz val="11"/>
        <color theme="1"/>
        <rFont val="Palatino Linotype"/>
        <family val="2"/>
      </rPr>
      <t>, where H</t>
    </r>
    <r>
      <rPr>
        <i/>
        <vertAlign val="subscript"/>
        <sz val="11"/>
        <color theme="1"/>
        <rFont val="Palatino Linotype"/>
        <family val="1"/>
      </rPr>
      <t>S</t>
    </r>
    <r>
      <rPr>
        <i/>
        <sz val="11"/>
        <color theme="1"/>
        <rFont val="Palatino Linotype"/>
        <family val="2"/>
      </rPr>
      <t xml:space="preserve"> is the hourly heat loss for each recorded group as computed from the formula
H</t>
    </r>
    <r>
      <rPr>
        <i/>
        <vertAlign val="subscript"/>
        <sz val="11"/>
        <color theme="1"/>
        <rFont val="Palatino Linotype"/>
        <family val="1"/>
      </rPr>
      <t>S</t>
    </r>
    <r>
      <rPr>
        <i/>
        <sz val="11"/>
        <color theme="1"/>
        <rFont val="Palatino Linotype"/>
        <family val="2"/>
      </rPr>
      <t xml:space="preserve"> = (h</t>
    </r>
    <r>
      <rPr>
        <i/>
        <vertAlign val="subscript"/>
        <sz val="11"/>
        <color theme="1"/>
        <rFont val="Palatino Linotype"/>
        <family val="1"/>
      </rPr>
      <t>rs</t>
    </r>
    <r>
      <rPr>
        <i/>
        <sz val="11"/>
        <color theme="1"/>
        <rFont val="Palatino Linotype"/>
        <family val="2"/>
      </rPr>
      <t xml:space="preserve"> + h</t>
    </r>
    <r>
      <rPr>
        <i/>
        <vertAlign val="subscript"/>
        <sz val="11"/>
        <color theme="1"/>
        <rFont val="Palatino Linotype"/>
        <family val="1"/>
      </rPr>
      <t>C</t>
    </r>
    <r>
      <rPr>
        <i/>
        <sz val="11"/>
        <color theme="1"/>
        <rFont val="Palatino Linotype"/>
        <family val="2"/>
      </rPr>
      <t>) A</t>
    </r>
    <r>
      <rPr>
        <i/>
        <vertAlign val="subscript"/>
        <sz val="11"/>
        <color theme="1"/>
        <rFont val="Palatino Linotype"/>
        <family val="1"/>
      </rPr>
      <t>G</t>
    </r>
    <r>
      <rPr>
        <i/>
        <sz val="11"/>
        <color theme="1"/>
        <rFont val="Palatino Linotype"/>
        <family val="2"/>
      </rPr>
      <t xml:space="preserve"> (T</t>
    </r>
    <r>
      <rPr>
        <i/>
        <vertAlign val="subscript"/>
        <sz val="11"/>
        <color theme="1"/>
        <rFont val="Palatino Linotype"/>
        <family val="1"/>
      </rPr>
      <t>S</t>
    </r>
    <r>
      <rPr>
        <i/>
        <sz val="11"/>
        <color theme="1"/>
        <rFont val="Palatino Linotype"/>
        <family val="2"/>
      </rPr>
      <t xml:space="preserve"> - T</t>
    </r>
    <r>
      <rPr>
        <i/>
        <vertAlign val="subscript"/>
        <sz val="11"/>
        <color theme="1"/>
        <rFont val="Palatino Linotype"/>
        <family val="1"/>
      </rPr>
      <t>RA</t>
    </r>
    <r>
      <rPr>
        <i/>
        <sz val="11"/>
        <color theme="1"/>
        <rFont val="Palatino Linotype"/>
        <family val="2"/>
      </rPr>
      <t>)
where
H</t>
    </r>
    <r>
      <rPr>
        <i/>
        <vertAlign val="subscript"/>
        <sz val="11"/>
        <color theme="1"/>
        <rFont val="Palatino Linotype"/>
        <family val="1"/>
      </rPr>
      <t>S</t>
    </r>
    <r>
      <rPr>
        <i/>
        <sz val="11"/>
        <color theme="1"/>
        <rFont val="Palatino Linotype"/>
        <family val="2"/>
      </rPr>
      <t xml:space="preserve"> = hourly heat loss through jacket in Btu per each recorded group;
h</t>
    </r>
    <r>
      <rPr>
        <i/>
        <vertAlign val="subscript"/>
        <sz val="11"/>
        <color theme="1"/>
        <rFont val="Palatino Linotype"/>
        <family val="1"/>
      </rPr>
      <t>rs</t>
    </r>
    <r>
      <rPr>
        <i/>
        <sz val="11"/>
        <color theme="1"/>
        <rFont val="Palatino Linotype"/>
        <family val="2"/>
      </rPr>
      <t xml:space="preserve"> = coefficient of radiation for the surface, Btu/(h· ft</t>
    </r>
    <r>
      <rPr>
        <i/>
        <vertAlign val="superscript"/>
        <sz val="11"/>
        <color theme="1"/>
        <rFont val="Palatino Linotype"/>
        <family val="1"/>
      </rPr>
      <t>2</t>
    </r>
    <r>
      <rPr>
        <i/>
        <sz val="11"/>
        <color theme="1"/>
        <rFont val="Palatino Linotype"/>
        <family val="2"/>
      </rPr>
      <t xml:space="preserve"> °F);
h</t>
    </r>
    <r>
      <rPr>
        <i/>
        <vertAlign val="subscript"/>
        <sz val="11"/>
        <color theme="1"/>
        <rFont val="Palatino Linotype"/>
        <family val="1"/>
      </rPr>
      <t>C</t>
    </r>
    <r>
      <rPr>
        <i/>
        <sz val="11"/>
        <color theme="1"/>
        <rFont val="Palatino Linotype"/>
        <family val="2"/>
      </rPr>
      <t xml:space="preserve"> = coefficient of convection, Btu/(b·ft</t>
    </r>
    <r>
      <rPr>
        <i/>
        <vertAlign val="superscript"/>
        <sz val="11"/>
        <color theme="1"/>
        <rFont val="Palatino Linotype"/>
        <family val="1"/>
      </rPr>
      <t>2</t>
    </r>
    <r>
      <rPr>
        <i/>
        <sz val="11"/>
        <color theme="1"/>
        <rFont val="Palatino Linotype"/>
        <family val="2"/>
      </rPr>
      <t xml:space="preserve"> °F);
A</t>
    </r>
    <r>
      <rPr>
        <i/>
        <vertAlign val="subscript"/>
        <sz val="11"/>
        <color theme="1"/>
        <rFont val="Palatino Linotype"/>
        <family val="1"/>
      </rPr>
      <t>G</t>
    </r>
    <r>
      <rPr>
        <i/>
        <sz val="11"/>
        <color theme="1"/>
        <rFont val="Palatino Linotype"/>
        <family val="2"/>
      </rPr>
      <t xml:space="preserve"> = area of group, ft</t>
    </r>
    <r>
      <rPr>
        <i/>
        <vertAlign val="superscript"/>
        <sz val="11"/>
        <color theme="1"/>
        <rFont val="Palatino Linotype"/>
        <family val="1"/>
      </rPr>
      <t>2</t>
    </r>
    <r>
      <rPr>
        <i/>
        <sz val="11"/>
        <color theme="1"/>
        <rFont val="Palatino Linotype"/>
        <family val="2"/>
      </rPr>
      <t>;
T</t>
    </r>
    <r>
      <rPr>
        <i/>
        <vertAlign val="subscript"/>
        <sz val="11"/>
        <color theme="1"/>
        <rFont val="Palatino Linotype"/>
        <family val="1"/>
      </rPr>
      <t>S</t>
    </r>
    <r>
      <rPr>
        <i/>
        <sz val="11"/>
        <color theme="1"/>
        <rFont val="Palatino Linotype"/>
        <family val="2"/>
      </rPr>
      <t xml:space="preserve"> = temperature of surface, °F;
T</t>
    </r>
    <r>
      <rPr>
        <i/>
        <vertAlign val="subscript"/>
        <sz val="11"/>
        <color theme="1"/>
        <rFont val="Palatino Linotype"/>
        <family val="1"/>
      </rPr>
      <t>RA</t>
    </r>
    <r>
      <rPr>
        <i/>
        <sz val="11"/>
        <color theme="1"/>
        <rFont val="Palatino Linotype"/>
        <family val="2"/>
      </rPr>
      <t xml:space="preserve"> = temperature of room, °F.
The percent jacket loss, L</t>
    </r>
    <r>
      <rPr>
        <i/>
        <vertAlign val="subscript"/>
        <sz val="11"/>
        <color theme="1"/>
        <rFont val="Palatino Linotype"/>
        <family val="1"/>
      </rPr>
      <t>J</t>
    </r>
    <r>
      <rPr>
        <i/>
        <sz val="11"/>
        <color theme="1"/>
        <rFont val="Palatino Linotype"/>
        <family val="2"/>
      </rPr>
      <t>, shall be the hourly heat loss through the jacket, H</t>
    </r>
    <r>
      <rPr>
        <i/>
        <vertAlign val="subscript"/>
        <sz val="11"/>
        <color theme="1"/>
        <rFont val="Palatino Linotype"/>
        <family val="1"/>
      </rPr>
      <t>S</t>
    </r>
    <r>
      <rPr>
        <i/>
        <sz val="11"/>
        <color theme="1"/>
        <rFont val="Palatino Linotype"/>
        <family val="2"/>
      </rPr>
      <t>, divided by the hourly input, Q</t>
    </r>
    <r>
      <rPr>
        <i/>
        <vertAlign val="subscript"/>
        <sz val="11"/>
        <color theme="1"/>
        <rFont val="Palatino Linotype"/>
        <family val="1"/>
      </rPr>
      <t>IN</t>
    </r>
    <r>
      <rPr>
        <i/>
        <sz val="11"/>
        <color theme="1"/>
        <rFont val="Palatino Linotype"/>
        <family val="2"/>
      </rPr>
      <t>, and multiplied by 100.</t>
    </r>
  </si>
  <si>
    <t>Emissivity of the Surface</t>
  </si>
  <si>
    <t>Maximum Surface Temperature</t>
  </si>
  <si>
    <t>Maximum Differential Condition Met?</t>
  </si>
  <si>
    <t>Minimum Surface Temperature</t>
  </si>
  <si>
    <r>
      <t>T</t>
    </r>
    <r>
      <rPr>
        <vertAlign val="subscript"/>
        <sz val="11"/>
        <color theme="1"/>
        <rFont val="Palatino Linotype"/>
        <family val="1"/>
      </rPr>
      <t>RA</t>
    </r>
  </si>
  <si>
    <t>Difference in Max Surface and Room Temperatures</t>
  </si>
  <si>
    <t>Jacket Loss Factor - Calculated from Test</t>
  </si>
  <si>
    <t>Lab Location (City, State):</t>
  </si>
  <si>
    <r>
      <t>D</t>
    </r>
    <r>
      <rPr>
        <vertAlign val="subscript"/>
        <sz val="11"/>
        <color rgb="FF000000"/>
        <rFont val="Palatino Linotype"/>
        <family val="1"/>
      </rPr>
      <t>S,j</t>
    </r>
  </si>
  <si>
    <t>G4</t>
  </si>
  <si>
    <t>G1</t>
  </si>
  <si>
    <t>G2</t>
  </si>
  <si>
    <t>G3</t>
  </si>
  <si>
    <r>
      <t>G1</t>
    </r>
    <r>
      <rPr>
        <vertAlign val="subscript"/>
        <sz val="11"/>
        <color rgb="FF000000"/>
        <rFont val="Palatino Linotype"/>
        <family val="1"/>
      </rPr>
      <t>j</t>
    </r>
  </si>
  <si>
    <r>
      <t>G2</t>
    </r>
    <r>
      <rPr>
        <vertAlign val="subscript"/>
        <sz val="11"/>
        <color rgb="FF000000"/>
        <rFont val="Palatino Linotype"/>
        <family val="1"/>
      </rPr>
      <t>j</t>
    </r>
  </si>
  <si>
    <r>
      <t>G3</t>
    </r>
    <r>
      <rPr>
        <vertAlign val="subscript"/>
        <sz val="11"/>
        <color rgb="FF000000"/>
        <rFont val="Palatino Linotype"/>
        <family val="1"/>
      </rPr>
      <t>j</t>
    </r>
  </si>
  <si>
    <r>
      <t>G4</t>
    </r>
    <r>
      <rPr>
        <vertAlign val="subscript"/>
        <sz val="11"/>
        <color rgb="FF000000"/>
        <rFont val="Palatino Linotype"/>
        <family val="1"/>
      </rPr>
      <t>j</t>
    </r>
  </si>
  <si>
    <t>v0.2</t>
  </si>
  <si>
    <t>v0.3</t>
  </si>
  <si>
    <t>v1.0</t>
  </si>
  <si>
    <t>Step 11</t>
  </si>
  <si>
    <t>v1.1</t>
  </si>
  <si>
    <t>Describe placement of room ambient thermocouples:</t>
  </si>
  <si>
    <t>Average Outdoor Temperature</t>
  </si>
  <si>
    <r>
      <t>L</t>
    </r>
    <r>
      <rPr>
        <vertAlign val="subscript"/>
        <sz val="11"/>
        <color indexed="8"/>
        <rFont val="Palatino Linotype"/>
        <family val="1"/>
      </rPr>
      <t>C,SS</t>
    </r>
  </si>
  <si>
    <t>Steady-State Heat Loss Due to Hot Condensate Going Down the Drain</t>
  </si>
  <si>
    <t>Steady-State Efficiency with No Condensate Losses</t>
  </si>
  <si>
    <t>Average Outdoor Temperature at Reduced Fuel Input Rate Operating Mode</t>
  </si>
  <si>
    <r>
      <t>T</t>
    </r>
    <r>
      <rPr>
        <vertAlign val="subscript"/>
        <sz val="11"/>
        <color rgb="FF000000"/>
        <rFont val="Palatino Linotype"/>
        <family val="1"/>
      </rPr>
      <t>OA,H</t>
    </r>
  </si>
  <si>
    <r>
      <t>T</t>
    </r>
    <r>
      <rPr>
        <vertAlign val="subscript"/>
        <sz val="11"/>
        <color rgb="FF000000"/>
        <rFont val="Palatino Linotype"/>
        <family val="1"/>
      </rPr>
      <t>OA,R</t>
    </r>
  </si>
  <si>
    <t>11.2.7</t>
  </si>
  <si>
    <t>Calculation Not Affected by Outside Air</t>
  </si>
  <si>
    <r>
      <t>M</t>
    </r>
    <r>
      <rPr>
        <vertAlign val="subscript"/>
        <sz val="11"/>
        <color rgb="FF000000"/>
        <rFont val="Palatino Linotype"/>
        <family val="1"/>
      </rPr>
      <t>C</t>
    </r>
    <r>
      <rPr>
        <vertAlign val="subscript"/>
        <sz val="11"/>
        <color indexed="8"/>
        <rFont val="Palatino Linotype"/>
        <family val="1"/>
      </rPr>
      <t>,SS</t>
    </r>
  </si>
  <si>
    <r>
      <t>Q</t>
    </r>
    <r>
      <rPr>
        <vertAlign val="subscript"/>
        <sz val="11"/>
        <color rgb="FF000000"/>
        <rFont val="Palatino Linotype"/>
        <family val="1"/>
      </rPr>
      <t>C</t>
    </r>
    <r>
      <rPr>
        <vertAlign val="subscript"/>
        <sz val="11"/>
        <color indexed="8"/>
        <rFont val="Palatino Linotype"/>
        <family val="1"/>
      </rPr>
      <t>,SS</t>
    </r>
  </si>
  <si>
    <r>
      <t>L</t>
    </r>
    <r>
      <rPr>
        <vertAlign val="subscript"/>
        <sz val="11"/>
        <color indexed="8"/>
        <rFont val="Palatino Linotype"/>
        <family val="1"/>
      </rPr>
      <t>G,SS</t>
    </r>
  </si>
  <si>
    <t>v1.2</t>
  </si>
  <si>
    <t>Steady-State Heating Capacity</t>
  </si>
  <si>
    <t>v1.3</t>
  </si>
  <si>
    <t>v1.4</t>
  </si>
  <si>
    <t>Instrumentation Requirements</t>
  </si>
  <si>
    <t>ASHRAE 103-2017 Section</t>
  </si>
  <si>
    <t>Requirement</t>
  </si>
  <si>
    <t>6.1 General</t>
  </si>
  <si>
    <t>6.2.1 Thermometers</t>
  </si>
  <si>
    <t>6.2.2 Thermocouples</t>
  </si>
  <si>
    <t>6.2.3 Thermocouple Grid</t>
  </si>
  <si>
    <t>6.3 Pressure</t>
  </si>
  <si>
    <t>6.4 Draft</t>
  </si>
  <si>
    <t>6.5 Combustion Products</t>
  </si>
  <si>
    <t>6.6 Weight or Volume</t>
  </si>
  <si>
    <t>6.7 Time</t>
  </si>
  <si>
    <t>6.8 Smoke</t>
  </si>
  <si>
    <t>6.9 Tracer Gas Mass Flow Rate</t>
  </si>
  <si>
    <t>6.10.1 Electricity Flow Rate</t>
  </si>
  <si>
    <t>6.10.2 Gas Flow Rate</t>
  </si>
  <si>
    <t>6.10.3 Oil Flow Rate</t>
  </si>
  <si>
    <t>6.11.1 Gas Higher Heating Value</t>
  </si>
  <si>
    <t>6.11.2 Oil  Higher Heating Value</t>
  </si>
  <si>
    <t>All instruments shall be in working order and calibrated periodically. Records of periodic calibration shall be kept and shall contain, at a minimum, the date of calibration, method of calibration, and reference standard used.</t>
  </si>
  <si>
    <t>Thermometers shall have an error no greater than ±1°F (± 0.55 °C).</t>
  </si>
  <si>
    <t>Thermocouples and their read-out instrumentation shall have an error no greater than ±2°F (1.1°C). Thermocouples shall be the bead type having a wire
size no greater than No. 24 American wire gauge (AWG). Where there is a possibility that the thermocouples could receive direct radiation from the flame, use of a radiation shield is required. Installation of these radiation</t>
  </si>
  <si>
    <t>Thermocouples used in grids shall be those described in Section 6.2.2 and shall be made as described in Section 7.6. Location of thermocouple grids shall be in accordance with Section 8.2.1.5.</t>
  </si>
  <si>
    <t>Instruments for measuring gas, oil, air, water, and steam pressure shall be calibrated so that the error is no greater than the following:
a. Gas: ±0.2 in. of water (50 Pa)
b. Air: ±0.01 in. of water (2.5 Pa)
c. Steam: ±0.2 in. Hg (0.67 kPa)</t>
  </si>
  <si>
    <t>Draft gages shall have an accuracy of ±0.005 in.
of water (1.25 Pa). Minimum divisions on the draft gage shall
be 0.005 in. of water (1.25 Pa).</t>
  </si>
  <si>
    <t>Stack and flue carbon dioxide (CO2) shall be determined with an instrument providing a reading with an error no greater than ±0.1 percentage points.</t>
  </si>
  <si>
    <t>The error associated with the measuring
instruments shall not exceed ±0.5% of the quantity
measured.</t>
  </si>
  <si>
    <t>The error associated with timing instruments shall
not exceed ±0.5 seconds/h.</t>
  </si>
  <si>
    <t>The instruments used to measure the tracer gas mass flow rate shall have an accuracy of ±2% of the value of the concentration measured</t>
  </si>
  <si>
    <t>Smoke measuring instruments shall comply with requirements for smoke meters as outlined in ASTM D2156.</t>
  </si>
  <si>
    <t>The error shall be no greater than 1%.</t>
  </si>
  <si>
    <t>Thermocouple Requirements</t>
  </si>
  <si>
    <t>7.6 Thermocouple Grids</t>
  </si>
  <si>
    <t>7.6.1 Flue and Stack</t>
  </si>
  <si>
    <t>Thermocouple grids shall be constructed of either 5, 9, or 17 thermocouples of the type described in Section 6.2.2 and shown in Figure 10. The grid shall be in a test plane perpendicular to the axis of the test vent pipe. The thermocouple leads shall be equalized in length before wiring in parallel.</t>
  </si>
  <si>
    <t>Electrical Measurement Requirements</t>
  </si>
  <si>
    <t>7.7 Electrical Measurement</t>
  </si>
  <si>
    <t>See Figure 11.</t>
  </si>
  <si>
    <t>Heating Fuel Used</t>
  </si>
  <si>
    <t>Power Buner Option</t>
  </si>
  <si>
    <r>
      <rPr>
        <b/>
        <sz val="11"/>
        <color rgb="FF000000"/>
        <rFont val="Palatino Linotype"/>
        <family val="1"/>
      </rPr>
      <t xml:space="preserve">ASHRAE 103-2017, Section 8.2.1.4: Electric Supply </t>
    </r>
    <r>
      <rPr>
        <i/>
        <sz val="11"/>
        <color indexed="8"/>
        <rFont val="Palatino Linotype"/>
        <family val="1"/>
      </rPr>
      <t xml:space="preserve">
 Maintain the electrical supply to an auxiliary electric component of a furnace within 1% of the nameplate voltage for the duration of the test. If a dual voltage is used for nameplate voltage, maintain the electrical supply within 1% of the higher voltage. The above provisions are required except as provided for in Section 8.4.2.1.6.</t>
    </r>
  </si>
  <si>
    <r>
      <rPr>
        <b/>
        <sz val="11"/>
        <color rgb="FF000000"/>
        <rFont val="Palatino Linotype"/>
        <family val="1"/>
      </rPr>
      <t>ASHRAE 103-2017, Section 8.6: Jacket Loss Measurement</t>
    </r>
    <r>
      <rPr>
        <i/>
        <sz val="11"/>
        <color indexed="8"/>
        <rFont val="Palatino Linotype"/>
        <family val="1"/>
      </rPr>
      <t xml:space="preserve">
For units intended to be installed outdoors or in an unheated space (including isolated combustion systems), the jacket loss shall be determined by one of the following: (a) assigned the value of 1% or (b) a jacket loss test shall be performed.</t>
    </r>
  </si>
  <si>
    <r>
      <t xml:space="preserve">ASHRAE 103-2017, Section 8.8.1: Standard Method 
</t>
    </r>
    <r>
      <rPr>
        <i/>
        <sz val="11"/>
        <rFont val="Palatino Linotype"/>
        <family val="1"/>
      </rPr>
      <t>Use Table 6 to determine draft factors D</t>
    </r>
    <r>
      <rPr>
        <i/>
        <vertAlign val="subscript"/>
        <sz val="11"/>
        <rFont val="Palatino Linotype"/>
        <family val="1"/>
      </rPr>
      <t>F</t>
    </r>
    <r>
      <rPr>
        <i/>
        <sz val="11"/>
        <rFont val="Palatino Linotype"/>
        <family val="1"/>
      </rPr>
      <t xml:space="preserve"> and D</t>
    </r>
    <r>
      <rPr>
        <i/>
        <vertAlign val="subscript"/>
        <sz val="11"/>
        <rFont val="Palatino Linotype"/>
        <family val="1"/>
      </rPr>
      <t>S</t>
    </r>
    <r>
      <rPr>
        <i/>
        <sz val="11"/>
        <rFont val="Palatino Linotype"/>
        <family val="1"/>
      </rPr>
      <t xml:space="preserve"> as required in Section 11, "Calculation of Derived Results from Test Measurements."</t>
    </r>
  </si>
  <si>
    <r>
      <t>ASHRAE 103-2017, Section 8.8.2: Optional Tracer Gas Method for Determining Draft Factors D</t>
    </r>
    <r>
      <rPr>
        <b/>
        <vertAlign val="subscript"/>
        <sz val="11"/>
        <rFont val="Palatino Linotype"/>
        <family val="1"/>
      </rPr>
      <t>P</t>
    </r>
    <r>
      <rPr>
        <b/>
        <sz val="11"/>
        <rFont val="Palatino Linotype"/>
        <family val="1"/>
      </rPr>
      <t>, D</t>
    </r>
    <r>
      <rPr>
        <b/>
        <vertAlign val="subscript"/>
        <sz val="11"/>
        <rFont val="Palatino Linotype"/>
        <family val="1"/>
      </rPr>
      <t>F</t>
    </r>
    <r>
      <rPr>
        <b/>
        <sz val="11"/>
        <rFont val="Palatino Linotype"/>
        <family val="1"/>
      </rPr>
      <t>, and D</t>
    </r>
    <r>
      <rPr>
        <b/>
        <vertAlign val="subscript"/>
        <sz val="11"/>
        <rFont val="Palatino Linotype"/>
        <family val="1"/>
      </rPr>
      <t>S</t>
    </r>
    <r>
      <rPr>
        <b/>
        <sz val="11"/>
        <rFont val="Palatino Linotype"/>
        <family val="1"/>
      </rPr>
      <t xml:space="preserve"> for Systems Equipped with Power Burners or Direct Vent
</t>
    </r>
    <r>
      <rPr>
        <i/>
        <sz val="11"/>
        <rFont val="Palatino Linotype"/>
        <family val="1"/>
      </rPr>
      <t>8.8.2.1 Determine D</t>
    </r>
    <r>
      <rPr>
        <i/>
        <vertAlign val="subscript"/>
        <sz val="11"/>
        <rFont val="Palatino Linotype"/>
        <family val="1"/>
      </rPr>
      <t>F</t>
    </r>
    <r>
      <rPr>
        <i/>
        <sz val="11"/>
        <rFont val="Palatino Linotype"/>
        <family val="1"/>
      </rPr>
      <t xml:space="preserve"> (the ratio of gas mass flow rate through the flue during the off-cycle to the gas mass flow rate through the flue during the on-cycle at identical temperatures) during the cool-down test described in 9.7 and the calculation procedures of 11.6 and 11.7. On units with step modulating controls, the optional tracer gas procedure shall be conducted during the cool-down test described in 9.7 at the reduced input rate only. For units with two-stage modulating controls, if the optional tracer gas procedure is conducted during the cool-down test described in 9.7 at the reduced input rate, it shall also be conducted at the maximum input rate and, if the cool down test is conducted at the maximum input rate, it shall also be conducted at the reduced input rate.
8.8.2.2 On systems for which the stack damper is to be closed during the cool-down test described in 9.5, determine D</t>
    </r>
    <r>
      <rPr>
        <i/>
        <vertAlign val="subscript"/>
        <sz val="11"/>
        <rFont val="Palatino Linotype"/>
        <family val="1"/>
      </rPr>
      <t>P</t>
    </r>
    <r>
      <rPr>
        <i/>
        <sz val="11"/>
        <rFont val="Palatino Linotype"/>
        <family val="1"/>
      </rPr>
      <t xml:space="preserve"> (the ratio of the rate of flue gas mass flow through the furnace during the off-period to the rate of flue gas mass flow through the furnace during the on-period) during a separate cool-down test. Conduct this separate cool-down test by running the unit after the heat-up test until steady-state conditions are reached (see Section 9.1) and then shutting the unit off with the stack damper controls bypassed or adjusted so that the stack damper remains open during the resulting cool-down period. If a draft was maintained in the flue pipe during the steady-state performance test described in 9.1, maintain the same draft (within ±0.005 in. water of the average steady-state draft) during this cool-down period. Measure the flue gas mass flow rate (M</t>
    </r>
    <r>
      <rPr>
        <i/>
        <vertAlign val="subscript"/>
        <sz val="11"/>
        <rFont val="Palatino Linotype"/>
        <family val="1"/>
      </rPr>
      <t>F,OFF</t>
    </r>
    <r>
      <rPr>
        <i/>
        <sz val="11"/>
        <rFont val="Palatino Linotype"/>
        <family val="1"/>
      </rPr>
      <t>) during the cool-down test described above at a specific off-period flue gas temperature described in 9.5 and correct (as described in 11.6.3) to obtain its value at the steady-state flue gas temperature (T</t>
    </r>
    <r>
      <rPr>
        <i/>
        <vertAlign val="subscript"/>
        <sz val="11"/>
        <rFont val="Palatino Linotype"/>
        <family val="1"/>
      </rPr>
      <t>F,SS</t>
    </r>
    <r>
      <rPr>
        <i/>
        <sz val="11"/>
        <rFont val="Palatino Linotype"/>
        <family val="1"/>
      </rPr>
      <t>) using 9.5.
8.8.2.3 Units with integral dampers as described in 7.4 shall be tested as described in 8.8.2.1.</t>
    </r>
  </si>
  <si>
    <r>
      <t xml:space="preserve">Appendix EE, Section 7.9.1.4: Duration of Test
</t>
    </r>
    <r>
      <rPr>
        <i/>
        <sz val="11"/>
        <rFont val="Palatino Linotype"/>
        <family val="1"/>
      </rPr>
      <t>Establish the presence of smoke from the smoke stick and then monitor the direction of the smoke flow for no less than 30 seconds.</t>
    </r>
  </si>
  <si>
    <r>
      <t>ASHRAE 103-2017, Section 8.8.4: Methods of Measurement for Determining D</t>
    </r>
    <r>
      <rPr>
        <b/>
        <vertAlign val="subscript"/>
        <sz val="11"/>
        <rFont val="Palatino Linotype"/>
        <family val="1"/>
      </rPr>
      <t>O</t>
    </r>
    <r>
      <rPr>
        <b/>
        <sz val="11"/>
        <rFont val="Palatino Linotype"/>
        <family val="1"/>
      </rPr>
      <t xml:space="preserve"> of Automatic Stack Damper</t>
    </r>
  </si>
  <si>
    <r>
      <t>8.8.4.1 Measure the cross-sectional area of the stack (A</t>
    </r>
    <r>
      <rPr>
        <i/>
        <vertAlign val="subscript"/>
        <sz val="11"/>
        <rFont val="Palatino Linotype"/>
        <family val="1"/>
      </rPr>
      <t>S</t>
    </r>
    <r>
      <rPr>
        <i/>
        <sz val="11"/>
        <rFont val="Palatino Linotype"/>
        <family val="1"/>
      </rPr>
      <t>), the net area of the damper plate (A</t>
    </r>
    <r>
      <rPr>
        <i/>
        <vertAlign val="subscript"/>
        <sz val="11"/>
        <rFont val="Palatino Linotype"/>
        <family val="1"/>
      </rPr>
      <t>D</t>
    </r>
    <r>
      <rPr>
        <i/>
        <sz val="11"/>
        <rFont val="Palatino Linotype"/>
        <family val="1"/>
      </rPr>
      <t>), which is the area of the damper plate minus the area of any holes in the plate, and the angle (</t>
    </r>
    <r>
      <rPr>
        <sz val="11"/>
        <rFont val="Calibri"/>
        <family val="2"/>
      </rPr>
      <t>Ω</t>
    </r>
    <r>
      <rPr>
        <i/>
        <sz val="11"/>
        <rFont val="Palatino Linotype"/>
        <family val="1"/>
      </rPr>
      <t>) the damper plate makes when closed with a plane perpendicular to the axis of the stack. Note that the area A</t>
    </r>
    <r>
      <rPr>
        <i/>
        <vertAlign val="subscript"/>
        <sz val="11"/>
        <rFont val="Palatino Linotype"/>
        <family val="1"/>
      </rPr>
      <t>S</t>
    </r>
    <r>
      <rPr>
        <i/>
        <sz val="11"/>
        <rFont val="Palatino Linotype"/>
        <family val="1"/>
      </rPr>
      <t xml:space="preserve"> is the cross-sectional area of the stack pipe, not the area inside any ring that is attached to the inside of the stack pipe. Measure the area of any holes or cutouts in the stack damper plate, A</t>
    </r>
    <r>
      <rPr>
        <i/>
        <vertAlign val="subscript"/>
        <sz val="11"/>
        <rFont val="Palatino Linotype"/>
        <family val="1"/>
      </rPr>
      <t>O,D</t>
    </r>
    <r>
      <rPr>
        <i/>
        <sz val="11"/>
        <rFont val="Palatino Linotype"/>
        <family val="1"/>
      </rPr>
      <t>, and either measure, or obtain from the manufacturer of the stack damper, the leakage area, A</t>
    </r>
    <r>
      <rPr>
        <i/>
        <vertAlign val="subscript"/>
        <sz val="11"/>
        <rFont val="Palatino Linotype"/>
        <family val="1"/>
      </rPr>
      <t>O,L</t>
    </r>
    <r>
      <rPr>
        <i/>
        <sz val="11"/>
        <rFont val="Palatino Linotype"/>
        <family val="1"/>
      </rPr>
      <t>, at the damper shaft and around the damper edge when the damper is at the closed position. Both areas shall be measured at the plane of the damper.
8.8.4.2 Determine the time it takes for the damper to be energized following burner shutdown, (t</t>
    </r>
    <r>
      <rPr>
        <i/>
        <vertAlign val="subscript"/>
        <sz val="11"/>
        <rFont val="Palatino Linotype"/>
        <family val="1"/>
      </rPr>
      <t>s</t>
    </r>
    <r>
      <rPr>
        <i/>
        <sz val="11"/>
        <rFont val="Palatino Linotype"/>
        <family val="1"/>
      </rPr>
      <t>). Also determine the time interval, (t</t>
    </r>
    <r>
      <rPr>
        <i/>
        <vertAlign val="subscript"/>
        <sz val="11"/>
        <rFont val="Palatino Linotype"/>
        <family val="1"/>
      </rPr>
      <t>d</t>
    </r>
    <r>
      <rPr>
        <i/>
        <sz val="11"/>
        <rFont val="Palatino Linotype"/>
        <family val="1"/>
      </rPr>
      <t>), it takes from when the damper is energized to when the damper blade stops moving.</t>
    </r>
  </si>
  <si>
    <t>Appendix EE, Section 8.10: Measurement of electrical standby and off mode power.</t>
  </si>
  <si>
    <t>Fill in Drop Downs</t>
  </si>
  <si>
    <t>Damper_Options</t>
  </si>
  <si>
    <t>Burner Inlet Damper</t>
  </si>
  <si>
    <t>Flue Damper</t>
  </si>
  <si>
    <t>Locate the column where all the characteristics are applicable to the equipment under test.</t>
  </si>
  <si>
    <t>Burner Type:</t>
  </si>
  <si>
    <t>Electric  Boilers</t>
  </si>
  <si>
    <t>HDD</t>
  </si>
  <si>
    <t>Draft Hood or Diverter</t>
  </si>
  <si>
    <t>ASHRAE 103-2017, Section 8.6.1: Gas-Fueled Gravity Furnaces, Forced-Air Central Furnaces, and Low-Pressure Steam and Hot Water Boilers</t>
  </si>
  <si>
    <r>
      <rPr>
        <b/>
        <sz val="11"/>
        <color theme="1"/>
        <rFont val="Palatino Linotype"/>
        <family val="1"/>
      </rPr>
      <t>ASHRAE 103-2017, Section 8.6: Jacket Loss Measurement</t>
    </r>
    <r>
      <rPr>
        <sz val="11"/>
        <color theme="1"/>
        <rFont val="Palatino Linotype"/>
        <family val="2"/>
      </rPr>
      <t xml:space="preserve">
</t>
    </r>
    <r>
      <rPr>
        <i/>
        <sz val="11"/>
        <color theme="1"/>
        <rFont val="Palatino Linotype"/>
        <family val="1"/>
      </rPr>
      <t>For units intended to be installed outdoors or in an unheated space (including isolated combustion systems), the jacket loss shall be determined by one of the following: (a) assigned the value of 1% or (b) a jacket loss test shall be performed. Conduct the test at steady state conditions according to Section 9.1. For modulating units, run the test at maximum input only. The jacket loss (LJ) is measured in accordance with the following sections.</t>
    </r>
  </si>
  <si>
    <r>
      <rPr>
        <b/>
        <sz val="11"/>
        <color theme="1"/>
        <rFont val="Palatino Linotype"/>
        <family val="1"/>
      </rPr>
      <t xml:space="preserve">Appendix EE, Section 7.6: Measurement of Jacket Surface Temperature. </t>
    </r>
    <r>
      <rPr>
        <sz val="11"/>
        <color theme="1"/>
        <rFont val="Palatino Linotype"/>
        <family val="2"/>
      </rPr>
      <t xml:space="preserve">
</t>
    </r>
    <r>
      <rPr>
        <i/>
        <sz val="11"/>
        <color theme="1"/>
        <rFont val="Palatino Linotype"/>
        <family val="1"/>
      </rPr>
      <t>Divide the jacket of the boiler into 6-inch squares when practical, and otherwise into 36-square-inch regions comprising 4 inch by 9 inch or 3 inch by 12 inch sections, and determine the surface temperature at the center of each square or section with a surface thermocouple. Record the surface temperature of the 36-square-inch areas in groups where the temperature differential of the 36-square-inch areas is less than 10 °F for temperature up to 100 °F above room temperature, and less than 20 °F for temperatures more than 100 °F above room temperature.</t>
    </r>
  </si>
  <si>
    <r>
      <rPr>
        <b/>
        <sz val="11"/>
        <color theme="1"/>
        <rFont val="Palatino Linotype"/>
        <family val="1"/>
      </rPr>
      <t xml:space="preserve">ASHRAE 103-2017, Section 8.6.2: Oil-Fueled Forced-Air Central Furnaces and Low-Pressure Steam and Hot Water Boilers </t>
    </r>
    <r>
      <rPr>
        <sz val="11"/>
        <color theme="1"/>
        <rFont val="Palatino Linotype"/>
        <family val="2"/>
      </rPr>
      <t xml:space="preserve">
</t>
    </r>
    <r>
      <rPr>
        <i/>
        <sz val="11"/>
        <color theme="1"/>
        <rFont val="Palatino Linotype"/>
        <family val="1"/>
      </rPr>
      <t>The jacket loss measurement is the same as in 8.6.1.</t>
    </r>
  </si>
  <si>
    <t>8.6.2.1 Surface temperature measurements on the oil burner, burner mounting plate, and inspection or access door panels may be omitted for the purposes of this test. The surface temperatures of the casing adjacent to these items shall be measured at points not less than 2 in. (5 cm) from the edges of each frame or panel.</t>
  </si>
  <si>
    <r>
      <rPr>
        <b/>
        <sz val="11"/>
        <color theme="1"/>
        <rFont val="Palatino Linotype"/>
        <family val="1"/>
      </rPr>
      <t xml:space="preserve">ASHRAE 103-2017, Section 8.6.3: Electric Forced-Air Central Furnaces and Low-Pressure Steam and Hot Water Boilers </t>
    </r>
    <r>
      <rPr>
        <sz val="11"/>
        <color theme="1"/>
        <rFont val="Palatino Linotype"/>
        <family val="2"/>
      </rPr>
      <t xml:space="preserve">
</t>
    </r>
    <r>
      <rPr>
        <i/>
        <sz val="11"/>
        <color theme="1"/>
        <rFont val="Palatino Linotype"/>
        <family val="1"/>
      </rPr>
      <t>The jacket loss measurement is the same as in 8.6.1.</t>
    </r>
  </si>
  <si>
    <r>
      <rPr>
        <b/>
        <sz val="11"/>
        <color rgb="FF000000"/>
        <rFont val="Palatino Linotype"/>
        <family val="1"/>
      </rPr>
      <t xml:space="preserve">Appendix EE, Section 8.0: Test procedure. </t>
    </r>
    <r>
      <rPr>
        <i/>
        <sz val="11"/>
        <color indexed="8"/>
        <rFont val="Palatino Linotype"/>
        <family val="1"/>
      </rPr>
      <t xml:space="preserve">
Conduct testing and measurements as specified in Section 9 of ASHRAE 103–2017 (except for the excluded sub-sections as enumerated in section 0.1(h) of this appendix); and as specified in sections 8.1 through 8.9 of this appendix. Section 8.4 of this appendix may be used in lieu of section 9.2 of ASHRAE 103–2017.</t>
    </r>
  </si>
  <si>
    <r>
      <rPr>
        <b/>
        <sz val="11"/>
        <color rgb="FF000000"/>
        <rFont val="Palatino Linotype"/>
        <family val="1"/>
      </rPr>
      <t>Appendix EE, Section 8.1:  Fuel input.</t>
    </r>
    <r>
      <rPr>
        <i/>
        <sz val="11"/>
        <color indexed="8"/>
        <rFont val="Palatino Linotype"/>
        <family val="1"/>
      </rPr>
      <t xml:space="preserve"> 
For gas units, measure and record the steady-state gas input rate in Btu/h, including pilot gas, corrected to standard conditions of 60 °F and 30 in. Hg. Use measured values of gas temperature and pressure at the meter and barometric pressure to correct the metered gas flow rate to the above standard conditions. For oil units, measure and record the steady-state fuel input rate. For maximum input rate, the measured burner input rate shall be within ±2% of the hourly Btu nameplate input rating (QIN) specified by the manufacturer. For modulating furnaces and boilers operating at reduced input rate, the measured reduced heat input rate (QIN,R) shall be recorded. At the discretion of the one testing, the hourly Btu nameplate minimum input rating specified by the manufacturer may be used in the calculations in place of QIN,R if the measured rate is within ±2% of the nameplate rating.</t>
    </r>
  </si>
  <si>
    <r>
      <rPr>
        <b/>
        <sz val="11"/>
        <color rgb="FF000000"/>
        <rFont val="Palatino Linotype"/>
        <family val="1"/>
      </rPr>
      <t>Appendix EE, Section 8.2:  Electrical Input.</t>
    </r>
    <r>
      <rPr>
        <sz val="11"/>
        <color rgb="FF000000"/>
        <rFont val="Palatino Linotype"/>
        <family val="1"/>
      </rPr>
      <t xml:space="preserve"> 
</t>
    </r>
    <r>
      <rPr>
        <i/>
        <sz val="11"/>
        <color indexed="8"/>
        <rFont val="Palatino Linotype"/>
        <family val="1"/>
      </rPr>
      <t xml:space="preserve">During the steady-state test, perform a single measurement of all of the electrical power involved in burner operation (PE), including energizing the ignition system, controls, gas valve or oil control valve, and draft inducer, if applicable. For boilers, the measurement of PE must include the boiler pump if so equipped. If the boiler pump does not operate during the measurement of PE, add the boiler pump nameplate power to the measurement of PE. If the boiler pump nameplate power is not available, use 0.13 kW. For hot water boilers, use the circulating water pump nameplate power for BE, or if the pump nameplate power is not available, use 0.13 kW. 
</t>
    </r>
  </si>
  <si>
    <r>
      <rPr>
        <b/>
        <sz val="11"/>
        <color rgb="FF000000"/>
        <rFont val="Palatino Linotype"/>
        <family val="1"/>
      </rPr>
      <t>Appendix EE, Section 8.3:  Input to Interrupted Ignition Device.</t>
    </r>
    <r>
      <rPr>
        <b/>
        <i/>
        <sz val="11"/>
        <color rgb="FF000000"/>
        <rFont val="Palatino Linotype"/>
        <family val="1"/>
      </rPr>
      <t xml:space="preserve"> 
</t>
    </r>
    <r>
      <rPr>
        <i/>
        <sz val="11"/>
        <color indexed="8"/>
        <rFont val="Palatino Linotype"/>
        <family val="1"/>
      </rPr>
      <t>For burners equipped with an interrupted ignition device, record the nameplate electric power used by the ignition device, PE</t>
    </r>
    <r>
      <rPr>
        <i/>
        <vertAlign val="subscript"/>
        <sz val="11"/>
        <color rgb="FF000000"/>
        <rFont val="Palatino Linotype"/>
        <family val="1"/>
      </rPr>
      <t>IG</t>
    </r>
    <r>
      <rPr>
        <i/>
        <sz val="11"/>
        <color indexed="8"/>
        <rFont val="Palatino Linotype"/>
        <family val="1"/>
      </rPr>
      <t>, or record that PE</t>
    </r>
    <r>
      <rPr>
        <i/>
        <vertAlign val="subscript"/>
        <sz val="11"/>
        <color rgb="FF000000"/>
        <rFont val="Palatino Linotype"/>
        <family val="1"/>
      </rPr>
      <t>IG</t>
    </r>
    <r>
      <rPr>
        <i/>
        <sz val="11"/>
        <color indexed="8"/>
        <rFont val="Palatino Linotype"/>
        <family val="1"/>
      </rPr>
      <t xml:space="preserve"> = 0.4 kW if no nameplate power input is provided. Record the nameplate ignition device on-time interval, t</t>
    </r>
    <r>
      <rPr>
        <i/>
        <vertAlign val="subscript"/>
        <sz val="11"/>
        <color rgb="FF000000"/>
        <rFont val="Palatino Linotype"/>
        <family val="1"/>
      </rPr>
      <t>IG</t>
    </r>
    <r>
      <rPr>
        <i/>
        <sz val="11"/>
        <color indexed="8"/>
        <rFont val="Palatino Linotype"/>
        <family val="1"/>
      </rPr>
      <t>, or, if the nameplate does not provide the ignition device on-time interval, measure the on-time interval with a stopwatch at the beginning of the test, starting when the burner is turned on. Set t</t>
    </r>
    <r>
      <rPr>
        <i/>
        <vertAlign val="subscript"/>
        <sz val="11"/>
        <color rgb="FF000000"/>
        <rFont val="Palatino Linotype"/>
        <family val="1"/>
      </rPr>
      <t>IG</t>
    </r>
    <r>
      <rPr>
        <i/>
        <sz val="11"/>
        <color indexed="8"/>
        <rFont val="Palatino Linotype"/>
        <family val="1"/>
      </rPr>
      <t xml:space="preserve"> = 0 and PE</t>
    </r>
    <r>
      <rPr>
        <i/>
        <vertAlign val="subscript"/>
        <sz val="11"/>
        <color rgb="FF000000"/>
        <rFont val="Palatino Linotype"/>
        <family val="1"/>
      </rPr>
      <t>IG</t>
    </r>
    <r>
      <rPr>
        <i/>
        <sz val="11"/>
        <color indexed="8"/>
        <rFont val="Palatino Linotype"/>
        <family val="1"/>
      </rPr>
      <t xml:space="preserve"> = 0 if the device on-time interval is less than or equal to 5 seconds after the burner is on.</t>
    </r>
  </si>
  <si>
    <r>
      <rPr>
        <b/>
        <sz val="11"/>
        <color rgb="FF000000"/>
        <rFont val="Palatino Linotype"/>
        <family val="1"/>
      </rPr>
      <t xml:space="preserve">ASHRAE 103-2017, Section 8.4.2.5: Electric Boilers </t>
    </r>
    <r>
      <rPr>
        <i/>
        <sz val="11"/>
        <color indexed="8"/>
        <rFont val="Palatino Linotype"/>
        <family val="1"/>
      </rPr>
      <t xml:space="preserve">
Adjust the flow of water or steam as specified in 8.4.2.3 for gas and oil-fueled boilers.</t>
    </r>
  </si>
  <si>
    <t>ASHRAE 103-2017, Section 8.5: Room Ambient Air Conditions</t>
  </si>
  <si>
    <r>
      <rPr>
        <b/>
        <sz val="11"/>
        <color theme="1"/>
        <rFont val="Palatino Linotype"/>
        <family val="1"/>
      </rPr>
      <t>ASHRAE 103-2017, Section 8.5.2: Limitations</t>
    </r>
    <r>
      <rPr>
        <sz val="11"/>
        <color theme="1"/>
        <rFont val="Palatino Linotype"/>
        <family val="2"/>
      </rPr>
      <t xml:space="preserve">
</t>
    </r>
    <r>
      <rPr>
        <i/>
        <sz val="11"/>
        <color theme="1"/>
        <rFont val="Palatino Linotype"/>
        <family val="1"/>
      </rPr>
      <t>During the time required to perform all of the testing and measuring procedures specified in Section 9, maintain the room temperature within ±5°F (2.8°C) of the air temperature value measured at the end of the steady-state performance test (T</t>
    </r>
    <r>
      <rPr>
        <i/>
        <vertAlign val="subscript"/>
        <sz val="11"/>
        <color theme="1"/>
        <rFont val="Palatino Linotype"/>
        <family val="1"/>
      </rPr>
      <t>RA</t>
    </r>
    <r>
      <rPr>
        <i/>
        <sz val="11"/>
        <color theme="1"/>
        <rFont val="Palatino Linotype"/>
        <family val="1"/>
      </rPr>
      <t>). For condensing furnaces and boilers, maintain the relative humidity within ±5% of the relative humidity measured at the end of the steady-state performance test. During these tests, the room temperature shall not fall below 65°F (18.3°C) or exceed 100°F (37.8°C), except that for condensing furnaces and boilers it shall not exceed 85°F (29.4°C).</t>
    </r>
  </si>
  <si>
    <t>ASHRAE 103-2017, Section 9.1.2: Steady-State Conditions and Requirements</t>
  </si>
  <si>
    <r>
      <rPr>
        <b/>
        <sz val="11"/>
        <color theme="1"/>
        <rFont val="Palatino Linotype"/>
        <family val="1"/>
      </rPr>
      <t xml:space="preserve">ASHRAE 103-2017, Section 9.1.2.1: Conditions </t>
    </r>
    <r>
      <rPr>
        <i/>
        <sz val="11"/>
        <color theme="1"/>
        <rFont val="Palatino Linotype"/>
        <family val="1"/>
      </rPr>
      <t xml:space="preserve">
Begin the steady-state performance test by operating the burner and the circulating air blower or water pump until steady-state conditions are attained as indicated by a temperature variation in three successive readings, taken 15 minutes apart, of not more than
(1) 3°F (1.7°C) in the stack gas temperature for furnaces and boilers equipped with draft diverters;
(2) 5°F (2.8°C) in the flue gas temperature for furnaces and boilers equipped with either draft hoods, direct exhaust, or direct vent systems;
(3) 4 °F (2.2°C) in the outlet water temperature for hot water boilers;
(4) 1°F (0.55°C) in the flue gas temperature for condensing furnaces and boilers; and
(5) 1°F (0.55°C) in the flue gas and supply (outlet) water temperatures for condensing hot water boilers.</t>
    </r>
  </si>
  <si>
    <t>ASHRAE 103-2017, Section: 9.1.2.2 Input (Replaced by Appendix EE Sections 8.1-8.3, which are addressed above)</t>
  </si>
  <si>
    <t>ASHRAE 103-2017, Section 9.1.2.3: Measurements</t>
  </si>
  <si>
    <r>
      <t>9.1.2.3.1 On units employing draft hoods or direct exhaust or direct vent systems, measure the room temperature (T</t>
    </r>
    <r>
      <rPr>
        <i/>
        <vertAlign val="subscript"/>
        <sz val="11"/>
        <color theme="1"/>
        <rFont val="Palatino Linotype"/>
        <family val="1"/>
      </rPr>
      <t>RA</t>
    </r>
    <r>
      <rPr>
        <i/>
        <sz val="11"/>
        <color theme="1"/>
        <rFont val="Palatino Linotype"/>
        <family val="1"/>
      </rPr>
      <t>) as described in 8.5 and measure the steady-state flue gas temperature (T</t>
    </r>
    <r>
      <rPr>
        <i/>
        <vertAlign val="subscript"/>
        <sz val="11"/>
        <color theme="1"/>
        <rFont val="Palatino Linotype"/>
        <family val="1"/>
      </rPr>
      <t>F,SS,X</t>
    </r>
    <r>
      <rPr>
        <i/>
        <sz val="11"/>
        <color theme="1"/>
        <rFont val="Palatino Linotype"/>
        <family val="1"/>
      </rPr>
      <t>) using the thermocouple grid located in the flue pipe. Secure a sample of the flue gas in the plane of temperature measurement. Determine the concentration by volume of CO</t>
    </r>
    <r>
      <rPr>
        <i/>
        <vertAlign val="subscript"/>
        <sz val="11"/>
        <color theme="1"/>
        <rFont val="Palatino Linotype"/>
        <family val="1"/>
      </rPr>
      <t>2</t>
    </r>
    <r>
      <rPr>
        <i/>
        <sz val="11"/>
        <color theme="1"/>
        <rFont val="Palatino Linotype"/>
        <family val="1"/>
      </rPr>
      <t xml:space="preserve"> (X</t>
    </r>
    <r>
      <rPr>
        <i/>
        <vertAlign val="subscript"/>
        <sz val="11"/>
        <color theme="1"/>
        <rFont val="Palatino Linotype"/>
        <family val="1"/>
      </rPr>
      <t>CO2F</t>
    </r>
    <r>
      <rPr>
        <i/>
        <sz val="11"/>
        <color theme="1"/>
        <rFont val="Palatino Linotype"/>
        <family val="1"/>
      </rPr>
      <t>) present in dry flue gas (see Figures 3c, 3d, and 4).
On units employing a draft hood, secure a sample of the stack gases at either a horizontal plane in the stack 12 in. (30 cm) downstream of the draft hood or in a horizontal plane 6 in. (15 cm) from the top of the test stack. Make sure that there are no holes or air leaks in the section of the stack from the draft hood up to the location where the stack gas is sampled. Determine the concentration by volume of carbon dioxide (X</t>
    </r>
    <r>
      <rPr>
        <i/>
        <vertAlign val="subscript"/>
        <sz val="11"/>
        <color theme="1"/>
        <rFont val="Palatino Linotype"/>
        <family val="1"/>
      </rPr>
      <t>CO2S</t>
    </r>
    <r>
      <rPr>
        <i/>
        <sz val="11"/>
        <color theme="1"/>
        <rFont val="Palatino Linotype"/>
        <family val="1"/>
      </rPr>
      <t>) present in the dry stack gas. Use Figures 3a and 3b (test stack for units with draft diverter) as reference for the location of CO</t>
    </r>
    <r>
      <rPr>
        <i/>
        <vertAlign val="subscript"/>
        <sz val="11"/>
        <color theme="1"/>
        <rFont val="Palatino Linotype"/>
        <family val="1"/>
      </rPr>
      <t>2</t>
    </r>
    <r>
      <rPr>
        <i/>
        <sz val="11"/>
        <color theme="1"/>
        <rFont val="Palatino Linotype"/>
        <family val="1"/>
      </rPr>
      <t xml:space="preserve"> measurement.</t>
    </r>
  </si>
  <si>
    <r>
      <t>Block the draft diverter relief opening with a piece of metal, and cover the draft diverter and flue gas collection box with insulation having an R-value no less than 7 and an outer layer of aluminum foil. If the unit is turned off during the process of blocking the diverter relief opening, run it until steady-state conditions (as defined above) are again achieved. Progressively restrict the test stack outlet until the concentration of CO</t>
    </r>
    <r>
      <rPr>
        <i/>
        <vertAlign val="subscript"/>
        <sz val="11"/>
        <color rgb="FF000000"/>
        <rFont val="Palatino Linotype"/>
        <family val="1"/>
      </rPr>
      <t>2</t>
    </r>
    <r>
      <rPr>
        <i/>
        <sz val="11"/>
        <color indexed="8"/>
        <rFont val="Palatino Linotype"/>
        <family val="1"/>
      </rPr>
      <t xml:space="preserve"> in flue gas samples secured from the test stack in either the plane where the steady-state stack temperature (Ts,ss,x) was measured or in a horizontal plane located 6 in. from the top of the test stack is within ±0.2 percentage points of the previously determined value of flue carbon dioxide concentration (Xco</t>
    </r>
    <r>
      <rPr>
        <i/>
        <vertAlign val="subscript"/>
        <sz val="11"/>
        <color rgb="FF000000"/>
        <rFont val="Palatino Linotype"/>
        <family val="1"/>
      </rPr>
      <t>2</t>
    </r>
    <r>
      <rPr>
        <i/>
        <sz val="11"/>
        <color indexed="8"/>
        <rFont val="Palatino Linotype"/>
        <family val="1"/>
      </rPr>
      <t>f). After steady-state conditions have been reestablished, measure the flue gas temperature (TF,ss) using the thermocouple grid located in the 5 ft (1.5 m) test stack.</t>
    </r>
  </si>
  <si>
    <r>
      <t>For units with step-modulating or two-stage controls, conduct the test at both the maximum and reduced inputs. In lieu of collecting the condensate immediately after the steady state conditions have been reached as required by section 9.2 of ASHRAE 103–2017, condensate may be collected during the establishment of steady state conditions as defined by section 9.1.2.1 of ASHRAE 103–2017. Perform condensate collection for at least 30 minutes. Measure condensate mass immediately at the end of the collection period to prevent evaporation loss from the sample. Record fuel input for the 30-minute condensate collection test period. Observe and record fuel higher heating value (HHV), temperature, and pressures necessary for determining fuel energy input (Q</t>
    </r>
    <r>
      <rPr>
        <i/>
        <vertAlign val="subscript"/>
        <sz val="11"/>
        <rFont val="Palatino Linotype"/>
        <family val="1"/>
      </rPr>
      <t>C,SS</t>
    </r>
    <r>
      <rPr>
        <i/>
        <sz val="11"/>
        <rFont val="Palatino Linotype"/>
        <family val="1"/>
      </rPr>
      <t>). Measure the fuel quantity and HHV with errors no greater than 1%. The humidity for the room air shall at no time exceed 80%. Determine the mass of condensate for the establishment of steady state conditions (M</t>
    </r>
    <r>
      <rPr>
        <i/>
        <vertAlign val="subscript"/>
        <sz val="11"/>
        <rFont val="Palatino Linotype"/>
        <family val="1"/>
      </rPr>
      <t>C,SS</t>
    </r>
    <r>
      <rPr>
        <i/>
        <sz val="11"/>
        <rFont val="Palatino Linotype"/>
        <family val="1"/>
      </rPr>
      <t>) in pounds by subtracting the tare container weight from the total container and condensate weight measured at the end of the 30-minute condensate collection test period.</t>
    </r>
  </si>
  <si>
    <r>
      <t>Operate the boiler until steady-state conditions are reached as indicated by a temperature variation of not more than 4°F (2.2°C) in the outlet water temperature in three successive readings taken 15 minutes apart. Take three measurements of the total power input to the boiler at 10-minute intervals, and average to determine the rated power input (E</t>
    </r>
    <r>
      <rPr>
        <i/>
        <vertAlign val="subscript"/>
        <sz val="11"/>
        <rFont val="Palatino Linotype"/>
        <family val="1"/>
      </rPr>
      <t>in</t>
    </r>
    <r>
      <rPr>
        <i/>
        <sz val="11"/>
        <rFont val="Palatino Linotype"/>
        <family val="1"/>
      </rPr>
      <t>) in watts.</t>
    </r>
  </si>
  <si>
    <r>
      <rPr>
        <b/>
        <sz val="11"/>
        <rFont val="Palatino Linotype"/>
        <family val="1"/>
      </rPr>
      <t>ASHRAE 103-2017, Section 9.9.2: Furnaces and Boilers Equipped with Stack Dampers, Cool-Down Test</t>
    </r>
    <r>
      <rPr>
        <i/>
        <sz val="11"/>
        <rFont val="Palatino Linotype"/>
        <family val="1"/>
      </rPr>
      <t xml:space="preserve">
Conduct the cool-down test as prescribed in 9.5, with the following modifications.
9.9.2.1 For units with integral draft diverters or draft hoods, bypass the damper control so the damper remains open during the test.
9.9.2.2 For units with barometric draft regulators, the stack damper shall be permitted to close in the normal manner as it responds to the controls.</t>
    </r>
  </si>
  <si>
    <r>
      <rPr>
        <b/>
        <sz val="11"/>
        <rFont val="Palatino Linotype"/>
        <family val="1"/>
      </rPr>
      <t>Appendix EE, Section 8.6: Cool-down test for Gas- and Oil-Fueled Boilers Without Stack Dampers</t>
    </r>
    <r>
      <rPr>
        <i/>
        <sz val="11"/>
        <rFont val="Palatino Linotype"/>
        <family val="1"/>
      </rPr>
      <t xml:space="preserve">
After steady-state testing has been completed, turn the main burner(s) “OFF” and measure the flue gas temperature at 3.75 minutes (temperature designated as T</t>
    </r>
    <r>
      <rPr>
        <i/>
        <vertAlign val="subscript"/>
        <sz val="11"/>
        <rFont val="Palatino Linotype"/>
        <family val="1"/>
      </rPr>
      <t>F,OFF</t>
    </r>
    <r>
      <rPr>
        <i/>
        <sz val="11"/>
        <rFont val="Palatino Linotype"/>
        <family val="1"/>
      </rPr>
      <t>(t</t>
    </r>
    <r>
      <rPr>
        <i/>
        <vertAlign val="subscript"/>
        <sz val="11"/>
        <rFont val="Palatino Linotype"/>
        <family val="1"/>
      </rPr>
      <t>3</t>
    </r>
    <r>
      <rPr>
        <i/>
        <sz val="11"/>
        <rFont val="Palatino Linotype"/>
        <family val="1"/>
      </rPr>
      <t>)) and 22.5 minutes (temperature designated as T</t>
    </r>
    <r>
      <rPr>
        <i/>
        <vertAlign val="subscript"/>
        <sz val="11"/>
        <rFont val="Palatino Linotype"/>
        <family val="1"/>
      </rPr>
      <t>F,OFF</t>
    </r>
    <r>
      <rPr>
        <i/>
        <sz val="11"/>
        <rFont val="Palatino Linotype"/>
        <family val="1"/>
      </rPr>
      <t>(t</t>
    </r>
    <r>
      <rPr>
        <i/>
        <vertAlign val="subscript"/>
        <sz val="11"/>
        <rFont val="Palatino Linotype"/>
        <family val="1"/>
      </rPr>
      <t>4</t>
    </r>
    <r>
      <rPr>
        <i/>
        <sz val="11"/>
        <rFont val="Palatino Linotype"/>
        <family val="1"/>
      </rPr>
      <t>)) after the burner shut-off using the thermocouple grid described in section 7.6 of ASHRAE 103-2017.
a. During this off-period, for units that do not have pump delay after shut-off, do not allow any water to circulate through the hot water boilers.
b. For units that have pump delay on shut-off, except those having pump controls sensing water temperature, the unit control must stop the pump. Measure and record the time between burner shut-off and pump shut-off (t</t>
    </r>
    <r>
      <rPr>
        <i/>
        <vertAlign val="superscript"/>
        <sz val="11"/>
        <rFont val="Palatino Linotype"/>
        <family val="1"/>
      </rPr>
      <t>+</t>
    </r>
    <r>
      <rPr>
        <i/>
        <sz val="11"/>
        <rFont val="Palatino Linotype"/>
        <family val="1"/>
      </rPr>
      <t>) to the nearest second.
c. For units having pump delay controls that sense water temperature, operate the pump for 15 minutes and record t</t>
    </r>
    <r>
      <rPr>
        <i/>
        <vertAlign val="superscript"/>
        <sz val="11"/>
        <rFont val="Palatino Linotype"/>
        <family val="1"/>
      </rPr>
      <t>+</t>
    </r>
    <r>
      <rPr>
        <i/>
        <sz val="11"/>
        <rFont val="Palatino Linotype"/>
        <family val="1"/>
      </rPr>
      <t xml:space="preserve"> as 15 minutes. While the pump is operating, maintain the inlet water temperature and flow rate at the same values as used during the steady-state test, as specified in sections 9.1 and 8.4.2.3 of ASHRAE 103-2017.
d. For boilers that employ post-purge, measure the length of the post-purge period with a stopwatch. Record the time from burner “OFF” to combustion blower “OFF” (electrically de-energized) as t</t>
    </r>
    <r>
      <rPr>
        <i/>
        <vertAlign val="subscript"/>
        <sz val="11"/>
        <rFont val="Palatino Linotype"/>
        <family val="1"/>
      </rPr>
      <t>P</t>
    </r>
    <r>
      <rPr>
        <i/>
        <sz val="11"/>
        <rFont val="Palatino Linotype"/>
        <family val="1"/>
      </rPr>
      <t>. Measure the flue gas temperature by means of the thermocouple grid described in section 7.6 of ASHRAE 103–2017 at the end of the post-purge period t</t>
    </r>
    <r>
      <rPr>
        <i/>
        <vertAlign val="subscript"/>
        <sz val="11"/>
        <rFont val="Palatino Linotype"/>
        <family val="1"/>
      </rPr>
      <t>P</t>
    </r>
    <r>
      <rPr>
        <i/>
        <sz val="11"/>
        <rFont val="Palatino Linotype"/>
        <family val="1"/>
      </rPr>
      <t xml:space="preserve"> (T</t>
    </r>
    <r>
      <rPr>
        <i/>
        <vertAlign val="subscript"/>
        <sz val="11"/>
        <rFont val="Palatino Linotype"/>
        <family val="1"/>
      </rPr>
      <t>F,OFF(tP)</t>
    </r>
    <r>
      <rPr>
        <i/>
        <sz val="11"/>
        <rFont val="Palatino Linotype"/>
        <family val="1"/>
      </rPr>
      <t>) and at (3.75 + t</t>
    </r>
    <r>
      <rPr>
        <i/>
        <vertAlign val="subscript"/>
        <sz val="11"/>
        <rFont val="Palatino Linotype"/>
        <family val="1"/>
      </rPr>
      <t>P</t>
    </r>
    <r>
      <rPr>
        <i/>
        <sz val="11"/>
        <rFont val="Palatino Linotype"/>
        <family val="1"/>
      </rPr>
      <t>) minutes (T</t>
    </r>
    <r>
      <rPr>
        <i/>
        <vertAlign val="subscript"/>
        <sz val="11"/>
        <rFont val="Palatino Linotype"/>
        <family val="1"/>
      </rPr>
      <t>F,OFF(t3)</t>
    </r>
    <r>
      <rPr>
        <i/>
        <sz val="11"/>
        <rFont val="Palatino Linotype"/>
        <family val="1"/>
      </rPr>
      <t>) and (22.5 + t</t>
    </r>
    <r>
      <rPr>
        <i/>
        <vertAlign val="subscript"/>
        <sz val="11"/>
        <rFont val="Palatino Linotype"/>
        <family val="1"/>
      </rPr>
      <t>P</t>
    </r>
    <r>
      <rPr>
        <i/>
        <sz val="11"/>
        <rFont val="Palatino Linotype"/>
        <family val="1"/>
      </rPr>
      <t>) minutes (T</t>
    </r>
    <r>
      <rPr>
        <i/>
        <vertAlign val="subscript"/>
        <sz val="11"/>
        <rFont val="Palatino Linotype"/>
        <family val="1"/>
      </rPr>
      <t>F,OFF(t4)</t>
    </r>
    <r>
      <rPr>
        <i/>
        <sz val="11"/>
        <rFont val="Palatino Linotype"/>
        <family val="1"/>
      </rPr>
      <t>) after the main burner shuts off. If t</t>
    </r>
    <r>
      <rPr>
        <i/>
        <vertAlign val="subscript"/>
        <sz val="11"/>
        <rFont val="Palatino Linotype"/>
        <family val="1"/>
      </rPr>
      <t>P</t>
    </r>
    <r>
      <rPr>
        <i/>
        <sz val="11"/>
        <rFont val="Palatino Linotype"/>
        <family val="1"/>
      </rPr>
      <t xml:space="preserve"> is prescribed by the I&amp;O manual or measured to be greater than 3 minutes, also measure the flue gas temperature at the midpoint of the post-purge period t</t>
    </r>
    <r>
      <rPr>
        <i/>
        <vertAlign val="subscript"/>
        <sz val="11"/>
        <rFont val="Palatino Linotype"/>
        <family val="1"/>
      </rPr>
      <t>P</t>
    </r>
    <r>
      <rPr>
        <i/>
        <sz val="11"/>
        <rFont val="Palatino Linotype"/>
        <family val="1"/>
      </rPr>
      <t>/2 (T</t>
    </r>
    <r>
      <rPr>
        <i/>
        <vertAlign val="subscript"/>
        <sz val="11"/>
        <rFont val="Palatino Linotype"/>
        <family val="1"/>
      </rPr>
      <t>F,OFF(tP/2)</t>
    </r>
    <r>
      <rPr>
        <i/>
        <sz val="11"/>
        <rFont val="Palatino Linotype"/>
        <family val="1"/>
      </rPr>
      <t>). If the measured t</t>
    </r>
    <r>
      <rPr>
        <i/>
        <vertAlign val="subscript"/>
        <sz val="11"/>
        <rFont val="Palatino Linotype"/>
        <family val="1"/>
      </rPr>
      <t>P</t>
    </r>
    <r>
      <rPr>
        <i/>
        <sz val="11"/>
        <rFont val="Palatino Linotype"/>
        <family val="1"/>
      </rPr>
      <t xml:space="preserve"> is less than or equal to 30 seconds, record t</t>
    </r>
    <r>
      <rPr>
        <i/>
        <vertAlign val="subscript"/>
        <sz val="11"/>
        <rFont val="Palatino Linotype"/>
        <family val="1"/>
      </rPr>
      <t>P</t>
    </r>
    <r>
      <rPr>
        <i/>
        <sz val="11"/>
        <rFont val="Palatino Linotype"/>
        <family val="1"/>
      </rPr>
      <t xml:space="preserve"> as 0 and conduct the cool-down test as if there is no post-purge.</t>
    </r>
  </si>
  <si>
    <r>
      <rPr>
        <b/>
        <sz val="11"/>
        <rFont val="Palatino Linotype"/>
        <family val="1"/>
      </rPr>
      <t>ASHRAE 103-2017, Sections 9.5.2.2 - 9.5.2.5</t>
    </r>
    <r>
      <rPr>
        <i/>
        <sz val="11"/>
        <rFont val="Palatino Linotype"/>
        <family val="1"/>
      </rPr>
      <t xml:space="preserve">
9.5.2.2 Make a third flue gas temperature measurement 45 minutes after the burner shuts off to determine the off-period minimum flue gas temperature (T</t>
    </r>
    <r>
      <rPr>
        <i/>
        <vertAlign val="subscript"/>
        <sz val="11"/>
        <rFont val="Palatino Linotype"/>
        <family val="1"/>
      </rPr>
      <t>F,OFF</t>
    </r>
    <r>
      <rPr>
        <i/>
        <sz val="11"/>
        <rFont val="Palatino Linotype"/>
        <family val="1"/>
      </rPr>
      <t>(t</t>
    </r>
    <r>
      <rPr>
        <i/>
        <vertAlign val="subscript"/>
        <sz val="11"/>
        <rFont val="Palatino Linotype"/>
        <family val="1"/>
      </rPr>
      <t>5</t>
    </r>
    <r>
      <rPr>
        <i/>
        <sz val="11"/>
        <rFont val="Palatino Linotype"/>
        <family val="1"/>
      </rPr>
      <t>)). 
9.5.2.3 During this cool-down test, measure the energy input rate to the pilot light (Q</t>
    </r>
    <r>
      <rPr>
        <i/>
        <vertAlign val="subscript"/>
        <sz val="11"/>
        <rFont val="Palatino Linotype"/>
        <family val="1"/>
      </rPr>
      <t>p</t>
    </r>
    <r>
      <rPr>
        <i/>
        <sz val="11"/>
        <rFont val="Palatino Linotype"/>
        <family val="1"/>
      </rPr>
      <t>), if the unit is so equipped, to within an error no larger than ±3 %. Record all measured values. For oil-fueled or power gas burner units employing barometric dampers for draft control and not equipped with stack dampers, maintain the draft in the flue within the same ranges specified in 9.5.1.2.
9.5.2.4 For boilers equipped with step modulating controls, the cool-down test shall be conducted after steady-state conditions have been reached at the reduced input rate, as specified in 8.4.1.1.2.
9.5.2.5 For boilers equipped with two-stage controls, separate cool-down tests shall be conducted after steady-state conditions have been reached at both the reduced and maximum fuel input rates.  A cool-down test is not necessary for
maximum input rate if the balance point temperature (T</t>
    </r>
    <r>
      <rPr>
        <i/>
        <vertAlign val="subscript"/>
        <sz val="11"/>
        <rFont val="Palatino Linotype"/>
        <family val="1"/>
      </rPr>
      <t>C</t>
    </r>
    <r>
      <rPr>
        <i/>
        <sz val="11"/>
        <rFont val="Palatino Linotype"/>
        <family val="1"/>
      </rPr>
      <t>) determined in Section 11.4.8.4 is less than the typical outdoor design temperature of 5°F (–15°C).</t>
    </r>
  </si>
  <si>
    <r>
      <rPr>
        <b/>
        <sz val="11"/>
        <rFont val="Palatino Linotype"/>
        <family val="1"/>
      </rPr>
      <t>ASHRAE 103-2017, Sections 9.6.2: Flue Gas Temperature Measurement - Heat-Up Test, Gas and Oil-Fueled Boilers</t>
    </r>
    <r>
      <rPr>
        <i/>
        <sz val="11"/>
        <rFont val="Palatino Linotype"/>
        <family val="1"/>
      </rPr>
      <t xml:space="preserve">
Approximately 50 minutes after the main burner(s) is turned off for the cool-down test, turn on the steam or hot water boiler and measure the flue gas temperature at 1.0 (T</t>
    </r>
    <r>
      <rPr>
        <i/>
        <vertAlign val="subscript"/>
        <sz val="11"/>
        <rFont val="Palatino Linotype"/>
        <family val="1"/>
      </rPr>
      <t>F,ON</t>
    </r>
    <r>
      <rPr>
        <i/>
        <sz val="11"/>
        <rFont val="Palatino Linotype"/>
        <family val="1"/>
      </rPr>
      <t>(t</t>
    </r>
    <r>
      <rPr>
        <i/>
        <vertAlign val="subscript"/>
        <sz val="11"/>
        <rFont val="Palatino Linotype"/>
        <family val="1"/>
      </rPr>
      <t>1</t>
    </r>
    <r>
      <rPr>
        <i/>
        <sz val="11"/>
        <rFont val="Palatino Linotype"/>
        <family val="1"/>
      </rPr>
      <t>)) and 5.5 (T</t>
    </r>
    <r>
      <rPr>
        <i/>
        <vertAlign val="subscript"/>
        <sz val="11"/>
        <rFont val="Palatino Linotype"/>
        <family val="1"/>
      </rPr>
      <t>F,ON</t>
    </r>
    <r>
      <rPr>
        <i/>
        <sz val="11"/>
        <rFont val="Palatino Linotype"/>
        <family val="1"/>
      </rPr>
      <t>(t</t>
    </r>
    <r>
      <rPr>
        <i/>
        <vertAlign val="subscript"/>
        <sz val="11"/>
        <rFont val="Palatino Linotype"/>
        <family val="1"/>
      </rPr>
      <t>2</t>
    </r>
    <r>
      <rPr>
        <i/>
        <sz val="11"/>
        <rFont val="Palatino Linotype"/>
        <family val="1"/>
      </rPr>
      <t>)) minutes after the main burners comes on. The pump circulating the water through the hot water boiler shall be started simultaneously with the main burner(s). The water flow rate shall be the same as that maintained during the steady-state test. During the heat-up test for boilers with barometric draft regulators, maintain the draft in the flue pipe within ±0.01 in. water (2.5 Pa) of the manufacturer's recommended on-period draft. Record the measured temperatures.
9.6.2.1 For boilers equipped with step modulating controls, the heat-up test shall be conducted at the reduced fuel input rate.
9.6.2.2 For boilers equipped with two-stage controls, separate heat-up tests shall be conducted at both the reduced and maximum fuel input rates. A heat-up test is not necessary for maximum input rate if the balance point temperature (T</t>
    </r>
    <r>
      <rPr>
        <i/>
        <vertAlign val="subscript"/>
        <sz val="11"/>
        <rFont val="Palatino Linotype"/>
        <family val="1"/>
      </rPr>
      <t>C</t>
    </r>
    <r>
      <rPr>
        <i/>
        <sz val="11"/>
        <rFont val="Palatino Linotype"/>
        <family val="1"/>
      </rPr>
      <t>) determined in Section 11.4.8.4 is less than the typical outdoor design temperature of 5°F (–15°C).</t>
    </r>
  </si>
  <si>
    <r>
      <rPr>
        <b/>
        <sz val="11"/>
        <color rgb="FF000000"/>
        <rFont val="Palatino Linotype"/>
        <family val="1"/>
      </rPr>
      <t>ASHRAE 103-2017, Section 8.4.2.3: Gas and Oil-Fueled Low-Pressure Steam and Hot Water Boilers (including Direct Vent Systems)</t>
    </r>
    <r>
      <rPr>
        <b/>
        <i/>
        <sz val="11"/>
        <color rgb="FF000000"/>
        <rFont val="Palatino Linotype"/>
        <family val="1"/>
      </rPr>
      <t xml:space="preserve">
</t>
    </r>
    <r>
      <rPr>
        <i/>
        <sz val="11"/>
        <color indexed="8"/>
        <rFont val="Palatino Linotype"/>
        <family val="1"/>
      </rPr>
      <t>For non-condensing hot water boilers, the water flow rate shall be adjusted to produce a water temperature rise of 19°F (10.6°C) to 24°F (13.3°C) during the steady-state test described in Section 9. During the steady-state and heat-up tests, the hot water boiler shall be supplied with water having a temperature of at least 120°F (49°C) but not more than 124°F (51°C).
8.4.2.3.1 For steam boilers, the steam pressure shall be at atmospheric or at any pressure not exceeding 2 psig (13.8 kPa) during the steady-state test.
8.4.2.3.2 For condensing hot water boilers, the water flow rate shall be adjusted to produce a water temperature rise between 19.5°F (10.8°C) and 20.5°F (11.4°C) during the steady-state test described in 9.1. During the steady-state and heat-up tests, the condensing boiler shall be supplied with return water having a temperature of 120°F (49°C). The maximum permissible variation of the return water temperature from the required value during the steady-state and heat-up tests shall not exceed ±2°F (1.1°C), except during the first 30 seconds after start-up, when it shall not exceed ± 10°F (5.6°C), and between 30 and 60 seconds after start-up, when it shall not exceed ±5°F (2.8°C).</t>
    </r>
  </si>
  <si>
    <r>
      <rPr>
        <b/>
        <sz val="11"/>
        <rFont val="Palatino Linotype"/>
        <family val="1"/>
      </rPr>
      <t xml:space="preserve">ASHRAE 103-2017, Section 9.7.1: Feeding Tracer Gas </t>
    </r>
    <r>
      <rPr>
        <sz val="11"/>
        <rFont val="Palatino Linotype"/>
        <family val="1"/>
      </rPr>
      <t xml:space="preserve">
</t>
    </r>
    <r>
      <rPr>
        <i/>
        <sz val="11"/>
        <rFont val="Palatino Linotype"/>
        <family val="1"/>
      </rPr>
      <t>The tracer gas chosen for this task should have a density that is less than or approximately equal to the density of air. Use a gas that is of a different chemical species or different concentration from the flue gas to be measured and nonreactive with the environment to be encountered. Within one minute after the power burner or draft inducer is shut off to start the cool-down test for determining D</t>
    </r>
    <r>
      <rPr>
        <i/>
        <vertAlign val="subscript"/>
        <sz val="11"/>
        <rFont val="Palatino Linotype"/>
        <family val="1"/>
      </rPr>
      <t>P</t>
    </r>
    <r>
      <rPr>
        <i/>
        <sz val="11"/>
        <rFont val="Palatino Linotype"/>
        <family val="1"/>
      </rPr>
      <t>, begin feeding a tracer gas into the combustion chamber at a constant flow rate (V</t>
    </r>
    <r>
      <rPr>
        <i/>
        <vertAlign val="subscript"/>
        <sz val="11"/>
        <rFont val="Palatino Linotype"/>
        <family val="1"/>
      </rPr>
      <t>T</t>
    </r>
    <r>
      <rPr>
        <i/>
        <sz val="11"/>
        <rFont val="Palatino Linotype"/>
        <family val="1"/>
      </rPr>
      <t>) and at a point that will allow for the best possible mixing with the air flowing through the chamber. (On units equipped with an oil-fired power burner, the best location for injecting this tracer gas appears to be through a hole drilled in the air tube.) Periodically measure the value of V</t>
    </r>
    <r>
      <rPr>
        <i/>
        <vertAlign val="subscript"/>
        <sz val="11"/>
        <rFont val="Palatino Linotype"/>
        <family val="1"/>
      </rPr>
      <t>T</t>
    </r>
    <r>
      <rPr>
        <i/>
        <sz val="11"/>
        <rFont val="Palatino Linotype"/>
        <family val="1"/>
      </rPr>
      <t xml:space="preserve"> with an instantaneously reading flowmeter having an accuracy of ±3% of the quantity measured, and maintain that value at less than 1% of the airflow rate through the furnace. If a combustible tracer gas is used, there should be a delay period between the time the unit is shut off and the time the tracer gas is first injected to prevent ignition of the tracer gas.</t>
    </r>
  </si>
  <si>
    <r>
      <t xml:space="preserve">ASHRAE 103-2017, Section 9.7.2: Measurement 
</t>
    </r>
    <r>
      <rPr>
        <i/>
        <sz val="11"/>
        <rFont val="Palatino Linotype"/>
        <family val="1"/>
      </rPr>
      <t>Obtain the concentration of tracer gas present in the flue gas sample (C</t>
    </r>
    <r>
      <rPr>
        <i/>
        <vertAlign val="subscript"/>
        <sz val="11"/>
        <rFont val="Palatino Linotype"/>
        <family val="1"/>
      </rPr>
      <t>T</t>
    </r>
    <r>
      <rPr>
        <i/>
        <sz val="11"/>
        <rFont val="Palatino Linotype"/>
        <family val="1"/>
      </rPr>
      <t>) using an instrument that will result in an accuracy of ±2 % in the measured value. If the use of a continuously reading type instrument results in a delay time between the drawing of a sample and its analysis, take this delay into account so the temperature measurement and the measurement of tracer gas concentration coincide. Determine the temperature of the tracer gas entering the flowmeter (T</t>
    </r>
    <r>
      <rPr>
        <i/>
        <vertAlign val="subscript"/>
        <sz val="11"/>
        <rFont val="Palatino Linotype"/>
        <family val="1"/>
      </rPr>
      <t>T</t>
    </r>
    <r>
      <rPr>
        <i/>
        <sz val="11"/>
        <rFont val="Palatino Linotype"/>
        <family val="1"/>
      </rPr>
      <t>) and the barometric pressure (P</t>
    </r>
    <r>
      <rPr>
        <i/>
        <vertAlign val="subscript"/>
        <sz val="11"/>
        <rFont val="Palatino Linotype"/>
        <family val="1"/>
      </rPr>
      <t>B</t>
    </r>
    <r>
      <rPr>
        <i/>
        <sz val="11"/>
        <rFont val="Palatino Linotype"/>
        <family val="1"/>
      </rPr>
      <t>).</t>
    </r>
  </si>
  <si>
    <r>
      <t xml:space="preserve">ASHRAE 103-2017, Section 9.7.3: Timing 
</t>
    </r>
    <r>
      <rPr>
        <i/>
        <sz val="11"/>
        <rFont val="Palatino Linotype"/>
        <family val="1"/>
      </rPr>
      <t>Between 5 and 6 minutes after the unit is shut off to start the cool-down test, measure the percent volumetric concentration of tracer gas present in the diluted flue gas sample, C</t>
    </r>
    <r>
      <rPr>
        <i/>
        <vertAlign val="subscript"/>
        <sz val="11"/>
        <rFont val="Palatino Linotype"/>
        <family val="1"/>
      </rPr>
      <t>T</t>
    </r>
    <r>
      <rPr>
        <i/>
        <sz val="11"/>
        <rFont val="Palatino Linotype"/>
        <family val="1"/>
      </rPr>
      <t xml:space="preserve">
At the same time, for units where draft is not maintained, measure the flue gas temperature, T</t>
    </r>
    <r>
      <rPr>
        <i/>
        <vertAlign val="subscript"/>
        <sz val="11"/>
        <rFont val="Palatino Linotype"/>
        <family val="1"/>
      </rPr>
      <t>F,OFF</t>
    </r>
    <r>
      <rPr>
        <i/>
        <sz val="11"/>
        <rFont val="Palatino Linotype"/>
        <family val="1"/>
      </rPr>
      <t>, using the thermocouple grid described in 7.6. 
For systems that employ post purge, with a post-purge time period t</t>
    </r>
    <r>
      <rPr>
        <i/>
        <vertAlign val="subscript"/>
        <sz val="11"/>
        <rFont val="Palatino Linotype"/>
        <family val="1"/>
      </rPr>
      <t>P</t>
    </r>
    <r>
      <rPr>
        <i/>
        <sz val="11"/>
        <rFont val="Palatino Linotype"/>
        <family val="1"/>
      </rPr>
      <t>, measure the percent volumetric concentration of the tracer gas present in the diluted flue gas sample, C</t>
    </r>
    <r>
      <rPr>
        <i/>
        <vertAlign val="subscript"/>
        <sz val="11"/>
        <rFont val="Palatino Linotype"/>
        <family val="1"/>
      </rPr>
      <t>T</t>
    </r>
    <r>
      <rPr>
        <i/>
        <sz val="11"/>
        <rFont val="Palatino Linotype"/>
        <family val="1"/>
      </rPr>
      <t>, at between (5 + t</t>
    </r>
    <r>
      <rPr>
        <i/>
        <vertAlign val="subscript"/>
        <sz val="11"/>
        <rFont val="Palatino Linotype"/>
        <family val="1"/>
      </rPr>
      <t>P</t>
    </r>
    <r>
      <rPr>
        <i/>
        <sz val="11"/>
        <rFont val="Palatino Linotype"/>
        <family val="1"/>
      </rPr>
      <t>) and (6 + t</t>
    </r>
    <r>
      <rPr>
        <i/>
        <vertAlign val="subscript"/>
        <sz val="11"/>
        <rFont val="Palatino Linotype"/>
        <family val="1"/>
      </rPr>
      <t>P</t>
    </r>
    <r>
      <rPr>
        <i/>
        <sz val="11"/>
        <rFont val="Palatino Linotype"/>
        <family val="1"/>
      </rPr>
      <t>) minutes after the burner is shut off. During the same time period, for units where draft is not maintained, measure the flue gas temperature, T</t>
    </r>
    <r>
      <rPr>
        <i/>
        <vertAlign val="subscript"/>
        <sz val="11"/>
        <rFont val="Palatino Linotype"/>
        <family val="1"/>
      </rPr>
      <t>F,OFF</t>
    </r>
    <r>
      <rPr>
        <i/>
        <sz val="11"/>
        <rFont val="Palatino Linotype"/>
        <family val="1"/>
      </rPr>
      <t>, using the thermocouple grid described in 7.6.</t>
    </r>
  </si>
  <si>
    <r>
      <t xml:space="preserve">Appendix EE, Section 8.8: Calculation options. 
</t>
    </r>
    <r>
      <rPr>
        <i/>
        <sz val="11"/>
        <rFont val="Palatino Linotype"/>
        <family val="1"/>
      </rPr>
      <t>The rate of the flue gas mass flow through the furnace and the factors D</t>
    </r>
    <r>
      <rPr>
        <i/>
        <vertAlign val="subscript"/>
        <sz val="11"/>
        <rFont val="Palatino Linotype"/>
        <family val="1"/>
      </rPr>
      <t>P</t>
    </r>
    <r>
      <rPr>
        <i/>
        <sz val="11"/>
        <rFont val="Palatino Linotype"/>
        <family val="1"/>
      </rPr>
      <t>, D</t>
    </r>
    <r>
      <rPr>
        <i/>
        <vertAlign val="subscript"/>
        <sz val="11"/>
        <rFont val="Palatino Linotype"/>
        <family val="1"/>
      </rPr>
      <t>F</t>
    </r>
    <r>
      <rPr>
        <i/>
        <sz val="11"/>
        <rFont val="Palatino Linotype"/>
        <family val="1"/>
      </rPr>
      <t>, and D</t>
    </r>
    <r>
      <rPr>
        <i/>
        <vertAlign val="subscript"/>
        <sz val="11"/>
        <rFont val="Palatino Linotype"/>
        <family val="1"/>
      </rPr>
      <t>S</t>
    </r>
    <r>
      <rPr>
        <i/>
        <sz val="11"/>
        <rFont val="Palatino Linotype"/>
        <family val="1"/>
      </rPr>
      <t xml:space="preserve"> are calculated by the equations in sections 11.6.1, 11.6.2, 11.6.3, 11.6.4, 11.7.1, and 11.7.2 of ASHRAE 103-2017. On units whose design is such that there is no measurable airflow through the combustion chamber and heat exchanger when the burner(s) is (are) off (as determined by the optional test procedure in section 7.10 of this appendix), D</t>
    </r>
    <r>
      <rPr>
        <i/>
        <vertAlign val="subscript"/>
        <sz val="11"/>
        <rFont val="Palatino Linotype"/>
        <family val="1"/>
      </rPr>
      <t>F</t>
    </r>
    <r>
      <rPr>
        <i/>
        <sz val="11"/>
        <rFont val="Palatino Linotype"/>
        <family val="1"/>
      </rPr>
      <t xml:space="preserve"> and D</t>
    </r>
    <r>
      <rPr>
        <i/>
        <vertAlign val="subscript"/>
        <sz val="11"/>
        <rFont val="Palatino Linotype"/>
        <family val="1"/>
      </rPr>
      <t>P</t>
    </r>
    <r>
      <rPr>
        <i/>
        <sz val="11"/>
        <rFont val="Palatino Linotype"/>
        <family val="1"/>
      </rPr>
      <t xml:space="preserve"> may be set equal to 0.05.</t>
    </r>
  </si>
  <si>
    <r>
      <t xml:space="preserve">ASHRAE 103-2017, Section 9.7.5: Modulating Units 
</t>
    </r>
    <r>
      <rPr>
        <i/>
        <sz val="11"/>
        <rFont val="Palatino Linotype"/>
        <family val="1"/>
      </rPr>
      <t>For units with two-stage modulating controls, the optional tracer gas test shall be conducted at both the maximum and the reduced inputs.  For units with step modulating controls, the optional tracer gas test shall be conducted at the reduced input only. The optional tracer gas test is not necessary for maximum input if the balance point temperature (TC) determined in Section 11.4.8.4 is less than the typical outdoor design temperature of 5ºF (–15°C).</t>
    </r>
  </si>
  <si>
    <r>
      <t>9.7.6.1 The tracer gas chosen for this task should have a density that is less than or approximately equal to the density of air. Use a gas that is of a different chemical species or different concentration from the flue gas to be measured and nonreactive with the environment to be encountered. Obtain the concentration of tracer gas present in the flue gas sample (Cr) using an analyzer or instrument that will result in an accuracy of ±2 % in the measured value. Determine the temperature of the tracer gas entering the flowmeter (Tr) and the barometric pressure (P</t>
    </r>
    <r>
      <rPr>
        <i/>
        <vertAlign val="subscript"/>
        <sz val="11"/>
        <rFont val="Palatino Linotype"/>
        <family val="1"/>
      </rPr>
      <t>B</t>
    </r>
    <r>
      <rPr>
        <i/>
        <sz val="11"/>
        <rFont val="Palatino Linotype"/>
        <family val="1"/>
      </rPr>
      <t>).</t>
    </r>
  </si>
  <si>
    <r>
      <t>9.7.6.2 After the completion of the heat-up test in 9.6, tum the burner OFF. On units equipped with integral draft diverters, remove the blocking over the draft diverter and the restriction in the test stack that were installed during the steady-state test in 9.1.4. Do not remove the insulation covering the draft diverter surfaces. On units equipped with a draft hood, cover the 5-ft (1.5 m) stack with insulation having an R-value not less than 7 and an outer layer of aluminum foil as described in 8.8.5. In the meantime, sample and feed the ambient air to the tracer gas analyzer and record the background concentration C</t>
    </r>
    <r>
      <rPr>
        <i/>
        <vertAlign val="subscript"/>
        <sz val="11"/>
        <rFont val="Palatino Linotype"/>
        <family val="1"/>
      </rPr>
      <t>TB</t>
    </r>
    <r>
      <rPr>
        <i/>
        <sz val="11"/>
        <rFont val="Palatino Linotype"/>
        <family val="1"/>
      </rPr>
      <t xml:space="preserve"> of the tracer gas to be used for the test. (One data point is usually sufficient.)</t>
    </r>
  </si>
  <si>
    <t>9.7.6.4 Within one minute after the tracer gas flow is started, connect the tracer gas sampling line to the sampling probe located at a plane inside and 6 in. (150 mm) below the top exit of the test stack. Measure the transport delay time that is equal to the time between the connecting of the sampling line and the initial response of the tracer gas analyzer. Add to this transport time the time required for the analyzer to reach 90% of its steady-state value as specified in the analyzer's operation manual. The sum of these two values is the tracer gas sample delay time needed to match the concentration measurement to the temperature measurement in the off-period loss calculation. Make sure that a well-mixed sample is collected by using a multi-hole sampling probe, as recommended in Appendix D, section B. Return the sample gas (after exiting the gas analyzer) to the top of the test stack downstream of the plane of collection.</t>
  </si>
  <si>
    <t>9.7.6.4 Within one minute after the tracer gas flow is started, connect the tracer gas sampling line to the sampling probe located at a plane inside and 6 in. (150 mm) below the top exit of the test stack. Measure the transport delay time that is equal to the time between the connecting of the sampling line and the initial response of the tracer gas analyzer. Add to this transport time the time required for the analyzer to reach 90% of its steady-state value as specified in the analyzer's operation manual. The sum of these two values is the tracer gas sample delay time needed to match the concentration measurement to the temperature measurement in the off-period loss calculation. Make sure that a well-mixed sample is collected by using a multi-hole sampling probe, as recommended in Section D2. Return the sample gas (after exiting the gas analyzer) to the top of the test stack downstream of the plane of collection.</t>
  </si>
  <si>
    <r>
      <t xml:space="preserve">9.8.3 Test Requirements 
</t>
    </r>
    <r>
      <rPr>
        <i/>
        <sz val="11"/>
        <rFont val="Palatino Linotype"/>
        <family val="1"/>
      </rPr>
      <t>The unit shall be operated in a cyclical manner until flue gas temperatures at the end of each on-cycle are within 5°F (2.8°C) of each other for two consecutive cycles. On-cycle and off-cycle times are listed in Table 7. Control of ON or OFF operation actions shall be within ±6 seconds of the scheduled time. Begin three test cycles. Return air temperature for furnaces shall be as specified in 8.5.2. Return water temperature for boilers shall be as specified in 8.4.2.3. Operation of the furnace blower shall conform to the time delay requirements specified in 9.5.1 for cool-down and heat-up tests. Operation of the boiler pump shall conform to the time delay requirements specified in 9.6.1.</t>
    </r>
  </si>
  <si>
    <r>
      <t xml:space="preserve">9.8.5 Measurements 
</t>
    </r>
    <r>
      <rPr>
        <i/>
        <sz val="11"/>
        <rFont val="Palatino Linotype"/>
        <family val="1"/>
      </rPr>
      <t>Fuel input shall be recorded during the entire test period starting at the beginning of the ON-time period of the first cycle to the beginning of the ON-time period of the second cycle, etc., for each of the test cycles. Fuel higher heating value (HHV), temperature, and pressures necessary for determining fuel energy input (Q</t>
    </r>
    <r>
      <rPr>
        <i/>
        <vertAlign val="subscript"/>
        <sz val="11"/>
        <rFont val="Palatino Linotype"/>
        <family val="1"/>
      </rPr>
      <t>C</t>
    </r>
    <r>
      <rPr>
        <i/>
        <sz val="11"/>
        <rFont val="Palatino Linotype"/>
        <family val="1"/>
      </rPr>
      <t>) shall be recorded. Determine the mass of condensate for each cycle (M</t>
    </r>
    <r>
      <rPr>
        <i/>
        <vertAlign val="subscript"/>
        <sz val="11"/>
        <rFont val="Palatino Linotype"/>
        <family val="1"/>
      </rPr>
      <t>C</t>
    </r>
    <r>
      <rPr>
        <i/>
        <sz val="11"/>
        <rFont val="Palatino Linotype"/>
        <family val="1"/>
      </rPr>
      <t>) in pounds (kg). If at the end of three cycles, the sample standard deviation is within 20% of the mean value for three cycles, use total condensate collected in the three cycles as M</t>
    </r>
    <r>
      <rPr>
        <i/>
        <vertAlign val="subscript"/>
        <sz val="11"/>
        <rFont val="Palatino Linotype"/>
        <family val="1"/>
      </rPr>
      <t>C</t>
    </r>
    <r>
      <rPr>
        <i/>
        <sz val="11"/>
        <rFont val="Palatino Linotype"/>
        <family val="1"/>
      </rPr>
      <t>, if not, continue collection for an additional three cycles and use the total condensate collected for the six cycles as M</t>
    </r>
    <r>
      <rPr>
        <i/>
        <vertAlign val="subscript"/>
        <sz val="11"/>
        <rFont val="Palatino Linotype"/>
        <family val="1"/>
      </rPr>
      <t>C</t>
    </r>
    <r>
      <rPr>
        <i/>
        <sz val="11"/>
        <rFont val="Palatino Linotype"/>
        <family val="1"/>
      </rPr>
      <t>. Determine the fuel energy input during the three or six test cycles (Q</t>
    </r>
    <r>
      <rPr>
        <i/>
        <vertAlign val="subscript"/>
        <sz val="11"/>
        <rFont val="Palatino Linotype"/>
        <family val="1"/>
      </rPr>
      <t>C</t>
    </r>
    <r>
      <rPr>
        <i/>
        <sz val="11"/>
        <rFont val="Palatino Linotype"/>
        <family val="1"/>
      </rPr>
      <t>) expressed in Btu (kJ).</t>
    </r>
  </si>
  <si>
    <r>
      <t>For units that have applied the test method in section 7.8 of this appendix to determine that no measurable airflow exists through the combustion chamber and heat exchanger during the burner off-period and having post-purge periods of less than 5 seconds, the cool-down and heat-up tests specified in sections 9.5 and 9.6 of ASHRAE 103-2017 may be omitted. In lieu of conducting the cool-down and heat-up tests, the tester may use the losses determined during the steady-state test described in section 9.1 of ASHRAE 103-2017 when calculating heating seasonal efficiency, Effy</t>
    </r>
    <r>
      <rPr>
        <i/>
        <vertAlign val="subscript"/>
        <sz val="11"/>
        <rFont val="Palatino Linotype"/>
        <family val="1"/>
      </rPr>
      <t>HS</t>
    </r>
    <r>
      <rPr>
        <i/>
        <sz val="11"/>
        <rFont val="Palatino Linotype"/>
        <family val="1"/>
      </rPr>
      <t>.</t>
    </r>
  </si>
  <si>
    <r>
      <rPr>
        <b/>
        <sz val="11"/>
        <color rgb="FF000000"/>
        <rFont val="Palatino Linotype"/>
        <family val="1"/>
      </rPr>
      <t>Appendix EE, Section 8.2:  Electrical input.</t>
    </r>
    <r>
      <rPr>
        <sz val="11"/>
        <color rgb="FF000000"/>
        <rFont val="Palatino Linotype"/>
        <family val="1"/>
      </rPr>
      <t xml:space="preserve"> 
</t>
    </r>
    <r>
      <rPr>
        <i/>
        <sz val="11"/>
        <color indexed="8"/>
        <rFont val="Palatino Linotype"/>
        <family val="1"/>
      </rPr>
      <t xml:space="preserve">During the steady-state test, perform a single measurement of all of the electrical power involved in burner operation (PE), including energizing the ignition system, controls, gas valve or oil control valve, and draft inducer, if applicable. For boilers, the measurement of PE must include the boiler pump if so equipped. If the boiler pump does not operate during the measurement of PE, add the boiler pump nameplate power to the measurement of PE. If the boiler pump nameplate power is not available, use 0.13 kW. For hot water boilers, use the circulating water pump nameplate power for BE, or if the pump nameplate power is not available, use 0.13 kW. </t>
    </r>
  </si>
  <si>
    <r>
      <rPr>
        <b/>
        <sz val="11"/>
        <color rgb="FF000000"/>
        <rFont val="Palatino Linotype"/>
        <family val="1"/>
      </rPr>
      <t>Appendix EE, Section 8.3:  Input to interrupted ignition device.</t>
    </r>
    <r>
      <rPr>
        <b/>
        <i/>
        <sz val="11"/>
        <color rgb="FF000000"/>
        <rFont val="Palatino Linotype"/>
        <family val="1"/>
      </rPr>
      <t xml:space="preserve"> 
</t>
    </r>
    <r>
      <rPr>
        <i/>
        <sz val="11"/>
        <color indexed="8"/>
        <rFont val="Palatino Linotype"/>
        <family val="1"/>
      </rPr>
      <t>For burners equipped with an interrupted ignition device, record the nameplate electric power used by the ignition device, PEIG, or record that PEIG = 0.4 kW if no nameplate power input is provided. Record the nameplate ignition device on-time interval, tIG, or, if the nameplate does not provide the ignition device on-time interval, measure the on-time interval with a stopwatch at the beginning of the test, starting when the burner is turned on. Set tIG = 0 and PEIG = 0 if the device on-time interval is less than or equal to 5 seconds after the burner is on.</t>
    </r>
  </si>
  <si>
    <t>ASHRAE 103-2017, Section: 9.1.2.2 Input (Replaced by Appendix N Sections 8.1-8.3, which are addressed above)</t>
  </si>
  <si>
    <t>For units with step-modulating or two-stage controls, conduct the test at both the maximum and reduced inputs. In lieu of collecting the condensate immediately after the steady state conditions have been reached as required by section 9.2 of ASHRAE 103–2017, condensate may be collected during the establishment of steady state conditions as defined by section 9.1.2.1 of ASHRAE 103–2017. Perform condensate collection for at least 30 minutes. Measure condensate mass immediately at the end of the collection period to prevent evaporation loss from the sample. Record fuel input for the 30-minute condensate collection test period. Observe and record fuel higher heating value (HHV), temperature, and pressures necessary for determining fuel energy input (QC,SS). Measure the fuel quantity and HHV with errors no greater than 1%. The humidity for the room air shall at no time exceed 80%. Determine the mass of condensate for the establishment of steady state conditions (MC,SS) in pounds by subtracting the tare container weight from the total container and condensate weight measured at the end of the 30-minute condensate collection test period.</t>
  </si>
  <si>
    <t>Operate the boiler until steady-state conditions are reached as indicated by a temperature variation of not more than 4°F (2.2°C) in the outlet water temperature in three successive readings taken 15 minutes apart. Take three measurements of the total power input to the boiler at 10-minute intervals, and average to determine the rated power input (Ein) in watts.</t>
  </si>
  <si>
    <r>
      <rPr>
        <b/>
        <sz val="11"/>
        <rFont val="Palatino Linotype"/>
        <family val="1"/>
      </rPr>
      <t>Appendix EE, Section 8.6: Cool-down Test for Gas- and Oil-fueled Boilers Without Stack Dampers</t>
    </r>
    <r>
      <rPr>
        <i/>
        <sz val="11"/>
        <rFont val="Palatino Linotype"/>
        <family val="1"/>
      </rPr>
      <t xml:space="preserve">
After steady-state testing has been completed, turn the main burner(s) “OFF” and measure the flue gas temperature at 3.75 minutes (temperature designated as T</t>
    </r>
    <r>
      <rPr>
        <i/>
        <vertAlign val="subscript"/>
        <sz val="11"/>
        <rFont val="Palatino Linotype"/>
        <family val="1"/>
      </rPr>
      <t>F,OFF(t3)</t>
    </r>
    <r>
      <rPr>
        <i/>
        <sz val="11"/>
        <rFont val="Palatino Linotype"/>
        <family val="1"/>
      </rPr>
      <t>) and 22.5 minutes (temperature designated as T</t>
    </r>
    <r>
      <rPr>
        <i/>
        <vertAlign val="subscript"/>
        <sz val="11"/>
        <rFont val="Palatino Linotype"/>
        <family val="1"/>
      </rPr>
      <t>F,OFF(t4)</t>
    </r>
    <r>
      <rPr>
        <i/>
        <sz val="11"/>
        <rFont val="Palatino Linotype"/>
        <family val="1"/>
      </rPr>
      <t>) after the burner shut-off using the thermocouple grid described in section 7.6 of ASHRAE 103-2017.
a. During this off-period, for units that do not have pump delay after shut-off, do not allow any water to circulate through the hot water boilers.
b. For units that have pump delay on shut-off, except those having pump controls sensing water temperature, the unit control must stop the pump. Measure and record the time between burner shut-off and pump shut-off (t+) to the nearest second.
c. For units having pump delay controls that sense water temperature, operate the pump for 15 minutes and record t</t>
    </r>
    <r>
      <rPr>
        <i/>
        <vertAlign val="superscript"/>
        <sz val="11"/>
        <rFont val="Palatino Linotype"/>
        <family val="1"/>
      </rPr>
      <t>+</t>
    </r>
    <r>
      <rPr>
        <i/>
        <sz val="11"/>
        <rFont val="Palatino Linotype"/>
        <family val="1"/>
      </rPr>
      <t xml:space="preserve"> as 15 minutes. While the pump is operating, maintain the inlet water temperature and flow rate at the same values as used during the steady-state test, as specified in sections 9.1 and 8.4.2.3 of ASHRAE 103-2017.
d. For boilers that employ post-purge, measure the length of the post-purge period with a stopwatch. Record the time from burner “OFF” to combustion blower “OFF” (electrically de-energized) as tP. Measure the flue gas temperature by means of the thermocouple grid described in section 7.6 of ASHRAE 103–2017 at the end of the post-purge period t</t>
    </r>
    <r>
      <rPr>
        <i/>
        <vertAlign val="subscript"/>
        <sz val="11"/>
        <rFont val="Palatino Linotype"/>
        <family val="1"/>
      </rPr>
      <t>P</t>
    </r>
    <r>
      <rPr>
        <i/>
        <sz val="11"/>
        <rFont val="Palatino Linotype"/>
        <family val="1"/>
      </rPr>
      <t xml:space="preserve"> (T</t>
    </r>
    <r>
      <rPr>
        <i/>
        <vertAlign val="subscript"/>
        <sz val="11"/>
        <rFont val="Palatino Linotype"/>
        <family val="1"/>
      </rPr>
      <t>F,OFF(tP)</t>
    </r>
    <r>
      <rPr>
        <i/>
        <sz val="11"/>
        <rFont val="Palatino Linotype"/>
        <family val="1"/>
      </rPr>
      <t>) and at (3.75 + t</t>
    </r>
    <r>
      <rPr>
        <i/>
        <vertAlign val="subscript"/>
        <sz val="11"/>
        <rFont val="Palatino Linotype"/>
        <family val="1"/>
      </rPr>
      <t>P</t>
    </r>
    <r>
      <rPr>
        <i/>
        <sz val="11"/>
        <rFont val="Palatino Linotype"/>
        <family val="1"/>
      </rPr>
      <t>) minutes (T</t>
    </r>
    <r>
      <rPr>
        <i/>
        <vertAlign val="subscript"/>
        <sz val="11"/>
        <rFont val="Palatino Linotype"/>
        <family val="1"/>
      </rPr>
      <t>F,OFF(t3)</t>
    </r>
    <r>
      <rPr>
        <i/>
        <sz val="11"/>
        <rFont val="Palatino Linotype"/>
        <family val="1"/>
      </rPr>
      <t>) and (22.5 + t</t>
    </r>
    <r>
      <rPr>
        <i/>
        <vertAlign val="subscript"/>
        <sz val="11"/>
        <rFont val="Palatino Linotype"/>
        <family val="1"/>
      </rPr>
      <t>P</t>
    </r>
    <r>
      <rPr>
        <i/>
        <sz val="11"/>
        <rFont val="Palatino Linotype"/>
        <family val="1"/>
      </rPr>
      <t>) minutes (T</t>
    </r>
    <r>
      <rPr>
        <i/>
        <vertAlign val="subscript"/>
        <sz val="11"/>
        <rFont val="Palatino Linotype"/>
        <family val="1"/>
      </rPr>
      <t>F,OFF(t4)</t>
    </r>
    <r>
      <rPr>
        <i/>
        <sz val="11"/>
        <rFont val="Palatino Linotype"/>
        <family val="1"/>
      </rPr>
      <t>) after the main burner shuts off. If t</t>
    </r>
    <r>
      <rPr>
        <i/>
        <vertAlign val="subscript"/>
        <sz val="11"/>
        <rFont val="Palatino Linotype"/>
        <family val="1"/>
      </rPr>
      <t>P</t>
    </r>
    <r>
      <rPr>
        <i/>
        <sz val="11"/>
        <rFont val="Palatino Linotype"/>
        <family val="1"/>
      </rPr>
      <t xml:space="preserve"> is prescribed by the I&amp;O manual or measured to be greater than 3 minutes, also measure the flue gas temperature at the midpoint of the post-purge period t</t>
    </r>
    <r>
      <rPr>
        <i/>
        <vertAlign val="subscript"/>
        <sz val="11"/>
        <rFont val="Palatino Linotype"/>
        <family val="1"/>
      </rPr>
      <t>P</t>
    </r>
    <r>
      <rPr>
        <i/>
        <sz val="11"/>
        <rFont val="Palatino Linotype"/>
        <family val="1"/>
      </rPr>
      <t>/2 (T</t>
    </r>
    <r>
      <rPr>
        <i/>
        <vertAlign val="subscript"/>
        <sz val="11"/>
        <rFont val="Palatino Linotype"/>
        <family val="1"/>
      </rPr>
      <t>F,OFF(tP/2)</t>
    </r>
    <r>
      <rPr>
        <i/>
        <sz val="11"/>
        <rFont val="Palatino Linotype"/>
        <family val="1"/>
      </rPr>
      <t>). If the measured tP is less than or equal to 30 seconds, record t</t>
    </r>
    <r>
      <rPr>
        <i/>
        <vertAlign val="subscript"/>
        <sz val="11"/>
        <rFont val="Palatino Linotype"/>
        <family val="1"/>
      </rPr>
      <t>P</t>
    </r>
    <r>
      <rPr>
        <i/>
        <sz val="11"/>
        <rFont val="Palatino Linotype"/>
        <family val="1"/>
      </rPr>
      <t xml:space="preserve"> as 0 and conduct the cool-down test as if there is no post-purge.</t>
    </r>
  </si>
  <si>
    <r>
      <rPr>
        <b/>
        <sz val="11"/>
        <rFont val="Palatino Linotype"/>
        <family val="1"/>
      </rPr>
      <t>ASHRAE 103-2017, Sections 9.6.2: Flue Gas Temperature Measurement - Heat-Up Test, Gas and Oil-Fueled Boilers</t>
    </r>
    <r>
      <rPr>
        <i/>
        <sz val="11"/>
        <rFont val="Palatino Linotype"/>
        <family val="1"/>
      </rPr>
      <t xml:space="preserve">
Approximately 50 minutes after the main burner(s) is turned off for the cool-down test, turn on the steam or hot water boiler and measure the flue gas temperature at 1.0 (T</t>
    </r>
    <r>
      <rPr>
        <i/>
        <vertAlign val="subscript"/>
        <sz val="11"/>
        <rFont val="Palatino Linotype"/>
        <family val="1"/>
      </rPr>
      <t>F,ON(t1)</t>
    </r>
    <r>
      <rPr>
        <i/>
        <sz val="11"/>
        <rFont val="Palatino Linotype"/>
        <family val="1"/>
      </rPr>
      <t>) and 5.5 (T</t>
    </r>
    <r>
      <rPr>
        <i/>
        <vertAlign val="subscript"/>
        <sz val="11"/>
        <rFont val="Palatino Linotype"/>
        <family val="1"/>
      </rPr>
      <t>F,ON(t2)</t>
    </r>
    <r>
      <rPr>
        <i/>
        <sz val="11"/>
        <rFont val="Palatino Linotype"/>
        <family val="1"/>
      </rPr>
      <t>) minutes after the main burners comes on. The pump circulating the water through the hot water boiler shall be started simultaneously with the main burner(s). The water flow rate shall be the same as that maintained during the steady-state test. During the heat-up test for boilers with barometric draft regulators, maintain the draft in the flue pipe within ±0.01 in. water (2.5 Pa) of the manufacturer's recommended on-period draft. Record the measured temperatures.
9.6.2.1 For boilers equipped with step modulating controls, the heat-up test shall be conducted at the reduced fuel input rate.
9.6.2.2 For boilers equipped with two-stage controls, separate heat-up tests shall be conducted at both the reduced and maximum fuel input rates. A heat-up test is not necessary for maximum input rate if the balance point temperature (TC) determined in Section 11.4.8.4 is less than the typical outdoor design temperature of 5°F (–15°C).</t>
    </r>
  </si>
  <si>
    <r>
      <t>9.1.2.3.3 On units employing barometric draft regulators, measure the room air temperature (TRA). Measure the steady-state flue gas temperature (TF,SS) using the thermocouple grid located in the flue pipe. Secure a sample of the flue gas in the plane of temperature measurement and determine the concentration by volume of CO</t>
    </r>
    <r>
      <rPr>
        <i/>
        <vertAlign val="subscript"/>
        <sz val="11"/>
        <color theme="1"/>
        <rFont val="Palatino Linotype"/>
        <family val="1"/>
      </rPr>
      <t>2</t>
    </r>
    <r>
      <rPr>
        <i/>
        <sz val="11"/>
        <color theme="1"/>
        <rFont val="Palatino Linotype"/>
        <family val="1"/>
      </rPr>
      <t xml:space="preserve"> (X</t>
    </r>
    <r>
      <rPr>
        <i/>
        <vertAlign val="subscript"/>
        <sz val="11"/>
        <color theme="1"/>
        <rFont val="Palatino Linotype"/>
        <family val="1"/>
      </rPr>
      <t>CO2F</t>
    </r>
    <r>
      <rPr>
        <i/>
        <sz val="11"/>
        <color theme="1"/>
        <rFont val="Palatino Linotype"/>
        <family val="1"/>
      </rPr>
      <t>) present in dry flue gas (see Figure 5).</t>
    </r>
  </si>
  <si>
    <r>
      <rPr>
        <b/>
        <sz val="11"/>
        <color rgb="FF000000"/>
        <rFont val="Palatino Linotype"/>
        <family val="1"/>
      </rPr>
      <t>Appendix EE, Section 8.1:  Fuel input.</t>
    </r>
    <r>
      <rPr>
        <i/>
        <sz val="11"/>
        <color indexed="8"/>
        <rFont val="Palatino Linotype"/>
        <family val="1"/>
      </rPr>
      <t xml:space="preserve"> 
For gas units, measure and record the steady-state gas input rate in Btu/h, including pilot gas, corrected to standard conditions of 60 °F and 30 in. Hg. Use measured values of gas temperature and pressure at the meter and barometric pressure to correct the metered gas flow rate to the above standard conditions. For oil units, measure and record the steady-state fuel input rate. For maximum input rate, the measured burner input rate shall be within ±2% of the hourly Btu nameplate input rating (Q</t>
    </r>
    <r>
      <rPr>
        <i/>
        <vertAlign val="subscript"/>
        <sz val="11"/>
        <color rgb="FF000000"/>
        <rFont val="Palatino Linotype"/>
        <family val="1"/>
      </rPr>
      <t>IN</t>
    </r>
    <r>
      <rPr>
        <i/>
        <sz val="11"/>
        <color indexed="8"/>
        <rFont val="Palatino Linotype"/>
        <family val="1"/>
      </rPr>
      <t>) specified by the manufacturer. For modulating furnaces and boilers operating at reduced input rate, the measured reduced heat input rate (Q</t>
    </r>
    <r>
      <rPr>
        <i/>
        <vertAlign val="subscript"/>
        <sz val="11"/>
        <color rgb="FF000000"/>
        <rFont val="Palatino Linotype"/>
        <family val="1"/>
      </rPr>
      <t>IN,R</t>
    </r>
    <r>
      <rPr>
        <i/>
        <sz val="11"/>
        <color indexed="8"/>
        <rFont val="Palatino Linotype"/>
        <family val="1"/>
      </rPr>
      <t>) shall be recorded. At the discretion of the one testing, the hourly Btu nameplate minimum input rating specified by the manufacturer may be used in the calculations in place of QIN,R if the measured rate is within ±2% of the nameplate rating.</t>
    </r>
  </si>
  <si>
    <r>
      <rPr>
        <b/>
        <sz val="11"/>
        <rFont val="Palatino Linotype"/>
        <family val="1"/>
      </rPr>
      <t xml:space="preserve">ASHRAE 103-2017, Section 9.7.1: Feeding Tracer Gas </t>
    </r>
    <r>
      <rPr>
        <sz val="11"/>
        <rFont val="Palatino Linotype"/>
        <family val="1"/>
      </rPr>
      <t xml:space="preserve">
</t>
    </r>
    <r>
      <rPr>
        <i/>
        <sz val="11"/>
        <rFont val="Palatino Linotype"/>
        <family val="1"/>
      </rPr>
      <t>The tracer gas chosen for this task should have a density that is less than or approximately equal to the density of air. Use a gas that is of a different chemical species or different concentration from the flue gas to be measured and nonreactive with the environment to be encountered. Within one minute after the power burner or draft inducer is shut off to start the cool-down test for determining D</t>
    </r>
    <r>
      <rPr>
        <i/>
        <vertAlign val="subscript"/>
        <sz val="11"/>
        <rFont val="Palatino Linotype"/>
        <family val="1"/>
      </rPr>
      <t>P</t>
    </r>
    <r>
      <rPr>
        <i/>
        <sz val="11"/>
        <rFont val="Palatino Linotype"/>
        <family val="1"/>
      </rPr>
      <t>, begin feeding a tracer gas into the combustion chamber at a constant flow rate (VT) and at a point that will allow for the best possible mixing with the air flowing through the chamber. (On units equipped with an oil-fired power burner, the best location for injecting this tracer gas appears to be through a hole drilled in the air tube.) Periodically measure the value of VT with an instantaneously reading flowmeter having an accuracy of ±3% of the quantity measured, and maintain that value at less than 1% of the airflow rate through the furnace. If a combustible tracer gas is used, there should be a delay period between the time the unit is shut off and the time the tracer gas is first injected to prevent ignition of the tracer gas.</t>
    </r>
  </si>
  <si>
    <r>
      <t>9.7.6.2 After the completion of the heat-up test in 9.6, tum the burner OFF. On units equipped with integral draft diverters, remove the blocking over the draft diverter and the restriction in the test stack that were installed during the steady-state test in 9.1.4. Do not remove the insulation covering the draft diverter surfaces. On units equipped with a draft hood, cover the 5-ft (1.5  m) stack with insulation having an R-value not less than 7 and an outer layer of aluminum foil as described in 8.8.5. In the meantime, sample and feed the ambient air to the tracer gas analyzer and record the background concentration C</t>
    </r>
    <r>
      <rPr>
        <i/>
        <vertAlign val="subscript"/>
        <sz val="11"/>
        <rFont val="Palatino Linotype"/>
        <family val="1"/>
      </rPr>
      <t>TB</t>
    </r>
    <r>
      <rPr>
        <i/>
        <sz val="11"/>
        <rFont val="Palatino Linotype"/>
        <family val="1"/>
      </rPr>
      <t xml:space="preserve"> of the tracer gas to be used for the test. (One data point is usually sufficient.)</t>
    </r>
  </si>
  <si>
    <r>
      <t>9.7.6.5 At five minutes after the unit is shut off to start the cool-down test, measure and record the percent volumetric concentration of tracer gas present in the stack gas sample, C</t>
    </r>
    <r>
      <rPr>
        <i/>
        <vertAlign val="subscript"/>
        <sz val="11"/>
        <rFont val="Palatino Linotype"/>
        <family val="1"/>
      </rPr>
      <t>T</t>
    </r>
    <r>
      <rPr>
        <i/>
        <sz val="11"/>
        <rFont val="Palatino Linotype"/>
        <family val="1"/>
      </rPr>
      <t>, at the location specified in 9.7.6.4. At the same time, measure the stack gas temperature, T</t>
    </r>
    <r>
      <rPr>
        <i/>
        <vertAlign val="subscript"/>
        <sz val="11"/>
        <rFont val="Palatino Linotype"/>
        <family val="1"/>
      </rPr>
      <t>S,OFF</t>
    </r>
    <r>
      <rPr>
        <i/>
        <sz val="11"/>
        <rFont val="Palatino Linotype"/>
        <family val="1"/>
      </rPr>
      <t>, using the thermocouple grid in the test plane (see 8.2.1.5.1). The data measurement and recording should be done at a time interval (</t>
    </r>
    <r>
      <rPr>
        <sz val="11"/>
        <rFont val="Calibri"/>
        <family val="2"/>
      </rPr>
      <t>Δ</t>
    </r>
    <r>
      <rPr>
        <i/>
        <sz val="11"/>
        <rFont val="Palatino Linotype"/>
        <family val="1"/>
      </rPr>
      <t>t) of five seconds for the next two to three minutes. The exact length of time required for the tracer gas data measurement is equal to the tracer gas sample delay time (see 9.7.6.4) plus one minute. (Even though only one minute of tracer gas data is required for the computation of the off-cycle loss, the longer time is needed to take into account the time delay between the concentration data and the temperature data.) Stop the tracer gas injection and sampling after the required data are measured and recorded. Disconnect the tracer gas sampling line from the sample probe and sample the ambient air to clear the line.</t>
    </r>
  </si>
  <si>
    <t>11.2.8.1</t>
  </si>
  <si>
    <t>11.4.8.1</t>
  </si>
  <si>
    <t>11.4.8.2</t>
  </si>
  <si>
    <t>11.2.8.2</t>
  </si>
  <si>
    <t>11.4.8.4</t>
  </si>
  <si>
    <t>11.4.8.3</t>
  </si>
  <si>
    <r>
      <t>Q</t>
    </r>
    <r>
      <rPr>
        <vertAlign val="subscript"/>
        <sz val="11"/>
        <color rgb="FF000000"/>
        <rFont val="Palatino Linotype"/>
        <family val="1"/>
      </rPr>
      <t>OUT,R</t>
    </r>
  </si>
  <si>
    <t>11.4.8.1.2</t>
  </si>
  <si>
    <r>
      <t>T</t>
    </r>
    <r>
      <rPr>
        <vertAlign val="subscript"/>
        <sz val="11"/>
        <color rgb="FF000000"/>
        <rFont val="Palatino Linotype"/>
        <family val="1"/>
      </rPr>
      <t>OA,T</t>
    </r>
  </si>
  <si>
    <t>Typical average outdoor temperature at which a furnace or boiler starts operating</t>
  </si>
  <si>
    <r>
      <t>T</t>
    </r>
    <r>
      <rPr>
        <vertAlign val="subscript"/>
        <sz val="11"/>
        <color rgb="FF000000"/>
        <rFont val="Palatino Linotype"/>
        <family val="1"/>
      </rPr>
      <t>SH</t>
    </r>
  </si>
  <si>
    <t>Load factor for maximum input rate, fraction</t>
  </si>
  <si>
    <t>Load factor for reduced input rate, fraction</t>
  </si>
  <si>
    <r>
      <t>LF</t>
    </r>
    <r>
      <rPr>
        <vertAlign val="subscript"/>
        <sz val="11"/>
        <color rgb="FF000000"/>
        <rFont val="Palatino Linotype"/>
        <family val="1"/>
      </rPr>
      <t>H</t>
    </r>
  </si>
  <si>
    <r>
      <t>LF</t>
    </r>
    <r>
      <rPr>
        <vertAlign val="subscript"/>
        <sz val="11"/>
        <color rgb="FF000000"/>
        <rFont val="Palatino Linotype"/>
        <family val="1"/>
      </rPr>
      <t>R</t>
    </r>
  </si>
  <si>
    <t>Thermostat cycle response at 50% load</t>
  </si>
  <si>
    <r>
      <t>N</t>
    </r>
    <r>
      <rPr>
        <vertAlign val="subscript"/>
        <sz val="11"/>
        <color rgb="FF000000"/>
        <rFont val="Palatino Linotype"/>
        <family val="1"/>
      </rPr>
      <t>50</t>
    </r>
  </si>
  <si>
    <t>11.4.9.11</t>
  </si>
  <si>
    <r>
      <t>t</t>
    </r>
    <r>
      <rPr>
        <vertAlign val="subscript"/>
        <sz val="11"/>
        <color rgb="FF000000"/>
        <rFont val="Palatino Linotype"/>
        <family val="1"/>
      </rPr>
      <t>ON(H,R)</t>
    </r>
  </si>
  <si>
    <r>
      <t>t</t>
    </r>
    <r>
      <rPr>
        <vertAlign val="subscript"/>
        <sz val="11"/>
        <color rgb="FF000000"/>
        <rFont val="Palatino Linotype"/>
        <family val="1"/>
      </rPr>
      <t>OFF(H,R)</t>
    </r>
  </si>
  <si>
    <t>ON-cycle time for maximum and reduced fuel input respective to H and R</t>
  </si>
  <si>
    <t>Determine OFF-cycle time for maximum and reduced fuel input respective to H and R</t>
  </si>
  <si>
    <t>11.4.9.12</t>
  </si>
  <si>
    <t>Direct Vent</t>
  </si>
  <si>
    <t>Isolated Combust. System</t>
  </si>
  <si>
    <t>Sys # C15</t>
  </si>
  <si>
    <t>Oversize factor for reduced fuel input</t>
  </si>
  <si>
    <r>
      <t>α</t>
    </r>
    <r>
      <rPr>
        <vertAlign val="subscript"/>
        <sz val="11"/>
        <color rgb="FF000000"/>
        <rFont val="Palatino Linotype"/>
        <family val="1"/>
      </rPr>
      <t>R</t>
    </r>
  </si>
  <si>
    <t>Off-Mode Power Draw</t>
  </si>
  <si>
    <t>Standby Power Draw</t>
  </si>
  <si>
    <r>
      <t xml:space="preserve">Appendix EE, Section 8.10.2: Off mode power measurement. 
</t>
    </r>
    <r>
      <rPr>
        <i/>
        <sz val="11"/>
        <rFont val="Palatino Linotype"/>
        <family val="1"/>
      </rPr>
      <t>If the unit is equipped with an off switch or there is an expected difference between off mode power and standby mode power, measure off mode power (P</t>
    </r>
    <r>
      <rPr>
        <i/>
        <vertAlign val="subscript"/>
        <sz val="11"/>
        <rFont val="Palatino Linotype"/>
        <family val="1"/>
      </rPr>
      <t>W,OFF</t>
    </r>
    <r>
      <rPr>
        <i/>
        <sz val="11"/>
        <rFont val="Palatino Linotype"/>
        <family val="1"/>
      </rPr>
      <t>) in accordance with the standby power procedures in IEC 62301, except that section 8.5, Room Ambient Temperature, of ASHRAE 103–2017 and the voltage provision of section 8.2.1.4, Electrical Supply, of ASHRAE 103–2017 shall apply in lieu of the corresponding provisions of IEC 62301 at section 4.2, Test room, and the voltage specification of section 4.3, Power supply. Frequency shall be 60Hz. Clarifying further, IEC 62301 section 4.4, Power measurement instruments, and section 5, Measurements, apply for this measurement in lieu of ASHRAE 103–2017 section 6.10, Energy Flow Rate. Measure the wattage so that all possible off mode wattage for the entire appliance is recorded, not just the off mode wattage of a single auxiliary. If there is no expected difference in off mode power and standby mode power, let P</t>
    </r>
    <r>
      <rPr>
        <i/>
        <vertAlign val="subscript"/>
        <sz val="11"/>
        <rFont val="Palatino Linotype"/>
        <family val="1"/>
      </rPr>
      <t>W,OFF</t>
    </r>
    <r>
      <rPr>
        <i/>
        <sz val="11"/>
        <rFont val="Palatino Linotype"/>
        <family val="1"/>
      </rPr>
      <t xml:space="preserve"> = P</t>
    </r>
    <r>
      <rPr>
        <i/>
        <vertAlign val="subscript"/>
        <sz val="11"/>
        <rFont val="Palatino Linotype"/>
        <family val="1"/>
      </rPr>
      <t>W,SB</t>
    </r>
    <r>
      <rPr>
        <i/>
        <sz val="11"/>
        <rFont val="Palatino Linotype"/>
        <family val="1"/>
      </rPr>
      <t>, in which case no separate measurement of off mode power is necessary. Round the recorded off mode power (P</t>
    </r>
    <r>
      <rPr>
        <i/>
        <vertAlign val="subscript"/>
        <sz val="11"/>
        <rFont val="Palatino Linotype"/>
        <family val="1"/>
      </rPr>
      <t>W,OFF</t>
    </r>
    <r>
      <rPr>
        <i/>
        <sz val="11"/>
        <rFont val="Palatino Linotype"/>
        <family val="1"/>
      </rPr>
      <t>) to the second decimal place, except for loads greater than or equal to 10W, in which case round the recorded value to at least three significant figures.</t>
    </r>
  </si>
  <si>
    <r>
      <t xml:space="preserve">Appendix EE, Section 8.10.1: Standby Power Measurement
</t>
    </r>
    <r>
      <rPr>
        <i/>
        <sz val="11"/>
        <rFont val="Palatino Linotype"/>
        <family val="1"/>
      </rPr>
      <t>With all electrical auxiliaries of the boiler not activated, measure the standby power (P</t>
    </r>
    <r>
      <rPr>
        <i/>
        <vertAlign val="subscript"/>
        <sz val="11"/>
        <rFont val="Palatino Linotype"/>
        <family val="1"/>
      </rPr>
      <t>W,SB</t>
    </r>
    <r>
      <rPr>
        <i/>
        <sz val="11"/>
        <rFont val="Palatino Linotype"/>
        <family val="1"/>
      </rPr>
      <t>) in accordance with the procedures in IEC 62301, except that section 8.5, Room Ambient Temperature, of ASHRAE 103–2017 and the voltage provision of section 8.2.1.4, Electrical Supply, of ASHRAE 103–2017 shall apply in lieu of the corresponding provisions of IEC 62301 at section 4.2, Test room, and the voltage specification of section 4.3, Power supply. Frequency shall be 60Hz. Clarifying further, IEC 62301 section 4.4, Power measurement instruments, and section 5, Measurements, apply in lieu of ASHRAE 103–2017 section 6.10, Energy Flow Rate. Measure the wattage so that all possible standby mode wattage for the entire appliance is recorded, not just the standby mode wattage of a single auxiliary. Round the recorded standby power (P</t>
    </r>
    <r>
      <rPr>
        <i/>
        <vertAlign val="subscript"/>
        <sz val="11"/>
        <rFont val="Palatino Linotype"/>
        <family val="1"/>
      </rPr>
      <t>W,SB</t>
    </r>
    <r>
      <rPr>
        <i/>
        <sz val="11"/>
        <rFont val="Palatino Linotype"/>
        <family val="1"/>
      </rPr>
      <t>) to the second decimal place, except for loads greater than or equal to 10W, which must be recorded to at least three significant figures.</t>
    </r>
  </si>
  <si>
    <t>DOE 8.10.1</t>
  </si>
  <si>
    <t>Steady State Test Timing</t>
  </si>
  <si>
    <t>Measured Times</t>
  </si>
  <si>
    <t>Start</t>
  </si>
  <si>
    <t>End</t>
  </si>
  <si>
    <t>Start Condition Met?</t>
  </si>
  <si>
    <t>End Condition Met?</t>
  </si>
  <si>
    <t>Cool-Down Test Timing</t>
  </si>
  <si>
    <t>Heat-Up Test Timing</t>
  </si>
  <si>
    <t>v1.5</t>
  </si>
  <si>
    <t>v2.0</t>
  </si>
  <si>
    <t>Input raw data from the efficiency tests into the corresponding tabs located immediately after the Instructions tab.</t>
  </si>
  <si>
    <t xml:space="preserve">Import granular test data for steady state, cool-down and heat-up tests into the tabs labelled Input Steady State Test Data, Input Cool-Down Test Data, and Input Heat-Up Test Data, respectively. </t>
  </si>
  <si>
    <t>Equivalent Field Stack Gas Temperature at Full-Load Steady-State Operation</t>
  </si>
  <si>
    <t>Sys. # &amp; Product Characteristic</t>
  </si>
  <si>
    <t>Step 12</t>
  </si>
  <si>
    <t>Electric F,B Calculations</t>
  </si>
  <si>
    <t>Con, Non-Mod Calculations</t>
  </si>
  <si>
    <t>Non-Con, Non-Mod Calculations</t>
  </si>
  <si>
    <t>Non-Con, Mod Calculations</t>
  </si>
  <si>
    <t>Con, Mod Calculations</t>
  </si>
  <si>
    <t>Input Steady State Test Data</t>
  </si>
  <si>
    <t>Input Cool-Down Test Data</t>
  </si>
  <si>
    <t>Input Heat-Up Test Data</t>
  </si>
  <si>
    <t>Step 13</t>
  </si>
  <si>
    <t>Step 14</t>
  </si>
  <si>
    <t>Step 15</t>
  </si>
  <si>
    <t>Step 16</t>
  </si>
  <si>
    <t>Step 17</t>
  </si>
  <si>
    <t>Step 18</t>
  </si>
  <si>
    <t>Step 19</t>
  </si>
  <si>
    <t>Cyclic Timing Calculations</t>
  </si>
  <si>
    <t>Step 20</t>
  </si>
  <si>
    <t>Standby &amp; Off Power</t>
  </si>
  <si>
    <t>Step 21</t>
  </si>
  <si>
    <t>10 CFR 430 Subpart B Appendix EE:  Uniform Test Method for Measuring the Energy Consumption of Furnaces and Boilers</t>
  </si>
  <si>
    <t xml:space="preserve">Enter detailed comments or notes on any deviations from the ASHRAE 130-2017 test procedure, as well as any measurement irregularities observed while performing the test. </t>
  </si>
  <si>
    <t>Direct Vent? (Indoor Installations Only)</t>
  </si>
  <si>
    <r>
      <t>A</t>
    </r>
    <r>
      <rPr>
        <vertAlign val="subscript"/>
        <sz val="11"/>
        <color rgb="FF000000"/>
        <rFont val="Palatino Linotype"/>
        <family val="1"/>
      </rPr>
      <t>(H,R)</t>
    </r>
  </si>
  <si>
    <r>
      <t>B</t>
    </r>
    <r>
      <rPr>
        <vertAlign val="subscript"/>
        <sz val="11"/>
        <color rgb="FF000000"/>
        <rFont val="Palatino Linotype"/>
        <family val="1"/>
      </rPr>
      <t>(H,R)</t>
    </r>
  </si>
  <si>
    <r>
      <t>A</t>
    </r>
    <r>
      <rPr>
        <vertAlign val="subscript"/>
        <sz val="11"/>
        <color rgb="FF000000"/>
        <rFont val="Palatino Linotype"/>
        <family val="1"/>
      </rPr>
      <t>M</t>
    </r>
  </si>
  <si>
    <t>tt</t>
  </si>
  <si>
    <r>
      <t>B</t>
    </r>
    <r>
      <rPr>
        <vertAlign val="subscript"/>
        <sz val="11"/>
        <color rgb="FF000000"/>
        <rFont val="Palatino Linotype"/>
        <family val="1"/>
      </rPr>
      <t>M</t>
    </r>
  </si>
  <si>
    <t>DOE 10.2.1.4</t>
  </si>
  <si>
    <t>National Average Number of Burner Operating Hours at the Modulating Operating Mode</t>
  </si>
  <si>
    <t>DOE 10.2.1.1</t>
  </si>
  <si>
    <t>DOE 8.3</t>
  </si>
  <si>
    <t>DOE 8.5</t>
  </si>
  <si>
    <t>DOE 8.6</t>
  </si>
  <si>
    <t>DOE 10.2.1.2</t>
  </si>
  <si>
    <t>DOE 10.2.2.2</t>
  </si>
  <si>
    <t>DOE 10.2.1.(2,3)</t>
  </si>
  <si>
    <t>DOE 10.2.1.(1,2)</t>
  </si>
  <si>
    <t>DOE 10.5.1</t>
  </si>
  <si>
    <t>DOE 10.5.2</t>
  </si>
  <si>
    <t>DOE 10.7</t>
  </si>
  <si>
    <t>DOE 8.10.2</t>
  </si>
  <si>
    <t>DOE 10.4</t>
  </si>
  <si>
    <t>Step 22</t>
  </si>
  <si>
    <r>
      <rPr>
        <b/>
        <sz val="11"/>
        <color rgb="FF000000"/>
        <rFont val="Palatino Linotype"/>
        <family val="1"/>
      </rPr>
      <t>ASHRAE 103-2017, Section 9.1.2.1 Conditions</t>
    </r>
    <r>
      <rPr>
        <i/>
        <sz val="11"/>
        <color indexed="8"/>
        <rFont val="Palatino Linotype"/>
        <family val="1"/>
      </rPr>
      <t xml:space="preserve">
Begin the steady-state performance test by operating the burner and the circulating air blower or water pump until steady-state conditions are attained as indicated by a temperature variation in three successive readings, taken 15 minutes apart, of not more than any of the following:
a. 3°F (1.7°C) in the stack gas temperature for furnaces and boilers equipped with draft diverters
b. 5°F (2.8°C) in the flue gas temperature for furnaces and boilers equipped with either draft hoods, direct exhaust, or direct vent systems
c. 4°F (2.2°C) in the outlet water temperature for hot-water boilers
d. 1°F (0.55°C) in the flue gas temperature for condensing furnaces and boilers
e. 1°F (0.55°C) in the flue gas and supply (outlet) water temperatures for condensing hot water boilers</t>
    </r>
  </si>
  <si>
    <r>
      <rPr>
        <b/>
        <sz val="11"/>
        <color theme="1"/>
        <rFont val="Palatino Linotype"/>
        <family val="1"/>
      </rPr>
      <t>ASHRAE 103-2017, Section 9.5.2.2</t>
    </r>
    <r>
      <rPr>
        <sz val="11"/>
        <color theme="1"/>
        <rFont val="Palatino Linotype"/>
        <family val="1"/>
      </rPr>
      <t xml:space="preserve">
 Make a third flue gas temperature measurement 45 minutes after the burner shuts off to determine the OFF period minimum flue gas temperature (T</t>
    </r>
    <r>
      <rPr>
        <vertAlign val="subscript"/>
        <sz val="11"/>
        <color theme="1"/>
        <rFont val="Palatino Linotype"/>
        <family val="1"/>
      </rPr>
      <t>F,OFF[t5]</t>
    </r>
    <r>
      <rPr>
        <sz val="11"/>
        <color theme="1"/>
        <rFont val="Palatino Linotype"/>
        <family val="1"/>
      </rPr>
      <t>).</t>
    </r>
  </si>
  <si>
    <t>Steady-State Heating Capacity Reduced Input</t>
  </si>
  <si>
    <t>Balance Point Temperature</t>
  </si>
  <si>
    <t>Average Outdoor Air Temperature at Maximum Input Operating Mode</t>
  </si>
  <si>
    <t>* For direct vent or atmospheric burner w/burner inlet damper or flue damper that closes within 10 seconds after the burner shuts off.</t>
  </si>
  <si>
    <t>Arrange the thermocouples in a grid with one thermocouple in the center of the test stack and the
remaining as shown in Figure 10. Location of the grid in the stack is described in Section 8. If there is a possibility that the thermocouples could receive direct radiation from the flame, install radiation shields on the flame side of the thermocouple
only, and position the shields so that they do not touch the thermocouple junctions. If there is an indication that condensation forming in the flue or stack is contacting the thermocouples, provide means to protect the thermocouples from direct contact with the condensate.</t>
  </si>
  <si>
    <r>
      <rPr>
        <b/>
        <sz val="11"/>
        <color rgb="FF000000"/>
        <rFont val="Palatino Linotype"/>
        <family val="1"/>
      </rPr>
      <t xml:space="preserve">Appendix EE, Section 7.1: Fuel supply, gas. </t>
    </r>
    <r>
      <rPr>
        <i/>
        <sz val="11"/>
        <color indexed="8"/>
        <rFont val="Palatino Linotype"/>
        <family val="1"/>
      </rPr>
      <t xml:space="preserve">
In conducting the tests specified herein, gases with characteristics as shown in Table 1 of ASHRAE 103-2017 shall be used. Maintain the gas supply, ahead of all controls for a furnace, at a test pressure between the normal and increased values shown in Table 1 of ASHRAE 103-2017. Maintain the regulator outlet pressure at a level approximating that recommended in the I&amp;O manual, as defined in section 2.6 of this appendix, or, in the absence of such recommendation, to the nominal regulator settings used when the product is shipped by the manufacturer. Use a gas having a specific gravity as shown in Table 1 of ASHRAE 103-2017 and with a higher heating value within ±5% of the higher heating value shown in Table 1 of ASHRAE 103-2017. Determine the actual higher heating value in Btu per standard cubic foot for the gas (defined in section 2 of this appendix) to be used in the test within an error no greater than 1%.</t>
    </r>
  </si>
  <si>
    <r>
      <rPr>
        <b/>
        <sz val="11"/>
        <color rgb="FF000000"/>
        <rFont val="Palatino Linotype"/>
        <family val="1"/>
      </rPr>
      <t>Appendix EE, Section 7.3: Gas Burner</t>
    </r>
    <r>
      <rPr>
        <i/>
        <sz val="11"/>
        <color indexed="8"/>
        <rFont val="Palatino Linotype"/>
        <family val="1"/>
      </rPr>
      <t xml:space="preserve">
Adjust the burners of gas-fired boilers to their maximum Btu input ratings at the normal test pressure specified by section 7.1 of this appendix. Correct the burner input rate to reflect gas characteristics at a temperature of 60°F and atmospheric pressure of 30 in of Hg and adjust down to within ±2 percent of the hourly Btu nameplate input rating specified by the manufacturer as measured during the steady-state performance test in section 8 of this appendix. Set the primary air shutters in accordance with the I&amp;O manual to give a good flame at this condition. If, however, the setting results in the deposit of carbon on the burners during any test specified herein, the tester shall adjust the shutters and burners until no more carbon is deposited and shall perform the tests again with the new settings (see Figure 9 of ASHRAE 103-2017). After the steady-state performance test has been started, do not make additional adjustments to the burners during the required series of performance tests specified in section 9 of ASHRAE 103-2017. If a vent-limiting means is provided on a gas pressure regulator, keep it in place during all tests.</t>
    </r>
  </si>
  <si>
    <r>
      <rPr>
        <b/>
        <sz val="11"/>
        <color rgb="FF000000"/>
        <rFont val="Palatino Linotype"/>
        <family val="1"/>
      </rPr>
      <t>Appendix EE, Section 7.4: Modulating Gas Burner Adjustment at Reduced Input Rate</t>
    </r>
    <r>
      <rPr>
        <i/>
        <sz val="11"/>
        <color indexed="8"/>
        <rFont val="Palatino Linotype"/>
        <family val="1"/>
      </rPr>
      <t xml:space="preserve">
For gas-fired boilers equipped with modulating-type controls, adjust the controls to operate the unit at the nameplate minimum input rate. If the modulating control is of a non-automatic type, adjust the control to the setting recommended in the I&amp;O manual. In the absence of such recommendation, the midpoint setting of the non-automatic control shall be used as the setting for determining the reduced fuel input rate. Start the furnace by turning the safety control valve to the “ON” position. Use a supply water temperature that will allow for continuous operation without shutoff by the control. If necessary to achieve such continuous operation, supply water may be increased above 120 °F; in such cases, gradually increase the supply water temperature to determine what minimum supply water temperature, with a 20 °F temperature rise across the boiler, will be needed to adjust for the minimum input rate at the reduced input rate control setting. Monitor regulated gas pressure out of the modulating control valve (or entering the burner) to determine when no further reduction of gas pressure results. The flow rate of water through the boiler shall be adjusted to achieve a 20 °F temperature rise.</t>
    </r>
  </si>
  <si>
    <r>
      <rPr>
        <b/>
        <sz val="11"/>
        <color rgb="FF000000"/>
        <rFont val="Palatino Linotype"/>
        <family val="1"/>
      </rPr>
      <t>Appendix EE, Section 7.5: Oil Burner</t>
    </r>
    <r>
      <rPr>
        <i/>
        <sz val="11"/>
        <color indexed="8"/>
        <rFont val="Palatino Linotype"/>
        <family val="1"/>
      </rPr>
      <t xml:space="preserve">
Adjust the burners of oil-fired boilers to give a CO2 reading specified in the I&amp;O manual and an hourly Btu input within ±2% of the hourly Btu nameplate input rating as specified in the I&amp;O manual and as measured at maximum input rate during steady-state performance test as described in section 8 of this appendix. Smoke in the flue may not exceed a No. 1 smoke during the steady-state performance test as measured by the procedure in ASTM D2156–09 (R2018). Maintain the average draft over the fire and in the flue during the steady-state performance test at the value specified in the I&amp;O manual. Do not allow draft fluctuations exceeding 0.005 in. water. Do not make additional adjustments to the burner during the required series of performance tests. The instruments and measuring apparatus for this test are described in section 6 of this appendix and shown in Figure 8 of ASHRAE 103–2017.</t>
    </r>
  </si>
  <si>
    <r>
      <t>Appendix EE, Section 7.8: Additional Optional Method of Testing for Determining D</t>
    </r>
    <r>
      <rPr>
        <b/>
        <vertAlign val="subscript"/>
        <sz val="11"/>
        <rFont val="Palatino Linotype"/>
        <family val="1"/>
      </rPr>
      <t>P</t>
    </r>
    <r>
      <rPr>
        <b/>
        <sz val="11"/>
        <rFont val="Palatino Linotype"/>
        <family val="1"/>
      </rPr>
      <t xml:space="preserve"> and D</t>
    </r>
    <r>
      <rPr>
        <b/>
        <vertAlign val="subscript"/>
        <sz val="11"/>
        <rFont val="Palatino Linotype"/>
        <family val="1"/>
      </rPr>
      <t>F</t>
    </r>
    <r>
      <rPr>
        <b/>
        <sz val="11"/>
        <rFont val="Palatino Linotype"/>
        <family val="1"/>
      </rPr>
      <t xml:space="preserve"> for Furnaces and Boilers
</t>
    </r>
    <r>
      <rPr>
        <i/>
        <sz val="11"/>
        <rFont val="Palatino Linotype"/>
        <family val="1"/>
      </rPr>
      <t>On units whose design is such that there is no measurable airflow through the combustion chamber and heat exchanger when the burner(s) is (are) off as determined by the optional test procedure in section 7.8.1 of this appendix, DF and DP may be set equal to 0.05.</t>
    </r>
  </si>
  <si>
    <r>
      <t xml:space="preserve">Appendix EE, Section 7.8.1: Optional Test Method for Indicating the Absence of Flow Through the Heat Exchanger
</t>
    </r>
    <r>
      <rPr>
        <i/>
        <sz val="11"/>
        <rFont val="Palatino Linotype"/>
        <family val="1"/>
      </rPr>
      <t>Manufacturers may use the following test protocol to determine whether air flows through the combustion chamber and heat exchanger when the burner(s) is (are) off. The minimum default draft factor may be used only for units determined pursuant to this protocol to have no airflow through the combustion chamber and heat exchanger.</t>
    </r>
  </si>
  <si>
    <r>
      <t xml:space="preserve">Appendix EE, Section 7.8.1.1: Test Apparatus
</t>
    </r>
    <r>
      <rPr>
        <i/>
        <sz val="11"/>
        <rFont val="Palatino Linotype"/>
        <family val="1"/>
      </rPr>
      <t>Use a smoke stick that produces smoke that is easily visible and has a density less than or approximately equal to air. Use a smoke stick that produces smoke that is non-toxic to the test personnel and produces gas that is unreactive with the environment in the test chamber.</t>
    </r>
  </si>
  <si>
    <r>
      <t xml:space="preserve">Appendix EE, Section 7.8.1.2: Test Conditions
</t>
    </r>
    <r>
      <rPr>
        <i/>
        <sz val="11"/>
        <rFont val="Palatino Linotype"/>
        <family val="1"/>
      </rPr>
      <t>Minimize all air currents and drafts in the test chamber, including turning off ventilation if the test chamber is mechanically ventilated. Wait at least two minutes following the termination of the boiler on-cycle before beginning the optional test method for indicating the absence of flow through the heat exchanger.</t>
    </r>
  </si>
  <si>
    <r>
      <t xml:space="preserve">Appendix EE, Section 7.8.1.3: Location of the Test Apparatus
</t>
    </r>
    <r>
      <rPr>
        <i/>
        <sz val="11"/>
        <rFont val="Palatino Linotype"/>
        <family val="1"/>
      </rPr>
      <t>After all air currents and drafts in the test chamber have been eliminated or minimized, position the smoke stick based on the following equipment configuration: 
(a) For horizontal combustion air intakes, approximately 4 inches from the vertical plane at the termination of the intake vent and 4 inches below the bottom edge of the combustion air intake; or 
(b) for vertical combustion air intakes, approximately 4 inches horizontal from vent perimeter at the termination of the intake vent and 4 inches down (parallel to the vertical axis of the vent). In the instance where the boiler combustion air intake is closer than 4 inches to the floor, place the smoke device directly on the floor without impeding the flow of smoke.</t>
    </r>
  </si>
  <si>
    <r>
      <t xml:space="preserve">Appendix EE, Section 7.8.1.5: Test Results
</t>
    </r>
    <r>
      <rPr>
        <i/>
        <sz val="11"/>
        <rFont val="Palatino Linotype"/>
        <family val="1"/>
      </rPr>
      <t>During visual assessment, determine whether there is any draw of smoke into the combustion air intake vent. 
If absolutely no smoke is drawn into the combustion air intake, the boiler meets the requirements to allow use of the minimum default draft factor provided in section 7.8 of this appendix. 
If there is any smoke drawn into the intake, proceed with the methods of testing as prescribed in section 8.8 of ASHRAE 103–2017.</t>
    </r>
  </si>
  <si>
    <r>
      <t>ASHRAE 103-2017, Section 8.8: Methods for Determining Draft Factor D</t>
    </r>
    <r>
      <rPr>
        <b/>
        <vertAlign val="subscript"/>
        <sz val="11"/>
        <rFont val="Palatino Linotype"/>
        <family val="1"/>
      </rPr>
      <t>P</t>
    </r>
    <r>
      <rPr>
        <b/>
        <sz val="11"/>
        <rFont val="Palatino Linotype"/>
        <family val="1"/>
      </rPr>
      <t>, D</t>
    </r>
    <r>
      <rPr>
        <b/>
        <vertAlign val="subscript"/>
        <sz val="11"/>
        <rFont val="Palatino Linotype"/>
        <family val="1"/>
      </rPr>
      <t>F</t>
    </r>
    <r>
      <rPr>
        <b/>
        <sz val="11"/>
        <rFont val="Palatino Linotype"/>
        <family val="1"/>
      </rPr>
      <t>, and D</t>
    </r>
    <r>
      <rPr>
        <b/>
        <vertAlign val="subscript"/>
        <sz val="11"/>
        <rFont val="Palatino Linotype"/>
        <family val="1"/>
      </rPr>
      <t>S</t>
    </r>
  </si>
  <si>
    <r>
      <t>ASHRAE 103-2017, Section 8.8.3: Additional Optional Method of Testing for Determining D</t>
    </r>
    <r>
      <rPr>
        <b/>
        <vertAlign val="subscript"/>
        <sz val="11"/>
        <rFont val="Palatino Linotype"/>
        <family val="1"/>
      </rPr>
      <t>P</t>
    </r>
    <r>
      <rPr>
        <b/>
        <sz val="11"/>
        <rFont val="Palatino Linotype"/>
        <family val="1"/>
      </rPr>
      <t xml:space="preserve"> and D</t>
    </r>
    <r>
      <rPr>
        <b/>
        <vertAlign val="subscript"/>
        <sz val="11"/>
        <rFont val="Palatino Linotype"/>
        <family val="1"/>
      </rPr>
      <t>F</t>
    </r>
    <r>
      <rPr>
        <b/>
        <sz val="11"/>
        <rFont val="Palatino Linotype"/>
        <family val="1"/>
      </rPr>
      <t xml:space="preserve"> for Furnaces and Boilers 
</t>
    </r>
    <r>
      <rPr>
        <i/>
        <sz val="11"/>
        <rFont val="Palatino Linotype"/>
        <family val="1"/>
      </rPr>
      <t>On units whose design is such that there is absolutely no chance of airflow through the combustion chamber and heat exchanger when the burner(s) is off, D</t>
    </r>
    <r>
      <rPr>
        <i/>
        <vertAlign val="subscript"/>
        <sz val="11"/>
        <rFont val="Palatino Linotype"/>
        <family val="1"/>
      </rPr>
      <t>F</t>
    </r>
    <r>
      <rPr>
        <i/>
        <sz val="11"/>
        <rFont val="Palatino Linotype"/>
        <family val="1"/>
      </rPr>
      <t xml:space="preserve"> and D</t>
    </r>
    <r>
      <rPr>
        <i/>
        <vertAlign val="subscript"/>
        <sz val="11"/>
        <rFont val="Palatino Linotype"/>
        <family val="1"/>
      </rPr>
      <t>P</t>
    </r>
    <r>
      <rPr>
        <i/>
        <sz val="11"/>
        <rFont val="Palatino Linotype"/>
        <family val="1"/>
      </rPr>
      <t xml:space="preserve"> may be set equal to 0.05.</t>
    </r>
  </si>
  <si>
    <t>Was airflow through the heat exchanger observed when performing procedure from Appendix EE, Section 7.8.1?</t>
  </si>
  <si>
    <t>8.6.1.1 The jacket of the furnace or boiler shall be subdivided into 6 in. (150mm) squares when practical (otherwise use 36 in.2 [232 cm2] sections measuring 4 × 9 in. [100 × 230 mm] or 3 × 12 in. [75 × 305 mm]) and the surface temperature at the center of each square determined with a surface thermocouple. The 36 in.2 (232 cm2) areas shall be recorded in groups where the temperature differential of the 36 in.2 (232 cm2) areas is less than 10°F (5.6°C) for temperatures up to 100°F (55.6°C) above room temperature and less than 20°F (11.1°C) for temperatures more than 100°F (55.6°C) above room temperature. For forced-air central furnaces, the circulating air blower
compartment is considered part of the duct system, and no surface temperature of the blower compartment needs to be recorded for the purpose of this test. For units with ventilation air openings on the top, front, or sides of the unit, those openings from which the ventilation air exits from the cabinet shall be taped or sealed with aluminum tape during this test. A smoke test during a steady-state test may be used to determine the openings where the ventilation air exits from the cabinet. On the taped openings, subdivide the area into the normal 36 in.2 (232 cm2) grids and measure the surface temperatures in each grid with a surface thermocouple. Install the thermocouple over the aluminum tape if necessary. For downflow furnaces, measure all cabinet surface temperatures of the heat exchanger and combustion section, including the burner door and the bottom around the outlet duct, using the 36 in.2 (232 cm2 thermocouple grid. If the burner door is louvered to allow for combustion air to enter, measure temperatures on the metal strips between the louvers using the normal 36 in.2 (232 cm2) grid. The cabinet surface temperatures around the blower section do not need to be measured (see Figure 3e), and the taping of the ventilation air openings shall be as described above.</t>
  </si>
  <si>
    <r>
      <t>8.6.1.2 Any casing panel at any angle of 45° or less from the vertical shall be considered as a vertical surface. An exposed flue collector (breeching) or flue outlet forming an integral part of the furnace shall not be included in casing surface temperature measurements. Average room temperature (T</t>
    </r>
    <r>
      <rPr>
        <i/>
        <vertAlign val="subscript"/>
        <sz val="11"/>
        <color theme="1"/>
        <rFont val="Palatino Linotype"/>
        <family val="1"/>
      </rPr>
      <t>RA</t>
    </r>
    <r>
      <rPr>
        <i/>
        <sz val="11"/>
        <color theme="1"/>
        <rFont val="Palatino Linotype"/>
        <family val="1"/>
      </rPr>
      <t>) shall be determined by not less than four readings at approximately equal intervals during the test.  The value of h</t>
    </r>
    <r>
      <rPr>
        <i/>
        <vertAlign val="subscript"/>
        <sz val="11"/>
        <color theme="1"/>
        <rFont val="Palatino Linotype"/>
        <family val="1"/>
      </rPr>
      <t>c</t>
    </r>
    <r>
      <rPr>
        <i/>
        <sz val="11"/>
        <color theme="1"/>
        <rFont val="Palatino Linotype"/>
        <family val="1"/>
      </rPr>
      <t xml:space="preserve"> for a recorded group shall be found using the
equations below. 
hc = K (T</t>
    </r>
    <r>
      <rPr>
        <i/>
        <vertAlign val="subscript"/>
        <sz val="11"/>
        <color theme="1"/>
        <rFont val="Palatino Linotype"/>
        <family val="1"/>
      </rPr>
      <t>S</t>
    </r>
    <r>
      <rPr>
        <i/>
        <sz val="11"/>
        <color theme="1"/>
        <rFont val="Palatino Linotype"/>
        <family val="1"/>
      </rPr>
      <t xml:space="preserve"> – T</t>
    </r>
    <r>
      <rPr>
        <i/>
        <vertAlign val="subscript"/>
        <sz val="11"/>
        <color theme="1"/>
        <rFont val="Palatino Linotype"/>
        <family val="1"/>
      </rPr>
      <t>RA</t>
    </r>
    <r>
      <rPr>
        <i/>
        <sz val="11"/>
        <color theme="1"/>
        <rFont val="Palatino Linotype"/>
        <family val="1"/>
      </rPr>
      <t>)</t>
    </r>
    <r>
      <rPr>
        <i/>
        <vertAlign val="superscript"/>
        <sz val="11"/>
        <color theme="1"/>
        <rFont val="Palatino Linotype"/>
        <family val="1"/>
      </rPr>
      <t>0.254</t>
    </r>
    <r>
      <rPr>
        <i/>
        <sz val="11"/>
        <color theme="1"/>
        <rFont val="Palatino Linotype"/>
        <family val="1"/>
      </rPr>
      <t xml:space="preserve">
where
hc = coefficient of convection, Btu/h·ft2 (W/m2) 
K = 0.3858 Btu/h·ft</t>
    </r>
    <r>
      <rPr>
        <i/>
        <vertAlign val="superscript"/>
        <sz val="11"/>
        <color theme="1"/>
        <rFont val="Palatino Linotype"/>
        <family val="1"/>
      </rPr>
      <t>2</t>
    </r>
    <r>
      <rPr>
        <i/>
        <sz val="11"/>
        <color theme="1"/>
        <rFont val="Palatino Linotype"/>
        <family val="1"/>
      </rPr>
      <t>·°F (2.5434 W/m</t>
    </r>
    <r>
      <rPr>
        <i/>
        <vertAlign val="superscript"/>
        <sz val="11"/>
        <color theme="1"/>
        <rFont val="Palatino Linotype"/>
        <family val="1"/>
      </rPr>
      <t>2</t>
    </r>
    <r>
      <rPr>
        <i/>
        <sz val="11"/>
        <color theme="1"/>
        <rFont val="Palatino Linotype"/>
        <family val="1"/>
      </rPr>
      <t>·°C) for an upward facing horizontal surface 
K = 0.2724 Btu/h·ft</t>
    </r>
    <r>
      <rPr>
        <i/>
        <vertAlign val="superscript"/>
        <sz val="11"/>
        <color theme="1"/>
        <rFont val="Palatino Linotype"/>
        <family val="1"/>
      </rPr>
      <t>2</t>
    </r>
    <r>
      <rPr>
        <i/>
        <sz val="11"/>
        <color theme="1"/>
        <rFont val="Palatino Linotype"/>
        <family val="1"/>
      </rPr>
      <t>·°F (1.7958 W/m</t>
    </r>
    <r>
      <rPr>
        <i/>
        <vertAlign val="superscript"/>
        <sz val="11"/>
        <color theme="1"/>
        <rFont val="Palatino Linotype"/>
        <family val="1"/>
      </rPr>
      <t>2</t>
    </r>
    <r>
      <rPr>
        <i/>
        <sz val="11"/>
        <color theme="1"/>
        <rFont val="Palatino Linotype"/>
        <family val="1"/>
      </rPr>
      <t>·°C) for a vertical surface
K = 0.2000 Btu/h·ft</t>
    </r>
    <r>
      <rPr>
        <i/>
        <vertAlign val="superscript"/>
        <sz val="11"/>
        <color theme="1"/>
        <rFont val="Palatino Linotype"/>
        <family val="1"/>
      </rPr>
      <t>2</t>
    </r>
    <r>
      <rPr>
        <i/>
        <sz val="11"/>
        <color theme="1"/>
        <rFont val="Palatino Linotype"/>
        <family val="1"/>
      </rPr>
      <t>·°F (1.3185W/m</t>
    </r>
    <r>
      <rPr>
        <i/>
        <vertAlign val="superscript"/>
        <sz val="11"/>
        <color theme="1"/>
        <rFont val="Palatino Linotype"/>
        <family val="1"/>
      </rPr>
      <t>2</t>
    </r>
    <r>
      <rPr>
        <i/>
        <sz val="11"/>
        <color theme="1"/>
        <rFont val="Palatino Linotype"/>
        <family val="1"/>
      </rPr>
      <t>·°C) for a downward facing horizontal surface
TS = Temperature of surface, °F (°C)
TRA= room ambient temperature, °F (°C) 
hri = (SB) [(T</t>
    </r>
    <r>
      <rPr>
        <i/>
        <vertAlign val="subscript"/>
        <sz val="11"/>
        <color theme="1"/>
        <rFont val="Palatino Linotype"/>
        <family val="1"/>
      </rPr>
      <t>s</t>
    </r>
    <r>
      <rPr>
        <i/>
        <sz val="11"/>
        <color theme="1"/>
        <rFont val="Palatino Linotype"/>
        <family val="1"/>
      </rPr>
      <t xml:space="preserve"> + T</t>
    </r>
    <r>
      <rPr>
        <i/>
        <vertAlign val="subscript"/>
        <sz val="11"/>
        <color theme="1"/>
        <rFont val="Palatino Linotype"/>
        <family val="1"/>
      </rPr>
      <t>abs</t>
    </r>
    <r>
      <rPr>
        <i/>
        <sz val="11"/>
        <color theme="1"/>
        <rFont val="Palatino Linotype"/>
        <family val="1"/>
      </rPr>
      <t>)</t>
    </r>
    <r>
      <rPr>
        <i/>
        <vertAlign val="superscript"/>
        <sz val="11"/>
        <color theme="1"/>
        <rFont val="Palatino Linotype"/>
        <family val="1"/>
      </rPr>
      <t>2</t>
    </r>
    <r>
      <rPr>
        <i/>
        <sz val="11"/>
        <color theme="1"/>
        <rFont val="Palatino Linotype"/>
        <family val="1"/>
      </rPr>
      <t xml:space="preserve"> + (T</t>
    </r>
    <r>
      <rPr>
        <i/>
        <vertAlign val="subscript"/>
        <sz val="11"/>
        <color theme="1"/>
        <rFont val="Palatino Linotype"/>
        <family val="1"/>
      </rPr>
      <t>RA</t>
    </r>
    <r>
      <rPr>
        <i/>
        <sz val="11"/>
        <color theme="1"/>
        <rFont val="Palatino Linotype"/>
        <family val="1"/>
      </rPr>
      <t xml:space="preserve"> + T</t>
    </r>
    <r>
      <rPr>
        <i/>
        <vertAlign val="subscript"/>
        <sz val="11"/>
        <color theme="1"/>
        <rFont val="Palatino Linotype"/>
        <family val="1"/>
      </rPr>
      <t>abs</t>
    </r>
    <r>
      <rPr>
        <i/>
        <sz val="11"/>
        <color theme="1"/>
        <rFont val="Palatino Linotype"/>
        <family val="1"/>
      </rPr>
      <t>)2] × [(T</t>
    </r>
    <r>
      <rPr>
        <i/>
        <vertAlign val="subscript"/>
        <sz val="11"/>
        <color theme="1"/>
        <rFont val="Palatino Linotype"/>
        <family val="1"/>
      </rPr>
      <t>s</t>
    </r>
    <r>
      <rPr>
        <i/>
        <sz val="11"/>
        <color theme="1"/>
        <rFont val="Palatino Linotype"/>
        <family val="1"/>
      </rPr>
      <t xml:space="preserve"> + T</t>
    </r>
    <r>
      <rPr>
        <i/>
        <vertAlign val="subscript"/>
        <sz val="11"/>
        <color theme="1"/>
        <rFont val="Palatino Linotype"/>
        <family val="1"/>
      </rPr>
      <t>RA</t>
    </r>
    <r>
      <rPr>
        <i/>
        <sz val="11"/>
        <color theme="1"/>
        <rFont val="Palatino Linotype"/>
        <family val="1"/>
      </rPr>
      <t xml:space="preserve"> + Tabs)</t>
    </r>
    <r>
      <rPr>
        <i/>
        <vertAlign val="superscript"/>
        <sz val="11"/>
        <color theme="1"/>
        <rFont val="Palatino Linotype"/>
        <family val="1"/>
      </rPr>
      <t>2</t>
    </r>
    <r>
      <rPr>
        <i/>
        <sz val="11"/>
        <color theme="1"/>
        <rFont val="Palatino Linotype"/>
        <family val="1"/>
      </rPr>
      <t>] 
where
SB = Stefan Boltzmann constant = 0.1712 × 10</t>
    </r>
    <r>
      <rPr>
        <i/>
        <vertAlign val="superscript"/>
        <sz val="11"/>
        <color theme="1"/>
        <rFont val="Palatino Linotype"/>
        <family val="1"/>
      </rPr>
      <t>–8</t>
    </r>
    <r>
      <rPr>
        <i/>
        <sz val="11"/>
        <color theme="1"/>
        <rFont val="Palatino Linotype"/>
        <family val="1"/>
      </rPr>
      <t xml:space="preserve"> Btu/h·ft</t>
    </r>
    <r>
      <rPr>
        <i/>
        <vertAlign val="superscript"/>
        <sz val="11"/>
        <color theme="1"/>
        <rFont val="Palatino Linotype"/>
        <family val="1"/>
      </rPr>
      <t>2</t>
    </r>
    <r>
      <rPr>
        <i/>
        <sz val="11"/>
        <color theme="1"/>
        <rFont val="Palatino Linotype"/>
        <family val="1"/>
      </rPr>
      <t>·R</t>
    </r>
    <r>
      <rPr>
        <i/>
        <vertAlign val="superscript"/>
        <sz val="11"/>
        <color theme="1"/>
        <rFont val="Palatino Linotype"/>
        <family val="1"/>
      </rPr>
      <t>4</t>
    </r>
    <r>
      <rPr>
        <i/>
        <sz val="11"/>
        <color theme="1"/>
        <rFont val="Palatino Linotype"/>
        <family val="1"/>
      </rPr>
      <t xml:space="preserve"> (5.6704 × 10–8 W/m</t>
    </r>
    <r>
      <rPr>
        <i/>
        <vertAlign val="superscript"/>
        <sz val="11"/>
        <color theme="1"/>
        <rFont val="Palatino Linotype"/>
        <family val="1"/>
      </rPr>
      <t>2</t>
    </r>
    <r>
      <rPr>
        <i/>
        <sz val="11"/>
        <color theme="1"/>
        <rFont val="Palatino Linotype"/>
        <family val="1"/>
      </rPr>
      <t>·K</t>
    </r>
    <r>
      <rPr>
        <i/>
        <vertAlign val="superscript"/>
        <sz val="11"/>
        <color theme="1"/>
        <rFont val="Palatino Linotype"/>
        <family val="1"/>
      </rPr>
      <t>4</t>
    </r>
    <r>
      <rPr>
        <i/>
        <sz val="11"/>
        <color theme="1"/>
        <rFont val="Palatino Linotype"/>
        <family val="1"/>
      </rPr>
      <t>)
T</t>
    </r>
    <r>
      <rPr>
        <i/>
        <vertAlign val="subscript"/>
        <sz val="11"/>
        <color theme="1"/>
        <rFont val="Palatino Linotype"/>
        <family val="1"/>
      </rPr>
      <t>abs</t>
    </r>
    <r>
      <rPr>
        <i/>
        <sz val="11"/>
        <color theme="1"/>
        <rFont val="Palatino Linotype"/>
        <family val="1"/>
      </rPr>
      <t xml:space="preserve"> = 460°R (273 K)
Because hri is based on an emissivity of 1.0, it shall be multiplied by the emissivity of the surface under consideration to obtain the correct coefficient for the surface hrs. Emissivities as given in the literature 2 for some common
jacket materials are as follows:
a. Galvanized sheet iron, bright = 0.23
b. Galvanized sheet iron, oxidized = 0.28
c. Asbestos paper = 0.93
d. Miscellaneous paint finishes = 0.87
Thus, hrs for a painted surface is equal to hri multiplied by 0.87.</t>
    </r>
  </si>
  <si>
    <r>
      <rPr>
        <b/>
        <sz val="11"/>
        <color theme="1"/>
        <rFont val="Palatino Linotype"/>
        <family val="1"/>
      </rPr>
      <t xml:space="preserve">ASHRAE 103-2017, Section 8.5.1: Measurement </t>
    </r>
    <r>
      <rPr>
        <i/>
        <sz val="11"/>
        <color theme="1"/>
        <rFont val="Palatino Linotype"/>
        <family val="1"/>
      </rPr>
      <t xml:space="preserve">
Room temperature shall be the arithmetic average temperature of the test area, determined by measurement with four No. 24 AWG bead-type thermocouples with junctions shielded against radiation, located approximately at 90 degree positions on a circle circumscribing the appliance or appliance enclosure under test, in a horizontal plane approximately at the vertical midpoint of the appliance or test enclosure, and with the junctions approximately 24 in. (600 mm) from the sides of the appliance or test enclosure and shall be located so as not to be affected by anything other than room air.  
For condensing furnaces and boilers, the relative humidity of the room air shall be measured in accordance with one of the methods described in ANSI/ASHRAE Standard 41.6, Standard Method for Humidity Measurement.
The temperature of the air for combustion and the air for draft control shall not differ more than ±5°F (2.8°C) from the room temperature as measured above. Where there is less than 5°F (2.8°C) stratification, use of one room-ambient thermocouple is allowed. For condensing furnaces and boilers, the relative humidity of the combustion air shall not differ by more than ±5% from the room air relative humidity.</t>
    </r>
  </si>
  <si>
    <r>
      <t>9.1.2.3.2 On units employing draft diverters, measure the room temperature (T</t>
    </r>
    <r>
      <rPr>
        <i/>
        <vertAlign val="subscript"/>
        <sz val="11"/>
        <color theme="1"/>
        <rFont val="Palatino Linotype"/>
        <family val="1"/>
      </rPr>
      <t>RA</t>
    </r>
    <r>
      <rPr>
        <i/>
        <sz val="11"/>
        <color theme="1"/>
        <rFont val="Palatino Linotype"/>
        <family val="1"/>
      </rPr>
      <t>) as described in 8.5 and measure the steady-state stack gas temperature (T</t>
    </r>
    <r>
      <rPr>
        <i/>
        <vertAlign val="subscript"/>
        <sz val="11"/>
        <color theme="1"/>
        <rFont val="Palatino Linotype"/>
        <family val="1"/>
      </rPr>
      <t>S,SS,X</t>
    </r>
    <r>
      <rPr>
        <i/>
        <sz val="11"/>
        <color theme="1"/>
        <rFont val="Palatino Linotype"/>
        <family val="1"/>
      </rPr>
      <t>) using the thermocouple grid located in the 5-ft (1.5 m) test stack as described in 8.2.1.5 or 8.3.1.5. Secure a sample of the stack gases either at the plane where T</t>
    </r>
    <r>
      <rPr>
        <i/>
        <vertAlign val="subscript"/>
        <sz val="11"/>
        <color theme="1"/>
        <rFont val="Palatino Linotype"/>
        <family val="1"/>
      </rPr>
      <t>S,SS,X</t>
    </r>
    <r>
      <rPr>
        <i/>
        <sz val="11"/>
        <color theme="1"/>
        <rFont val="Palatino Linotype"/>
        <family val="1"/>
      </rPr>
      <t xml:space="preserve"> is measured or in a horizontal plane 6 in. (15 cm) from the top of the test stack. 
Informative Note: If the stack gas is sampled at this latter location, be sure that there are no holes or air leaks between this location and the plane where the T</t>
    </r>
    <r>
      <rPr>
        <i/>
        <vertAlign val="subscript"/>
        <sz val="11"/>
        <color theme="1"/>
        <rFont val="Palatino Linotype"/>
        <family val="1"/>
      </rPr>
      <t>S,SS,X</t>
    </r>
    <r>
      <rPr>
        <i/>
        <sz val="11"/>
        <color theme="1"/>
        <rFont val="Palatino Linotype"/>
        <family val="1"/>
      </rPr>
      <t xml:space="preserve"> is measured. Determine the concentration by volume of carbon dioxide (X</t>
    </r>
    <r>
      <rPr>
        <i/>
        <vertAlign val="subscript"/>
        <sz val="11"/>
        <color theme="1"/>
        <rFont val="Palatino Linotype"/>
        <family val="1"/>
      </rPr>
      <t>CO2,S</t>
    </r>
    <r>
      <rPr>
        <i/>
        <sz val="11"/>
        <color theme="1"/>
        <rFont val="Palatino Linotype"/>
        <family val="1"/>
      </rPr>
      <t>) present in dry stack gas (see Figures 3a and 3b). After the above test measurements have been completed on units employing integral draft diverters, secure a sample of the flue gases at the inlet to the draft diverter and determine
the concentration of flue CO</t>
    </r>
    <r>
      <rPr>
        <i/>
        <vertAlign val="subscript"/>
        <sz val="11"/>
        <color theme="1"/>
        <rFont val="Palatino Linotype"/>
        <family val="1"/>
      </rPr>
      <t>2</t>
    </r>
    <r>
      <rPr>
        <i/>
        <sz val="11"/>
        <color theme="1"/>
        <rFont val="Palatino Linotype"/>
        <family val="1"/>
      </rPr>
      <t xml:space="preserve"> (X</t>
    </r>
    <r>
      <rPr>
        <i/>
        <vertAlign val="subscript"/>
        <sz val="11"/>
        <color theme="1"/>
        <rFont val="Palatino Linotype"/>
        <family val="1"/>
      </rPr>
      <t>CO2,F</t>
    </r>
    <r>
      <rPr>
        <i/>
        <sz val="11"/>
        <color theme="1"/>
        <rFont val="Palatino Linotype"/>
        <family val="1"/>
      </rPr>
      <t>) present (see Figures 3a and 3b). In obtaining this sample of flue gas, move the sampling probe around to ensure that an average value is obtained for the CO</t>
    </r>
    <r>
      <rPr>
        <i/>
        <vertAlign val="subscript"/>
        <sz val="11"/>
        <color theme="1"/>
        <rFont val="Palatino Linotype"/>
        <family val="1"/>
      </rPr>
      <t>2</t>
    </r>
    <r>
      <rPr>
        <i/>
        <sz val="11"/>
        <color theme="1"/>
        <rFont val="Palatino Linotype"/>
        <family val="1"/>
      </rPr>
      <t xml:space="preserve"> concentration. For units with multiple heat exchanger outlets, draw a sample of equal size from each outlet to obtain the average CO</t>
    </r>
    <r>
      <rPr>
        <i/>
        <vertAlign val="subscript"/>
        <sz val="11"/>
        <color theme="1"/>
        <rFont val="Palatino Linotype"/>
        <family val="1"/>
      </rPr>
      <t>2</t>
    </r>
    <r>
      <rPr>
        <i/>
        <sz val="11"/>
        <color theme="1"/>
        <rFont val="Palatino Linotype"/>
        <family val="1"/>
      </rPr>
      <t xml:space="preserve"> concentration for the unit.</t>
    </r>
  </si>
  <si>
    <r>
      <t>For furnaces and boilers that are marketed and sold with attached barometric draft regulators, the S/F factor shall be determined either by using assigned factors in Table 6 or by the following test procedure. 
To directly measure the S/F factor, seal the barometric damper plate in the closed position. Operate the furnace or boiler until steady-state temperatures are attained. Adjust the draft in the flue within 12 in. (300 mm) of the heat exchanger exit to be between 0.075 and 0.085 in. of water (18.6 and 21.1 Pa). A mechanical draft inducer or a natural draft developed by adjusting the height of the test stack is allowed. Remove the seal from the barometric draft regulator and adjust the damper gate to achieve proper draft, as specified by the manufacturer. If the draft over the fire is specified as a range, adjust the draft to the midpoint of that range. 
After steady-state conditions are again achieved with the draft adjusted as specified, measure CO</t>
    </r>
    <r>
      <rPr>
        <i/>
        <vertAlign val="subscript"/>
        <sz val="11"/>
        <color rgb="FF000000"/>
        <rFont val="Palatino Linotype"/>
        <family val="1"/>
      </rPr>
      <t>2</t>
    </r>
    <r>
      <rPr>
        <i/>
        <sz val="11"/>
        <color indexed="8"/>
        <rFont val="Palatino Linotype"/>
        <family val="1"/>
      </rPr>
      <t xml:space="preserve"> before and after dilution at points marked A and B in Figure 12. To ensure that the sample is well mixed after dilution, obtain a representative sample of stack gas by sampling from several points on a horizontal plane through the cross-section of the stack. The test setup shown in Figure 12 enhances the mixing of dilution air and flue gases. Alternatively, a straight length of stack or other flue piping arrangement is allowed to be used with stack samples taken sufficiently downstream after dilution in order to obtain a well-mixed sample</t>
    </r>
  </si>
  <si>
    <r>
      <rPr>
        <b/>
        <sz val="11"/>
        <color theme="1"/>
        <rFont val="Palatino Linotype"/>
        <family val="1"/>
      </rPr>
      <t xml:space="preserve">ASHRAE 103-2017, Section 9.2 Condensing Furnaces and Boilers, Measurement of Condensate Under Steady-State Conditions
</t>
    </r>
    <r>
      <rPr>
        <sz val="11"/>
        <color theme="1"/>
        <rFont val="Palatino Linotype"/>
        <family val="2"/>
      </rPr>
      <t>For units with step modulating or two-stage controls, the test shall be conducted at both the maximum and reduced inputs. Begin a steady-state condensate collection immediately after the steady state test has been completed as specified in Section 9.1.2. The steady-state collection period shall be an additional 30 minutes. Condensate mass shall be measured immediately at the end of the collection period to prevent evaporation loss from the sample. Fuel input shall be recorded for the 30-minute condensate collection steady-state test period. Fuel higher heating value (HHV), temperature, and pressures necessary for determining fuel energy input (Q</t>
    </r>
    <r>
      <rPr>
        <vertAlign val="subscript"/>
        <sz val="11"/>
        <color theme="1"/>
        <rFont val="Palatino Linotype"/>
        <family val="1"/>
      </rPr>
      <t>C,SS</t>
    </r>
    <r>
      <rPr>
        <sz val="11"/>
        <color theme="1"/>
        <rFont val="Palatino Linotype"/>
        <family val="2"/>
      </rPr>
      <t>) will be observed and recorded. The fuel quantity and HHV shall be measured with errors no greater than 1%. The humidity of the room air shall at no time exceed 80%. Determine the mass of condensate for the steady-state test (M</t>
    </r>
    <r>
      <rPr>
        <vertAlign val="subscript"/>
        <sz val="11"/>
        <color theme="1"/>
        <rFont val="Palatino Linotype"/>
        <family val="1"/>
      </rPr>
      <t>C,SS</t>
    </r>
    <r>
      <rPr>
        <sz val="11"/>
        <color theme="1"/>
        <rFont val="Palatino Linotype"/>
        <family val="2"/>
      </rPr>
      <t>) in pounds by subtracting the tare container weight from the total container and condensate weight measured at the end of the 30-minute condensate collection test period.</t>
    </r>
  </si>
  <si>
    <r>
      <rPr>
        <b/>
        <sz val="11"/>
        <color theme="1"/>
        <rFont val="Palatino Linotype"/>
        <family val="1"/>
      </rPr>
      <t xml:space="preserve">ASHRAE 103-2017, Section 9.5.2.1 </t>
    </r>
    <r>
      <rPr>
        <sz val="11"/>
        <color theme="1"/>
        <rFont val="Palatino Linotype"/>
        <family val="2"/>
      </rPr>
      <t xml:space="preserve">
After steady-state testing has been completed, turn the main burners off and measure the flue gas temperature at 3.75 (T</t>
    </r>
    <r>
      <rPr>
        <vertAlign val="subscript"/>
        <sz val="11"/>
        <color theme="1"/>
        <rFont val="Palatino Linotype"/>
        <family val="1"/>
      </rPr>
      <t>F,OFF[t3]</t>
    </r>
    <r>
      <rPr>
        <sz val="11"/>
        <color theme="1"/>
        <rFont val="Palatino Linotype"/>
        <family val="2"/>
      </rPr>
      <t>) and 22.5 (T</t>
    </r>
    <r>
      <rPr>
        <vertAlign val="subscript"/>
        <sz val="11"/>
        <color theme="1"/>
        <rFont val="Palatino Linotype"/>
        <family val="1"/>
      </rPr>
      <t>F,OFF[t4]</t>
    </r>
    <r>
      <rPr>
        <sz val="11"/>
        <color theme="1"/>
        <rFont val="Palatino Linotype"/>
        <family val="2"/>
      </rPr>
      <t>) minutes after the burner shuts off, using the thermocouple grid described above. During this OFF period, for units that do not have pump delay after shutoff, no water shall be allowed to circulate through the hot-water boilers. For units that have pump delay on shutoff, except those having pump controls sensing water temperature, the pump shall be stopped by the unit control, and the time between burner shutoff and pump shutoff (t</t>
    </r>
    <r>
      <rPr>
        <vertAlign val="superscript"/>
        <sz val="11"/>
        <color theme="1"/>
        <rFont val="Palatino Linotype"/>
        <family val="1"/>
      </rPr>
      <t>+</t>
    </r>
    <r>
      <rPr>
        <sz val="11"/>
        <color theme="1"/>
        <rFont val="Palatino Linotype"/>
        <family val="2"/>
      </rPr>
      <t>) shall be measured within 1 second accuracy. For units having pump delay controls that sense water temperature, the pump shall be operated for 15 minutes and t</t>
    </r>
    <r>
      <rPr>
        <vertAlign val="superscript"/>
        <sz val="11"/>
        <color theme="1"/>
        <rFont val="Palatino Linotype"/>
        <family val="1"/>
      </rPr>
      <t>+</t>
    </r>
    <r>
      <rPr>
        <sz val="11"/>
        <color theme="1"/>
        <rFont val="Palatino Linotype"/>
        <family val="2"/>
      </rPr>
      <t xml:space="preserve"> shall be 15 minutes. While the pump is operating, the inlet water temperature and flow rate shall be maintained at the same values as used during the preceding steady-state test. 
For boilers that employ post purge, measure the length of the post-purge period with a stopwatch. The time from burner OFF to combustion blower OFF (electrically deenergized) shall be recorded as tP. Measure the flue gas temperature by means of the thermocouple grid described in Section 7.6 at the end of the post-purge period tP (T</t>
    </r>
    <r>
      <rPr>
        <vertAlign val="subscript"/>
        <sz val="11"/>
        <color theme="1"/>
        <rFont val="Palatino Linotype"/>
        <family val="1"/>
      </rPr>
      <t>F,OFF[tP]</t>
    </r>
    <r>
      <rPr>
        <sz val="11"/>
        <color theme="1"/>
        <rFont val="Palatino Linotype"/>
        <family val="2"/>
      </rPr>
      <t>) and at the time (3.75 + tP) minutes (T</t>
    </r>
    <r>
      <rPr>
        <vertAlign val="subscript"/>
        <sz val="11"/>
        <color theme="1"/>
        <rFont val="Palatino Linotype"/>
        <family val="1"/>
      </rPr>
      <t>F,OFF[t3]</t>
    </r>
    <r>
      <rPr>
        <sz val="11"/>
        <color theme="1"/>
        <rFont val="Palatino Linotype"/>
        <family val="2"/>
      </rPr>
      <t>) and (22.5 + tP) minutes (T</t>
    </r>
    <r>
      <rPr>
        <vertAlign val="subscript"/>
        <sz val="11"/>
        <color theme="1"/>
        <rFont val="Palatino Linotype"/>
        <family val="1"/>
      </rPr>
      <t>F,OFF[t4]</t>
    </r>
    <r>
      <rPr>
        <sz val="11"/>
        <color theme="1"/>
        <rFont val="Palatino Linotype"/>
        <family val="2"/>
      </rPr>
      <t>) after the main burner shuts off. For cases where tP is intended to be greater than 3 minutes, also measure the flue gas temperature at the midpoint of the post-purge period, t</t>
    </r>
    <r>
      <rPr>
        <vertAlign val="subscript"/>
        <sz val="11"/>
        <color theme="1"/>
        <rFont val="Palatino Linotype"/>
        <family val="1"/>
      </rPr>
      <t>P</t>
    </r>
    <r>
      <rPr>
        <sz val="11"/>
        <color theme="1"/>
        <rFont val="Palatino Linotype"/>
        <family val="2"/>
      </rPr>
      <t>/2(T</t>
    </r>
    <r>
      <rPr>
        <vertAlign val="subscript"/>
        <sz val="11"/>
        <color theme="1"/>
        <rFont val="Palatino Linotype"/>
        <family val="1"/>
      </rPr>
      <t>F,OFF</t>
    </r>
    <r>
      <rPr>
        <sz val="11"/>
        <color theme="1"/>
        <rFont val="Palatino Linotype"/>
        <family val="2"/>
      </rPr>
      <t>[t</t>
    </r>
    <r>
      <rPr>
        <vertAlign val="subscript"/>
        <sz val="11"/>
        <color theme="1"/>
        <rFont val="Palatino Linotype"/>
        <family val="1"/>
      </rPr>
      <t>P</t>
    </r>
    <r>
      <rPr>
        <sz val="11"/>
        <color theme="1"/>
        <rFont val="Palatino Linotype"/>
        <family val="2"/>
      </rPr>
      <t>/2]). For the cases where the measured t</t>
    </r>
    <r>
      <rPr>
        <vertAlign val="subscript"/>
        <sz val="11"/>
        <color theme="1"/>
        <rFont val="Palatino Linotype"/>
        <family val="1"/>
      </rPr>
      <t>P</t>
    </r>
    <r>
      <rPr>
        <sz val="11"/>
        <color theme="1"/>
        <rFont val="Palatino Linotype"/>
        <family val="2"/>
      </rPr>
      <t xml:space="preserve"> is less than or equal to 30 seconds, it shall be tested as if there is no post purge. </t>
    </r>
    <r>
      <rPr>
        <sz val="11"/>
        <color theme="1"/>
        <rFont val="Palatino Linotype"/>
        <family val="1"/>
      </rPr>
      <t xml:space="preserve">
</t>
    </r>
  </si>
  <si>
    <r>
      <rPr>
        <b/>
        <sz val="11"/>
        <color rgb="FF000000"/>
        <rFont val="Palatino Linotype"/>
        <family val="1"/>
      </rPr>
      <t>ASHRAE 103-2017, Section 8.4.2.3: Gas and Oil-Fueled Low-Pressure Steam and Hot Water Boilers (including Direct Vent Systems)</t>
    </r>
    <r>
      <rPr>
        <b/>
        <i/>
        <sz val="11"/>
        <color rgb="FF000000"/>
        <rFont val="Palatino Linotype"/>
        <family val="1"/>
      </rPr>
      <t xml:space="preserve">
</t>
    </r>
    <r>
      <rPr>
        <i/>
        <sz val="11"/>
        <color indexed="8"/>
        <rFont val="Palatino Linotype"/>
        <family val="1"/>
      </rPr>
      <t>For noncondensing hot-water boilers, the water flow rate shall be adjusted to produce a water temperature rise of 19°F (10.6°C) to 24°F (13.3°C) during the steady-state test described in Section 9. During the steady-state and heat-up tests, the hot-water boiler shall be supplied with water having a temperature of at least 120°F (49°C) but not more than 124°F (51°C).
8.4.2.3.1 For steam boilers, the steam pressure shall be at atmospheric or at any pressure not exceeding 2 psig (13.8 kPa) during the steady-state test.
8.4.2.3.2 For condensing hot-water boilers, the water flow rate shall be adjusted to produce a water temperature rise between 19.5°F (10.8°C) and 20.5°F (11.4°C) during the steady-state test described in Section 9.1. During the steady state and heat-up tests, the condensing boiler shall be supplied with return water having a temperature of 120°F (49°C). The maximum permissible variation of the return water temperature from the required value during the steady-state and heat up tests shall not exceed ±2°F (1.1°C), except during the first 30 seconds after start-up, when it shall not exceed ±10°F and between 30 and 60 seconds after start-up, when it shall not exceed ±5°F.</t>
    </r>
  </si>
  <si>
    <r>
      <rPr>
        <b/>
        <sz val="11"/>
        <color theme="1"/>
        <rFont val="Palatino Linotype"/>
        <family val="1"/>
      </rPr>
      <t>ASHRAE 103-2017, Section 9.6.2</t>
    </r>
    <r>
      <rPr>
        <sz val="11"/>
        <color theme="1"/>
        <rFont val="Palatino Linotype"/>
        <family val="2"/>
      </rPr>
      <t xml:space="preserve">
Approximately 50 minutes after the main burners are turned off for the cool-down test, turn on the steam or hot-water boiler and measure the flue gas temperature at 1.0 (T</t>
    </r>
    <r>
      <rPr>
        <vertAlign val="subscript"/>
        <sz val="11"/>
        <color theme="1"/>
        <rFont val="Palatino Linotype"/>
        <family val="1"/>
      </rPr>
      <t>F,ON[t1]</t>
    </r>
    <r>
      <rPr>
        <sz val="11"/>
        <color theme="1"/>
        <rFont val="Palatino Linotype"/>
        <family val="2"/>
      </rPr>
      <t>) and 5.5 (T</t>
    </r>
    <r>
      <rPr>
        <vertAlign val="subscript"/>
        <sz val="11"/>
        <color theme="1"/>
        <rFont val="Palatino Linotype"/>
        <family val="1"/>
      </rPr>
      <t>F,ON[t2]</t>
    </r>
    <r>
      <rPr>
        <sz val="11"/>
        <color theme="1"/>
        <rFont val="Palatino Linotype"/>
        <family val="2"/>
      </rPr>
      <t>)
minutes after the main burners come on. The pump circulating the water through the hot-water boiler shall be started simultaneously with the main burners. The water flow rate shall be the same as that maintained during the steady-state test. During the heat-up test for boilers with barometric draft regulators, maintain the draft in the flue pipe within ±0.01 in. of water (2.5 Pa) of the manufacturer’s recommended ON_x0002_period draft. Record the measured temperatures.</t>
    </r>
  </si>
  <si>
    <t>Percent by Volume of Measurable Tracer Gas in the Standard Tracer Gas Mixture</t>
  </si>
  <si>
    <t>Flue Gas Temperature When Sampled</t>
  </si>
  <si>
    <t>Percent by volume of measurable tracer gas in the standard tracer gas mixture</t>
  </si>
  <si>
    <r>
      <t>9.7.6.6 At the end of the 10-minute cool-down period, tum on the burner until steady-state conditions are again achieved as specified in 9.1.2.1. Tum the burner OFF for another 10-minute cool-down period. Let the electro-mechanical damper (inlet damper or flue damper) close the way it is designed to. Repeat the test steps of 9.7.6.3 through 9.7.6.5 except that the electro-mechanical damper is to remain closed. Note that the tracer gas feeding rate, V</t>
    </r>
    <r>
      <rPr>
        <i/>
        <vertAlign val="subscript"/>
        <sz val="11"/>
        <rFont val="Palatino Linotype"/>
        <family val="1"/>
      </rPr>
      <t>T</t>
    </r>
    <r>
      <rPr>
        <i/>
        <sz val="11"/>
        <rFont val="Palatino Linotype"/>
        <family val="1"/>
      </rPr>
      <t>, ia allowed to be adjusted to a lower rate to keep the sample concentration within the range of the gas analyzer used. 
9.7.6.7 The rate of the stack gas flow through the stack, the cycle sensible loss rate, and the loss factor (K</t>
    </r>
    <r>
      <rPr>
        <i/>
        <vertAlign val="subscript"/>
        <sz val="11"/>
        <rFont val="Palatino Linotype"/>
        <family val="1"/>
      </rPr>
      <t>L</t>
    </r>
    <r>
      <rPr>
        <i/>
        <sz val="11"/>
        <rFont val="Palatino Linotype"/>
        <family val="1"/>
      </rPr>
      <t>) are calculated by the equations in 11.8.1.</t>
    </r>
  </si>
  <si>
    <r>
      <t xml:space="preserve">9.8.2 Condensate Collection Containers 
</t>
    </r>
    <r>
      <rPr>
        <i/>
        <sz val="11"/>
        <rFont val="Palatino Linotype"/>
        <family val="1"/>
      </rPr>
      <t>The condensing furnace or boiler shall be tested by the flue loss method in accordance with the provisions for condensing units, as specified in Section 8. The condensate collection containers shall be dried prior to each use and shall be at room ambient temperature prior to a sample collection. Tare weight of the collection container shall be measured and recorded prior to each sample collection.</t>
    </r>
  </si>
  <si>
    <t>Flue gas temperature when sampled</t>
  </si>
  <si>
    <r>
      <t xml:space="preserve">9.8.5 Measurements 
</t>
    </r>
    <r>
      <rPr>
        <i/>
        <sz val="11"/>
        <rFont val="Palatino Linotype"/>
        <family val="1"/>
      </rPr>
      <t>Fuel input shall be recorded during the entire test period starting at the beginning of the on-time period of the first cycle to the beginning of the on-time period of the second cycle, etc., for each of the test cycles. Fuel higher heating value (HHV), temperature, and pressures necessary for determining fuel energy input (Q</t>
    </r>
    <r>
      <rPr>
        <i/>
        <vertAlign val="subscript"/>
        <sz val="11"/>
        <rFont val="Palatino Linotype"/>
        <family val="1"/>
      </rPr>
      <t>C</t>
    </r>
    <r>
      <rPr>
        <i/>
        <sz val="11"/>
        <rFont val="Palatino Linotype"/>
        <family val="1"/>
      </rPr>
      <t>) shall be recorded. Determine the mass of condensate for each cycle (M</t>
    </r>
    <r>
      <rPr>
        <i/>
        <vertAlign val="subscript"/>
        <sz val="11"/>
        <rFont val="Palatino Linotype"/>
        <family val="1"/>
      </rPr>
      <t>C</t>
    </r>
    <r>
      <rPr>
        <i/>
        <sz val="11"/>
        <rFont val="Palatino Linotype"/>
        <family val="1"/>
      </rPr>
      <t>) in pounds (kg). If at the end of three cycles, the sample standard deviation is within 20% of the mean value for three cycles, use total condensate collected in the three cycles as M</t>
    </r>
    <r>
      <rPr>
        <i/>
        <vertAlign val="subscript"/>
        <sz val="11"/>
        <rFont val="Palatino Linotype"/>
        <family val="1"/>
      </rPr>
      <t>C</t>
    </r>
    <r>
      <rPr>
        <i/>
        <sz val="11"/>
        <rFont val="Palatino Linotype"/>
        <family val="1"/>
      </rPr>
      <t>, if not, continue collection for an additional three cycles and use the total condensate collected for the six cycles as M</t>
    </r>
    <r>
      <rPr>
        <i/>
        <vertAlign val="subscript"/>
        <sz val="11"/>
        <rFont val="Palatino Linotype"/>
        <family val="1"/>
      </rPr>
      <t>C</t>
    </r>
    <r>
      <rPr>
        <i/>
        <sz val="11"/>
        <rFont val="Palatino Linotype"/>
        <family val="1"/>
      </rPr>
      <t>. Determine the fuel energy input during the three or six test cycles (Q</t>
    </r>
    <r>
      <rPr>
        <i/>
        <vertAlign val="subscript"/>
        <sz val="11"/>
        <rFont val="Palatino Linotype"/>
        <family val="1"/>
      </rPr>
      <t>C</t>
    </r>
    <r>
      <rPr>
        <i/>
        <sz val="11"/>
        <rFont val="Palatino Linotype"/>
        <family val="1"/>
      </rPr>
      <t>) expressed in Btu (kJ).</t>
    </r>
  </si>
  <si>
    <t>Average Outdoor Temperature at Maximum Fuel Input Rate Operating Mode</t>
  </si>
  <si>
    <t>Minimum Stack Gas Temperature Difference above Room Temperature</t>
  </si>
  <si>
    <t>Effective Minimum Flue Gas Temperature Difference above Room Temperature, Corrected for Burner Cycling Effect</t>
  </si>
  <si>
    <t>Fraction of Heating Load at Maximum Fuel Input Rate Operating Mode</t>
  </si>
  <si>
    <t>Paste in this tab all data from the Input Steady State Test.</t>
  </si>
  <si>
    <t>Paste in this tab all data from the Input Cool-Down Test.</t>
  </si>
  <si>
    <t>Paste in this tab all data from the Input Heat-Up Test.</t>
  </si>
  <si>
    <t>a lt is the intent of these classifications that failure to meet any requirement of a given grade does not automatically place an oil in the next lower grade unless in fact it meets all requirements of the lower grade.</t>
  </si>
  <si>
    <t>e The 10% distillation temperature point may be specified at 440°F (226°C) maximum for use in other than atomizing burners.</t>
  </si>
  <si>
    <t>Appendix EE</t>
  </si>
  <si>
    <t>Hour</t>
  </si>
  <si>
    <t>Minute</t>
  </si>
  <si>
    <t>Second</t>
  </si>
  <si>
    <t>Timing Format</t>
  </si>
  <si>
    <t>Timing</t>
  </si>
  <si>
    <t>12 Hour Time</t>
  </si>
  <si>
    <t>24 Hour Time</t>
  </si>
  <si>
    <t>Second Count</t>
  </si>
  <si>
    <t>Choose the Applicable Timing Format</t>
  </si>
  <si>
    <t>AM/PM</t>
  </si>
  <si>
    <t>AM</t>
  </si>
  <si>
    <t>PM</t>
  </si>
  <si>
    <t xml:space="preserve">If the measurement program uses a count of seconds to measure data please fill out only the "Second" row with the start and end count numbers. </t>
  </si>
  <si>
    <t>v2.1</t>
  </si>
  <si>
    <t>Lab Calculated Result for Comparison Purposes (rounded per significant figures conventions and instrumentation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</si>
</sst>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0000E+00"/>
    <numFmt numFmtId="166" formatCode="0.000"/>
    <numFmt numFmtId="167" formatCode="0.0000"/>
    <numFmt numFmtId="168" formatCode="0.00000"/>
    <numFmt numFmtId="169" formatCode="0.000000"/>
    <numFmt numFmtId="170" formatCode="0.00000000"/>
    <numFmt numFmtId="171" formatCode="[$-F400]h:mm:ss\ AM/PM"/>
  </numFmts>
  <fonts count="77" x14ac:knownFonts="1">
    <font>
      <sz val="11"/>
      <color theme="1"/>
      <name val="Palatino Linotype"/>
      <family val="2"/>
    </font>
    <font>
      <sz val="11"/>
      <color theme="1"/>
      <name val="Calibri"/>
      <family val="2"/>
      <scheme val="minor"/>
    </font>
    <font>
      <sz val="11"/>
      <color theme="1"/>
      <name val="Calibri"/>
      <family val="2"/>
      <scheme val="minor"/>
    </font>
    <font>
      <sz val="11"/>
      <color indexed="8"/>
      <name val="Palatino Linotype"/>
      <family val="1"/>
    </font>
    <font>
      <i/>
      <sz val="11"/>
      <color indexed="8"/>
      <name val="Palatino Linotype"/>
      <family val="1"/>
    </font>
    <font>
      <sz val="11"/>
      <name val="Palatino Linotype"/>
      <family val="1"/>
    </font>
    <font>
      <vertAlign val="subscript"/>
      <sz val="11"/>
      <color indexed="8"/>
      <name val="Palatino Linotype"/>
      <family val="1"/>
    </font>
    <font>
      <b/>
      <sz val="11"/>
      <color indexed="8"/>
      <name val="Palatino Linotype"/>
      <family val="1"/>
    </font>
    <font>
      <sz val="11"/>
      <color indexed="9"/>
      <name val="Palatino Linotype"/>
      <family val="1"/>
    </font>
    <font>
      <sz val="11"/>
      <name val="Palatino Linotype"/>
      <family val="2"/>
    </font>
    <font>
      <i/>
      <sz val="11"/>
      <color indexed="57"/>
      <name val="Palatino Linotype"/>
      <family val="2"/>
    </font>
    <font>
      <sz val="10"/>
      <name val="Arial"/>
      <family val="2"/>
    </font>
    <font>
      <b/>
      <sz val="11"/>
      <name val="Palatino Linotype"/>
      <family val="1"/>
    </font>
    <font>
      <b/>
      <sz val="11"/>
      <name val="Palatino Linotype"/>
      <family val="2"/>
    </font>
    <font>
      <sz val="11"/>
      <color indexed="8"/>
      <name val="Palatino Linotype"/>
      <family val="2"/>
    </font>
    <font>
      <b/>
      <sz val="11"/>
      <color indexed="8"/>
      <name val="Palatino Linotype"/>
      <family val="2"/>
    </font>
    <font>
      <sz val="11"/>
      <color indexed="8"/>
      <name val="Palatino Linotype"/>
      <family val="1"/>
    </font>
    <font>
      <u/>
      <sz val="11"/>
      <color indexed="12"/>
      <name val="Palatino Linotype"/>
      <family val="1"/>
    </font>
    <font>
      <b/>
      <sz val="14"/>
      <name val="Palatino Linotype"/>
      <family val="1"/>
    </font>
    <font>
      <b/>
      <sz val="12"/>
      <name val="Palatino Linotype"/>
      <family val="1"/>
    </font>
    <font>
      <u/>
      <sz val="12"/>
      <color indexed="12"/>
      <name val="Palatino Linotype"/>
      <family val="1"/>
    </font>
    <font>
      <sz val="12"/>
      <name val="Palatino Linotype"/>
      <family val="1"/>
    </font>
    <font>
      <b/>
      <sz val="11"/>
      <color indexed="9"/>
      <name val="Palatino Linotype"/>
      <family val="1"/>
    </font>
    <font>
      <i/>
      <sz val="11"/>
      <color indexed="10"/>
      <name val="Palatino Linotype"/>
      <family val="1"/>
    </font>
    <font>
      <strike/>
      <sz val="11"/>
      <color indexed="8"/>
      <name val="Palatino Linotype"/>
      <family val="1"/>
    </font>
    <font>
      <sz val="11"/>
      <color indexed="30"/>
      <name val="Palatino Linotype"/>
      <family val="1"/>
    </font>
    <font>
      <b/>
      <i/>
      <sz val="11"/>
      <color indexed="8"/>
      <name val="Palatino Linotype"/>
      <family val="1"/>
    </font>
    <font>
      <b/>
      <i/>
      <vertAlign val="subscript"/>
      <sz val="11"/>
      <color indexed="8"/>
      <name val="Palatino Linotype"/>
      <family val="1"/>
    </font>
    <font>
      <sz val="8"/>
      <name val="Palatino Linotype"/>
      <family val="2"/>
    </font>
    <font>
      <sz val="11"/>
      <color theme="1"/>
      <name val="Palatino Linotype"/>
      <family val="2"/>
    </font>
    <font>
      <sz val="11"/>
      <color theme="1"/>
      <name val="Calibri"/>
      <family val="2"/>
      <scheme val="minor"/>
    </font>
    <font>
      <sz val="11"/>
      <color theme="0"/>
      <name val="Palatino Linotype"/>
      <family val="2"/>
    </font>
    <font>
      <sz val="11"/>
      <color theme="0"/>
      <name val="Calibri"/>
      <family val="2"/>
      <scheme val="minor"/>
    </font>
    <font>
      <sz val="11"/>
      <color theme="0"/>
      <name val="Palatino Linotype"/>
      <family val="1"/>
    </font>
    <font>
      <sz val="11"/>
      <color rgb="FF9C0006"/>
      <name val="Palatino Linotype"/>
      <family val="2"/>
    </font>
    <font>
      <b/>
      <sz val="11"/>
      <color rgb="FFFA7D00"/>
      <name val="Palatino Linotype"/>
      <family val="2"/>
    </font>
    <font>
      <sz val="11"/>
      <color theme="1"/>
      <name val="Palatino Linotype"/>
      <family val="1"/>
    </font>
    <font>
      <i/>
      <sz val="11"/>
      <color rgb="FF7F7F7F"/>
      <name val="Palatino Linotype"/>
      <family val="2"/>
    </font>
    <font>
      <u/>
      <sz val="11"/>
      <color theme="10"/>
      <name val="Calibri"/>
      <family val="2"/>
    </font>
    <font>
      <u/>
      <sz val="11"/>
      <color theme="10"/>
      <name val="Palatino Linotype"/>
      <family val="2"/>
    </font>
    <font>
      <sz val="11"/>
      <color rgb="FF3F3F76"/>
      <name val="Palatino Linotype"/>
      <family val="2"/>
    </font>
    <font>
      <sz val="11"/>
      <color rgb="FF9C6500"/>
      <name val="Palatino Linotype"/>
      <family val="2"/>
    </font>
    <font>
      <sz val="11"/>
      <color rgb="FF9C6500"/>
      <name val="Calibri"/>
      <family val="2"/>
      <scheme val="minor"/>
    </font>
    <font>
      <b/>
      <sz val="11"/>
      <color theme="9" tint="-0.499984740745262"/>
      <name val="Palatino Linotype"/>
      <family val="2"/>
    </font>
    <font>
      <sz val="11"/>
      <color rgb="FFFF0000"/>
      <name val="Palatino Linotype"/>
      <family val="1"/>
    </font>
    <font>
      <b/>
      <sz val="11"/>
      <color theme="1"/>
      <name val="Palatino Linotype"/>
      <family val="1"/>
    </font>
    <font>
      <i/>
      <sz val="11"/>
      <color theme="1"/>
      <name val="Palatino Linotype"/>
      <family val="1"/>
    </font>
    <font>
      <u/>
      <sz val="11"/>
      <color theme="10"/>
      <name val="Palatino Linotype"/>
      <family val="1"/>
    </font>
    <font>
      <sz val="11"/>
      <color rgb="FF000000"/>
      <name val="Palatino Linotype"/>
      <family val="2"/>
    </font>
    <font>
      <b/>
      <sz val="14"/>
      <color theme="1"/>
      <name val="Palatino Linotype"/>
      <family val="1"/>
    </font>
    <font>
      <sz val="11"/>
      <color indexed="8"/>
      <name val="Calibri"/>
      <family val="2"/>
    </font>
    <font>
      <vertAlign val="superscript"/>
      <sz val="11"/>
      <color indexed="8"/>
      <name val="Palatino Linotype"/>
      <family val="1"/>
    </font>
    <font>
      <b/>
      <vertAlign val="subscript"/>
      <sz val="11"/>
      <color rgb="FF000000"/>
      <name val="Palatino Linotype"/>
      <family val="1"/>
    </font>
    <font>
      <i/>
      <vertAlign val="subscript"/>
      <sz val="11"/>
      <color rgb="FF000000"/>
      <name val="Palatino Linotype"/>
      <family val="1"/>
    </font>
    <font>
      <b/>
      <i/>
      <sz val="11"/>
      <color rgb="FF000000"/>
      <name val="Palatino Linotype"/>
      <family val="1"/>
    </font>
    <font>
      <b/>
      <sz val="11"/>
      <color rgb="FF000000"/>
      <name val="Palatino Linotype"/>
      <family val="1"/>
    </font>
    <font>
      <sz val="11"/>
      <color rgb="FF000000"/>
      <name val="Palatino Linotype"/>
      <family val="1"/>
    </font>
    <font>
      <i/>
      <sz val="11"/>
      <name val="Palatino Linotype"/>
      <family val="1"/>
    </font>
    <font>
      <vertAlign val="subscript"/>
      <sz val="11"/>
      <color rgb="FF000000"/>
      <name val="Palatino Linotype"/>
      <family val="1"/>
    </font>
    <font>
      <b/>
      <sz val="11"/>
      <color theme="0"/>
      <name val="Palatino Linotype"/>
      <family val="1"/>
    </font>
    <font>
      <vertAlign val="subscript"/>
      <sz val="11"/>
      <color theme="1"/>
      <name val="Palatino Linotype"/>
      <family val="1"/>
    </font>
    <font>
      <b/>
      <vertAlign val="subscript"/>
      <sz val="11"/>
      <color theme="1"/>
      <name val="Palatino Linotype"/>
      <family val="1"/>
    </font>
    <font>
      <b/>
      <vertAlign val="subscript"/>
      <sz val="11"/>
      <name val="Palatino Linotype"/>
      <family val="1"/>
    </font>
    <font>
      <vertAlign val="superscript"/>
      <sz val="11"/>
      <color rgb="FF000000"/>
      <name val="Palatino Linotype"/>
      <family val="1"/>
    </font>
    <font>
      <sz val="8.8000000000000007"/>
      <color indexed="8"/>
      <name val="Palatino Linotype"/>
      <family val="1"/>
    </font>
    <font>
      <vertAlign val="subscript"/>
      <sz val="9.35"/>
      <color rgb="FF000000"/>
      <name val="Palatino Linotype"/>
      <family val="1"/>
    </font>
    <font>
      <sz val="11"/>
      <color theme="1"/>
      <name val="Calibri"/>
      <family val="2"/>
    </font>
    <font>
      <i/>
      <vertAlign val="subscript"/>
      <sz val="11"/>
      <name val="Palatino Linotype"/>
      <family val="1"/>
    </font>
    <font>
      <i/>
      <vertAlign val="superscript"/>
      <sz val="11"/>
      <name val="Palatino Linotype"/>
      <family val="1"/>
    </font>
    <font>
      <sz val="11"/>
      <name val="Calibri"/>
      <family val="2"/>
    </font>
    <font>
      <i/>
      <vertAlign val="subscript"/>
      <sz val="11"/>
      <color theme="1"/>
      <name val="Palatino Linotype"/>
      <family val="1"/>
    </font>
    <font>
      <i/>
      <sz val="11"/>
      <color theme="1"/>
      <name val="Palatino Linotype"/>
      <family val="2"/>
    </font>
    <font>
      <i/>
      <sz val="11"/>
      <color theme="1"/>
      <name val="Calibri"/>
      <family val="2"/>
    </font>
    <font>
      <sz val="11"/>
      <color theme="0" tint="-4.9989318521683403E-2"/>
      <name val="Palatino Linotype"/>
      <family val="1"/>
    </font>
    <font>
      <i/>
      <vertAlign val="superscript"/>
      <sz val="11"/>
      <color theme="1"/>
      <name val="Palatino Linotype"/>
      <family val="1"/>
    </font>
    <font>
      <strike/>
      <sz val="11"/>
      <color theme="0"/>
      <name val="Palatino Linotype"/>
      <family val="1"/>
    </font>
    <font>
      <vertAlign val="superscript"/>
      <sz val="11"/>
      <color theme="1"/>
      <name val="Palatino Linotype"/>
      <family val="1"/>
    </font>
  </fonts>
  <fills count="35">
    <fill>
      <patternFill patternType="none"/>
    </fill>
    <fill>
      <patternFill patternType="gray125"/>
    </fill>
    <fill>
      <patternFill patternType="solid">
        <fgColor indexed="18"/>
        <bgColor indexed="64"/>
      </patternFill>
    </fill>
    <fill>
      <patternFill patternType="solid">
        <fgColor indexed="11"/>
        <bgColor indexed="64"/>
      </patternFill>
    </fill>
    <fill>
      <patternFill patternType="solid">
        <fgColor indexed="55"/>
        <bgColor indexed="64"/>
      </patternFill>
    </fill>
    <fill>
      <patternFill patternType="solid">
        <fgColor indexed="44"/>
        <bgColor indexed="64"/>
      </patternFill>
    </fill>
    <fill>
      <patternFill patternType="solid">
        <fgColor indexed="31"/>
        <bgColor indexed="64"/>
      </patternFill>
    </fill>
    <fill>
      <patternFill patternType="solid">
        <fgColor indexed="13"/>
        <bgColor indexed="64"/>
      </patternFill>
    </fill>
    <fill>
      <patternFill patternType="solid">
        <fgColor indexed="16"/>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9"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rgb="FFFFC7CE"/>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FFEB9C"/>
      </patternFill>
    </fill>
    <fill>
      <patternFill patternType="solid">
        <fgColor rgb="FFFFFF00"/>
        <bgColor indexed="64"/>
      </patternFill>
    </fill>
    <fill>
      <patternFill patternType="solid">
        <fgColor rgb="FF99CCFF"/>
        <bgColor indexed="64"/>
      </patternFill>
    </fill>
    <fill>
      <patternFill patternType="solid">
        <fgColor theme="0" tint="-0.249977111117893"/>
        <bgColor indexed="64"/>
      </patternFill>
    </fill>
    <fill>
      <patternFill patternType="solid">
        <fgColor rgb="FF800000"/>
        <bgColor indexed="64"/>
      </patternFill>
    </fill>
    <fill>
      <patternFill patternType="solid">
        <fgColor rgb="FF0066CC"/>
        <bgColor indexed="64"/>
      </patternFill>
    </fill>
    <fill>
      <patternFill patternType="lightUp">
        <fgColor auto="1"/>
        <bgColor rgb="FFD8D8D8"/>
      </patternFill>
    </fill>
    <fill>
      <patternFill patternType="solid">
        <fgColor theme="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39994506668294322"/>
        <bgColor indexed="64"/>
      </patternFill>
    </fill>
    <fill>
      <patternFill patternType="solid">
        <fgColor rgb="FFBFBFBF"/>
        <bgColor indexed="64"/>
      </patternFill>
    </fill>
    <fill>
      <patternFill patternType="solid">
        <fgColor rgb="FF99CCFF"/>
        <bgColor rgb="FF000000"/>
      </patternFill>
    </fill>
  </fills>
  <borders count="3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medium">
        <color indexed="64"/>
      </right>
      <top style="thin">
        <color indexed="55"/>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55"/>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22"/>
      </bottom>
      <diagonal/>
    </border>
    <border>
      <left/>
      <right style="medium">
        <color indexed="64"/>
      </right>
      <top style="medium">
        <color indexed="64"/>
      </top>
      <bottom style="thin">
        <color indexed="22"/>
      </bottom>
      <diagonal/>
    </border>
    <border>
      <left/>
      <right style="medium">
        <color indexed="64"/>
      </right>
      <top style="thin">
        <color indexed="22"/>
      </top>
      <bottom style="thin">
        <color indexed="22"/>
      </bottom>
      <diagonal/>
    </border>
    <border>
      <left/>
      <right style="medium">
        <color indexed="64"/>
      </right>
      <top style="thin">
        <color indexed="22"/>
      </top>
      <bottom style="medium">
        <color indexed="64"/>
      </bottom>
      <diagonal/>
    </border>
    <border>
      <left/>
      <right style="medium">
        <color indexed="64"/>
      </right>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medium">
        <color indexed="64"/>
      </bottom>
      <diagonal/>
    </border>
    <border>
      <left style="medium">
        <color indexed="64"/>
      </left>
      <right/>
      <top style="thin">
        <color indexed="22"/>
      </top>
      <bottom style="thin">
        <color indexed="22"/>
      </bottom>
      <diagonal/>
    </border>
    <border>
      <left style="thin">
        <color indexed="55"/>
      </left>
      <right style="medium">
        <color indexed="64"/>
      </right>
      <top/>
      <bottom style="thin">
        <color indexed="55"/>
      </bottom>
      <diagonal/>
    </border>
    <border>
      <left style="medium">
        <color indexed="64"/>
      </left>
      <right style="thin">
        <color indexed="64"/>
      </right>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55"/>
      </right>
      <top style="thin">
        <color indexed="55"/>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style="thin">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thin">
        <color indexed="64"/>
      </left>
      <right style="medium">
        <color indexed="64"/>
      </right>
      <top style="thin">
        <color indexed="55"/>
      </top>
      <bottom/>
      <diagonal/>
    </border>
    <border>
      <left/>
      <right style="thin">
        <color indexed="64"/>
      </right>
      <top/>
      <bottom style="medium">
        <color indexed="64"/>
      </bottom>
      <diagonal/>
    </border>
    <border>
      <left/>
      <right style="thin">
        <color indexed="64"/>
      </right>
      <top style="thin">
        <color indexed="55"/>
      </top>
      <bottom style="thin">
        <color indexed="55"/>
      </bottom>
      <diagonal/>
    </border>
    <border>
      <left style="medium">
        <color indexed="64"/>
      </left>
      <right style="thin">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55"/>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bottom style="thin">
        <color theme="0" tint="-0.34998626667073579"/>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theme="0" tint="-0.34998626667073579"/>
      </bottom>
      <diagonal/>
    </border>
    <border>
      <left style="medium">
        <color indexed="64"/>
      </left>
      <right/>
      <top style="thin">
        <color theme="0" tint="-0.34998626667073579"/>
      </top>
      <bottom/>
      <diagonal/>
    </border>
    <border>
      <left style="medium">
        <color indexed="64"/>
      </left>
      <right style="thin">
        <color indexed="64"/>
      </right>
      <top style="thin">
        <color indexed="64"/>
      </top>
      <bottom style="thin">
        <color theme="0" tint="-0.34998626667073579"/>
      </bottom>
      <diagonal/>
    </border>
    <border>
      <left style="medium">
        <color indexed="64"/>
      </left>
      <right style="thin">
        <color indexed="64"/>
      </right>
      <top style="thin">
        <color theme="0" tint="-0.34998626667073579"/>
      </top>
      <bottom/>
      <diagonal/>
    </border>
    <border>
      <left style="medium">
        <color indexed="64"/>
      </left>
      <right style="thin">
        <color indexed="64"/>
      </right>
      <top style="thin">
        <color theme="0" tint="-0.34998626667073579"/>
      </top>
      <bottom style="medium">
        <color indexed="64"/>
      </bottom>
      <diagonal/>
    </border>
    <border>
      <left style="medium">
        <color indexed="64"/>
      </left>
      <right style="thin">
        <color indexed="64"/>
      </right>
      <top style="thin">
        <color indexed="55"/>
      </top>
      <bottom style="thin">
        <color indexed="64"/>
      </bottom>
      <diagonal/>
    </border>
    <border>
      <left style="thin">
        <color indexed="64"/>
      </left>
      <right style="thin">
        <color indexed="55"/>
      </right>
      <top style="thin">
        <color indexed="55"/>
      </top>
      <bottom style="thin">
        <color indexed="64"/>
      </bottom>
      <diagonal/>
    </border>
    <border>
      <left/>
      <right style="medium">
        <color indexed="64"/>
      </right>
      <top/>
      <bottom style="thin">
        <color indexed="64"/>
      </bottom>
      <diagonal/>
    </border>
    <border>
      <left style="thin">
        <color indexed="64"/>
      </left>
      <right style="thin">
        <color indexed="55"/>
      </right>
      <top style="thin">
        <color theme="0" tint="-0.34998626667073579"/>
      </top>
      <bottom style="thin">
        <color indexed="64"/>
      </bottom>
      <diagonal/>
    </border>
    <border>
      <left/>
      <right/>
      <top style="medium">
        <color indexed="64"/>
      </top>
      <bottom style="thin">
        <color indexed="64"/>
      </bottom>
      <diagonal/>
    </border>
    <border>
      <left style="medium">
        <color indexed="64"/>
      </left>
      <right/>
      <top style="thin">
        <color indexed="55"/>
      </top>
      <bottom/>
      <diagonal/>
    </border>
    <border>
      <left style="medium">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diagonal/>
    </border>
    <border>
      <left style="medium">
        <color indexed="64"/>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55"/>
      </left>
      <right style="thin">
        <color indexed="55"/>
      </right>
      <top/>
      <bottom style="thin">
        <color indexed="55"/>
      </bottom>
      <diagonal/>
    </border>
    <border>
      <left style="thin">
        <color indexed="64"/>
      </left>
      <right style="medium">
        <color indexed="64"/>
      </right>
      <top/>
      <bottom style="thin">
        <color indexed="55"/>
      </bottom>
      <diagonal/>
    </border>
    <border>
      <left/>
      <right style="thin">
        <color indexed="64"/>
      </right>
      <top/>
      <bottom style="thin">
        <color indexed="64"/>
      </bottom>
      <diagonal/>
    </border>
    <border>
      <left style="thin">
        <color indexed="64"/>
      </left>
      <right style="medium">
        <color indexed="64"/>
      </right>
      <top style="thin">
        <color theme="0" tint="-0.34998626667073579"/>
      </top>
      <bottom style="thin">
        <color indexed="55"/>
      </bottom>
      <diagonal/>
    </border>
    <border>
      <left/>
      <right style="thin">
        <color indexed="64"/>
      </right>
      <top style="thin">
        <color indexed="64"/>
      </top>
      <bottom/>
      <diagonal/>
    </border>
    <border>
      <left/>
      <right style="thin">
        <color indexed="55"/>
      </right>
      <top/>
      <bottom style="medium">
        <color indexed="64"/>
      </bottom>
      <diagonal/>
    </border>
    <border>
      <left/>
      <right style="thin">
        <color indexed="55"/>
      </right>
      <top style="thin">
        <color indexed="55"/>
      </top>
      <bottom/>
      <diagonal/>
    </border>
    <border>
      <left style="medium">
        <color indexed="64"/>
      </left>
      <right style="thin">
        <color indexed="64"/>
      </right>
      <top/>
      <bottom style="medium">
        <color indexed="64"/>
      </bottom>
      <diagonal/>
    </border>
    <border>
      <left style="thin">
        <color indexed="64"/>
      </left>
      <right style="thin">
        <color indexed="55"/>
      </right>
      <top style="thin">
        <color theme="0" tint="-0.34998626667073579"/>
      </top>
      <bottom style="medium">
        <color indexed="64"/>
      </bottom>
      <diagonal/>
    </border>
    <border>
      <left/>
      <right style="medium">
        <color indexed="64"/>
      </right>
      <top style="thin">
        <color indexed="55"/>
      </top>
      <bottom style="thin">
        <color indexed="55"/>
      </bottom>
      <diagonal/>
    </border>
    <border>
      <left style="thin">
        <color indexed="64"/>
      </left>
      <right style="thin">
        <color indexed="64"/>
      </right>
      <top style="medium">
        <color indexed="64"/>
      </top>
      <bottom style="medium">
        <color indexed="64"/>
      </bottom>
      <diagonal/>
    </border>
    <border>
      <left style="thin">
        <color indexed="55"/>
      </left>
      <right/>
      <top/>
      <bottom style="thin">
        <color indexed="55"/>
      </bottom>
      <diagonal/>
    </border>
    <border>
      <left/>
      <right/>
      <top/>
      <bottom style="thin">
        <color indexed="64"/>
      </bottom>
      <diagonal/>
    </border>
    <border>
      <left style="thin">
        <color indexed="55"/>
      </left>
      <right/>
      <top style="thin">
        <color indexed="55"/>
      </top>
      <bottom style="thin">
        <color indexed="55"/>
      </bottom>
      <diagonal/>
    </border>
    <border>
      <left style="medium">
        <color indexed="64"/>
      </left>
      <right style="thin">
        <color indexed="55"/>
      </right>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theme="0" tint="-0.499984740745262"/>
      </top>
      <bottom style="medium">
        <color indexed="64"/>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thin">
        <color indexed="64"/>
      </top>
      <bottom style="thin">
        <color theme="0" tint="-0.499984740745262"/>
      </bottom>
      <diagonal/>
    </border>
    <border>
      <left style="thin">
        <color theme="0" tint="-0.499984740745262"/>
      </left>
      <right style="medium">
        <color indexed="64"/>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indexed="64"/>
      </left>
      <right/>
      <top style="thin">
        <color theme="0" tint="-0.499984740745262"/>
      </top>
      <bottom/>
      <diagonal/>
    </border>
    <border>
      <left style="thin">
        <color indexed="64"/>
      </left>
      <right/>
      <top style="thin">
        <color theme="0" tint="-0.499984740745262"/>
      </top>
      <bottom style="thin">
        <color theme="0" tint="-0.34998626667073579"/>
      </bottom>
      <diagonal/>
    </border>
    <border>
      <left style="thin">
        <color indexed="64"/>
      </left>
      <right/>
      <top style="thin">
        <color theme="0" tint="-0.34998626667073579"/>
      </top>
      <bottom/>
      <diagonal/>
    </border>
    <border>
      <left style="thin">
        <color indexed="64"/>
      </left>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medium">
        <color indexed="64"/>
      </bottom>
      <diagonal/>
    </border>
    <border>
      <left style="thin">
        <color indexed="64"/>
      </left>
      <right/>
      <top style="thin">
        <color theme="0" tint="-0.499984740745262"/>
      </top>
      <bottom style="medium">
        <color indexed="64"/>
      </bottom>
      <diagonal/>
    </border>
    <border>
      <left style="thin">
        <color indexed="64"/>
      </left>
      <right/>
      <top style="thin">
        <color theme="0" tint="-0.499984740745262"/>
      </top>
      <bottom style="thin">
        <color indexed="64"/>
      </bottom>
      <diagonal/>
    </border>
    <border>
      <left/>
      <right/>
      <top/>
      <bottom style="thin">
        <color indexed="55"/>
      </bottom>
      <diagonal/>
    </border>
    <border>
      <left style="thin">
        <color theme="0" tint="-0.499984740745262"/>
      </left>
      <right style="thin">
        <color indexed="64"/>
      </right>
      <top style="thin">
        <color indexed="55"/>
      </top>
      <bottom style="thin">
        <color indexed="55"/>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theme="0" tint="-0.499984740745262"/>
      </top>
      <bottom style="thin">
        <color indexed="64"/>
      </bottom>
      <diagonal/>
    </border>
    <border>
      <left style="medium">
        <color indexed="64"/>
      </left>
      <right style="thin">
        <color indexed="64"/>
      </right>
      <top/>
      <bottom style="thin">
        <color theme="0" tint="-0.499984740745262"/>
      </bottom>
      <diagonal/>
    </border>
    <border>
      <left style="thin">
        <color indexed="64"/>
      </left>
      <right style="thin">
        <color indexed="55"/>
      </right>
      <top style="thin">
        <color indexed="64"/>
      </top>
      <bottom style="medium">
        <color indexed="64"/>
      </bottom>
      <diagonal/>
    </border>
    <border>
      <left style="thin">
        <color indexed="64"/>
      </left>
      <right style="thin">
        <color indexed="55"/>
      </right>
      <top/>
      <bottom style="medium">
        <color indexed="64"/>
      </bottom>
      <diagonal/>
    </border>
    <border>
      <left/>
      <right style="thin">
        <color theme="0" tint="-0.34998626667073579"/>
      </right>
      <top style="thin">
        <color theme="0" tint="-0.34998626667073579"/>
      </top>
      <bottom style="medium">
        <color indexed="64"/>
      </bottom>
      <diagonal/>
    </border>
    <border>
      <left style="medium">
        <color indexed="64"/>
      </left>
      <right style="thin">
        <color indexed="55"/>
      </right>
      <top/>
      <bottom/>
      <diagonal/>
    </border>
    <border>
      <left style="thin">
        <color indexed="55"/>
      </left>
      <right/>
      <top/>
      <bottom/>
      <diagonal/>
    </border>
    <border>
      <left style="thin">
        <color indexed="64"/>
      </left>
      <right style="medium">
        <color indexed="64"/>
      </right>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theme="0" tint="-0.499984740745262"/>
      </right>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55"/>
      </left>
      <right style="thin">
        <color indexed="55"/>
      </right>
      <top style="thin">
        <color theme="0" tint="-0.34998626667073579"/>
      </top>
      <bottom style="thin">
        <color indexed="55"/>
      </bottom>
      <diagonal/>
    </border>
    <border>
      <left style="thin">
        <color indexed="55"/>
      </left>
      <right style="thin">
        <color indexed="64"/>
      </right>
      <top style="thin">
        <color theme="0" tint="-0.34998626667073579"/>
      </top>
      <bottom style="thin">
        <color indexed="55"/>
      </bottom>
      <diagonal/>
    </border>
    <border>
      <left style="medium">
        <color indexed="64"/>
      </left>
      <right style="thin">
        <color indexed="55"/>
      </right>
      <top style="thin">
        <color indexed="64"/>
      </top>
      <bottom style="thin">
        <color indexed="55"/>
      </bottom>
      <diagonal/>
    </border>
    <border>
      <left style="thin">
        <color indexed="64"/>
      </left>
      <right style="medium">
        <color indexed="64"/>
      </right>
      <top style="thin">
        <color indexed="64"/>
      </top>
      <bottom style="thin">
        <color indexed="55"/>
      </bottom>
      <diagonal/>
    </border>
    <border>
      <left style="medium">
        <color indexed="64"/>
      </left>
      <right style="thin">
        <color indexed="55"/>
      </right>
      <top style="thin">
        <color theme="0" tint="-0.34998626667073579"/>
      </top>
      <bottom style="thin">
        <color indexed="55"/>
      </bottom>
      <diagonal/>
    </border>
    <border>
      <left style="medium">
        <color indexed="64"/>
      </left>
      <right style="thin">
        <color indexed="64"/>
      </right>
      <top style="thin">
        <color indexed="64"/>
      </top>
      <bottom style="thin">
        <color indexed="55"/>
      </bottom>
      <diagonal/>
    </border>
    <border>
      <left style="thin">
        <color indexed="64"/>
      </left>
      <right/>
      <top/>
      <bottom style="medium">
        <color indexed="64"/>
      </bottom>
      <diagonal/>
    </border>
    <border>
      <left style="medium">
        <color indexed="64"/>
      </left>
      <right style="thin">
        <color indexed="55"/>
      </right>
      <top style="thin">
        <color indexed="64"/>
      </top>
      <bottom style="medium">
        <color indexed="64"/>
      </bottom>
      <diagonal/>
    </border>
    <border>
      <left style="thin">
        <color indexed="55"/>
      </left>
      <right style="thin">
        <color indexed="55"/>
      </right>
      <top style="thin">
        <color indexed="64"/>
      </top>
      <bottom style="medium">
        <color indexed="64"/>
      </bottom>
      <diagonal/>
    </border>
    <border>
      <left style="thin">
        <color indexed="55"/>
      </left>
      <right/>
      <top style="thin">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top style="medium">
        <color indexed="64"/>
      </top>
      <bottom style="medium">
        <color indexed="64"/>
      </bottom>
      <diagonal/>
    </border>
    <border>
      <left style="thin">
        <color indexed="55"/>
      </left>
      <right/>
      <top style="thin">
        <color indexed="55"/>
      </top>
      <bottom style="medium">
        <color indexed="64"/>
      </bottom>
      <diagonal/>
    </border>
    <border>
      <left style="medium">
        <color indexed="64"/>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55"/>
      </right>
      <top style="thin">
        <color indexed="64"/>
      </top>
      <bottom style="thin">
        <color theme="0" tint="-0.34998626667073579"/>
      </bottom>
      <diagonal/>
    </border>
    <border>
      <left style="thin">
        <color indexed="55"/>
      </left>
      <right style="thin">
        <color indexed="55"/>
      </right>
      <top style="thin">
        <color indexed="64"/>
      </top>
      <bottom/>
      <diagonal/>
    </border>
    <border>
      <left style="thin">
        <color indexed="55"/>
      </left>
      <right style="thin">
        <color indexed="55"/>
      </right>
      <top style="thin">
        <color theme="0" tint="-0.34998626667073579"/>
      </top>
      <bottom/>
      <diagonal/>
    </border>
    <border>
      <left style="thin">
        <color indexed="55"/>
      </left>
      <right/>
      <top style="thin">
        <color indexed="64"/>
      </top>
      <bottom/>
      <diagonal/>
    </border>
    <border>
      <left style="thin">
        <color indexed="64"/>
      </left>
      <right style="medium">
        <color indexed="64"/>
      </right>
      <top style="thin">
        <color indexed="64"/>
      </top>
      <bottom style="thin">
        <color theme="0" tint="-0.34998626667073579"/>
      </bottom>
      <diagonal/>
    </border>
    <border>
      <left style="thin">
        <color indexed="55"/>
      </left>
      <right style="thin">
        <color indexed="64"/>
      </right>
      <top style="thin">
        <color theme="0" tint="-0.34998626667073579"/>
      </top>
      <bottom style="thin">
        <color theme="0" tint="-0.34998626667073579"/>
      </bottom>
      <diagonal/>
    </border>
    <border>
      <left style="thin">
        <color indexed="64"/>
      </left>
      <right/>
      <top/>
      <bottom style="thin">
        <color indexed="55"/>
      </bottom>
      <diagonal/>
    </border>
    <border>
      <left style="thin">
        <color indexed="64"/>
      </left>
      <right style="thin">
        <color indexed="64"/>
      </right>
      <top/>
      <bottom style="thin">
        <color indexed="55"/>
      </bottom>
      <diagonal/>
    </border>
    <border>
      <left style="thin">
        <color indexed="55"/>
      </left>
      <right style="thin">
        <color indexed="64"/>
      </right>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theme="0" tint="-0.34998626667073579"/>
      </bottom>
      <diagonal/>
    </border>
    <border>
      <left style="thin">
        <color indexed="55"/>
      </left>
      <right style="thin">
        <color indexed="64"/>
      </right>
      <top style="thin">
        <color theme="0" tint="-0.34998626667073579"/>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55"/>
      </right>
      <top/>
      <bottom/>
      <diagonal/>
    </border>
    <border>
      <left style="thin">
        <color indexed="55"/>
      </left>
      <right style="thin">
        <color indexed="64"/>
      </right>
      <top/>
      <bottom/>
      <diagonal/>
    </border>
    <border>
      <left style="thin">
        <color indexed="55"/>
      </left>
      <right style="thin">
        <color indexed="64"/>
      </right>
      <top style="thin">
        <color indexed="55"/>
      </top>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medium">
        <color indexed="64"/>
      </bottom>
      <diagonal/>
    </border>
    <border>
      <left style="thin">
        <color indexed="64"/>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diagonal/>
    </border>
    <border>
      <left style="thin">
        <color theme="0" tint="-0.34998626667073579"/>
      </left>
      <right style="thin">
        <color indexed="64"/>
      </right>
      <top style="thin">
        <color theme="0" tint="-0.34998626667073579"/>
      </top>
      <bottom style="thin">
        <color indexed="64"/>
      </bottom>
      <diagonal/>
    </border>
    <border>
      <left style="thin">
        <color indexed="55"/>
      </left>
      <right style="thin">
        <color indexed="64"/>
      </right>
      <top/>
      <bottom style="medium">
        <color indexed="64"/>
      </bottom>
      <diagonal/>
    </border>
    <border>
      <left/>
      <right style="thin">
        <color indexed="64"/>
      </right>
      <top style="thin">
        <color indexed="55"/>
      </top>
      <bottom style="medium">
        <color indexed="64"/>
      </bottom>
      <diagonal/>
    </border>
    <border>
      <left style="thin">
        <color indexed="64"/>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medium">
        <color indexed="64"/>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top style="thin">
        <color theme="0" tint="-0.34998626667073579"/>
      </top>
      <bottom style="thin">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style="medium">
        <color indexed="64"/>
      </right>
      <top style="thin">
        <color theme="0" tint="-0.34998626667073579"/>
      </top>
      <bottom/>
      <diagonal/>
    </border>
    <border>
      <left style="medium">
        <color indexed="64"/>
      </left>
      <right/>
      <top/>
      <bottom style="thin">
        <color theme="0" tint="-0.34998626667073579"/>
      </bottom>
      <diagonal/>
    </border>
    <border>
      <left style="thin">
        <color indexed="55"/>
      </left>
      <right style="thin">
        <color indexed="64"/>
      </right>
      <top style="thin">
        <color indexed="55"/>
      </top>
      <bottom style="thin">
        <color indexed="64"/>
      </bottom>
      <diagonal/>
    </border>
    <border>
      <left style="thin">
        <color indexed="55"/>
      </left>
      <right style="thin">
        <color indexed="64"/>
      </right>
      <top/>
      <bottom style="thin">
        <color indexed="64"/>
      </bottom>
      <diagonal/>
    </border>
    <border>
      <left style="thin">
        <color indexed="55"/>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theme="0" tint="-0.249977111117893"/>
      </top>
      <bottom style="thin">
        <color theme="0" tint="-0.249977111117893"/>
      </bottom>
      <diagonal/>
    </border>
    <border>
      <left/>
      <right/>
      <top style="thin">
        <color theme="0" tint="-0.249977111117893"/>
      </top>
      <bottom/>
      <diagonal/>
    </border>
    <border>
      <left style="thin">
        <color auto="1"/>
      </left>
      <right style="thin">
        <color indexed="64"/>
      </right>
      <top/>
      <bottom style="thin">
        <color theme="0" tint="-0.249977111117893"/>
      </bottom>
      <diagonal/>
    </border>
    <border>
      <left style="thin">
        <color auto="1"/>
      </left>
      <right style="thin">
        <color indexed="64"/>
      </right>
      <top style="thin">
        <color theme="0" tint="-0.249977111117893"/>
      </top>
      <bottom style="thin">
        <color theme="0" tint="-0.249977111117893"/>
      </bottom>
      <diagonal/>
    </border>
    <border>
      <left style="thin">
        <color auto="1"/>
      </left>
      <right style="thin">
        <color indexed="64"/>
      </right>
      <top style="thin">
        <color theme="0" tint="-0.249977111117893"/>
      </top>
      <bottom/>
      <diagonal/>
    </border>
    <border>
      <left style="thin">
        <color auto="1"/>
      </left>
      <right style="thin">
        <color indexed="64"/>
      </right>
      <top style="thin">
        <color auto="1"/>
      </top>
      <bottom style="thin">
        <color theme="0" tint="-0.249977111117893"/>
      </bottom>
      <diagonal/>
    </border>
    <border>
      <left style="thin">
        <color theme="0" tint="-0.249977111117893"/>
      </left>
      <right style="thin">
        <color auto="1"/>
      </right>
      <top style="thin">
        <color auto="1"/>
      </top>
      <bottom style="thin">
        <color theme="0" tint="-0.249977111117893"/>
      </bottom>
      <diagonal/>
    </border>
    <border>
      <left style="thin">
        <color theme="0" tint="-0.249977111117893"/>
      </left>
      <right style="thin">
        <color auto="1"/>
      </right>
      <top style="thin">
        <color theme="0" tint="-0.249977111117893"/>
      </top>
      <bottom style="thin">
        <color theme="0" tint="-0.249977111117893"/>
      </bottom>
      <diagonal/>
    </border>
    <border>
      <left style="thin">
        <color theme="0" tint="-0.249977111117893"/>
      </left>
      <right style="thin">
        <color auto="1"/>
      </right>
      <top style="thin">
        <color theme="0" tint="-0.249977111117893"/>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diagonal/>
    </border>
    <border>
      <left style="medium">
        <color indexed="64"/>
      </left>
      <right/>
      <top style="thin">
        <color theme="0" tint="-0.249977111117893"/>
      </top>
      <bottom style="thin">
        <color indexed="64"/>
      </bottom>
      <diagonal/>
    </border>
    <border>
      <left style="medium">
        <color indexed="64"/>
      </left>
      <right style="thin">
        <color theme="0" tint="-0.249977111117893"/>
      </right>
      <top style="thin">
        <color theme="0" tint="-0.249977111117893"/>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theme="0" tint="-0.249977111117893"/>
      </left>
      <right/>
      <top style="thin">
        <color theme="0" tint="-0.249977111117893"/>
      </top>
      <bottom/>
      <diagonal/>
    </border>
    <border>
      <left/>
      <right/>
      <top style="thin">
        <color theme="0" tint="-0.249977111117893"/>
      </top>
      <bottom style="thin">
        <color theme="0" tint="-0.249977111117893"/>
      </bottom>
      <diagonal/>
    </border>
    <border>
      <left style="thin">
        <color indexed="64"/>
      </left>
      <right style="thin">
        <color indexed="55"/>
      </right>
      <top style="thin">
        <color indexed="55"/>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theme="0" tint="-0.249977111117893"/>
      </top>
      <bottom/>
      <diagonal/>
    </border>
    <border>
      <left style="thin">
        <color indexed="64"/>
      </left>
      <right style="thin">
        <color indexed="55"/>
      </right>
      <top style="thin">
        <color indexed="64"/>
      </top>
      <bottom style="thin">
        <color theme="0" tint="-0.34998626667073579"/>
      </bottom>
      <diagonal/>
    </border>
    <border>
      <left style="thin">
        <color indexed="55"/>
      </left>
      <right style="medium">
        <color indexed="64"/>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55"/>
      </right>
      <top/>
      <bottom style="thin">
        <color theme="0" tint="-0.34998626667073579"/>
      </bottom>
      <diagonal/>
    </border>
    <border>
      <left style="thin">
        <color indexed="55"/>
      </left>
      <right style="thin">
        <color indexed="55"/>
      </right>
      <top/>
      <bottom/>
      <diagonal/>
    </border>
    <border>
      <left style="thin">
        <color indexed="64"/>
      </left>
      <right style="medium">
        <color indexed="64"/>
      </right>
      <top/>
      <bottom style="thin">
        <color theme="0" tint="-0.34998626667073579"/>
      </bottom>
      <diagonal/>
    </border>
    <border>
      <left style="thin">
        <color indexed="55"/>
      </left>
      <right/>
      <top/>
      <bottom style="thin">
        <color indexed="55"/>
      </bottom>
      <diagonal/>
    </border>
    <border>
      <left style="thin">
        <color rgb="FFBFBFBF"/>
      </left>
      <right style="medium">
        <color indexed="64"/>
      </right>
      <top style="thin">
        <color rgb="FFBFBFBF"/>
      </top>
      <bottom style="medium">
        <color indexed="64"/>
      </bottom>
      <diagonal/>
    </border>
    <border>
      <left style="thin">
        <color rgb="FFBFBFBF"/>
      </left>
      <right style="thin">
        <color rgb="FFBFBFBF"/>
      </right>
      <top/>
      <bottom/>
      <diagonal/>
    </border>
    <border>
      <left/>
      <right style="thin">
        <color rgb="FFBFBFBF"/>
      </right>
      <top/>
      <bottom/>
      <diagonal/>
    </border>
    <border>
      <left style="thin">
        <color rgb="FFBFBFBF"/>
      </left>
      <right/>
      <top/>
      <bottom/>
      <diagonal/>
    </border>
    <border>
      <left style="thin">
        <color indexed="64"/>
      </left>
      <right style="medium">
        <color indexed="64"/>
      </right>
      <top/>
      <bottom style="thin">
        <color indexed="55"/>
      </bottom>
      <diagonal/>
    </border>
    <border>
      <left style="thin">
        <color indexed="55"/>
      </left>
      <right style="medium">
        <color indexed="64"/>
      </right>
      <top style="thin">
        <color indexed="55"/>
      </top>
      <bottom/>
      <diagonal/>
    </border>
    <border>
      <left style="medium">
        <color indexed="64"/>
      </left>
      <right/>
      <top style="thin">
        <color rgb="FFBFBFBF"/>
      </top>
      <bottom style="medium">
        <color indexed="64"/>
      </bottom>
      <diagonal/>
    </border>
    <border>
      <left style="thin">
        <color indexed="64"/>
      </left>
      <right style="thin">
        <color indexed="55"/>
      </right>
      <top style="thin">
        <color theme="0" tint="-0.499984740745262"/>
      </top>
      <bottom style="thin">
        <color rgb="FFBFBFBF"/>
      </bottom>
      <diagonal/>
    </border>
    <border>
      <left style="thin">
        <color indexed="64"/>
      </left>
      <right style="thin">
        <color rgb="FFBFBFBF"/>
      </right>
      <top style="thin">
        <color rgb="FFBFBFBF"/>
      </top>
      <bottom style="medium">
        <color indexed="64"/>
      </bottom>
      <diagonal/>
    </border>
    <border>
      <left style="thin">
        <color indexed="64"/>
      </left>
      <right style="thin">
        <color indexed="55"/>
      </right>
      <top style="thin">
        <color rgb="FFBFBFBF"/>
      </top>
      <bottom style="thin">
        <color theme="0" tint="-0.499984740745262"/>
      </bottom>
      <diagonal/>
    </border>
    <border>
      <left style="thin">
        <color indexed="64"/>
      </left>
      <right style="medium">
        <color indexed="64"/>
      </right>
      <top style="thin">
        <color rgb="FFBFBFBF"/>
      </top>
      <bottom style="medium">
        <color indexed="64"/>
      </bottom>
      <diagonal/>
    </border>
    <border>
      <left style="medium">
        <color indexed="64"/>
      </left>
      <right style="thin">
        <color rgb="FFBFBFBF"/>
      </right>
      <top/>
      <bottom/>
      <diagonal/>
    </border>
    <border>
      <left style="medium">
        <color indexed="64"/>
      </left>
      <right style="thin">
        <color rgb="FFBFBFBF"/>
      </right>
      <top style="thin">
        <color theme="0" tint="-0.34998626667073579"/>
      </top>
      <bottom/>
      <diagonal/>
    </border>
    <border>
      <left style="thin">
        <color rgb="FFBFBFBF"/>
      </left>
      <right style="thin">
        <color rgb="FFBFBFBF"/>
      </right>
      <top style="medium">
        <color indexed="64"/>
      </top>
      <bottom style="thin">
        <color theme="0" tint="-0.34998626667073579"/>
      </bottom>
      <diagonal/>
    </border>
    <border>
      <left style="medium">
        <color indexed="64"/>
      </left>
      <right style="thin">
        <color rgb="FFBFBFBF"/>
      </right>
      <top style="thin">
        <color theme="0" tint="-0.34998626667073579"/>
      </top>
      <bottom style="thin">
        <color theme="0" tint="-0.34998626667073579"/>
      </bottom>
      <diagonal/>
    </border>
    <border>
      <left style="medium">
        <color indexed="64"/>
      </left>
      <right style="thin">
        <color rgb="FFBFBFBF"/>
      </right>
      <top style="thin">
        <color theme="0" tint="-0.34998626667073579"/>
      </top>
      <bottom style="medium">
        <color indexed="64"/>
      </bottom>
      <diagonal/>
    </border>
    <border>
      <left style="thin">
        <color rgb="FFBFBFBF"/>
      </left>
      <right style="thin">
        <color rgb="FFBFBFBF"/>
      </right>
      <top style="thin">
        <color theme="0" tint="-0.34998626667073579"/>
      </top>
      <bottom/>
      <diagonal/>
    </border>
    <border>
      <left style="thin">
        <color rgb="FFBFBFBF"/>
      </left>
      <right style="thin">
        <color rgb="FFBFBFBF"/>
      </right>
      <top style="thin">
        <color theme="0" tint="-0.34998626667073579"/>
      </top>
      <bottom style="thin">
        <color theme="0" tint="-0.34998626667073579"/>
      </bottom>
      <diagonal/>
    </border>
    <border>
      <left style="thin">
        <color rgb="FFBFBFBF"/>
      </left>
      <right style="thin">
        <color rgb="FFBFBFBF"/>
      </right>
      <top style="thin">
        <color theme="0" tint="-0.34998626667073579"/>
      </top>
      <bottom style="medium">
        <color indexed="64"/>
      </bottom>
      <diagonal/>
    </border>
    <border>
      <left style="thin">
        <color rgb="FFBFBFBF"/>
      </left>
      <right style="thin">
        <color theme="0" tint="-0.34998626667073579"/>
      </right>
      <top style="thin">
        <color theme="0" tint="-0.34998626667073579"/>
      </top>
      <bottom/>
      <diagonal/>
    </border>
    <border>
      <left style="thin">
        <color rgb="FFBFBFBF"/>
      </left>
      <right style="thin">
        <color indexed="64"/>
      </right>
      <top style="thin">
        <color theme="0" tint="-0.34998626667073579"/>
      </top>
      <bottom/>
      <diagonal/>
    </border>
    <border>
      <left style="thin">
        <color rgb="FFBFBFBF"/>
      </left>
      <right style="thin">
        <color indexed="64"/>
      </right>
      <top style="thin">
        <color theme="0" tint="-0.34998626667073579"/>
      </top>
      <bottom style="medium">
        <color indexed="64"/>
      </bottom>
      <diagonal/>
    </border>
    <border>
      <left style="thin">
        <color theme="0" tint="-0.34998626667073579"/>
      </left>
      <right style="thin">
        <color indexed="64"/>
      </right>
      <top style="thin">
        <color indexed="64"/>
      </top>
      <bottom style="thin">
        <color indexed="64"/>
      </bottom>
      <diagonal/>
    </border>
    <border>
      <left style="thin">
        <color rgb="FFBFBFBF"/>
      </left>
      <right/>
      <top style="thin">
        <color theme="0" tint="-0.34998626667073579"/>
      </top>
      <bottom/>
      <diagonal/>
    </border>
    <border>
      <left style="thin">
        <color theme="0" tint="-0.34998626667073579"/>
      </left>
      <right style="thin">
        <color indexed="64"/>
      </right>
      <top/>
      <bottom style="thin">
        <color indexed="64"/>
      </bottom>
      <diagonal/>
    </border>
    <border>
      <left style="thin">
        <color rgb="FFBFBFBF"/>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rgb="FFBFBFBF"/>
      </left>
      <right style="medium">
        <color indexed="64"/>
      </right>
      <top style="thin">
        <color rgb="FFBFBFBF"/>
      </top>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rgb="FFBFBFBF"/>
      </bottom>
      <diagonal/>
    </border>
    <border>
      <left style="medium">
        <color indexed="64"/>
      </left>
      <right style="thin">
        <color indexed="64"/>
      </right>
      <top/>
      <bottom style="thin">
        <color rgb="FFBFBFBF"/>
      </bottom>
      <diagonal/>
    </border>
    <border>
      <left style="medium">
        <color indexed="64"/>
      </left>
      <right/>
      <top style="thin">
        <color indexed="22"/>
      </top>
      <bottom/>
      <diagonal/>
    </border>
    <border>
      <left/>
      <right style="medium">
        <color indexed="64"/>
      </right>
      <top style="thin">
        <color indexed="22"/>
      </top>
      <bottom/>
      <diagonal/>
    </border>
    <border>
      <left style="medium">
        <color indexed="64"/>
      </left>
      <right/>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theme="0" tint="-0.34998626667073579"/>
      </left>
      <right style="thin">
        <color indexed="64"/>
      </right>
      <top/>
      <bottom/>
      <diagonal/>
    </border>
    <border>
      <left style="thin">
        <color theme="0" tint="-0.34998626667073579"/>
      </left>
      <right style="thin">
        <color indexed="64"/>
      </right>
      <top style="thin">
        <color indexed="64"/>
      </top>
      <bottom style="thin">
        <color indexed="64"/>
      </bottom>
      <diagonal/>
    </border>
    <border>
      <left style="medium">
        <color indexed="64"/>
      </left>
      <right style="thin">
        <color indexed="55"/>
      </right>
      <top style="thin">
        <color indexed="55"/>
      </top>
      <bottom style="medium">
        <color theme="0" tint="-0.34998626667073579"/>
      </bottom>
      <diagonal/>
    </border>
    <border>
      <left style="thin">
        <color indexed="55"/>
      </left>
      <right style="thin">
        <color indexed="55"/>
      </right>
      <top style="thin">
        <color indexed="55"/>
      </top>
      <bottom style="medium">
        <color theme="0" tint="-0.34998626667073579"/>
      </bottom>
      <diagonal/>
    </border>
    <border>
      <left style="thin">
        <color indexed="55"/>
      </left>
      <right/>
      <top/>
      <bottom style="medium">
        <color theme="0" tint="-0.34998626667073579"/>
      </bottom>
      <diagonal/>
    </border>
    <border>
      <left style="thin">
        <color indexed="64"/>
      </left>
      <right style="thin">
        <color indexed="64"/>
      </right>
      <top style="thin">
        <color indexed="64"/>
      </top>
      <bottom style="medium">
        <color theme="0" tint="-0.34998626667073579"/>
      </bottom>
      <diagonal/>
    </border>
    <border>
      <left style="thin">
        <color indexed="64"/>
      </left>
      <right style="medium">
        <color indexed="64"/>
      </right>
      <top style="thin">
        <color indexed="55"/>
      </top>
      <bottom style="medium">
        <color theme="0" tint="-0.34998626667073579"/>
      </bottom>
      <diagonal/>
    </border>
    <border>
      <left style="thin">
        <color indexed="64"/>
      </left>
      <right style="thin">
        <color theme="0" tint="-0.34998626667073579"/>
      </right>
      <top style="thin">
        <color rgb="FFBFBFBF"/>
      </top>
      <bottom style="thin">
        <color indexed="64"/>
      </bottom>
      <diagonal/>
    </border>
    <border>
      <left style="thin">
        <color rgb="FFBFBFBF"/>
      </left>
      <right style="medium">
        <color indexed="64"/>
      </right>
      <top style="thin">
        <color theme="0" tint="-0.34998626667073579"/>
      </top>
      <bottom style="thin">
        <color theme="0" tint="-0.34998626667073579"/>
      </bottom>
      <diagonal/>
    </border>
    <border>
      <left style="medium">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theme="0" tint="-0.499984740745262"/>
      </right>
      <top/>
      <bottom style="thin">
        <color indexed="55"/>
      </bottom>
      <diagonal/>
    </border>
    <border>
      <left/>
      <right/>
      <top/>
      <bottom style="thin">
        <color indexed="55"/>
      </bottom>
      <diagonal/>
    </border>
    <border>
      <left style="thin">
        <color indexed="55"/>
      </left>
      <right style="thin">
        <color indexed="64"/>
      </right>
      <top style="thin">
        <color rgb="FFBFBFBF"/>
      </top>
      <bottom style="medium">
        <color indexed="64"/>
      </bottom>
      <diagonal/>
    </border>
    <border>
      <left style="medium">
        <color indexed="64"/>
      </left>
      <right style="thin">
        <color indexed="64"/>
      </right>
      <top style="thin">
        <color rgb="FFBFBFBF"/>
      </top>
      <bottom style="thin">
        <color rgb="FFBFBFBF"/>
      </bottom>
      <diagonal/>
    </border>
    <border>
      <left style="medium">
        <color indexed="64"/>
      </left>
      <right style="thin">
        <color indexed="64"/>
      </right>
      <top style="thin">
        <color rgb="FFBFBFBF"/>
      </top>
      <bottom/>
      <diagonal/>
    </border>
    <border>
      <left style="medium">
        <color indexed="64"/>
      </left>
      <right style="thin">
        <color indexed="64"/>
      </right>
      <top style="thin">
        <color rgb="FFBFBFBF"/>
      </top>
      <bottom style="thin">
        <color indexed="55"/>
      </bottom>
      <diagonal/>
    </border>
    <border>
      <left style="medium">
        <color indexed="64"/>
      </left>
      <right style="thin">
        <color indexed="64"/>
      </right>
      <top style="thin">
        <color rgb="FFBFBFBF"/>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indexed="55"/>
      </bottom>
      <diagonal/>
    </border>
    <border>
      <left style="thin">
        <color theme="0" tint="-0.34998626667073579"/>
      </left>
      <right style="medium">
        <color indexed="64"/>
      </right>
      <top style="thin">
        <color theme="0" tint="-0.34998626667073579"/>
      </top>
      <bottom style="thin">
        <color indexed="55"/>
      </bottom>
      <diagonal/>
    </border>
  </borders>
  <cellStyleXfs count="44">
    <xf numFmtId="0" fontId="0" fillId="0" borderId="0"/>
    <xf numFmtId="0" fontId="30"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3" fillId="2" borderId="1">
      <alignment horizontal="center" vertical="center"/>
    </xf>
    <xf numFmtId="0" fontId="34" fillId="16" borderId="0" applyNumberFormat="0" applyBorder="0" applyAlignment="0" applyProtection="0"/>
    <xf numFmtId="0" fontId="35" fillId="17" borderId="79" applyNumberFormat="0" applyAlignment="0" applyProtection="0"/>
    <xf numFmtId="0" fontId="9" fillId="18" borderId="1" applyNumberFormat="0" applyAlignment="0" applyProtection="0"/>
    <xf numFmtId="0" fontId="36" fillId="0" borderId="1">
      <alignment horizontal="center"/>
    </xf>
    <xf numFmtId="0" fontId="37" fillId="0" borderId="0" applyNumberFormat="0" applyFill="0" applyBorder="0" applyAlignment="0" applyProtection="0"/>
    <xf numFmtId="0" fontId="10" fillId="3" borderId="0" applyNumberFormat="0" applyAlignment="0" applyProtection="0"/>
    <xf numFmtId="0" fontId="37" fillId="0" borderId="0" applyNumberFormat="0" applyFill="0" applyBorder="0" applyAlignment="0" applyProtection="0"/>
    <xf numFmtId="0" fontId="36" fillId="0" borderId="1">
      <alignment horizontal="center" vertical="center"/>
    </xf>
    <xf numFmtId="0" fontId="13" fillId="19" borderId="0" applyNumberFormat="0" applyBorder="0" applyProtection="0">
      <alignment horizontal="left" vertical="center"/>
    </xf>
    <xf numFmtId="0" fontId="13" fillId="19" borderId="0" applyNumberFormat="0" applyBorder="0" applyProtection="0">
      <alignment horizontal="left" vertical="center"/>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20" borderId="1" applyNumberFormat="0" applyProtection="0">
      <alignment horizontal="center" vertical="center"/>
    </xf>
    <xf numFmtId="0" fontId="9" fillId="6" borderId="1" applyNumberFormat="0" applyAlignment="0" applyProtection="0"/>
    <xf numFmtId="0" fontId="9" fillId="20" borderId="1" applyNumberFormat="0" applyProtection="0">
      <alignment horizontal="center" vertical="center"/>
    </xf>
    <xf numFmtId="0" fontId="41" fillId="21" borderId="0" applyNumberFormat="0" applyBorder="0" applyAlignment="0" applyProtection="0"/>
    <xf numFmtId="0" fontId="42" fillId="21" borderId="0" applyNumberFormat="0" applyBorder="0" applyAlignment="0" applyProtection="0"/>
    <xf numFmtId="0" fontId="11" fillId="0" borderId="0"/>
    <xf numFmtId="0" fontId="29" fillId="0" borderId="0"/>
    <xf numFmtId="0" fontId="30" fillId="0" borderId="0"/>
    <xf numFmtId="0" fontId="11" fillId="0" borderId="0"/>
    <xf numFmtId="0" fontId="29" fillId="0" borderId="0"/>
    <xf numFmtId="0" fontId="29" fillId="0" borderId="0"/>
    <xf numFmtId="0" fontId="43" fillId="17" borderId="1" applyNumberFormat="0" applyProtection="0">
      <alignment horizontal="center" vertical="center"/>
    </xf>
    <xf numFmtId="0" fontId="43" fillId="17" borderId="80" applyNumberFormat="0" applyAlignment="0" applyProtection="0"/>
    <xf numFmtId="0" fontId="43" fillId="12" borderId="1" applyNumberFormat="0" applyProtection="0">
      <alignment horizontal="center" vertical="center"/>
    </xf>
    <xf numFmtId="9" fontId="14" fillId="0" borderId="0" applyFont="0" applyFill="0" applyBorder="0" applyAlignment="0" applyProtection="0"/>
    <xf numFmtId="0" fontId="44" fillId="22" borderId="0"/>
    <xf numFmtId="0" fontId="45" fillId="0" borderId="0"/>
    <xf numFmtId="0" fontId="45" fillId="0" borderId="2">
      <alignment horizontal="center" vertical="center" wrapText="1"/>
    </xf>
    <xf numFmtId="0" fontId="46" fillId="0" borderId="1">
      <alignment horizontal="center" vertical="center"/>
    </xf>
    <xf numFmtId="0" fontId="46" fillId="0" borderId="1">
      <alignment horizontal="center" vertical="center"/>
    </xf>
    <xf numFmtId="0" fontId="2" fillId="13" borderId="0" applyNumberFormat="0" applyBorder="0" applyAlignment="0" applyProtection="0"/>
    <xf numFmtId="0" fontId="32" fillId="15" borderId="0" applyNumberFormat="0" applyBorder="0" applyAlignment="0" applyProtection="0"/>
    <xf numFmtId="0" fontId="29" fillId="32" borderId="228" applyProtection="0">
      <alignment horizontal="center" vertical="center"/>
    </xf>
    <xf numFmtId="0" fontId="31" fillId="25" borderId="228">
      <alignment horizontal="center" vertical="center"/>
    </xf>
    <xf numFmtId="0" fontId="31" fillId="25" borderId="228">
      <alignment horizontal="center" vertical="center"/>
    </xf>
    <xf numFmtId="0" fontId="29" fillId="32" borderId="228" applyProtection="0">
      <alignment horizontal="center" vertical="center"/>
    </xf>
  </cellStyleXfs>
  <cellXfs count="1957">
    <xf numFmtId="0" fontId="0" fillId="0" borderId="0" xfId="0"/>
    <xf numFmtId="0" fontId="3" fillId="0" borderId="3" xfId="0" applyFont="1" applyBorder="1"/>
    <xf numFmtId="2" fontId="3" fillId="0" borderId="10" xfId="0" applyNumberFormat="1" applyFont="1" applyBorder="1" applyAlignment="1">
      <alignment horizontal="center"/>
    </xf>
    <xf numFmtId="2" fontId="3" fillId="0" borderId="10" xfId="0" applyNumberFormat="1" applyFont="1" applyFill="1" applyBorder="1" applyAlignment="1">
      <alignment horizontal="center"/>
    </xf>
    <xf numFmtId="0" fontId="3" fillId="0" borderId="3" xfId="0" applyFont="1" applyFill="1" applyBorder="1"/>
    <xf numFmtId="0" fontId="3" fillId="0" borderId="4" xfId="0" applyFont="1" applyFill="1" applyBorder="1"/>
    <xf numFmtId="0" fontId="3" fillId="0" borderId="11" xfId="0" applyFont="1" applyFill="1" applyBorder="1" applyAlignment="1">
      <alignment horizontal="center"/>
    </xf>
    <xf numFmtId="2" fontId="3" fillId="0" borderId="11" xfId="0" applyNumberFormat="1" applyFont="1" applyFill="1" applyBorder="1" applyAlignment="1">
      <alignment horizontal="center"/>
    </xf>
    <xf numFmtId="164" fontId="3" fillId="0" borderId="11" xfId="0" applyNumberFormat="1" applyFont="1" applyBorder="1" applyAlignment="1">
      <alignment horizontal="center"/>
    </xf>
    <xf numFmtId="2" fontId="3" fillId="0" borderId="12" xfId="0" applyNumberFormat="1" applyFont="1" applyFill="1" applyBorder="1" applyAlignment="1">
      <alignment horizontal="center"/>
    </xf>
    <xf numFmtId="0" fontId="3" fillId="0" borderId="0" xfId="0" applyFont="1"/>
    <xf numFmtId="0" fontId="3" fillId="0" borderId="0" xfId="0" applyFont="1" applyBorder="1"/>
    <xf numFmtId="0" fontId="3" fillId="0" borderId="0" xfId="0" applyFont="1" applyAlignment="1">
      <alignment horizontal="center"/>
    </xf>
    <xf numFmtId="0" fontId="3" fillId="0" borderId="1" xfId="0" applyFont="1" applyBorder="1" applyAlignment="1">
      <alignment horizontal="center"/>
    </xf>
    <xf numFmtId="164" fontId="3" fillId="0" borderId="1" xfId="0" applyNumberFormat="1" applyFont="1" applyBorder="1" applyAlignment="1">
      <alignment horizontal="center"/>
    </xf>
    <xf numFmtId="2" fontId="3" fillId="0" borderId="1" xfId="0" applyNumberFormat="1" applyFont="1" applyBorder="1" applyAlignment="1">
      <alignment horizont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xf>
    <xf numFmtId="0" fontId="45" fillId="0" borderId="0" xfId="34"/>
    <xf numFmtId="0" fontId="3" fillId="0" borderId="16" xfId="0" applyFont="1" applyBorder="1"/>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3" fillId="0" borderId="21" xfId="0" applyFont="1" applyFill="1" applyBorder="1"/>
    <xf numFmtId="0" fontId="3" fillId="0" borderId="19" xfId="0" applyFont="1" applyFill="1" applyBorder="1"/>
    <xf numFmtId="0" fontId="3" fillId="0" borderId="4" xfId="0" applyFont="1" applyBorder="1" applyAlignment="1">
      <alignment horizontal="center"/>
    </xf>
    <xf numFmtId="3" fontId="3" fillId="0" borderId="3" xfId="0" applyNumberFormat="1" applyFont="1" applyBorder="1" applyAlignment="1">
      <alignment horizontal="center"/>
    </xf>
    <xf numFmtId="3" fontId="3" fillId="0" borderId="1" xfId="0" applyNumberFormat="1" applyFont="1" applyBorder="1" applyAlignment="1">
      <alignment horizontal="center"/>
    </xf>
    <xf numFmtId="3" fontId="3" fillId="0" borderId="4" xfId="0" applyNumberFormat="1" applyFont="1" applyBorder="1" applyAlignment="1">
      <alignment horizontal="center"/>
    </xf>
    <xf numFmtId="0" fontId="3" fillId="0" borderId="3" xfId="0" applyFont="1" applyBorder="1" applyAlignment="1">
      <alignment horizontal="center"/>
    </xf>
    <xf numFmtId="0" fontId="5" fillId="0" borderId="0" xfId="28" applyFont="1" applyAlignment="1">
      <alignment vertical="center"/>
    </xf>
    <xf numFmtId="0" fontId="5" fillId="7" borderId="0" xfId="28" applyFont="1" applyFill="1" applyAlignment="1">
      <alignment vertical="center"/>
    </xf>
    <xf numFmtId="0" fontId="3" fillId="0" borderId="0" xfId="28" applyFont="1" applyAlignment="1">
      <alignment vertical="center"/>
    </xf>
    <xf numFmtId="0" fontId="3" fillId="7" borderId="0" xfId="28" applyFont="1" applyFill="1" applyAlignment="1">
      <alignment vertical="center"/>
    </xf>
    <xf numFmtId="0" fontId="3" fillId="0" borderId="26" xfId="28" applyFont="1" applyBorder="1" applyAlignment="1">
      <alignment vertical="center"/>
    </xf>
    <xf numFmtId="0" fontId="12" fillId="19" borderId="30" xfId="15" applyFont="1" applyBorder="1" applyAlignment="1">
      <alignment horizontal="left" vertical="center"/>
    </xf>
    <xf numFmtId="0" fontId="12" fillId="19" borderId="31" xfId="15" applyFont="1" applyBorder="1" applyAlignment="1">
      <alignment horizontal="left" vertical="center"/>
    </xf>
    <xf numFmtId="0" fontId="7" fillId="0" borderId="30" xfId="28" applyFont="1" applyBorder="1" applyAlignment="1">
      <alignment horizontal="center" vertical="center"/>
    </xf>
    <xf numFmtId="0" fontId="7" fillId="0" borderId="32" xfId="28" applyFont="1" applyBorder="1" applyAlignment="1">
      <alignment horizontal="center" vertical="center"/>
    </xf>
    <xf numFmtId="0" fontId="3" fillId="0" borderId="33" xfId="28" applyFont="1" applyBorder="1" applyAlignment="1">
      <alignment vertical="center"/>
    </xf>
    <xf numFmtId="0" fontId="3" fillId="0" borderId="34" xfId="28" applyFont="1" applyBorder="1" applyAlignment="1">
      <alignment vertical="center"/>
    </xf>
    <xf numFmtId="0" fontId="3" fillId="0" borderId="35" xfId="28" applyFont="1" applyBorder="1" applyAlignment="1">
      <alignment vertical="center"/>
    </xf>
    <xf numFmtId="0" fontId="5" fillId="0" borderId="26" xfId="28" applyFont="1" applyBorder="1" applyAlignment="1">
      <alignment vertical="center"/>
    </xf>
    <xf numFmtId="0" fontId="5" fillId="0" borderId="35" xfId="28" applyFont="1" applyBorder="1" applyAlignment="1">
      <alignment vertical="center"/>
    </xf>
    <xf numFmtId="0" fontId="5" fillId="0" borderId="28" xfId="28" applyFont="1" applyBorder="1" applyAlignment="1">
      <alignment vertical="center"/>
    </xf>
    <xf numFmtId="0" fontId="5" fillId="0" borderId="36" xfId="28" applyFont="1" applyBorder="1" applyAlignment="1">
      <alignment vertical="center"/>
    </xf>
    <xf numFmtId="0" fontId="5" fillId="0" borderId="0" xfId="28" applyFont="1" applyBorder="1" applyAlignment="1">
      <alignment vertical="center"/>
    </xf>
    <xf numFmtId="0" fontId="3" fillId="0" borderId="0" xfId="25" applyFont="1" applyBorder="1" applyAlignment="1">
      <alignment vertical="center"/>
    </xf>
    <xf numFmtId="0" fontId="3" fillId="0" borderId="20" xfId="25" applyFont="1" applyBorder="1" applyAlignment="1">
      <alignment vertical="center"/>
    </xf>
    <xf numFmtId="0" fontId="19" fillId="19" borderId="37" xfId="15" applyFont="1" applyBorder="1" applyAlignment="1">
      <alignment horizontal="left" vertical="center"/>
    </xf>
    <xf numFmtId="0" fontId="12" fillId="19" borderId="38" xfId="15" applyFont="1" applyBorder="1" applyAlignment="1">
      <alignment horizontal="left" vertical="center"/>
    </xf>
    <xf numFmtId="0" fontId="3" fillId="0" borderId="0" xfId="28" applyFont="1" applyBorder="1" applyAlignment="1">
      <alignment vertical="center"/>
    </xf>
    <xf numFmtId="0" fontId="5" fillId="0" borderId="0" xfId="28" applyFont="1" applyFill="1" applyAlignment="1">
      <alignment vertical="center"/>
    </xf>
    <xf numFmtId="14" fontId="14" fillId="0" borderId="0" xfId="28" applyNumberFormat="1" applyFont="1"/>
    <xf numFmtId="0" fontId="14" fillId="0" borderId="0" xfId="28" applyFont="1"/>
    <xf numFmtId="0" fontId="14" fillId="7" borderId="0" xfId="28" applyFont="1" applyFill="1"/>
    <xf numFmtId="0" fontId="13" fillId="19" borderId="18" xfId="15" applyFont="1" applyBorder="1">
      <alignment horizontal="left" vertical="center"/>
    </xf>
    <xf numFmtId="0" fontId="13" fillId="19" borderId="25" xfId="15" applyFont="1" applyBorder="1">
      <alignment horizontal="left" vertical="center"/>
    </xf>
    <xf numFmtId="0" fontId="15" fillId="0" borderId="39" xfId="28" applyFont="1" applyBorder="1" applyAlignment="1">
      <alignment horizontal="center"/>
    </xf>
    <xf numFmtId="0" fontId="15" fillId="0" borderId="32" xfId="28" applyFont="1" applyBorder="1" applyAlignment="1">
      <alignment horizontal="center"/>
    </xf>
    <xf numFmtId="14" fontId="14" fillId="0" borderId="34" xfId="28" applyNumberFormat="1" applyFont="1" applyBorder="1" applyAlignment="1">
      <alignment horizontal="center" wrapText="1"/>
    </xf>
    <xf numFmtId="14" fontId="14" fillId="0" borderId="35" xfId="28" applyNumberFormat="1" applyFont="1" applyBorder="1" applyAlignment="1">
      <alignment horizontal="center" wrapText="1"/>
    </xf>
    <xf numFmtId="0" fontId="14" fillId="0" borderId="0" xfId="28" applyFont="1" applyAlignment="1">
      <alignment horizontal="center"/>
    </xf>
    <xf numFmtId="0" fontId="14" fillId="0" borderId="41" xfId="28" applyNumberFormat="1" applyFont="1" applyBorder="1" applyAlignment="1">
      <alignment horizontal="center" wrapText="1"/>
    </xf>
    <xf numFmtId="14" fontId="14" fillId="0" borderId="36" xfId="28" applyNumberFormat="1" applyFont="1" applyBorder="1" applyAlignment="1">
      <alignment horizontal="center" wrapText="1"/>
    </xf>
    <xf numFmtId="0" fontId="14" fillId="0" borderId="0" xfId="28" applyNumberFormat="1" applyFont="1"/>
    <xf numFmtId="0" fontId="14" fillId="7" borderId="0" xfId="28" applyNumberFormat="1" applyFont="1" applyFill="1"/>
    <xf numFmtId="14" fontId="14" fillId="7" borderId="0" xfId="28" applyNumberFormat="1" applyFont="1" applyFill="1"/>
    <xf numFmtId="0" fontId="3" fillId="0" borderId="0" xfId="25" applyFont="1" applyAlignment="1">
      <alignment vertical="center"/>
    </xf>
    <xf numFmtId="0" fontId="3" fillId="7" borderId="0" xfId="25" applyFont="1" applyFill="1" applyAlignment="1">
      <alignment vertical="center"/>
    </xf>
    <xf numFmtId="0" fontId="20" fillId="0" borderId="0" xfId="16" applyFont="1" applyAlignment="1" applyProtection="1">
      <alignment vertical="center"/>
      <protection locked="0"/>
    </xf>
    <xf numFmtId="0" fontId="5" fillId="0" borderId="26" xfId="28" applyFont="1" applyFill="1" applyBorder="1" applyAlignment="1" applyProtection="1">
      <alignment vertical="center"/>
    </xf>
    <xf numFmtId="0" fontId="7" fillId="0" borderId="1" xfId="24" applyFont="1" applyBorder="1" applyAlignment="1" applyProtection="1">
      <alignment horizontal="center"/>
    </xf>
    <xf numFmtId="0" fontId="7" fillId="0" borderId="10" xfId="24" applyFont="1" applyBorder="1" applyAlignment="1" applyProtection="1">
      <alignment horizontal="center"/>
    </xf>
    <xf numFmtId="14" fontId="8" fillId="8" borderId="1" xfId="20" applyNumberFormat="1" applyFont="1" applyFill="1" applyBorder="1" applyProtection="1">
      <alignment horizontal="center" vertical="center"/>
    </xf>
    <xf numFmtId="14" fontId="5" fillId="5" borderId="1" xfId="20" applyNumberFormat="1" applyFont="1" applyFill="1" applyBorder="1" applyProtection="1">
      <alignment horizontal="center" vertical="center"/>
      <protection locked="0"/>
    </xf>
    <xf numFmtId="14" fontId="5" fillId="5" borderId="11" xfId="20" applyNumberFormat="1" applyFont="1" applyFill="1" applyBorder="1" applyProtection="1">
      <alignment horizontal="center" vertical="center"/>
      <protection locked="0"/>
    </xf>
    <xf numFmtId="0" fontId="7" fillId="0" borderId="0" xfId="35" applyFont="1" applyBorder="1" applyAlignment="1">
      <alignment horizontal="center" vertical="center" wrapText="1"/>
    </xf>
    <xf numFmtId="0" fontId="3" fillId="0" borderId="40" xfId="28" applyFont="1" applyBorder="1" applyAlignment="1">
      <alignment vertical="center"/>
    </xf>
    <xf numFmtId="0" fontId="7" fillId="0" borderId="13" xfId="35" applyFont="1" applyBorder="1" applyAlignment="1">
      <alignment horizontal="center" vertical="center" wrapText="1"/>
    </xf>
    <xf numFmtId="0" fontId="7" fillId="0" borderId="14" xfId="35" applyFont="1" applyBorder="1" applyAlignment="1">
      <alignment horizontal="center" vertical="center" wrapText="1"/>
    </xf>
    <xf numFmtId="0" fontId="7" fillId="0" borderId="15" xfId="35" applyFont="1" applyBorder="1" applyAlignment="1">
      <alignment horizontal="center" vertical="center" wrapText="1"/>
    </xf>
    <xf numFmtId="0" fontId="3" fillId="0" borderId="41" xfId="28" applyFont="1" applyBorder="1" applyAlignment="1">
      <alignment vertical="center"/>
    </xf>
    <xf numFmtId="0" fontId="7" fillId="0" borderId="46" xfId="35" applyFont="1" applyBorder="1" applyAlignment="1">
      <alignment horizontal="center" vertical="center" wrapText="1"/>
    </xf>
    <xf numFmtId="0" fontId="23" fillId="0" borderId="0" xfId="28" applyFont="1" applyBorder="1" applyAlignment="1">
      <alignment vertical="center"/>
    </xf>
    <xf numFmtId="0" fontId="8" fillId="8" borderId="10" xfId="20" applyFont="1" applyFill="1" applyBorder="1" applyAlignment="1" applyProtection="1">
      <alignment horizontal="left" vertical="center"/>
    </xf>
    <xf numFmtId="14" fontId="8" fillId="8" borderId="11" xfId="20" applyNumberFormat="1" applyFont="1" applyFill="1" applyBorder="1" applyProtection="1">
      <alignment horizontal="center" vertical="center"/>
    </xf>
    <xf numFmtId="0" fontId="8" fillId="8" borderId="12" xfId="20" applyFont="1" applyFill="1" applyBorder="1" applyAlignment="1" applyProtection="1">
      <alignment horizontal="left" vertical="center"/>
    </xf>
    <xf numFmtId="0" fontId="3" fillId="0" borderId="47" xfId="28" applyFont="1" applyBorder="1" applyAlignment="1">
      <alignment vertical="center"/>
    </xf>
    <xf numFmtId="0" fontId="24" fillId="0" borderId="0" xfId="25" applyFont="1" applyAlignment="1">
      <alignment vertical="center"/>
    </xf>
    <xf numFmtId="0" fontId="8" fillId="8" borderId="1" xfId="20" applyNumberFormat="1" applyFont="1" applyFill="1" applyBorder="1" applyProtection="1">
      <alignment horizontal="center" vertical="center"/>
    </xf>
    <xf numFmtId="0" fontId="8" fillId="8" borderId="10" xfId="20" applyNumberFormat="1" applyFont="1" applyFill="1" applyBorder="1" applyProtection="1">
      <alignment horizontal="center" vertical="center"/>
    </xf>
    <xf numFmtId="0" fontId="3" fillId="5" borderId="48" xfId="25" applyNumberFormat="1" applyFont="1" applyFill="1" applyBorder="1" applyAlignment="1" applyProtection="1">
      <alignment horizontal="center" vertical="center"/>
      <protection locked="0"/>
    </xf>
    <xf numFmtId="0" fontId="3" fillId="5" borderId="10" xfId="25" applyNumberFormat="1" applyFont="1" applyFill="1" applyBorder="1" applyAlignment="1" applyProtection="1">
      <alignment horizontal="center" vertical="center"/>
      <protection locked="0"/>
    </xf>
    <xf numFmtId="0" fontId="5" fillId="0" borderId="49" xfId="28" applyFont="1" applyFill="1" applyBorder="1" applyAlignment="1" applyProtection="1">
      <alignment vertical="center"/>
    </xf>
    <xf numFmtId="0" fontId="3" fillId="0" borderId="50" xfId="0" applyFont="1" applyBorder="1" applyAlignment="1" applyProtection="1">
      <alignment vertical="center"/>
    </xf>
    <xf numFmtId="0" fontId="3" fillId="0" borderId="51" xfId="0" applyFont="1" applyBorder="1" applyAlignment="1" applyProtection="1">
      <alignment vertical="center"/>
    </xf>
    <xf numFmtId="0" fontId="3" fillId="0" borderId="51" xfId="0" applyFont="1" applyFill="1" applyBorder="1" applyAlignment="1" applyProtection="1">
      <alignment vertical="center"/>
    </xf>
    <xf numFmtId="0" fontId="3" fillId="0" borderId="52" xfId="0" applyFont="1" applyFill="1" applyBorder="1" applyAlignment="1" applyProtection="1">
      <alignment vertical="center"/>
    </xf>
    <xf numFmtId="0" fontId="5" fillId="0" borderId="26" xfId="28" applyFont="1" applyFill="1" applyBorder="1" applyAlignment="1" applyProtection="1">
      <alignment horizontal="left" vertical="center" indent="2"/>
    </xf>
    <xf numFmtId="0" fontId="5" fillId="0" borderId="28" xfId="28" applyFont="1" applyFill="1" applyBorder="1" applyAlignment="1" applyProtection="1">
      <alignment horizontal="left" vertical="center" indent="2"/>
    </xf>
    <xf numFmtId="0" fontId="3" fillId="5" borderId="1" xfId="25" applyNumberFormat="1" applyFont="1" applyFill="1" applyBorder="1" applyAlignment="1" applyProtection="1">
      <alignment horizontal="center" vertical="center"/>
      <protection locked="0"/>
    </xf>
    <xf numFmtId="0" fontId="3" fillId="0" borderId="0" xfId="25" applyFont="1"/>
    <xf numFmtId="0" fontId="3" fillId="7" borderId="0" xfId="25" applyFont="1" applyFill="1"/>
    <xf numFmtId="0" fontId="12" fillId="9" borderId="0" xfId="15" applyFont="1" applyFill="1" applyBorder="1" applyAlignment="1">
      <alignment horizontal="left" vertical="top"/>
    </xf>
    <xf numFmtId="0" fontId="3" fillId="0" borderId="42" xfId="25" applyFont="1" applyBorder="1"/>
    <xf numFmtId="0" fontId="3" fillId="0" borderId="0" xfId="25" applyFont="1" applyBorder="1"/>
    <xf numFmtId="0" fontId="3" fillId="0" borderId="46" xfId="25" applyFont="1" applyBorder="1"/>
    <xf numFmtId="0" fontId="3" fillId="0" borderId="42" xfId="25" applyFont="1" applyBorder="1" applyAlignment="1">
      <alignment wrapText="1"/>
    </xf>
    <xf numFmtId="0" fontId="3" fillId="0" borderId="0" xfId="25" applyFont="1" applyBorder="1" applyAlignment="1">
      <alignment wrapText="1"/>
    </xf>
    <xf numFmtId="0" fontId="3" fillId="0" borderId="46" xfId="25" applyFont="1" applyBorder="1" applyAlignment="1">
      <alignment wrapText="1"/>
    </xf>
    <xf numFmtId="0" fontId="3" fillId="5" borderId="11" xfId="25" applyNumberFormat="1" applyFont="1" applyFill="1" applyBorder="1" applyAlignment="1" applyProtection="1">
      <alignment horizontal="center" vertical="center"/>
      <protection locked="0"/>
    </xf>
    <xf numFmtId="0" fontId="8" fillId="8" borderId="1" xfId="20" applyNumberFormat="1" applyFont="1" applyFill="1" applyBorder="1" applyAlignment="1" applyProtection="1">
      <alignment horizontal="center" vertical="center"/>
    </xf>
    <xf numFmtId="0" fontId="8" fillId="8" borderId="11" xfId="20" applyNumberFormat="1" applyFont="1" applyFill="1" applyBorder="1" applyAlignment="1" applyProtection="1">
      <alignment horizontal="center" vertical="center"/>
    </xf>
    <xf numFmtId="0" fontId="8" fillId="8" borderId="1" xfId="20" applyNumberFormat="1" applyFont="1" applyFill="1" applyBorder="1" applyAlignment="1" applyProtection="1">
      <alignment horizontal="center" vertical="center" wrapText="1"/>
    </xf>
    <xf numFmtId="0" fontId="8" fillId="8" borderId="6" xfId="20" applyNumberFormat="1"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7" borderId="0" xfId="0" applyFont="1" applyFill="1" applyAlignment="1" applyProtection="1">
      <alignment vertical="center"/>
    </xf>
    <xf numFmtId="0" fontId="12" fillId="19" borderId="31" xfId="15" applyFont="1" applyBorder="1" applyAlignment="1" applyProtection="1">
      <alignment vertical="center"/>
    </xf>
    <xf numFmtId="0" fontId="0" fillId="0" borderId="0" xfId="0" applyProtection="1"/>
    <xf numFmtId="0" fontId="3" fillId="0" borderId="0" xfId="25" applyFont="1" applyAlignment="1" applyProtection="1">
      <alignment vertical="center"/>
    </xf>
    <xf numFmtId="0" fontId="7" fillId="0" borderId="0" xfId="0" applyFont="1" applyProtection="1"/>
    <xf numFmtId="0" fontId="3" fillId="0" borderId="35" xfId="0" applyFont="1" applyBorder="1" applyAlignment="1" applyProtection="1">
      <alignment horizontal="center" vertical="center"/>
    </xf>
    <xf numFmtId="0" fontId="3" fillId="0" borderId="0" xfId="0" applyFont="1" applyProtection="1"/>
    <xf numFmtId="0" fontId="3" fillId="0" borderId="5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7" borderId="0" xfId="0" applyFont="1" applyFill="1" applyBorder="1" applyAlignment="1" applyProtection="1">
      <alignment horizontal="center" vertical="center"/>
    </xf>
    <xf numFmtId="0" fontId="3" fillId="7" borderId="0" xfId="0" applyFont="1" applyFill="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3" fillId="7" borderId="0" xfId="0" applyFont="1" applyFill="1" applyProtection="1"/>
    <xf numFmtId="0" fontId="3" fillId="7" borderId="0" xfId="0" applyFont="1" applyFill="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wrapText="1"/>
    </xf>
    <xf numFmtId="0" fontId="12" fillId="19" borderId="30" xfId="15" applyFont="1" applyBorder="1" applyAlignment="1" applyProtection="1">
      <alignment vertical="center"/>
    </xf>
    <xf numFmtId="0" fontId="12" fillId="19" borderId="43" xfId="15" applyFont="1" applyBorder="1" applyAlignment="1" applyProtection="1">
      <alignment vertical="center"/>
    </xf>
    <xf numFmtId="0" fontId="3" fillId="7" borderId="0" xfId="0" applyFont="1" applyFill="1" applyAlignment="1" applyProtection="1">
      <alignment horizontal="center"/>
    </xf>
    <xf numFmtId="0" fontId="3" fillId="7" borderId="0" xfId="0" applyFont="1" applyFill="1" applyAlignment="1" applyProtection="1">
      <alignment horizontal="left"/>
    </xf>
    <xf numFmtId="0" fontId="4" fillId="0" borderId="0" xfId="0" applyFont="1" applyAlignment="1" applyProtection="1">
      <alignment wrapText="1"/>
    </xf>
    <xf numFmtId="0" fontId="4" fillId="0" borderId="0" xfId="0" applyFont="1" applyAlignment="1" applyProtection="1">
      <alignment horizontal="center" wrapText="1"/>
    </xf>
    <xf numFmtId="0" fontId="4" fillId="7" borderId="0" xfId="0" applyFont="1" applyFill="1" applyAlignment="1" applyProtection="1">
      <alignment wrapText="1"/>
    </xf>
    <xf numFmtId="0" fontId="3" fillId="0" borderId="0" xfId="0" applyFont="1" applyAlignment="1" applyProtection="1">
      <alignment horizontal="left"/>
    </xf>
    <xf numFmtId="0" fontId="3" fillId="0" borderId="0" xfId="0" applyFont="1" applyFill="1" applyBorder="1" applyAlignment="1" applyProtection="1">
      <alignment horizontal="left" wrapText="1"/>
    </xf>
    <xf numFmtId="0" fontId="3" fillId="7" borderId="0" xfId="25" applyFont="1" applyFill="1" applyAlignment="1" applyProtection="1">
      <alignment vertical="center"/>
    </xf>
    <xf numFmtId="0" fontId="25" fillId="0" borderId="0" xfId="25" applyFont="1" applyAlignment="1" applyProtection="1">
      <alignment vertical="center"/>
    </xf>
    <xf numFmtId="0" fontId="3" fillId="7" borderId="0" xfId="25" quotePrefix="1" applyFont="1" applyFill="1" applyAlignment="1" applyProtection="1">
      <alignment vertical="center"/>
    </xf>
    <xf numFmtId="0" fontId="3" fillId="0" borderId="0" xfId="25" quotePrefix="1" applyFont="1" applyAlignment="1" applyProtection="1">
      <alignment vertical="center"/>
    </xf>
    <xf numFmtId="0" fontId="3" fillId="0" borderId="0" xfId="25" applyFont="1" applyBorder="1" applyAlignment="1" applyProtection="1">
      <alignment vertical="center"/>
    </xf>
    <xf numFmtId="0" fontId="5" fillId="9" borderId="58" xfId="28" applyFont="1" applyFill="1" applyBorder="1" applyAlignment="1" applyProtection="1">
      <alignment horizontal="left" vertical="center" indent="2"/>
    </xf>
    <xf numFmtId="0" fontId="12" fillId="19" borderId="30" xfId="15" applyFont="1" applyBorder="1" applyAlignment="1" applyProtection="1">
      <alignment horizontal="left" vertical="center"/>
    </xf>
    <xf numFmtId="0" fontId="12" fillId="19" borderId="31" xfId="15" applyFont="1" applyBorder="1" applyAlignment="1" applyProtection="1">
      <alignment horizontal="left" vertical="center"/>
    </xf>
    <xf numFmtId="0" fontId="5" fillId="0" borderId="33" xfId="28" applyFont="1" applyFill="1" applyBorder="1" applyAlignment="1" applyProtection="1">
      <alignment vertical="center"/>
    </xf>
    <xf numFmtId="0" fontId="17" fillId="0" borderId="27" xfId="16" applyFont="1" applyBorder="1" applyAlignment="1" applyProtection="1">
      <alignment vertical="center"/>
      <protection locked="0"/>
    </xf>
    <xf numFmtId="0" fontId="5" fillId="0" borderId="28" xfId="28" applyFont="1" applyFill="1" applyBorder="1" applyAlignment="1" applyProtection="1">
      <alignment vertical="center"/>
    </xf>
    <xf numFmtId="0" fontId="17" fillId="0" borderId="29" xfId="16" applyFont="1" applyBorder="1" applyAlignment="1" applyProtection="1">
      <alignment vertical="center"/>
      <protection locked="0"/>
    </xf>
    <xf numFmtId="0" fontId="5" fillId="5" borderId="3" xfId="20" applyFont="1" applyFill="1" applyBorder="1" applyAlignment="1" applyProtection="1">
      <alignment horizontal="left" vertical="top" wrapText="1"/>
      <protection locked="0"/>
    </xf>
    <xf numFmtId="0" fontId="5" fillId="5" borderId="1" xfId="20" applyFont="1" applyFill="1" applyBorder="1" applyAlignment="1" applyProtection="1">
      <alignment horizontal="left" vertical="top" wrapText="1"/>
      <protection locked="0"/>
    </xf>
    <xf numFmtId="0" fontId="5" fillId="5" borderId="4" xfId="20" applyFont="1" applyFill="1" applyBorder="1" applyAlignment="1" applyProtection="1">
      <alignment horizontal="left" vertical="top" wrapText="1"/>
      <protection locked="0"/>
    </xf>
    <xf numFmtId="0" fontId="5" fillId="5" borderId="11" xfId="20" applyFont="1" applyFill="1" applyBorder="1" applyAlignment="1" applyProtection="1">
      <alignment horizontal="left" vertical="top" wrapText="1"/>
      <protection locked="0"/>
    </xf>
    <xf numFmtId="0" fontId="3" fillId="0" borderId="0" xfId="28" applyFont="1" applyAlignment="1" applyProtection="1">
      <alignment vertical="center"/>
    </xf>
    <xf numFmtId="0" fontId="3" fillId="7" borderId="0" xfId="28" applyFont="1" applyFill="1" applyAlignment="1" applyProtection="1">
      <alignment vertical="center"/>
    </xf>
    <xf numFmtId="0" fontId="12" fillId="19" borderId="30" xfId="15" quotePrefix="1" applyFont="1" applyBorder="1" applyAlignment="1" applyProtection="1">
      <alignment vertical="center"/>
    </xf>
    <xf numFmtId="0" fontId="3" fillId="0" borderId="0" xfId="25" applyFont="1" applyFill="1" applyBorder="1" applyAlignment="1" applyProtection="1">
      <alignment vertical="center"/>
    </xf>
    <xf numFmtId="0" fontId="3" fillId="0" borderId="0" xfId="28" applyFont="1"/>
    <xf numFmtId="0" fontId="3" fillId="7" borderId="0" xfId="28" applyFont="1" applyFill="1"/>
    <xf numFmtId="0" fontId="20" fillId="0" borderId="0" xfId="16" applyFont="1" applyAlignment="1" applyProtection="1">
      <protection locked="0"/>
    </xf>
    <xf numFmtId="0" fontId="3" fillId="0" borderId="46" xfId="28" applyFont="1" applyBorder="1"/>
    <xf numFmtId="0" fontId="4" fillId="0" borderId="0" xfId="0" applyFont="1" applyAlignment="1" applyProtection="1">
      <alignment horizontal="center" vertical="center"/>
    </xf>
    <xf numFmtId="164" fontId="14" fillId="0" borderId="60" xfId="28" applyNumberFormat="1" applyFont="1" applyBorder="1" applyAlignment="1">
      <alignment horizontal="center" wrapText="1"/>
    </xf>
    <xf numFmtId="165" fontId="3" fillId="0" borderId="1" xfId="0" applyNumberFormat="1" applyFont="1" applyBorder="1" applyAlignment="1">
      <alignment horizontal="center" vertical="center"/>
    </xf>
    <xf numFmtId="0" fontId="8" fillId="8" borderId="1" xfId="32" applyNumberFormat="1" applyFont="1" applyFill="1" applyBorder="1" applyAlignment="1" applyProtection="1">
      <alignment horizontal="center" vertical="center" wrapText="1"/>
    </xf>
    <xf numFmtId="0" fontId="3" fillId="5" borderId="1" xfId="32" applyNumberFormat="1" applyFont="1" applyFill="1" applyBorder="1" applyAlignment="1" applyProtection="1">
      <alignment horizontal="center" vertical="center"/>
      <protection locked="0"/>
    </xf>
    <xf numFmtId="0" fontId="3" fillId="5" borderId="61" xfId="32" applyNumberFormat="1" applyFont="1" applyFill="1" applyBorder="1" applyAlignment="1" applyProtection="1">
      <alignment horizontal="center" vertical="center"/>
      <protection locked="0"/>
    </xf>
    <xf numFmtId="0" fontId="3" fillId="0" borderId="1" xfId="32" applyNumberFormat="1" applyFont="1" applyBorder="1" applyAlignment="1">
      <alignment horizontal="center" vertical="center"/>
    </xf>
    <xf numFmtId="0" fontId="3" fillId="5" borderId="61" xfId="25" applyNumberFormat="1" applyFont="1" applyFill="1" applyBorder="1" applyAlignment="1" applyProtection="1">
      <alignment horizontal="center" vertical="center"/>
      <protection locked="0"/>
    </xf>
    <xf numFmtId="0" fontId="3" fillId="5" borderId="64" xfId="25" applyNumberFormat="1" applyFont="1" applyFill="1" applyBorder="1" applyAlignment="1" applyProtection="1">
      <alignment horizontal="center" vertical="center"/>
      <protection locked="0"/>
    </xf>
    <xf numFmtId="0" fontId="3" fillId="7" borderId="0" xfId="0" applyFont="1" applyFill="1"/>
    <xf numFmtId="0" fontId="3" fillId="7" borderId="0" xfId="0" applyFont="1" applyFill="1" applyAlignment="1">
      <alignment horizontal="center"/>
    </xf>
    <xf numFmtId="0" fontId="8" fillId="8" borderId="61" xfId="20" applyNumberFormat="1" applyFont="1" applyFill="1" applyBorder="1" applyAlignment="1" applyProtection="1">
      <alignment horizontal="center" vertical="center" wrapText="1"/>
    </xf>
    <xf numFmtId="164" fontId="14" fillId="0" borderId="40" xfId="28" applyNumberFormat="1" applyFont="1" applyBorder="1" applyAlignment="1">
      <alignment horizontal="center" wrapText="1"/>
    </xf>
    <xf numFmtId="0" fontId="7" fillId="24" borderId="30" xfId="0" applyFont="1" applyFill="1" applyBorder="1" applyAlignment="1">
      <alignment horizontal="left"/>
    </xf>
    <xf numFmtId="0" fontId="3" fillId="24" borderId="43" xfId="0" applyFont="1" applyFill="1" applyBorder="1" applyAlignment="1">
      <alignment horizontal="centerContinuous"/>
    </xf>
    <xf numFmtId="0" fontId="3" fillId="24" borderId="31" xfId="0" applyFont="1" applyFill="1" applyBorder="1" applyAlignment="1">
      <alignment horizontal="centerContinuous"/>
    </xf>
    <xf numFmtId="0" fontId="8" fillId="25" borderId="1" xfId="20" applyNumberFormat="1" applyFont="1" applyFill="1" applyBorder="1" applyAlignment="1" applyProtection="1">
      <alignment horizontal="center" vertical="center" wrapText="1"/>
    </xf>
    <xf numFmtId="0" fontId="33" fillId="25" borderId="10" xfId="0" applyFont="1" applyFill="1" applyBorder="1" applyAlignment="1">
      <alignment horizontal="center"/>
    </xf>
    <xf numFmtId="0" fontId="33" fillId="25" borderId="12" xfId="0" applyFont="1" applyFill="1" applyBorder="1" applyAlignment="1">
      <alignment horizont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xf numFmtId="0" fontId="7" fillId="7" borderId="0" xfId="0" applyFont="1" applyFill="1"/>
    <xf numFmtId="0" fontId="7" fillId="0" borderId="0" xfId="0" applyFont="1" applyBorder="1"/>
    <xf numFmtId="0" fontId="7" fillId="0" borderId="4" xfId="0" applyFont="1" applyBorder="1" applyAlignment="1">
      <alignment horizontal="center" vertical="center"/>
    </xf>
    <xf numFmtId="0" fontId="7" fillId="0" borderId="12" xfId="0" applyFont="1" applyBorder="1" applyAlignment="1">
      <alignment horizontal="center" vertical="center"/>
    </xf>
    <xf numFmtId="14" fontId="16" fillId="0" borderId="0" xfId="28" applyNumberFormat="1" applyFont="1" applyBorder="1" applyAlignment="1" applyProtection="1">
      <alignment horizontal="left" vertical="center"/>
    </xf>
    <xf numFmtId="0" fontId="16" fillId="0" borderId="0" xfId="28" applyFont="1" applyBorder="1" applyAlignment="1" applyProtection="1">
      <alignment vertical="center"/>
    </xf>
    <xf numFmtId="14" fontId="16" fillId="0" borderId="0" xfId="28" applyNumberFormat="1" applyFont="1" applyBorder="1" applyAlignment="1">
      <alignment horizontal="left"/>
    </xf>
    <xf numFmtId="0" fontId="16" fillId="0" borderId="0" xfId="28" applyFont="1" applyBorder="1" applyAlignment="1"/>
    <xf numFmtId="0" fontId="29" fillId="0" borderId="82" xfId="28" applyFont="1" applyBorder="1"/>
    <xf numFmtId="0" fontId="48" fillId="0" borderId="83" xfId="28" applyFont="1" applyBorder="1" applyAlignment="1">
      <alignment horizontal="left"/>
    </xf>
    <xf numFmtId="0" fontId="29" fillId="0" borderId="84" xfId="28" applyFont="1" applyBorder="1"/>
    <xf numFmtId="0" fontId="29" fillId="0" borderId="85" xfId="28" applyNumberFormat="1" applyFont="1" applyBorder="1" applyAlignment="1">
      <alignment horizontal="left"/>
    </xf>
    <xf numFmtId="14" fontId="29" fillId="0" borderId="85" xfId="28" applyNumberFormat="1" applyFont="1" applyBorder="1" applyAlignment="1">
      <alignment horizontal="left"/>
    </xf>
    <xf numFmtId="0" fontId="29" fillId="0" borderId="84" xfId="28" applyNumberFormat="1" applyFont="1" applyBorder="1"/>
    <xf numFmtId="0" fontId="48" fillId="0" borderId="85" xfId="28" applyFont="1" applyBorder="1" applyAlignment="1">
      <alignment horizontal="left"/>
    </xf>
    <xf numFmtId="0" fontId="29" fillId="0" borderId="86" xfId="28" applyFont="1" applyBorder="1" applyAlignment="1">
      <alignment horizontal="left" vertical="center"/>
    </xf>
    <xf numFmtId="0" fontId="29" fillId="0" borderId="87" xfId="28" applyNumberFormat="1" applyFont="1" applyBorder="1" applyAlignment="1">
      <alignment horizontal="left" vertical="center" wrapText="1"/>
    </xf>
    <xf numFmtId="0" fontId="29" fillId="0" borderId="88" xfId="28" applyFont="1" applyBorder="1"/>
    <xf numFmtId="14" fontId="29" fillId="0" borderId="89" xfId="28" applyNumberFormat="1" applyFont="1" applyBorder="1" applyAlignment="1">
      <alignment horizontal="left"/>
    </xf>
    <xf numFmtId="0" fontId="12" fillId="0" borderId="0" xfId="15" applyFont="1" applyFill="1" applyBorder="1" applyAlignment="1">
      <alignment horizontal="left" vertical="center"/>
    </xf>
    <xf numFmtId="0" fontId="16" fillId="0" borderId="0" xfId="28" applyFont="1" applyFill="1" applyBorder="1" applyAlignment="1"/>
    <xf numFmtId="164" fontId="16" fillId="0" borderId="0" xfId="28" applyNumberFormat="1" applyFont="1" applyFill="1" applyBorder="1" applyAlignment="1">
      <alignment horizontal="left"/>
    </xf>
    <xf numFmtId="14" fontId="16" fillId="0" borderId="0" xfId="28" applyNumberFormat="1" applyFont="1" applyFill="1" applyBorder="1" applyAlignment="1">
      <alignment horizontal="left"/>
    </xf>
    <xf numFmtId="0" fontId="29" fillId="0" borderId="82" xfId="28" applyFont="1" applyBorder="1" applyAlignment="1">
      <alignment wrapText="1"/>
    </xf>
    <xf numFmtId="0" fontId="48" fillId="0" borderId="83" xfId="28" applyFont="1" applyBorder="1" applyAlignment="1">
      <alignment horizontal="left" wrapText="1"/>
    </xf>
    <xf numFmtId="0" fontId="29" fillId="0" borderId="84" xfId="28" applyFont="1" applyBorder="1" applyAlignment="1">
      <alignment wrapText="1"/>
    </xf>
    <xf numFmtId="0" fontId="29" fillId="0" borderId="85" xfId="28" applyNumberFormat="1" applyFont="1" applyBorder="1" applyAlignment="1">
      <alignment horizontal="left" wrapText="1"/>
    </xf>
    <xf numFmtId="14" fontId="29" fillId="0" borderId="85" xfId="28" applyNumberFormat="1" applyFont="1" applyBorder="1" applyAlignment="1">
      <alignment horizontal="left" wrapText="1"/>
    </xf>
    <xf numFmtId="0" fontId="29" fillId="0" borderId="84" xfId="28" applyNumberFormat="1" applyFont="1" applyBorder="1" applyAlignment="1">
      <alignment wrapText="1"/>
    </xf>
    <xf numFmtId="0" fontId="48" fillId="0" borderId="85" xfId="28" applyFont="1" applyBorder="1" applyAlignment="1">
      <alignment horizontal="left" wrapText="1"/>
    </xf>
    <xf numFmtId="0" fontId="29" fillId="0" borderId="86" xfId="28" applyFont="1" applyBorder="1" applyAlignment="1">
      <alignment horizontal="left" vertical="center" wrapText="1"/>
    </xf>
    <xf numFmtId="0" fontId="29" fillId="0" borderId="88" xfId="28" applyFont="1" applyBorder="1" applyAlignment="1">
      <alignment wrapText="1"/>
    </xf>
    <xf numFmtId="14" fontId="29" fillId="0" borderId="89" xfId="28" applyNumberFormat="1" applyFont="1" applyBorder="1" applyAlignment="1">
      <alignment horizontal="left" wrapText="1"/>
    </xf>
    <xf numFmtId="0" fontId="12" fillId="0" borderId="0" xfId="15" applyFont="1" applyFill="1" applyBorder="1" applyAlignment="1" applyProtection="1">
      <alignment vertical="center"/>
    </xf>
    <xf numFmtId="164" fontId="16" fillId="0" borderId="0" xfId="28" applyNumberFormat="1" applyFont="1" applyFill="1" applyBorder="1" applyAlignment="1" applyProtection="1">
      <alignment horizontal="left" vertical="center"/>
    </xf>
    <xf numFmtId="164" fontId="3" fillId="0" borderId="0" xfId="25" applyNumberFormat="1" applyFont="1" applyFill="1" applyBorder="1" applyAlignment="1" applyProtection="1">
      <alignment vertical="center"/>
    </xf>
    <xf numFmtId="14" fontId="16" fillId="0" borderId="0" xfId="28" applyNumberFormat="1" applyFont="1" applyFill="1" applyBorder="1" applyAlignment="1" applyProtection="1">
      <alignment horizontal="left" vertical="center"/>
    </xf>
    <xf numFmtId="0" fontId="16" fillId="0" borderId="0" xfId="28" applyFont="1" applyFill="1" applyBorder="1" applyAlignment="1" applyProtection="1">
      <alignment vertical="center"/>
    </xf>
    <xf numFmtId="0" fontId="16" fillId="0" borderId="0" xfId="28" applyFont="1" applyFill="1" applyBorder="1" applyAlignment="1" applyProtection="1">
      <alignment vertical="center" wrapText="1"/>
    </xf>
    <xf numFmtId="0" fontId="29" fillId="0" borderId="82" xfId="28" applyFont="1" applyBorder="1" applyAlignment="1">
      <alignment vertical="center" wrapText="1"/>
    </xf>
    <xf numFmtId="0" fontId="29" fillId="0" borderId="84" xfId="28" applyFont="1" applyBorder="1" applyAlignment="1">
      <alignment vertical="center" wrapText="1"/>
    </xf>
    <xf numFmtId="0" fontId="29" fillId="0" borderId="84" xfId="28" applyNumberFormat="1" applyFont="1" applyBorder="1" applyAlignment="1">
      <alignment vertical="center" wrapText="1"/>
    </xf>
    <xf numFmtId="0" fontId="29" fillId="0" borderId="88" xfId="28" applyFont="1" applyBorder="1" applyAlignment="1">
      <alignment vertical="center" wrapText="1"/>
    </xf>
    <xf numFmtId="0" fontId="48" fillId="0" borderId="83" xfId="28" applyFont="1" applyBorder="1" applyAlignment="1">
      <alignment horizontal="left" vertical="center" wrapText="1"/>
    </xf>
    <xf numFmtId="0" fontId="29" fillId="0" borderId="85" xfId="28" applyNumberFormat="1" applyFont="1" applyBorder="1" applyAlignment="1">
      <alignment horizontal="left" vertical="center" wrapText="1"/>
    </xf>
    <xf numFmtId="14" fontId="29" fillId="0" borderId="85" xfId="28" applyNumberFormat="1" applyFont="1" applyBorder="1" applyAlignment="1">
      <alignment horizontal="left" vertical="center" wrapText="1"/>
    </xf>
    <xf numFmtId="0" fontId="48" fillId="0" borderId="85" xfId="28" applyFont="1" applyBorder="1" applyAlignment="1">
      <alignment horizontal="left" vertical="center" wrapText="1"/>
    </xf>
    <xf numFmtId="14" fontId="29" fillId="0" borderId="89" xfId="28" applyNumberFormat="1" applyFont="1" applyBorder="1" applyAlignment="1">
      <alignment horizontal="left" vertical="center" wrapText="1"/>
    </xf>
    <xf numFmtId="0" fontId="29" fillId="0" borderId="84" xfId="28" applyFont="1" applyBorder="1" applyAlignment="1">
      <alignment vertical="center"/>
    </xf>
    <xf numFmtId="0" fontId="29" fillId="0" borderId="84" xfId="28" applyNumberFormat="1" applyFont="1" applyBorder="1" applyAlignment="1">
      <alignment vertical="center"/>
    </xf>
    <xf numFmtId="0" fontId="29" fillId="0" borderId="90" xfId="28" applyFont="1" applyBorder="1" applyAlignment="1">
      <alignment vertical="center"/>
    </xf>
    <xf numFmtId="0" fontId="48" fillId="0" borderId="91" xfId="28" applyFont="1" applyBorder="1" applyAlignment="1">
      <alignment horizontal="left" vertical="center" wrapText="1"/>
    </xf>
    <xf numFmtId="0" fontId="29" fillId="0" borderId="88" xfId="28" applyFont="1" applyBorder="1" applyAlignment="1">
      <alignment horizontal="left" vertical="center"/>
    </xf>
    <xf numFmtId="0" fontId="29" fillId="0" borderId="89" xfId="28" applyNumberFormat="1" applyFont="1" applyBorder="1" applyAlignment="1">
      <alignment horizontal="left" vertical="center" wrapText="1"/>
    </xf>
    <xf numFmtId="0" fontId="3" fillId="0" borderId="40" xfId="25" applyNumberFormat="1" applyFont="1" applyBorder="1" applyAlignment="1" applyProtection="1">
      <alignment vertical="center"/>
    </xf>
    <xf numFmtId="0" fontId="7" fillId="0" borderId="6" xfId="25" applyNumberFormat="1" applyFont="1" applyFill="1" applyBorder="1" applyAlignment="1" applyProtection="1">
      <alignment horizontal="center" vertical="center" wrapText="1"/>
    </xf>
    <xf numFmtId="0" fontId="3" fillId="0" borderId="0" xfId="25" applyNumberFormat="1" applyFont="1" applyBorder="1" applyAlignment="1" applyProtection="1">
      <alignment vertical="center"/>
    </xf>
    <xf numFmtId="0" fontId="0" fillId="0" borderId="0" xfId="0" applyNumberFormat="1" applyProtection="1"/>
    <xf numFmtId="0" fontId="3" fillId="0" borderId="0" xfId="25" applyNumberFormat="1" applyFont="1" applyBorder="1" applyAlignment="1" applyProtection="1">
      <alignment horizontal="center" vertical="center"/>
    </xf>
    <xf numFmtId="0" fontId="12" fillId="19" borderId="30" xfId="15" applyNumberFormat="1" applyFont="1" applyBorder="1" applyAlignment="1" applyProtection="1">
      <alignment vertical="center"/>
    </xf>
    <xf numFmtId="0" fontId="12" fillId="19" borderId="31" xfId="15" applyNumberFormat="1" applyFont="1" applyBorder="1" applyAlignment="1" applyProtection="1">
      <alignment vertical="center"/>
    </xf>
    <xf numFmtId="0" fontId="12" fillId="19" borderId="43" xfId="15" applyNumberFormat="1" applyFont="1" applyBorder="1" applyAlignment="1" applyProtection="1">
      <alignment vertical="center"/>
    </xf>
    <xf numFmtId="0" fontId="0" fillId="0" borderId="0" xfId="0" applyNumberFormat="1"/>
    <xf numFmtId="0" fontId="7" fillId="0" borderId="14" xfId="0" applyNumberFormat="1" applyFont="1" applyBorder="1" applyAlignment="1" applyProtection="1">
      <alignment horizontal="center"/>
    </xf>
    <xf numFmtId="0" fontId="7" fillId="0" borderId="15" xfId="0" applyNumberFormat="1" applyFont="1" applyBorder="1" applyAlignment="1" applyProtection="1">
      <alignment horizontal="center"/>
    </xf>
    <xf numFmtId="0" fontId="3" fillId="0" borderId="56" xfId="0" applyNumberFormat="1" applyFont="1" applyBorder="1" applyAlignment="1" applyProtection="1">
      <alignment horizontal="center" vertical="center"/>
    </xf>
    <xf numFmtId="0" fontId="3" fillId="0" borderId="56" xfId="0" applyNumberFormat="1" applyFont="1" applyBorder="1" applyAlignment="1" applyProtection="1">
      <alignment horizontal="center"/>
    </xf>
    <xf numFmtId="0" fontId="3" fillId="0" borderId="63" xfId="0" applyNumberFormat="1" applyFont="1" applyBorder="1" applyAlignment="1" applyProtection="1">
      <alignment horizontal="center"/>
    </xf>
    <xf numFmtId="0" fontId="3" fillId="0" borderId="47" xfId="25" applyNumberFormat="1" applyFont="1" applyBorder="1" applyAlignment="1" applyProtection="1">
      <alignment vertical="center"/>
    </xf>
    <xf numFmtId="0" fontId="3" fillId="0" borderId="41" xfId="25" applyNumberFormat="1" applyFont="1" applyBorder="1" applyAlignment="1" applyProtection="1">
      <alignment vertical="center"/>
    </xf>
    <xf numFmtId="0" fontId="3" fillId="0" borderId="57" xfId="0" applyNumberFormat="1" applyFont="1" applyBorder="1" applyAlignment="1" applyProtection="1">
      <alignment horizontal="center" vertical="center"/>
    </xf>
    <xf numFmtId="0" fontId="7" fillId="0" borderId="14" xfId="0" applyNumberFormat="1" applyFont="1" applyBorder="1" applyAlignment="1" applyProtection="1">
      <alignment horizontal="center" vertical="center"/>
    </xf>
    <xf numFmtId="0" fontId="3" fillId="0" borderId="0" xfId="0" applyNumberFormat="1" applyFont="1" applyAlignment="1" applyProtection="1">
      <alignment horizontal="center"/>
    </xf>
    <xf numFmtId="0" fontId="3" fillId="0" borderId="40" xfId="0" applyNumberFormat="1" applyFont="1" applyBorder="1" applyAlignment="1" applyProtection="1">
      <alignment horizontal="center" wrapText="1"/>
    </xf>
    <xf numFmtId="0" fontId="3" fillId="0" borderId="41" xfId="0" applyNumberFormat="1" applyFont="1" applyBorder="1" applyAlignment="1" applyProtection="1">
      <alignment horizontal="center" wrapText="1"/>
    </xf>
    <xf numFmtId="0" fontId="13" fillId="24" borderId="30" xfId="15" applyNumberFormat="1" applyFont="1" applyFill="1" applyBorder="1" applyProtection="1">
      <alignment horizontal="left" vertical="center"/>
    </xf>
    <xf numFmtId="0" fontId="13" fillId="24" borderId="43" xfId="15" applyNumberFormat="1" applyFont="1" applyFill="1" applyBorder="1" applyAlignment="1" applyProtection="1">
      <alignment horizontal="left" vertical="center"/>
    </xf>
    <xf numFmtId="0" fontId="13" fillId="24" borderId="43" xfId="15" applyNumberFormat="1" applyFont="1" applyFill="1" applyBorder="1" applyProtection="1">
      <alignment horizontal="left" vertical="center"/>
    </xf>
    <xf numFmtId="0" fontId="13" fillId="24" borderId="31" xfId="15" applyNumberFormat="1" applyFont="1" applyFill="1" applyBorder="1" applyAlignment="1" applyProtection="1">
      <alignment horizontal="center" vertical="center"/>
    </xf>
    <xf numFmtId="0" fontId="3" fillId="0" borderId="55" xfId="0" applyNumberFormat="1" applyFont="1" applyBorder="1" applyAlignment="1" applyProtection="1">
      <alignment horizontal="center" vertical="center"/>
    </xf>
    <xf numFmtId="0" fontId="3" fillId="5" borderId="6" xfId="25" applyNumberFormat="1" applyFont="1" applyFill="1" applyBorder="1" applyAlignment="1" applyProtection="1">
      <alignment horizontal="center" vertical="center"/>
      <protection locked="0"/>
    </xf>
    <xf numFmtId="0" fontId="3" fillId="0" borderId="41" xfId="0" applyNumberFormat="1" applyFont="1" applyBorder="1" applyAlignment="1" applyProtection="1">
      <alignment vertical="center" wrapText="1"/>
    </xf>
    <xf numFmtId="0" fontId="3" fillId="0" borderId="0" xfId="0" applyNumberFormat="1" applyFont="1" applyAlignment="1" applyProtection="1">
      <alignment wrapText="1"/>
    </xf>
    <xf numFmtId="0" fontId="3" fillId="0" borderId="0" xfId="0" applyNumberFormat="1" applyFont="1" applyAlignment="1" applyProtection="1">
      <alignment horizontal="center" vertical="center"/>
    </xf>
    <xf numFmtId="0" fontId="3" fillId="0" borderId="0" xfId="0" applyNumberFormat="1" applyFont="1" applyBorder="1" applyAlignment="1" applyProtection="1">
      <alignment horizontal="center" vertical="center"/>
    </xf>
    <xf numFmtId="0" fontId="3" fillId="7" borderId="0" xfId="0" applyNumberFormat="1" applyFont="1" applyFill="1" applyProtection="1"/>
    <xf numFmtId="0" fontId="3" fillId="7" borderId="0" xfId="0" applyNumberFormat="1" applyFont="1" applyFill="1" applyBorder="1" applyAlignment="1" applyProtection="1">
      <alignment horizontal="center" vertical="center"/>
    </xf>
    <xf numFmtId="0" fontId="33" fillId="26" borderId="25" xfId="28" applyFont="1" applyFill="1" applyBorder="1" applyAlignment="1" applyProtection="1">
      <alignment horizontal="center" vertical="center"/>
    </xf>
    <xf numFmtId="0" fontId="5" fillId="22" borderId="94" xfId="28" applyFont="1" applyFill="1" applyBorder="1" applyAlignment="1" applyProtection="1">
      <alignment horizontal="center" vertical="center"/>
    </xf>
    <xf numFmtId="166" fontId="36" fillId="23" borderId="46" xfId="38" applyNumberFormat="1" applyFont="1" applyFill="1" applyBorder="1" applyAlignment="1" applyProtection="1">
      <alignment horizontal="center" vertical="center"/>
    </xf>
    <xf numFmtId="0" fontId="33" fillId="25" borderId="46" xfId="39" applyFont="1" applyFill="1" applyBorder="1" applyAlignment="1" applyProtection="1">
      <alignment horizontal="center" vertical="center"/>
    </xf>
    <xf numFmtId="0" fontId="5" fillId="0" borderId="46" xfId="28" applyFont="1" applyFill="1" applyBorder="1" applyAlignment="1" applyProtection="1">
      <alignment horizontal="center" vertical="center"/>
    </xf>
    <xf numFmtId="0" fontId="49" fillId="27" borderId="53" xfId="0" applyFont="1" applyFill="1" applyBorder="1" applyAlignment="1" applyProtection="1">
      <alignment horizontal="center" vertical="center"/>
    </xf>
    <xf numFmtId="0" fontId="47" fillId="0" borderId="27" xfId="16" applyFont="1" applyBorder="1" applyAlignment="1" applyProtection="1">
      <alignment vertical="center"/>
      <protection locked="0"/>
    </xf>
    <xf numFmtId="0" fontId="17" fillId="0" borderId="0" xfId="16" applyFont="1" applyAlignment="1" applyProtection="1">
      <alignment vertical="center"/>
    </xf>
    <xf numFmtId="0" fontId="29" fillId="0" borderId="82" xfId="28" applyFont="1" applyBorder="1" applyAlignment="1" applyProtection="1">
      <alignment vertical="center" wrapText="1"/>
    </xf>
    <xf numFmtId="0" fontId="48" fillId="0" borderId="83" xfId="28" applyFont="1" applyBorder="1" applyAlignment="1" applyProtection="1">
      <alignment horizontal="left" vertical="center" wrapText="1"/>
    </xf>
    <xf numFmtId="0" fontId="29" fillId="0" borderId="84" xfId="28" applyFont="1" applyBorder="1" applyAlignment="1" applyProtection="1">
      <alignment vertical="center" wrapText="1"/>
    </xf>
    <xf numFmtId="0" fontId="29" fillId="0" borderId="85" xfId="28" applyNumberFormat="1" applyFont="1" applyBorder="1" applyAlignment="1" applyProtection="1">
      <alignment horizontal="left" vertical="center" wrapText="1"/>
    </xf>
    <xf numFmtId="14" fontId="29" fillId="0" borderId="85" xfId="28" applyNumberFormat="1" applyFont="1" applyBorder="1" applyAlignment="1" applyProtection="1">
      <alignment horizontal="left" vertical="center" wrapText="1"/>
    </xf>
    <xf numFmtId="0" fontId="29" fillId="0" borderId="84" xfId="28" applyNumberFormat="1" applyFont="1" applyBorder="1" applyAlignment="1" applyProtection="1">
      <alignment vertical="center" wrapText="1"/>
    </xf>
    <xf numFmtId="0" fontId="48" fillId="0" borderId="85" xfId="28" applyFont="1" applyBorder="1" applyAlignment="1" applyProtection="1">
      <alignment horizontal="left" vertical="center" wrapText="1"/>
    </xf>
    <xf numFmtId="0" fontId="29" fillId="0" borderId="86" xfId="28" applyFont="1" applyBorder="1" applyAlignment="1" applyProtection="1">
      <alignment horizontal="left" vertical="center" wrapText="1"/>
    </xf>
    <xf numFmtId="0" fontId="29" fillId="0" borderId="87" xfId="28" applyNumberFormat="1" applyFont="1" applyBorder="1" applyAlignment="1" applyProtection="1">
      <alignment horizontal="left" vertical="center" wrapText="1"/>
    </xf>
    <xf numFmtId="0" fontId="29" fillId="0" borderId="88" xfId="28" applyFont="1" applyBorder="1" applyAlignment="1" applyProtection="1">
      <alignment vertical="center" wrapText="1"/>
    </xf>
    <xf numFmtId="14" fontId="29" fillId="0" borderId="89" xfId="28" applyNumberFormat="1" applyFont="1" applyBorder="1" applyAlignment="1" applyProtection="1">
      <alignment horizontal="left" vertical="center" wrapText="1"/>
    </xf>
    <xf numFmtId="0" fontId="29" fillId="0" borderId="82" xfId="28" applyFont="1" applyBorder="1" applyAlignment="1" applyProtection="1"/>
    <xf numFmtId="0" fontId="48" fillId="0" borderId="83" xfId="28" applyFont="1" applyBorder="1" applyAlignment="1" applyProtection="1">
      <alignment horizontal="left"/>
    </xf>
    <xf numFmtId="0" fontId="29" fillId="0" borderId="84" xfId="28" applyFont="1" applyBorder="1" applyAlignment="1" applyProtection="1"/>
    <xf numFmtId="0" fontId="29" fillId="0" borderId="85" xfId="28" applyNumberFormat="1" applyFont="1" applyBorder="1" applyAlignment="1" applyProtection="1">
      <alignment horizontal="left"/>
    </xf>
    <xf numFmtId="14" fontId="29" fillId="0" borderId="85" xfId="28" applyNumberFormat="1" applyFont="1" applyBorder="1" applyAlignment="1" applyProtection="1">
      <alignment horizontal="left"/>
    </xf>
    <xf numFmtId="0" fontId="29" fillId="0" borderId="84" xfId="28" applyNumberFormat="1" applyFont="1" applyBorder="1" applyAlignment="1" applyProtection="1"/>
    <xf numFmtId="0" fontId="48" fillId="0" borderId="85" xfId="28" applyFont="1" applyBorder="1" applyAlignment="1" applyProtection="1">
      <alignment horizontal="left"/>
    </xf>
    <xf numFmtId="0" fontId="29" fillId="0" borderId="86" xfId="28" applyFont="1" applyBorder="1" applyAlignment="1" applyProtection="1">
      <alignment horizontal="left" vertical="center"/>
    </xf>
    <xf numFmtId="0" fontId="29" fillId="0" borderId="87" xfId="28" applyNumberFormat="1" applyFont="1" applyBorder="1" applyAlignment="1" applyProtection="1">
      <alignment horizontal="left" vertical="center"/>
    </xf>
    <xf numFmtId="0" fontId="29" fillId="0" borderId="88" xfId="28" applyFont="1" applyBorder="1" applyAlignment="1" applyProtection="1"/>
    <xf numFmtId="14" fontId="29" fillId="0" borderId="89" xfId="28" applyNumberFormat="1" applyFont="1" applyBorder="1" applyAlignment="1" applyProtection="1">
      <alignment horizontal="left"/>
    </xf>
    <xf numFmtId="164" fontId="9" fillId="0" borderId="47" xfId="28" applyNumberFormat="1" applyFont="1" applyBorder="1" applyAlignment="1">
      <alignment horizontal="center" wrapText="1"/>
    </xf>
    <xf numFmtId="14" fontId="14" fillId="0" borderId="95" xfId="28" applyNumberFormat="1" applyFont="1" applyBorder="1" applyAlignment="1">
      <alignment horizontal="center" wrapText="1"/>
    </xf>
    <xf numFmtId="14" fontId="8" fillId="0" borderId="0" xfId="20" applyNumberFormat="1" applyFont="1" applyFill="1" applyBorder="1" applyProtection="1">
      <alignment horizontal="center" vertical="center"/>
    </xf>
    <xf numFmtId="0" fontId="8" fillId="0" borderId="0" xfId="20" applyFont="1" applyFill="1" applyBorder="1" applyAlignment="1" applyProtection="1">
      <alignment horizontal="left" vertical="center"/>
    </xf>
    <xf numFmtId="0" fontId="3" fillId="0" borderId="40" xfId="25" applyNumberFormat="1" applyFont="1" applyBorder="1" applyAlignment="1" applyProtection="1">
      <alignment vertical="center" wrapText="1"/>
    </xf>
    <xf numFmtId="0" fontId="3" fillId="22" borderId="0" xfId="0" applyFont="1" applyFill="1" applyProtection="1"/>
    <xf numFmtId="0" fontId="3" fillId="22" borderId="0" xfId="0" applyFont="1" applyFill="1" applyAlignment="1" applyProtection="1">
      <alignment horizontal="center"/>
    </xf>
    <xf numFmtId="0" fontId="3" fillId="0" borderId="98" xfId="0" applyNumberFormat="1" applyFont="1" applyBorder="1" applyAlignment="1" applyProtection="1">
      <alignment vertical="center" wrapText="1"/>
    </xf>
    <xf numFmtId="0" fontId="3" fillId="5" borderId="76" xfId="25"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xf>
    <xf numFmtId="0" fontId="7" fillId="4" borderId="30" xfId="0" applyFont="1" applyFill="1" applyBorder="1" applyAlignment="1">
      <alignment horizontal="left"/>
    </xf>
    <xf numFmtId="0" fontId="7" fillId="4" borderId="43" xfId="0" applyFont="1" applyFill="1" applyBorder="1" applyAlignment="1">
      <alignment horizontal="left"/>
    </xf>
    <xf numFmtId="0" fontId="7" fillId="4" borderId="31" xfId="0" applyFont="1" applyFill="1" applyBorder="1" applyAlignment="1">
      <alignment horizontal="left"/>
    </xf>
    <xf numFmtId="0" fontId="3" fillId="0" borderId="0" xfId="0" applyFont="1" applyBorder="1" applyAlignment="1">
      <alignment horizontal="center"/>
    </xf>
    <xf numFmtId="0" fontId="3" fillId="0" borderId="1" xfId="0" applyFont="1" applyBorder="1"/>
    <xf numFmtId="0" fontId="3" fillId="0" borderId="42" xfId="0" applyFont="1" applyBorder="1"/>
    <xf numFmtId="0" fontId="3" fillId="0" borderId="42" xfId="0" applyFont="1" applyBorder="1" applyAlignment="1">
      <alignment horizontal="left"/>
    </xf>
    <xf numFmtId="0" fontId="3" fillId="0" borderId="46" xfId="0" applyFont="1" applyBorder="1" applyAlignment="1">
      <alignment horizontal="center"/>
    </xf>
    <xf numFmtId="0" fontId="3" fillId="0" borderId="53" xfId="0" applyFont="1" applyBorder="1"/>
    <xf numFmtId="0" fontId="3" fillId="0" borderId="46" xfId="0" applyFont="1" applyBorder="1"/>
    <xf numFmtId="0" fontId="7" fillId="0" borderId="1" xfId="0" applyFont="1" applyBorder="1" applyAlignment="1">
      <alignment horizontal="center" vertical="center"/>
    </xf>
    <xf numFmtId="0" fontId="3" fillId="0" borderId="0" xfId="0" applyFont="1" applyAlignment="1">
      <alignment wrapText="1"/>
    </xf>
    <xf numFmtId="0" fontId="7" fillId="0" borderId="61" xfId="0" applyFont="1" applyBorder="1" applyAlignment="1">
      <alignment horizontal="center" vertical="center"/>
    </xf>
    <xf numFmtId="0" fontId="3" fillId="24" borderId="43" xfId="0" applyFont="1" applyFill="1" applyBorder="1"/>
    <xf numFmtId="0" fontId="3" fillId="24" borderId="31" xfId="0" applyFont="1" applyFill="1" applyBorder="1"/>
    <xf numFmtId="0" fontId="7" fillId="24" borderId="30" xfId="0" applyFont="1" applyFill="1" applyBorder="1" applyAlignment="1"/>
    <xf numFmtId="0" fontId="7" fillId="24" borderId="43" xfId="0" applyFont="1" applyFill="1" applyBorder="1" applyAlignment="1"/>
    <xf numFmtId="0" fontId="7" fillId="24" borderId="31" xfId="0" applyFont="1" applyFill="1" applyBorder="1" applyAlignment="1"/>
    <xf numFmtId="0" fontId="7" fillId="0" borderId="10" xfId="0" applyFont="1" applyBorder="1" applyAlignment="1">
      <alignment horizontal="center" vertical="center" wrapText="1"/>
    </xf>
    <xf numFmtId="2" fontId="3" fillId="0" borderId="1" xfId="0" applyNumberFormat="1" applyFont="1" applyBorder="1" applyAlignment="1">
      <alignment horizontal="center" vertical="center"/>
    </xf>
    <xf numFmtId="2" fontId="3" fillId="0" borderId="11" xfId="0" applyNumberFormat="1" applyFont="1" applyBorder="1" applyAlignment="1">
      <alignment horizontal="center" vertical="center"/>
    </xf>
    <xf numFmtId="0" fontId="3" fillId="0" borderId="4" xfId="0" applyFont="1" applyBorder="1"/>
    <xf numFmtId="0" fontId="3" fillId="0" borderId="3" xfId="0" applyFont="1" applyBorder="1" applyAlignment="1">
      <alignment horizontal="center" vertical="center"/>
    </xf>
    <xf numFmtId="2" fontId="3" fillId="0" borderId="10" xfId="0" applyNumberFormat="1" applyFont="1" applyBorder="1" applyAlignment="1">
      <alignment horizontal="center" vertical="center"/>
    </xf>
    <xf numFmtId="0" fontId="3" fillId="0" borderId="4" xfId="0" applyFont="1" applyBorder="1" applyAlignment="1">
      <alignment horizontal="center" vertical="center"/>
    </xf>
    <xf numFmtId="2" fontId="3" fillId="0" borderId="12" xfId="0" applyNumberFormat="1" applyFont="1" applyBorder="1" applyAlignment="1">
      <alignment horizontal="center" vertical="center"/>
    </xf>
    <xf numFmtId="0" fontId="7" fillId="0" borderId="23" xfId="0" applyFont="1" applyBorder="1" applyAlignment="1">
      <alignment horizontal="center" vertical="center"/>
    </xf>
    <xf numFmtId="0" fontId="7" fillId="0" borderId="61" xfId="0" applyFont="1" applyBorder="1" applyAlignment="1">
      <alignment vertical="center" wrapText="1"/>
    </xf>
    <xf numFmtId="0" fontId="7" fillId="0" borderId="24" xfId="0" applyFont="1" applyBorder="1" applyAlignment="1">
      <alignment horizontal="center" vertical="center" wrapText="1"/>
    </xf>
    <xf numFmtId="0" fontId="3" fillId="0" borderId="13" xfId="0" applyFont="1" applyBorder="1" applyAlignment="1">
      <alignment horizontal="center"/>
    </xf>
    <xf numFmtId="0" fontId="3" fillId="0" borderId="14" xfId="0" applyFont="1" applyBorder="1" applyAlignment="1">
      <alignment horizontal="center"/>
    </xf>
    <xf numFmtId="2" fontId="3" fillId="0" borderId="14" xfId="0" applyNumberFormat="1" applyFont="1" applyBorder="1" applyAlignment="1">
      <alignment horizontal="center" vertical="center"/>
    </xf>
    <xf numFmtId="0" fontId="33" fillId="25" borderId="15" xfId="0" applyFont="1" applyFill="1" applyBorder="1" applyAlignment="1">
      <alignment horizontal="center"/>
    </xf>
    <xf numFmtId="0" fontId="7" fillId="0" borderId="24" xfId="0" applyFont="1" applyBorder="1" applyAlignment="1">
      <alignment horizontal="center" vertical="center"/>
    </xf>
    <xf numFmtId="0" fontId="3" fillId="0" borderId="13" xfId="0" applyFont="1" applyBorder="1" applyAlignment="1">
      <alignment horizontal="center" vertical="center"/>
    </xf>
    <xf numFmtId="2" fontId="3" fillId="0" borderId="15" xfId="0" applyNumberFormat="1" applyFont="1" applyBorder="1" applyAlignment="1">
      <alignment horizontal="center" vertical="center"/>
    </xf>
    <xf numFmtId="0" fontId="3" fillId="0" borderId="13" xfId="0" applyFont="1" applyBorder="1" applyAlignment="1">
      <alignment horizontal="left" vertical="top" wrapText="1"/>
    </xf>
    <xf numFmtId="0" fontId="3" fillId="0" borderId="4" xfId="0" applyFont="1" applyBorder="1" applyAlignment="1">
      <alignment horizontal="left" vertical="top" wrapText="1"/>
    </xf>
    <xf numFmtId="0" fontId="3" fillId="0" borderId="13" xfId="0" applyFont="1" applyBorder="1"/>
    <xf numFmtId="0" fontId="7" fillId="0" borderId="92" xfId="0" applyFont="1" applyBorder="1" applyAlignment="1">
      <alignment horizontal="center"/>
    </xf>
    <xf numFmtId="0" fontId="7" fillId="0" borderId="24" xfId="0" applyFont="1" applyBorder="1" applyAlignment="1">
      <alignment horizontal="center"/>
    </xf>
    <xf numFmtId="2" fontId="3" fillId="0" borderId="14" xfId="0" applyNumberFormat="1" applyFont="1" applyBorder="1" applyAlignment="1">
      <alignment horizontal="center"/>
    </xf>
    <xf numFmtId="164" fontId="3" fillId="0" borderId="14" xfId="0" applyNumberFormat="1" applyFont="1" applyBorder="1" applyAlignment="1">
      <alignment horizontal="center"/>
    </xf>
    <xf numFmtId="2" fontId="3" fillId="0" borderId="15" xfId="0" applyNumberFormat="1" applyFont="1" applyBorder="1" applyAlignment="1">
      <alignment horizontal="center"/>
    </xf>
    <xf numFmtId="0" fontId="3" fillId="0" borderId="1" xfId="0" applyFont="1" applyBorder="1" applyAlignment="1">
      <alignment horizontal="center" vertical="center" wrapText="1"/>
    </xf>
    <xf numFmtId="0" fontId="3" fillId="28" borderId="1" xfId="0" applyFont="1" applyFill="1" applyBorder="1" applyAlignment="1">
      <alignment horizontal="center" vertical="center"/>
    </xf>
    <xf numFmtId="0" fontId="3" fillId="28" borderId="10" xfId="0" applyFont="1" applyFill="1" applyBorder="1" applyAlignment="1">
      <alignment horizontal="center" vertical="center"/>
    </xf>
    <xf numFmtId="0" fontId="3" fillId="0" borderId="3" xfId="0" applyFont="1" applyBorder="1" applyAlignment="1">
      <alignment horizontal="left" vertical="top" wrapText="1"/>
    </xf>
    <xf numFmtId="0" fontId="3" fillId="0" borderId="42" xfId="0" applyFont="1" applyBorder="1" applyAlignment="1">
      <alignment wrapText="1"/>
    </xf>
    <xf numFmtId="0" fontId="7" fillId="0" borderId="23" xfId="0" applyFont="1" applyBorder="1"/>
    <xf numFmtId="0" fontId="3" fillId="28" borderId="14" xfId="0" applyFont="1" applyFill="1" applyBorder="1" applyAlignment="1">
      <alignment horizontal="center" vertical="center"/>
    </xf>
    <xf numFmtId="0" fontId="3" fillId="28" borderId="11" xfId="0" applyFont="1" applyFill="1" applyBorder="1" applyAlignment="1">
      <alignment horizontal="center" vertical="center"/>
    </xf>
    <xf numFmtId="0" fontId="3" fillId="28" borderId="12" xfId="0" applyFont="1" applyFill="1" applyBorder="1" applyAlignment="1">
      <alignment horizontal="center" vertical="center"/>
    </xf>
    <xf numFmtId="0" fontId="7" fillId="0" borderId="42" xfId="0" applyFont="1" applyBorder="1"/>
    <xf numFmtId="0" fontId="3" fillId="0" borderId="1" xfId="0" applyFont="1" applyBorder="1" applyAlignment="1">
      <alignment vertical="center"/>
    </xf>
    <xf numFmtId="0" fontId="3" fillId="0" borderId="10" xfId="0" applyFont="1" applyBorder="1" applyAlignment="1">
      <alignment horizontal="left" vertical="top"/>
    </xf>
    <xf numFmtId="0" fontId="3" fillId="0" borderId="12" xfId="0" applyFont="1" applyBorder="1" applyAlignment="1">
      <alignment horizontal="left" vertical="top"/>
    </xf>
    <xf numFmtId="0" fontId="3" fillId="4" borderId="43" xfId="0" applyFont="1" applyFill="1" applyBorder="1" applyAlignment="1">
      <alignment horizontal="centerContinuous"/>
    </xf>
    <xf numFmtId="0" fontId="3" fillId="4" borderId="31" xfId="0" applyFont="1" applyFill="1" applyBorder="1" applyAlignment="1">
      <alignment horizontal="centerContinuous"/>
    </xf>
    <xf numFmtId="0" fontId="7" fillId="0" borderId="23" xfId="0" applyFont="1" applyBorder="1" applyAlignment="1">
      <alignment horizontal="center"/>
    </xf>
    <xf numFmtId="0" fontId="7" fillId="0" borderId="61" xfId="0" applyFont="1" applyBorder="1" applyAlignment="1">
      <alignment horizontal="center"/>
    </xf>
    <xf numFmtId="3" fontId="3" fillId="0" borderId="13" xfId="0" applyNumberFormat="1" applyFont="1" applyBorder="1" applyAlignment="1">
      <alignment horizontal="center"/>
    </xf>
    <xf numFmtId="3" fontId="3" fillId="0" borderId="14" xfId="0" applyNumberFormat="1" applyFont="1" applyBorder="1" applyAlignment="1">
      <alignment horizontal="center"/>
    </xf>
    <xf numFmtId="0" fontId="3" fillId="0" borderId="15" xfId="0" applyFont="1" applyBorder="1" applyAlignment="1">
      <alignment horizontal="left" vertical="top"/>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0" borderId="13" xfId="0" applyFont="1" applyBorder="1"/>
    <xf numFmtId="0" fontId="7" fillId="0" borderId="11" xfId="0" applyFont="1" applyBorder="1" applyAlignment="1">
      <alignment horizontal="center" vertical="center"/>
    </xf>
    <xf numFmtId="2" fontId="3" fillId="0" borderId="1" xfId="0" applyNumberFormat="1" applyFont="1" applyBorder="1"/>
    <xf numFmtId="0" fontId="7" fillId="0" borderId="1" xfId="0" applyFont="1" applyBorder="1" applyAlignment="1">
      <alignment horizontal="center" vertical="center" wrapText="1"/>
    </xf>
    <xf numFmtId="0" fontId="3" fillId="0" borderId="10" xfId="0" applyFont="1" applyBorder="1"/>
    <xf numFmtId="0" fontId="7" fillId="0" borderId="61" xfId="0" applyFont="1" applyBorder="1"/>
    <xf numFmtId="0" fontId="7" fillId="0" borderId="24" xfId="0" applyFont="1" applyBorder="1"/>
    <xf numFmtId="0" fontId="3" fillId="0" borderId="14" xfId="0" applyFont="1" applyBorder="1"/>
    <xf numFmtId="2" fontId="3" fillId="0" borderId="14" xfId="0" applyNumberFormat="1" applyFont="1" applyBorder="1"/>
    <xf numFmtId="0" fontId="3" fillId="0" borderId="15" xfId="0" applyFont="1" applyBorder="1"/>
    <xf numFmtId="0" fontId="3" fillId="0" borderId="11" xfId="0" applyFont="1" applyBorder="1"/>
    <xf numFmtId="2" fontId="3" fillId="0" borderId="11" xfId="0" applyNumberFormat="1" applyFont="1" applyBorder="1"/>
    <xf numFmtId="0" fontId="3" fillId="0" borderId="12" xfId="0" applyFont="1" applyBorder="1"/>
    <xf numFmtId="0" fontId="7" fillId="0" borderId="61" xfId="0" applyFont="1" applyBorder="1" applyAlignment="1">
      <alignment horizontal="center" vertical="center" wrapText="1"/>
    </xf>
    <xf numFmtId="0" fontId="3" fillId="28" borderId="73" xfId="0" applyFont="1" applyFill="1" applyBorder="1" applyAlignment="1">
      <alignment horizontal="center" vertical="center"/>
    </xf>
    <xf numFmtId="0" fontId="3" fillId="0" borderId="64" xfId="0" applyFont="1" applyBorder="1" applyAlignment="1">
      <alignment horizontal="center" vertical="center"/>
    </xf>
    <xf numFmtId="0" fontId="3" fillId="28" borderId="64" xfId="0" applyFont="1" applyFill="1" applyBorder="1" applyAlignment="1">
      <alignment horizontal="center" vertical="center"/>
    </xf>
    <xf numFmtId="0" fontId="5" fillId="5" borderId="7" xfId="20" applyFont="1" applyFill="1" applyBorder="1" applyAlignment="1" applyProtection="1">
      <alignment horizontal="left" vertical="center"/>
      <protection locked="0"/>
    </xf>
    <xf numFmtId="0" fontId="3" fillId="0" borderId="0" xfId="0" applyFont="1" applyAlignment="1">
      <alignment horizontal="center" wrapText="1"/>
    </xf>
    <xf numFmtId="0" fontId="3" fillId="7" borderId="0" xfId="0" applyFont="1" applyFill="1" applyAlignment="1">
      <alignment wrapText="1"/>
    </xf>
    <xf numFmtId="0" fontId="7" fillId="0" borderId="101" xfId="0" applyFont="1" applyBorder="1" applyAlignment="1">
      <alignment horizontal="center" vertical="center"/>
    </xf>
    <xf numFmtId="0" fontId="33" fillId="25" borderId="93" xfId="0" applyFont="1" applyFill="1" applyBorder="1" applyAlignment="1">
      <alignment horizontal="center" vertical="center"/>
    </xf>
    <xf numFmtId="0" fontId="33" fillId="25" borderId="78" xfId="0" applyFont="1" applyFill="1" applyBorder="1" applyAlignment="1">
      <alignment horizontal="center" vertical="center"/>
    </xf>
    <xf numFmtId="0" fontId="33" fillId="25" borderId="100" xfId="0" applyFont="1" applyFill="1" applyBorder="1" applyAlignment="1">
      <alignment horizontal="center" vertical="center"/>
    </xf>
    <xf numFmtId="0" fontId="7" fillId="0" borderId="77" xfId="0" applyFont="1" applyBorder="1"/>
    <xf numFmtId="0" fontId="3" fillId="0" borderId="103" xfId="28" applyFont="1" applyBorder="1" applyAlignment="1">
      <alignment vertical="center"/>
    </xf>
    <xf numFmtId="0" fontId="8" fillId="8" borderId="10" xfId="20" applyFont="1" applyFill="1" applyBorder="1" applyAlignment="1" applyProtection="1">
      <alignment horizontal="center" vertical="center"/>
    </xf>
    <xf numFmtId="0" fontId="3" fillId="0" borderId="105" xfId="0" applyNumberFormat="1" applyFont="1" applyBorder="1" applyAlignment="1" applyProtection="1">
      <alignment horizontal="center" wrapText="1"/>
    </xf>
    <xf numFmtId="0" fontId="3" fillId="0" borderId="5" xfId="0" applyFont="1" applyBorder="1" applyAlignment="1" applyProtection="1">
      <alignment horizontal="right" wrapText="1"/>
    </xf>
    <xf numFmtId="0" fontId="33" fillId="29" borderId="46" xfId="28" applyFont="1" applyFill="1" applyBorder="1" applyAlignment="1" applyProtection="1">
      <alignment horizontal="center" vertical="center"/>
    </xf>
    <xf numFmtId="0" fontId="3" fillId="0" borderId="0" xfId="25" applyNumberFormat="1" applyFont="1" applyFill="1" applyBorder="1" applyAlignment="1" applyProtection="1">
      <alignment horizontal="center" vertical="center"/>
      <protection locked="0"/>
    </xf>
    <xf numFmtId="0" fontId="3" fillId="0" borderId="106" xfId="0" applyNumberFormat="1" applyFont="1" applyBorder="1" applyAlignment="1" applyProtection="1">
      <alignment vertical="center" wrapText="1"/>
    </xf>
    <xf numFmtId="0" fontId="3" fillId="0" borderId="108" xfId="25" applyNumberFormat="1" applyFont="1" applyBorder="1" applyAlignment="1" applyProtection="1">
      <alignment vertical="center" wrapText="1"/>
    </xf>
    <xf numFmtId="0" fontId="3" fillId="0" borderId="109" xfId="0" applyNumberFormat="1" applyFont="1" applyBorder="1" applyAlignment="1" applyProtection="1">
      <alignment horizontal="center" vertical="center"/>
    </xf>
    <xf numFmtId="0" fontId="7" fillId="0" borderId="5" xfId="0" applyNumberFormat="1" applyFont="1" applyBorder="1" applyAlignment="1" applyProtection="1">
      <alignment horizontal="center" wrapText="1"/>
    </xf>
    <xf numFmtId="0" fontId="7" fillId="0" borderId="6" xfId="0" applyNumberFormat="1" applyFont="1" applyBorder="1" applyAlignment="1" applyProtection="1">
      <alignment horizontal="center" vertical="center"/>
    </xf>
    <xf numFmtId="0" fontId="7" fillId="0" borderId="6" xfId="0" applyNumberFormat="1" applyFont="1" applyBorder="1" applyAlignment="1" applyProtection="1">
      <alignment horizontal="center"/>
    </xf>
    <xf numFmtId="0" fontId="3" fillId="0" borderId="110" xfId="0" applyNumberFormat="1" applyFont="1" applyBorder="1" applyAlignment="1" applyProtection="1">
      <alignment horizontal="center" vertical="center"/>
    </xf>
    <xf numFmtId="0" fontId="3" fillId="0" borderId="0" xfId="0" applyFont="1" applyBorder="1" applyProtection="1"/>
    <xf numFmtId="0" fontId="3" fillId="0" borderId="42" xfId="0" applyFont="1" applyBorder="1" applyAlignment="1" applyProtection="1">
      <alignment wrapText="1"/>
    </xf>
    <xf numFmtId="0" fontId="3" fillId="0" borderId="42" xfId="0" applyFont="1" applyBorder="1" applyProtection="1"/>
    <xf numFmtId="0" fontId="3" fillId="0" borderId="46" xfId="0" applyFont="1" applyBorder="1" applyProtection="1"/>
    <xf numFmtId="0" fontId="0" fillId="0" borderId="42" xfId="0" applyNumberFormat="1" applyBorder="1" applyProtection="1"/>
    <xf numFmtId="0" fontId="0" fillId="0" borderId="0" xfId="0" applyNumberFormat="1" applyBorder="1" applyProtection="1"/>
    <xf numFmtId="0" fontId="3" fillId="0" borderId="107" xfId="0" applyFont="1" applyBorder="1" applyAlignment="1" applyProtection="1">
      <alignment horizontal="left" vertical="top" wrapText="1"/>
    </xf>
    <xf numFmtId="0" fontId="3" fillId="0" borderId="42" xfId="0" applyNumberFormat="1" applyFont="1" applyBorder="1" applyAlignment="1" applyProtection="1">
      <alignment wrapText="1"/>
    </xf>
    <xf numFmtId="0" fontId="3" fillId="0" borderId="0" xfId="0" applyNumberFormat="1" applyFont="1" applyBorder="1" applyAlignment="1" applyProtection="1">
      <alignment horizontal="center"/>
    </xf>
    <xf numFmtId="0" fontId="3" fillId="0" borderId="106" xfId="0" applyNumberFormat="1" applyFont="1" applyBorder="1" applyAlignment="1" applyProtection="1">
      <alignment wrapText="1"/>
    </xf>
    <xf numFmtId="0" fontId="7" fillId="0" borderId="1" xfId="0" applyFont="1" applyBorder="1" applyAlignment="1" applyProtection="1">
      <alignment horizontal="center" vertical="center" wrapText="1"/>
    </xf>
    <xf numFmtId="0" fontId="3" fillId="0" borderId="42" xfId="0" applyNumberFormat="1" applyFont="1" applyBorder="1" applyAlignment="1" applyProtection="1">
      <alignment vertical="center" wrapText="1"/>
    </xf>
    <xf numFmtId="0" fontId="3" fillId="0" borderId="106" xfId="25" applyNumberFormat="1" applyFont="1" applyBorder="1" applyAlignment="1" applyProtection="1">
      <alignment vertical="center"/>
    </xf>
    <xf numFmtId="0" fontId="3" fillId="0" borderId="110" xfId="0" applyNumberFormat="1" applyFont="1" applyBorder="1" applyAlignment="1" applyProtection="1">
      <alignment horizontal="center"/>
    </xf>
    <xf numFmtId="0" fontId="7" fillId="0" borderId="1" xfId="0" applyFont="1" applyBorder="1" applyAlignment="1" applyProtection="1">
      <alignment horizontal="center" vertical="center"/>
    </xf>
    <xf numFmtId="0" fontId="7" fillId="0" borderId="3" xfId="0" applyFont="1" applyBorder="1" applyAlignment="1" applyProtection="1">
      <alignment horizontal="right"/>
    </xf>
    <xf numFmtId="0" fontId="3" fillId="0" borderId="112" xfId="0" applyFont="1" applyBorder="1" applyAlignment="1" applyProtection="1">
      <alignment horizontal="right" vertical="top"/>
    </xf>
    <xf numFmtId="0" fontId="3" fillId="0" borderId="42" xfId="0" applyFont="1" applyBorder="1" applyAlignment="1" applyProtection="1">
      <alignment horizontal="right" vertical="top"/>
    </xf>
    <xf numFmtId="0" fontId="3" fillId="0" borderId="107" xfId="0" applyFont="1" applyBorder="1" applyAlignment="1" applyProtection="1">
      <alignment horizontal="right" vertical="top"/>
    </xf>
    <xf numFmtId="0" fontId="3" fillId="0" borderId="42" xfId="0" applyFont="1" applyBorder="1" applyAlignment="1" applyProtection="1">
      <alignment horizontal="right"/>
    </xf>
    <xf numFmtId="0" fontId="3" fillId="0" borderId="113" xfId="0" applyFont="1" applyBorder="1" applyAlignment="1" applyProtection="1">
      <alignment horizontal="right"/>
    </xf>
    <xf numFmtId="0" fontId="3" fillId="0" borderId="114" xfId="0" applyFont="1" applyBorder="1" applyAlignment="1" applyProtection="1">
      <alignment horizontal="right"/>
    </xf>
    <xf numFmtId="0" fontId="3" fillId="0" borderId="105" xfId="25" applyNumberFormat="1" applyFont="1" applyBorder="1" applyAlignment="1" applyProtection="1">
      <alignment vertical="center"/>
    </xf>
    <xf numFmtId="0" fontId="33" fillId="29" borderId="1" xfId="0" applyFont="1" applyFill="1" applyBorder="1" applyAlignment="1" applyProtection="1">
      <alignment horizontal="center" vertical="center" wrapText="1"/>
    </xf>
    <xf numFmtId="0" fontId="4" fillId="0" borderId="0" xfId="0" applyFont="1" applyBorder="1" applyAlignment="1" applyProtection="1">
      <alignment wrapText="1"/>
    </xf>
    <xf numFmtId="0" fontId="3" fillId="0" borderId="115" xfId="25" applyNumberFormat="1" applyFont="1" applyBorder="1" applyAlignment="1" applyProtection="1">
      <alignment vertical="center"/>
    </xf>
    <xf numFmtId="0" fontId="3" fillId="0" borderId="116" xfId="0" applyNumberFormat="1" applyFont="1" applyBorder="1" applyAlignment="1" applyProtection="1">
      <alignment horizontal="center" vertical="center"/>
    </xf>
    <xf numFmtId="0" fontId="3" fillId="0" borderId="115" xfId="0" applyNumberFormat="1" applyFont="1" applyBorder="1" applyAlignment="1" applyProtection="1">
      <alignment vertical="center" wrapText="1"/>
    </xf>
    <xf numFmtId="0" fontId="3" fillId="0" borderId="42" xfId="25" applyNumberFormat="1" applyFont="1" applyFill="1" applyBorder="1" applyAlignment="1" applyProtection="1">
      <alignment vertical="center"/>
    </xf>
    <xf numFmtId="0" fontId="3" fillId="0" borderId="118" xfId="0" applyNumberFormat="1" applyFont="1" applyBorder="1" applyAlignment="1" applyProtection="1">
      <alignment horizontal="center" vertical="center"/>
    </xf>
    <xf numFmtId="0" fontId="3" fillId="0" borderId="1" xfId="0" applyNumberFormat="1" applyFont="1" applyBorder="1" applyAlignment="1" applyProtection="1">
      <alignment horizontal="center"/>
    </xf>
    <xf numFmtId="0" fontId="3" fillId="0" borderId="3" xfId="0" applyNumberFormat="1" applyFont="1" applyBorder="1" applyAlignment="1" applyProtection="1">
      <alignment wrapText="1"/>
    </xf>
    <xf numFmtId="0" fontId="7" fillId="0" borderId="3" xfId="0" applyFont="1" applyBorder="1" applyAlignment="1" applyProtection="1">
      <alignment horizontal="center" wrapText="1"/>
    </xf>
    <xf numFmtId="0" fontId="3" fillId="0" borderId="20" xfId="0" applyNumberFormat="1" applyFont="1" applyBorder="1" applyAlignment="1" applyProtection="1">
      <alignment horizontal="center"/>
    </xf>
    <xf numFmtId="0" fontId="3" fillId="0" borderId="0" xfId="28" applyFont="1" applyBorder="1" applyAlignment="1" applyProtection="1">
      <alignment vertical="center"/>
    </xf>
    <xf numFmtId="14" fontId="5" fillId="5" borderId="1" xfId="20" applyNumberFormat="1" applyFont="1" applyFill="1" applyBorder="1" applyAlignment="1" applyProtection="1">
      <alignment horizontal="center" vertical="center" wrapText="1"/>
      <protection locked="0"/>
    </xf>
    <xf numFmtId="0" fontId="8" fillId="8" borderId="12" xfId="20" applyNumberFormat="1" applyFont="1" applyFill="1" applyBorder="1" applyAlignment="1" applyProtection="1">
      <alignment horizontal="center" vertical="center"/>
    </xf>
    <xf numFmtId="14" fontId="36" fillId="23" borderId="10" xfId="0" applyNumberFormat="1" applyFont="1" applyFill="1" applyBorder="1" applyAlignment="1" applyProtection="1">
      <alignment horizontal="center" vertical="center"/>
      <protection locked="0"/>
    </xf>
    <xf numFmtId="14" fontId="36" fillId="23" borderId="12" xfId="0" applyNumberFormat="1" applyFont="1" applyFill="1" applyBorder="1" applyAlignment="1" applyProtection="1">
      <alignment horizontal="center" vertical="center"/>
      <protection locked="0"/>
    </xf>
    <xf numFmtId="0" fontId="21" fillId="5" borderId="44" xfId="20" applyFont="1" applyFill="1" applyBorder="1" applyAlignment="1" applyProtection="1">
      <alignment horizontal="center" vertical="center"/>
      <protection locked="0"/>
    </xf>
    <xf numFmtId="0" fontId="21" fillId="5" borderId="45" xfId="20" applyFont="1" applyFill="1" applyBorder="1" applyAlignment="1" applyProtection="1">
      <alignment horizontal="center" vertical="center"/>
      <protection locked="0"/>
    </xf>
    <xf numFmtId="0" fontId="5" fillId="5" borderId="10" xfId="20" applyFont="1" applyFill="1" applyBorder="1" applyAlignment="1" applyProtection="1">
      <alignment horizontal="center" vertical="center"/>
      <protection locked="0"/>
    </xf>
    <xf numFmtId="14" fontId="5" fillId="5" borderId="11" xfId="20" applyNumberFormat="1" applyFont="1" applyFill="1" applyBorder="1" applyAlignment="1" applyProtection="1">
      <alignment horizontal="center" vertical="center" wrapText="1"/>
      <protection locked="0"/>
    </xf>
    <xf numFmtId="0" fontId="5" fillId="5" borderId="48" xfId="20" applyFont="1" applyFill="1" applyBorder="1" applyAlignment="1" applyProtection="1">
      <alignment horizontal="center" vertical="center" wrapText="1"/>
      <protection locked="0"/>
    </xf>
    <xf numFmtId="0" fontId="5" fillId="5" borderId="69" xfId="20" applyFont="1" applyFill="1" applyBorder="1" applyAlignment="1" applyProtection="1">
      <alignment horizontal="center" vertical="center" wrapText="1"/>
      <protection locked="0"/>
    </xf>
    <xf numFmtId="0" fontId="8" fillId="29" borderId="12" xfId="25" applyNumberFormat="1" applyFont="1" applyFill="1" applyBorder="1" applyAlignment="1" applyProtection="1">
      <alignment horizontal="center" vertical="center"/>
    </xf>
    <xf numFmtId="0" fontId="12" fillId="19" borderId="18" xfId="15" applyFont="1" applyBorder="1" applyAlignment="1" applyProtection="1">
      <alignment vertical="center"/>
    </xf>
    <xf numFmtId="0" fontId="12" fillId="19" borderId="17" xfId="15" applyFont="1" applyBorder="1" applyAlignment="1" applyProtection="1">
      <alignment vertical="center"/>
    </xf>
    <xf numFmtId="0" fontId="12" fillId="19" borderId="25" xfId="15" applyFont="1" applyBorder="1" applyAlignment="1" applyProtection="1">
      <alignment vertical="center"/>
    </xf>
    <xf numFmtId="0" fontId="8" fillId="29" borderId="1" xfId="25" applyNumberFormat="1" applyFont="1" applyFill="1" applyBorder="1" applyAlignment="1" applyProtection="1">
      <alignment horizontal="center" vertical="center"/>
    </xf>
    <xf numFmtId="0" fontId="3" fillId="0" borderId="120" xfId="28" applyFont="1" applyBorder="1" applyAlignment="1">
      <alignment vertical="center"/>
    </xf>
    <xf numFmtId="0" fontId="3" fillId="5" borderId="69" xfId="25" applyNumberFormat="1" applyFont="1" applyFill="1" applyBorder="1" applyAlignment="1" applyProtection="1">
      <alignment horizontal="center" vertical="center"/>
      <protection locked="0"/>
    </xf>
    <xf numFmtId="0" fontId="12" fillId="19" borderId="18" xfId="15" applyNumberFormat="1" applyFont="1" applyBorder="1" applyAlignment="1" applyProtection="1">
      <alignment vertical="center"/>
    </xf>
    <xf numFmtId="0" fontId="12" fillId="19" borderId="17" xfId="15" applyNumberFormat="1" applyFont="1" applyBorder="1" applyAlignment="1" applyProtection="1">
      <alignment vertical="center"/>
    </xf>
    <xf numFmtId="0" fontId="12" fillId="19" borderId="25" xfId="15" applyNumberFormat="1" applyFont="1" applyBorder="1" applyAlignment="1" applyProtection="1">
      <alignment vertical="center"/>
    </xf>
    <xf numFmtId="0" fontId="0" fillId="0" borderId="0" xfId="0" applyBorder="1" applyProtection="1"/>
    <xf numFmtId="0" fontId="33" fillId="25" borderId="1" xfId="0" applyFont="1" applyFill="1" applyBorder="1" applyAlignment="1" applyProtection="1">
      <alignment horizontal="center" vertical="center"/>
    </xf>
    <xf numFmtId="0" fontId="7" fillId="24" borderId="30" xfId="0" applyFont="1" applyFill="1" applyBorder="1" applyAlignment="1" applyProtection="1">
      <alignment horizontal="left" vertical="top"/>
    </xf>
    <xf numFmtId="0" fontId="7" fillId="24" borderId="43" xfId="0" applyFont="1" applyFill="1" applyBorder="1" applyAlignment="1" applyProtection="1">
      <alignment horizontal="centerContinuous"/>
    </xf>
    <xf numFmtId="0" fontId="5" fillId="5" borderId="1" xfId="20" applyFont="1" applyFill="1" applyBorder="1" applyAlignment="1" applyProtection="1">
      <alignment horizontal="center" vertical="center"/>
      <protection locked="0"/>
    </xf>
    <xf numFmtId="167" fontId="8" fillId="8" borderId="1" xfId="20" applyNumberFormat="1" applyFont="1" applyFill="1" applyBorder="1" applyAlignment="1" applyProtection="1">
      <alignment horizontal="center" vertical="center" wrapText="1"/>
    </xf>
    <xf numFmtId="2" fontId="8" fillId="8" borderId="1" xfId="20" applyNumberFormat="1" applyFont="1" applyFill="1" applyBorder="1" applyAlignment="1" applyProtection="1">
      <alignment horizontal="center" vertical="center" wrapText="1"/>
    </xf>
    <xf numFmtId="164" fontId="8" fillId="8" borderId="1" xfId="20" applyNumberFormat="1" applyFont="1" applyFill="1" applyBorder="1" applyAlignment="1" applyProtection="1">
      <alignment horizontal="center" vertical="center" wrapText="1"/>
    </xf>
    <xf numFmtId="2" fontId="8" fillId="25" borderId="1" xfId="20" applyNumberFormat="1" applyFont="1" applyFill="1" applyBorder="1" applyAlignment="1" applyProtection="1">
      <alignment horizontal="center" vertical="center" wrapText="1"/>
    </xf>
    <xf numFmtId="0" fontId="8" fillId="25" borderId="76" xfId="20" applyNumberFormat="1" applyFont="1" applyFill="1" applyBorder="1" applyAlignment="1" applyProtection="1">
      <alignment horizontal="center" vertical="center" wrapText="1"/>
    </xf>
    <xf numFmtId="0" fontId="8" fillId="0" borderId="0" xfId="20" applyNumberFormat="1" applyFont="1" applyFill="1" applyBorder="1" applyAlignment="1" applyProtection="1">
      <alignment horizontal="center" vertical="center" wrapText="1"/>
    </xf>
    <xf numFmtId="0" fontId="3" fillId="0" borderId="126" xfId="0" applyFont="1" applyBorder="1" applyAlignment="1" applyProtection="1">
      <alignment horizontal="center" vertical="center"/>
    </xf>
    <xf numFmtId="0" fontId="3" fillId="0" borderId="127" xfId="0" applyFont="1" applyBorder="1" applyAlignment="1" applyProtection="1">
      <alignment horizontal="center" vertical="center"/>
    </xf>
    <xf numFmtId="0" fontId="3" fillId="0" borderId="54" xfId="0" applyFont="1" applyFill="1" applyBorder="1" applyAlignment="1" applyProtection="1">
      <alignment horizontal="center" vertical="center"/>
    </xf>
    <xf numFmtId="167" fontId="8" fillId="0" borderId="0" xfId="20" applyNumberFormat="1" applyFont="1" applyFill="1" applyBorder="1" applyAlignment="1" applyProtection="1">
      <alignment horizontal="center" vertical="center" wrapText="1"/>
    </xf>
    <xf numFmtId="0" fontId="8" fillId="8" borderId="48" xfId="20" applyNumberFormat="1" applyFont="1" applyFill="1" applyBorder="1" applyAlignment="1" applyProtection="1">
      <alignment horizontal="center" vertical="center" wrapText="1"/>
    </xf>
    <xf numFmtId="167" fontId="8" fillId="8" borderId="61" xfId="20" applyNumberFormat="1" applyFont="1" applyFill="1" applyBorder="1" applyAlignment="1" applyProtection="1">
      <alignment horizontal="center" vertical="center" wrapText="1"/>
    </xf>
    <xf numFmtId="0" fontId="7" fillId="0" borderId="6" xfId="0" applyFont="1" applyBorder="1" applyAlignment="1">
      <alignment horizontal="center" vertical="center"/>
    </xf>
    <xf numFmtId="2" fontId="8" fillId="8" borderId="48" xfId="20" applyNumberFormat="1" applyFont="1" applyFill="1" applyBorder="1" applyAlignment="1" applyProtection="1">
      <alignment horizontal="center" vertical="center" wrapText="1"/>
    </xf>
    <xf numFmtId="2" fontId="8" fillId="8" borderId="61" xfId="20" applyNumberFormat="1" applyFont="1" applyFill="1" applyBorder="1" applyAlignment="1" applyProtection="1">
      <alignment horizontal="center" vertical="center" wrapText="1"/>
    </xf>
    <xf numFmtId="0" fontId="8" fillId="25" borderId="64" xfId="20" applyNumberFormat="1" applyFont="1" applyFill="1" applyBorder="1" applyAlignment="1" applyProtection="1">
      <alignment horizontal="center" vertical="center" wrapText="1"/>
    </xf>
    <xf numFmtId="3" fontId="8" fillId="8" borderId="1" xfId="32" applyNumberFormat="1" applyFont="1" applyFill="1" applyBorder="1" applyAlignment="1" applyProtection="1">
      <alignment horizontal="center" vertical="center" wrapText="1"/>
    </xf>
    <xf numFmtId="0" fontId="8" fillId="29" borderId="1" xfId="20" applyNumberFormat="1" applyFont="1" applyFill="1" applyBorder="1" applyAlignment="1" applyProtection="1">
      <alignment horizontal="center" vertical="center"/>
    </xf>
    <xf numFmtId="0" fontId="33" fillId="0" borderId="0" xfId="20" applyNumberFormat="1" applyFont="1" applyFill="1" applyBorder="1" applyAlignment="1" applyProtection="1">
      <alignment horizontal="center" vertical="center" wrapText="1"/>
    </xf>
    <xf numFmtId="0" fontId="8" fillId="8" borderId="71" xfId="20" applyNumberFormat="1" applyFont="1" applyFill="1" applyBorder="1" applyAlignment="1" applyProtection="1">
      <alignment horizontal="center" vertical="center" wrapText="1"/>
    </xf>
    <xf numFmtId="167" fontId="8" fillId="8" borderId="102" xfId="20" applyNumberFormat="1" applyFont="1" applyFill="1" applyBorder="1" applyAlignment="1" applyProtection="1">
      <alignment horizontal="center" vertical="center" wrapText="1"/>
    </xf>
    <xf numFmtId="0" fontId="33" fillId="25" borderId="64" xfId="20" applyNumberFormat="1" applyFont="1" applyFill="1" applyBorder="1" applyAlignment="1" applyProtection="1">
      <alignment horizontal="center" vertical="center" wrapText="1"/>
    </xf>
    <xf numFmtId="2" fontId="33" fillId="25" borderId="1" xfId="20" applyNumberFormat="1" applyFont="1" applyFill="1" applyBorder="1" applyAlignment="1" applyProtection="1">
      <alignment horizontal="center" vertical="center" wrapText="1"/>
    </xf>
    <xf numFmtId="2" fontId="8" fillId="0" borderId="0" xfId="20" applyNumberFormat="1" applyFont="1" applyFill="1" applyBorder="1" applyAlignment="1" applyProtection="1">
      <alignment horizontal="center" vertical="center" wrapText="1"/>
    </xf>
    <xf numFmtId="0" fontId="8" fillId="8" borderId="6" xfId="25" applyNumberFormat="1" applyFont="1" applyFill="1" applyBorder="1" applyAlignment="1" applyProtection="1">
      <alignment horizontal="center" vertical="center"/>
    </xf>
    <xf numFmtId="0" fontId="0" fillId="0" borderId="0" xfId="0" applyBorder="1"/>
    <xf numFmtId="2" fontId="8" fillId="25" borderId="6" xfId="20" applyNumberFormat="1" applyFont="1" applyFill="1" applyBorder="1" applyAlignment="1" applyProtection="1">
      <alignment horizontal="center" vertical="center" wrapText="1"/>
    </xf>
    <xf numFmtId="2" fontId="8" fillId="25" borderId="61" xfId="20" applyNumberFormat="1" applyFont="1" applyFill="1" applyBorder="1" applyAlignment="1" applyProtection="1">
      <alignment horizontal="center" vertical="center" wrapText="1"/>
    </xf>
    <xf numFmtId="2" fontId="8" fillId="8" borderId="130" xfId="20" applyNumberFormat="1" applyFont="1" applyFill="1" applyBorder="1" applyAlignment="1" applyProtection="1">
      <alignment horizontal="center" vertical="center" wrapText="1"/>
    </xf>
    <xf numFmtId="164" fontId="8" fillId="25" borderId="64" xfId="20" applyNumberFormat="1" applyFont="1" applyFill="1" applyBorder="1" applyAlignment="1" applyProtection="1">
      <alignment horizontal="center" vertical="center" wrapText="1"/>
    </xf>
    <xf numFmtId="164" fontId="8" fillId="0" borderId="0" xfId="20" applyNumberFormat="1" applyFont="1" applyFill="1" applyBorder="1" applyAlignment="1" applyProtection="1">
      <alignment horizontal="center" vertical="center" wrapText="1"/>
    </xf>
    <xf numFmtId="164" fontId="33" fillId="25" borderId="48" xfId="0" applyNumberFormat="1" applyFont="1" applyFill="1" applyBorder="1" applyAlignment="1" applyProtection="1">
      <alignment horizontal="center" vertical="center"/>
    </xf>
    <xf numFmtId="166" fontId="33" fillId="25" borderId="64" xfId="20" applyNumberFormat="1" applyFont="1" applyFill="1" applyBorder="1" applyAlignment="1" applyProtection="1">
      <alignment horizontal="center" vertical="center" wrapText="1"/>
    </xf>
    <xf numFmtId="166" fontId="33" fillId="25" borderId="1" xfId="20" applyNumberFormat="1" applyFont="1" applyFill="1" applyBorder="1" applyAlignment="1" applyProtection="1">
      <alignment horizontal="center" vertical="center" wrapText="1"/>
    </xf>
    <xf numFmtId="0" fontId="8" fillId="8"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 xfId="20" applyNumberFormat="1" applyFont="1" applyFill="1" applyBorder="1" applyAlignment="1" applyProtection="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32" applyNumberFormat="1" applyFont="1" applyFill="1" applyBorder="1" applyAlignment="1">
      <alignment horizontal="center" vertical="center"/>
    </xf>
    <xf numFmtId="0" fontId="3" fillId="0" borderId="64"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5" fillId="0" borderId="1" xfId="20" applyNumberFormat="1" applyFont="1" applyFill="1" applyBorder="1" applyAlignment="1" applyProtection="1">
      <alignment horizontal="center" vertical="center" wrapText="1"/>
    </xf>
    <xf numFmtId="0" fontId="33" fillId="25" borderId="101" xfId="20" applyNumberFormat="1" applyFont="1" applyFill="1" applyBorder="1" applyAlignment="1" applyProtection="1">
      <alignment horizontal="center" vertical="center" wrapText="1"/>
    </xf>
    <xf numFmtId="0" fontId="7" fillId="24" borderId="43" xfId="0" applyFont="1" applyFill="1" applyBorder="1" applyAlignment="1" applyProtection="1">
      <alignment horizontal="center" wrapText="1"/>
    </xf>
    <xf numFmtId="0" fontId="26" fillId="24" borderId="43" xfId="0" applyFont="1" applyFill="1" applyBorder="1" applyAlignment="1" applyProtection="1">
      <alignment horizontal="centerContinuous"/>
    </xf>
    <xf numFmtId="0" fontId="7" fillId="24" borderId="31" xfId="0" applyFont="1" applyFill="1" applyBorder="1" applyAlignment="1" applyProtection="1">
      <alignment horizontal="centerContinuous"/>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165" fontId="3" fillId="0" borderId="1" xfId="0" applyNumberFormat="1" applyFont="1" applyFill="1" applyBorder="1" applyAlignment="1">
      <alignment horizontal="center" vertical="center"/>
    </xf>
    <xf numFmtId="0" fontId="7" fillId="24" borderId="43" xfId="0" applyFont="1" applyFill="1" applyBorder="1" applyAlignment="1" applyProtection="1">
      <alignment horizontal="left" vertical="top"/>
    </xf>
    <xf numFmtId="0" fontId="7" fillId="24" borderId="31" xfId="0" applyFont="1" applyFill="1" applyBorder="1" applyAlignment="1" applyProtection="1">
      <alignment horizontal="left" vertical="top"/>
    </xf>
    <xf numFmtId="0" fontId="3" fillId="0" borderId="46" xfId="0" applyFont="1" applyBorder="1" applyAlignment="1" applyProtection="1">
      <alignment horizontal="center" vertical="center"/>
    </xf>
    <xf numFmtId="0" fontId="3" fillId="0" borderId="0" xfId="24" applyFont="1" applyFill="1" applyBorder="1" applyAlignment="1" applyProtection="1">
      <alignment horizontal="left"/>
    </xf>
    <xf numFmtId="0" fontId="7" fillId="0" borderId="13" xfId="0" applyNumberFormat="1" applyFont="1" applyBorder="1" applyAlignment="1" applyProtection="1">
      <alignment horizontal="center" wrapText="1"/>
    </xf>
    <xf numFmtId="0" fontId="45" fillId="0" borderId="1" xfId="0" applyFont="1" applyBorder="1" applyAlignment="1">
      <alignment horizontal="center" vertical="center"/>
    </xf>
    <xf numFmtId="169" fontId="8" fillId="25" borderId="1" xfId="20" applyNumberFormat="1" applyFont="1" applyFill="1" applyBorder="1" applyAlignment="1" applyProtection="1">
      <alignment horizontal="center" vertical="center" wrapText="1"/>
    </xf>
    <xf numFmtId="0" fontId="3" fillId="0" borderId="53" xfId="0" applyFont="1" applyBorder="1" applyAlignment="1" applyProtection="1">
      <alignment horizontal="center" vertical="center"/>
    </xf>
    <xf numFmtId="0" fontId="3" fillId="0" borderId="131" xfId="0" applyNumberFormat="1" applyFont="1" applyBorder="1" applyAlignment="1" applyProtection="1">
      <alignment horizontal="center" vertical="center"/>
    </xf>
    <xf numFmtId="0" fontId="3" fillId="0" borderId="22" xfId="0" applyNumberFormat="1" applyFont="1" applyBorder="1" applyAlignment="1" applyProtection="1">
      <alignment vertical="center" wrapText="1"/>
    </xf>
    <xf numFmtId="0" fontId="3" fillId="0" borderId="1" xfId="0" applyNumberFormat="1" applyFont="1" applyBorder="1" applyAlignment="1" applyProtection="1">
      <alignment horizontal="center" vertical="center"/>
    </xf>
    <xf numFmtId="0" fontId="3" fillId="0" borderId="132" xfId="0" applyNumberFormat="1" applyFont="1" applyBorder="1" applyAlignment="1" applyProtection="1">
      <alignment horizontal="center" vertical="center"/>
    </xf>
    <xf numFmtId="0" fontId="3" fillId="0" borderId="133" xfId="0" applyNumberFormat="1" applyFont="1" applyBorder="1" applyAlignment="1" applyProtection="1">
      <alignment vertical="center" wrapText="1"/>
    </xf>
    <xf numFmtId="0" fontId="3" fillId="0" borderId="134" xfId="0" applyNumberFormat="1" applyFont="1" applyBorder="1" applyAlignment="1" applyProtection="1">
      <alignment horizontal="center" vertical="center"/>
    </xf>
    <xf numFmtId="0" fontId="3" fillId="0" borderId="27" xfId="0" applyNumberFormat="1" applyFont="1" applyBorder="1" applyAlignment="1" applyProtection="1">
      <alignment horizontal="center" vertical="center"/>
    </xf>
    <xf numFmtId="0" fontId="3" fillId="0" borderId="29" xfId="0" applyNumberFormat="1" applyFont="1" applyBorder="1" applyAlignment="1" applyProtection="1">
      <alignment horizontal="center" vertical="center"/>
    </xf>
    <xf numFmtId="0" fontId="4" fillId="0" borderId="42" xfId="25" applyNumberFormat="1" applyFont="1" applyFill="1" applyBorder="1" applyAlignment="1" applyProtection="1">
      <alignment horizontal="left" vertical="top" wrapText="1"/>
    </xf>
    <xf numFmtId="0" fontId="4" fillId="0" borderId="0" xfId="25" applyNumberFormat="1" applyFont="1" applyFill="1" applyBorder="1" applyAlignment="1" applyProtection="1">
      <alignment horizontal="left" vertical="top" wrapText="1"/>
    </xf>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167" fontId="33" fillId="25" borderId="1" xfId="0" applyNumberFormat="1" applyFont="1" applyFill="1" applyBorder="1" applyAlignment="1" applyProtection="1">
      <alignment horizontal="center" vertical="center"/>
    </xf>
    <xf numFmtId="166" fontId="33" fillId="25" borderId="1" xfId="0" applyNumberFormat="1" applyFont="1" applyFill="1" applyBorder="1" applyAlignment="1">
      <alignment horizontal="center" vertical="center"/>
    </xf>
    <xf numFmtId="0" fontId="36" fillId="0" borderId="82" xfId="28" applyFont="1" applyBorder="1" applyAlignment="1"/>
    <xf numFmtId="0" fontId="56" fillId="0" borderId="83" xfId="28" applyFont="1" applyBorder="1" applyAlignment="1">
      <alignment horizontal="left"/>
    </xf>
    <xf numFmtId="0" fontId="36" fillId="0" borderId="84" xfId="28" applyFont="1" applyBorder="1" applyAlignment="1"/>
    <xf numFmtId="0" fontId="36" fillId="0" borderId="85" xfId="28" applyNumberFormat="1" applyFont="1" applyBorder="1" applyAlignment="1">
      <alignment horizontal="left"/>
    </xf>
    <xf numFmtId="0" fontId="3" fillId="0" borderId="0" xfId="28" applyFont="1" applyFill="1" applyBorder="1" applyAlignment="1" applyProtection="1">
      <alignment horizontal="left" vertical="center"/>
    </xf>
    <xf numFmtId="14" fontId="36" fillId="0" borderId="85" xfId="28" applyNumberFormat="1" applyFont="1" applyBorder="1" applyAlignment="1">
      <alignment horizontal="left"/>
    </xf>
    <xf numFmtId="164" fontId="3" fillId="0" borderId="0" xfId="28" applyNumberFormat="1" applyFont="1" applyFill="1" applyBorder="1" applyAlignment="1" applyProtection="1">
      <alignment horizontal="left" vertical="center"/>
    </xf>
    <xf numFmtId="0" fontId="36" fillId="0" borderId="84" xfId="28" applyNumberFormat="1" applyFont="1" applyBorder="1" applyAlignment="1"/>
    <xf numFmtId="0" fontId="56" fillId="0" borderId="85" xfId="28" applyFont="1" applyBorder="1" applyAlignment="1">
      <alignment horizontal="left"/>
    </xf>
    <xf numFmtId="14" fontId="3" fillId="0" borderId="0" xfId="28" applyNumberFormat="1" applyFont="1" applyFill="1" applyBorder="1" applyAlignment="1" applyProtection="1">
      <alignment horizontal="left" vertical="center"/>
    </xf>
    <xf numFmtId="0" fontId="36" fillId="0" borderId="86" xfId="28" applyFont="1" applyBorder="1" applyAlignment="1">
      <alignment horizontal="left" vertical="center"/>
    </xf>
    <xf numFmtId="0" fontId="36" fillId="0" borderId="87" xfId="28" applyNumberFormat="1" applyFont="1" applyBorder="1" applyAlignment="1">
      <alignment horizontal="left" vertical="center"/>
    </xf>
    <xf numFmtId="0" fontId="36" fillId="0" borderId="88" xfId="28" applyFont="1" applyBorder="1" applyAlignment="1"/>
    <xf numFmtId="14" fontId="36" fillId="0" borderId="89" xfId="28" applyNumberFormat="1" applyFont="1" applyBorder="1" applyAlignment="1">
      <alignment horizontal="left"/>
    </xf>
    <xf numFmtId="14" fontId="3" fillId="0" borderId="0" xfId="28" applyNumberFormat="1" applyFont="1" applyBorder="1" applyAlignment="1" applyProtection="1">
      <alignment horizontal="left" vertical="center"/>
    </xf>
    <xf numFmtId="0" fontId="36" fillId="0" borderId="0" xfId="0" applyFont="1"/>
    <xf numFmtId="1" fontId="33" fillId="25" borderId="1" xfId="0" applyNumberFormat="1" applyFont="1" applyFill="1" applyBorder="1" applyAlignment="1">
      <alignment horizontal="center" vertical="center"/>
    </xf>
    <xf numFmtId="2" fontId="33" fillId="25" borderId="1" xfId="0" applyNumberFormat="1" applyFont="1" applyFill="1" applyBorder="1" applyAlignment="1">
      <alignment horizontal="center" vertical="center"/>
    </xf>
    <xf numFmtId="1" fontId="33" fillId="25" borderId="3" xfId="0" applyNumberFormat="1" applyFont="1" applyFill="1" applyBorder="1" applyAlignment="1">
      <alignment horizontal="center" vertical="center"/>
    </xf>
    <xf numFmtId="166" fontId="33" fillId="25" borderId="3" xfId="0" applyNumberFormat="1" applyFont="1" applyFill="1" applyBorder="1" applyAlignment="1">
      <alignment horizontal="center" vertical="center"/>
    </xf>
    <xf numFmtId="2" fontId="33" fillId="25" borderId="3" xfId="0" applyNumberFormat="1" applyFont="1" applyFill="1" applyBorder="1" applyAlignment="1">
      <alignment horizontal="center" vertical="center"/>
    </xf>
    <xf numFmtId="0" fontId="33" fillId="25" borderId="3" xfId="0" applyFont="1" applyFill="1" applyBorder="1" applyAlignment="1">
      <alignment horizontal="center" vertical="center"/>
    </xf>
    <xf numFmtId="0" fontId="36" fillId="0" borderId="42" xfId="0" applyFont="1" applyBorder="1"/>
    <xf numFmtId="0" fontId="36" fillId="0" borderId="0" xfId="0" applyFont="1" applyBorder="1"/>
    <xf numFmtId="0" fontId="45" fillId="0" borderId="3" xfId="0" applyFont="1" applyBorder="1" applyAlignment="1">
      <alignment horizontal="center" vertical="center"/>
    </xf>
    <xf numFmtId="0" fontId="7" fillId="0" borderId="1" xfId="0" applyFont="1" applyFill="1" applyBorder="1" applyAlignment="1" applyProtection="1">
      <alignment horizontal="center" vertical="center"/>
    </xf>
    <xf numFmtId="168" fontId="33" fillId="25" borderId="1" xfId="0" applyNumberFormat="1" applyFont="1" applyFill="1" applyBorder="1" applyAlignment="1">
      <alignment horizontal="center"/>
    </xf>
    <xf numFmtId="170" fontId="33" fillId="25" borderId="1" xfId="0" applyNumberFormat="1" applyFont="1" applyFill="1" applyBorder="1" applyAlignment="1">
      <alignment horizontal="center" vertical="center"/>
    </xf>
    <xf numFmtId="0" fontId="5" fillId="0" borderId="0" xfId="0" applyFont="1" applyFill="1" applyBorder="1" applyAlignment="1">
      <alignment horizontal="center" vertical="center"/>
    </xf>
    <xf numFmtId="167" fontId="5" fillId="0" borderId="0" xfId="0" applyNumberFormat="1" applyFont="1" applyFill="1" applyBorder="1" applyAlignment="1">
      <alignment horizontal="center" vertical="center"/>
    </xf>
    <xf numFmtId="0" fontId="33" fillId="25" borderId="4" xfId="0" applyFont="1" applyFill="1" applyBorder="1" applyAlignment="1">
      <alignment horizontal="center" vertical="center"/>
    </xf>
    <xf numFmtId="168" fontId="33" fillId="25" borderId="11" xfId="0" applyNumberFormat="1" applyFont="1" applyFill="1" applyBorder="1" applyAlignment="1">
      <alignment horizontal="center" vertical="center"/>
    </xf>
    <xf numFmtId="167" fontId="5" fillId="0" borderId="20" xfId="0" applyNumberFormat="1" applyFont="1" applyFill="1" applyBorder="1" applyAlignment="1">
      <alignment horizontal="center" vertical="center"/>
    </xf>
    <xf numFmtId="2" fontId="45" fillId="0" borderId="6" xfId="0" applyNumberFormat="1" applyFont="1" applyBorder="1" applyAlignment="1">
      <alignment horizontal="center" vertical="center"/>
    </xf>
    <xf numFmtId="0" fontId="45" fillId="0" borderId="6" xfId="0" applyFont="1" applyBorder="1" applyAlignment="1">
      <alignment horizontal="center" vertical="center"/>
    </xf>
    <xf numFmtId="0" fontId="3" fillId="24" borderId="43" xfId="0" applyFont="1" applyFill="1" applyBorder="1" applyAlignment="1" applyProtection="1">
      <alignment vertical="center"/>
    </xf>
    <xf numFmtId="0" fontId="4" fillId="24" borderId="43" xfId="0" applyFont="1" applyFill="1" applyBorder="1" applyAlignment="1" applyProtection="1">
      <alignment horizontal="center" vertical="center"/>
    </xf>
    <xf numFmtId="0" fontId="3" fillId="24" borderId="43" xfId="0" applyFont="1" applyFill="1" applyBorder="1" applyAlignment="1" applyProtection="1">
      <alignment horizontal="center" vertical="center"/>
    </xf>
    <xf numFmtId="0" fontId="3" fillId="24" borderId="31" xfId="0" applyFont="1" applyFill="1" applyBorder="1" applyAlignment="1" applyProtection="1">
      <alignment horizontal="center" vertical="center"/>
    </xf>
    <xf numFmtId="0" fontId="7" fillId="0" borderId="5" xfId="0" applyFont="1" applyBorder="1" applyAlignment="1" applyProtection="1">
      <alignment horizontal="left" vertical="top" wrapText="1"/>
    </xf>
    <xf numFmtId="167" fontId="33" fillId="25" borderId="3" xfId="0" applyNumberFormat="1" applyFont="1" applyFill="1" applyBorder="1" applyAlignment="1">
      <alignment horizontal="center" vertical="center"/>
    </xf>
    <xf numFmtId="164" fontId="33" fillId="25" borderId="3" xfId="0" applyNumberFormat="1" applyFont="1" applyFill="1" applyBorder="1" applyAlignment="1">
      <alignment horizontal="center" vertical="center"/>
    </xf>
    <xf numFmtId="167" fontId="33" fillId="25" borderId="4" xfId="0" applyNumberFormat="1" applyFont="1" applyFill="1" applyBorder="1" applyAlignment="1">
      <alignment horizontal="center" vertical="center"/>
    </xf>
    <xf numFmtId="0" fontId="3" fillId="0" borderId="11" xfId="0" applyFont="1" applyBorder="1" applyAlignment="1" applyProtection="1">
      <alignment horizontal="center" vertical="center"/>
    </xf>
    <xf numFmtId="0" fontId="3" fillId="0" borderId="42" xfId="0" applyFont="1" applyBorder="1" applyAlignment="1" applyProtection="1">
      <alignment vertical="center"/>
    </xf>
    <xf numFmtId="0" fontId="3" fillId="0" borderId="3" xfId="0" applyFont="1" applyBorder="1" applyAlignment="1" applyProtection="1">
      <alignment horizontal="center" vertical="center"/>
    </xf>
    <xf numFmtId="0" fontId="3" fillId="0" borderId="46" xfId="0" applyFont="1" applyBorder="1" applyAlignment="1" applyProtection="1">
      <alignment vertical="center"/>
    </xf>
    <xf numFmtId="0" fontId="3" fillId="0" borderId="4" xfId="0" applyFont="1" applyBorder="1" applyAlignment="1" applyProtection="1">
      <alignment horizontal="center" vertical="center"/>
    </xf>
    <xf numFmtId="0" fontId="3" fillId="0" borderId="20" xfId="0" applyFont="1" applyBorder="1" applyAlignment="1" applyProtection="1">
      <alignment vertical="center"/>
    </xf>
    <xf numFmtId="0" fontId="7" fillId="0" borderId="13" xfId="0" applyFont="1" applyBorder="1" applyAlignment="1" applyProtection="1">
      <alignment horizontal="left" vertical="top" wrapText="1"/>
    </xf>
    <xf numFmtId="2" fontId="45" fillId="0" borderId="14" xfId="0" applyNumberFormat="1" applyFont="1" applyBorder="1" applyAlignment="1">
      <alignment horizontal="center" vertical="center"/>
    </xf>
    <xf numFmtId="168" fontId="33" fillId="25" borderId="4" xfId="0" applyNumberFormat="1" applyFont="1" applyFill="1" applyBorder="1" applyAlignment="1">
      <alignment horizontal="center" vertical="center"/>
    </xf>
    <xf numFmtId="0" fontId="7" fillId="0" borderId="37" xfId="0" applyFont="1" applyBorder="1" applyAlignment="1" applyProtection="1">
      <alignment horizontal="left" vertical="top"/>
    </xf>
    <xf numFmtId="0" fontId="36" fillId="0" borderId="119" xfId="0" applyFont="1" applyBorder="1"/>
    <xf numFmtId="0" fontId="36" fillId="0" borderId="38" xfId="0" applyFont="1" applyBorder="1"/>
    <xf numFmtId="0" fontId="36" fillId="0" borderId="10" xfId="0" applyFont="1" applyBorder="1" applyAlignment="1">
      <alignment horizontal="center" vertical="center"/>
    </xf>
    <xf numFmtId="2" fontId="33" fillId="25" borderId="4" xfId="0" applyNumberFormat="1" applyFont="1" applyFill="1" applyBorder="1" applyAlignment="1">
      <alignment horizontal="center" vertical="center"/>
    </xf>
    <xf numFmtId="2" fontId="33" fillId="25" borderId="11" xfId="0" applyNumberFormat="1" applyFont="1" applyFill="1" applyBorder="1" applyAlignment="1">
      <alignment horizontal="center" vertical="center"/>
    </xf>
    <xf numFmtId="168" fontId="33" fillId="25" borderId="11" xfId="0" applyNumberFormat="1" applyFont="1" applyFill="1" applyBorder="1" applyAlignment="1">
      <alignment horizontal="center"/>
    </xf>
    <xf numFmtId="170" fontId="33" fillId="25" borderId="11" xfId="0" applyNumberFormat="1" applyFont="1" applyFill="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top"/>
    </xf>
    <xf numFmtId="0" fontId="36" fillId="0" borderId="15" xfId="0" applyFont="1" applyBorder="1" applyAlignment="1">
      <alignment horizontal="center" vertical="top"/>
    </xf>
    <xf numFmtId="168" fontId="33" fillId="25" borderId="10" xfId="0" applyNumberFormat="1" applyFont="1" applyFill="1" applyBorder="1" applyAlignment="1">
      <alignment horizontal="center" vertical="center"/>
    </xf>
    <xf numFmtId="168" fontId="33" fillId="25" borderId="12" xfId="0" applyNumberFormat="1" applyFont="1" applyFill="1" applyBorder="1" applyAlignment="1">
      <alignment horizontal="center" vertical="center"/>
    </xf>
    <xf numFmtId="0" fontId="3" fillId="0" borderId="135" xfId="0" applyFont="1" applyBorder="1" applyAlignment="1" applyProtection="1">
      <alignment horizontal="center" vertical="center"/>
    </xf>
    <xf numFmtId="0" fontId="3" fillId="0" borderId="137" xfId="0" applyFont="1" applyBorder="1" applyAlignment="1" applyProtection="1">
      <alignment horizontal="center" vertical="center"/>
    </xf>
    <xf numFmtId="0" fontId="33" fillId="25" borderId="6"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 fillId="0" borderId="13" xfId="0" applyFont="1" applyBorder="1" applyAlignment="1" applyProtection="1">
      <alignment horizontal="center" vertical="center"/>
    </xf>
    <xf numFmtId="0" fontId="36" fillId="0" borderId="14" xfId="0" applyFont="1" applyBorder="1" applyAlignment="1">
      <alignment horizontal="center" vertical="center"/>
    </xf>
    <xf numFmtId="0" fontId="3" fillId="0" borderId="14" xfId="0" applyFont="1" applyFill="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167" fontId="33" fillId="25" borderId="10" xfId="0" applyNumberFormat="1" applyFont="1" applyFill="1" applyBorder="1" applyAlignment="1" applyProtection="1">
      <alignment horizontal="center" vertical="center"/>
    </xf>
    <xf numFmtId="0" fontId="3" fillId="23" borderId="1" xfId="25" applyNumberFormat="1" applyFont="1" applyFill="1" applyBorder="1" applyAlignment="1" applyProtection="1">
      <alignment horizontal="center" vertical="center"/>
      <protection locked="0"/>
    </xf>
    <xf numFmtId="2" fontId="33" fillId="25" borderId="6" xfId="0" applyNumberFormat="1" applyFont="1" applyFill="1" applyBorder="1" applyAlignment="1" applyProtection="1">
      <alignment horizontal="center" vertical="center"/>
    </xf>
    <xf numFmtId="0" fontId="3" fillId="0" borderId="0" xfId="0" applyFont="1" applyAlignment="1">
      <alignment horizontal="left" vertical="top" wrapText="1"/>
    </xf>
    <xf numFmtId="0" fontId="3" fillId="0" borderId="16" xfId="0" applyFont="1" applyBorder="1" applyAlignment="1">
      <alignment horizontal="left" vertical="top"/>
    </xf>
    <xf numFmtId="0" fontId="3" fillId="0" borderId="21" xfId="0" applyFont="1" applyBorder="1" applyAlignment="1">
      <alignment horizontal="left" vertical="top"/>
    </xf>
    <xf numFmtId="0" fontId="3" fillId="0" borderId="19" xfId="0" applyFont="1" applyBorder="1" applyAlignment="1">
      <alignment horizontal="left" vertical="top"/>
    </xf>
    <xf numFmtId="0" fontId="3" fillId="0" borderId="0" xfId="0" applyFont="1" applyAlignment="1">
      <alignment horizontal="left" vertical="top"/>
    </xf>
    <xf numFmtId="0" fontId="3" fillId="0" borderId="18" xfId="0" applyFont="1" applyBorder="1" applyAlignment="1">
      <alignment horizontal="left" vertical="top"/>
    </xf>
    <xf numFmtId="0" fontId="3" fillId="0" borderId="42" xfId="0" applyFont="1" applyBorder="1" applyAlignment="1">
      <alignment horizontal="left" vertical="top"/>
    </xf>
    <xf numFmtId="0" fontId="3" fillId="0" borderId="22" xfId="0" applyFont="1" applyBorder="1" applyAlignment="1">
      <alignment horizontal="left" vertical="top"/>
    </xf>
    <xf numFmtId="0" fontId="3" fillId="24" borderId="30" xfId="0" applyFont="1" applyFill="1" applyBorder="1"/>
    <xf numFmtId="0" fontId="45" fillId="24" borderId="43" xfId="34" applyFill="1" applyBorder="1"/>
    <xf numFmtId="0" fontId="3" fillId="0" borderId="22" xfId="28" applyFont="1" applyBorder="1" applyAlignment="1">
      <alignment vertical="center"/>
    </xf>
    <xf numFmtId="0" fontId="3" fillId="0" borderId="107" xfId="28" applyFont="1" applyBorder="1" applyAlignment="1">
      <alignment vertical="center"/>
    </xf>
    <xf numFmtId="0" fontId="24" fillId="0" borderId="0" xfId="25" applyFont="1" applyBorder="1" applyAlignment="1">
      <alignment vertical="center"/>
    </xf>
    <xf numFmtId="0" fontId="36" fillId="0" borderId="3" xfId="0" applyFont="1" applyBorder="1"/>
    <xf numFmtId="0" fontId="36" fillId="0" borderId="1" xfId="0" applyFont="1" applyBorder="1" applyAlignment="1">
      <alignment horizontal="center" vertical="center"/>
    </xf>
    <xf numFmtId="0" fontId="45" fillId="30" borderId="30" xfId="0" applyFont="1" applyFill="1" applyBorder="1" applyAlignment="1" applyProtection="1">
      <alignment vertical="center"/>
    </xf>
    <xf numFmtId="0" fontId="45" fillId="30" borderId="43" xfId="0" applyFont="1" applyFill="1" applyBorder="1" applyAlignment="1" applyProtection="1">
      <alignment vertical="center"/>
    </xf>
    <xf numFmtId="0" fontId="45" fillId="30" borderId="31" xfId="0" applyFont="1" applyFill="1" applyBorder="1" applyAlignment="1" applyProtection="1">
      <alignment vertical="center"/>
    </xf>
    <xf numFmtId="0" fontId="45" fillId="0" borderId="0" xfId="0" applyFont="1" applyFill="1" applyBorder="1" applyAlignment="1" applyProtection="1">
      <alignment vertical="center"/>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33" fillId="0" borderId="0" xfId="0" applyFont="1" applyFill="1" applyBorder="1" applyAlignment="1">
      <alignment horizontal="center" vertical="center"/>
    </xf>
    <xf numFmtId="0" fontId="66" fillId="0" borderId="1" xfId="0" applyFont="1" applyBorder="1" applyAlignment="1">
      <alignment horizontal="center" vertical="center"/>
    </xf>
    <xf numFmtId="0" fontId="5" fillId="5" borderId="61" xfId="20" applyFont="1" applyFill="1" applyBorder="1" applyAlignment="1" applyProtection="1">
      <alignment horizontal="left" vertical="top" wrapText="1"/>
      <protection locked="0"/>
    </xf>
    <xf numFmtId="0" fontId="5" fillId="5" borderId="130" xfId="20" applyFont="1" applyFill="1" applyBorder="1" applyAlignment="1" applyProtection="1">
      <alignment horizontal="center" vertical="center" wrapText="1"/>
      <protection locked="0"/>
    </xf>
    <xf numFmtId="0" fontId="5" fillId="23" borderId="1" xfId="20" applyFont="1" applyFill="1" applyBorder="1" applyAlignment="1" applyProtection="1">
      <alignment horizontal="center" vertical="center" wrapText="1"/>
      <protection locked="0"/>
    </xf>
    <xf numFmtId="0" fontId="5" fillId="23" borderId="61" xfId="20" applyFont="1" applyFill="1" applyBorder="1" applyAlignment="1" applyProtection="1">
      <alignment horizontal="center" vertical="center" wrapText="1"/>
      <protection locked="0"/>
    </xf>
    <xf numFmtId="0" fontId="5" fillId="23" borderId="11" xfId="20" applyFont="1" applyFill="1" applyBorder="1" applyAlignment="1" applyProtection="1">
      <alignment horizontal="center" vertical="center" wrapText="1"/>
      <protection locked="0"/>
    </xf>
    <xf numFmtId="0" fontId="66" fillId="0" borderId="10" xfId="0" applyFont="1" applyBorder="1" applyAlignment="1">
      <alignment horizontal="center" vertical="center"/>
    </xf>
    <xf numFmtId="0" fontId="45" fillId="0" borderId="5" xfId="0" applyFont="1" applyBorder="1"/>
    <xf numFmtId="0" fontId="3" fillId="0" borderId="0" xfId="0" applyFont="1" applyFill="1" applyBorder="1" applyAlignment="1" applyProtection="1">
      <alignment vertical="center"/>
    </xf>
    <xf numFmtId="2" fontId="33" fillId="25" borderId="1" xfId="0" applyNumberFormat="1" applyFont="1" applyFill="1" applyBorder="1" applyAlignment="1" applyProtection="1">
      <alignment horizontal="center" vertical="center"/>
    </xf>
    <xf numFmtId="1" fontId="33" fillId="25" borderId="1"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xf>
    <xf numFmtId="1" fontId="3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2" fontId="33" fillId="0" borderId="0" xfId="0" applyNumberFormat="1" applyFont="1" applyFill="1" applyBorder="1" applyAlignment="1" applyProtection="1">
      <alignment horizontal="center" vertical="center"/>
    </xf>
    <xf numFmtId="2" fontId="33" fillId="25" borderId="64" xfId="0" applyNumberFormat="1" applyFont="1" applyFill="1" applyBorder="1" applyAlignment="1" applyProtection="1">
      <alignment horizontal="center" vertical="center"/>
    </xf>
    <xf numFmtId="2" fontId="33" fillId="25" borderId="61" xfId="0" applyNumberFormat="1" applyFont="1" applyFill="1" applyBorder="1" applyAlignment="1" applyProtection="1">
      <alignment horizontal="center" vertical="center"/>
    </xf>
    <xf numFmtId="166" fontId="33" fillId="25" borderId="1" xfId="0" applyNumberFormat="1" applyFont="1" applyFill="1" applyBorder="1" applyAlignment="1" applyProtection="1">
      <alignment horizontal="center" vertical="center"/>
    </xf>
    <xf numFmtId="0" fontId="3" fillId="0" borderId="139" xfId="0" applyFont="1" applyFill="1" applyBorder="1" applyAlignment="1" applyProtection="1">
      <alignment horizontal="center" vertical="center"/>
    </xf>
    <xf numFmtId="0" fontId="3" fillId="0" borderId="137" xfId="0" applyFont="1" applyFill="1" applyBorder="1" applyAlignment="1" applyProtection="1">
      <alignment horizontal="center" vertical="center"/>
    </xf>
    <xf numFmtId="0" fontId="3" fillId="0" borderId="99" xfId="0" applyFont="1" applyBorder="1" applyAlignment="1" applyProtection="1">
      <alignment horizontal="center" vertical="center"/>
    </xf>
    <xf numFmtId="0" fontId="33" fillId="0" borderId="99" xfId="20" applyNumberFormat="1" applyFont="1" applyFill="1" applyBorder="1" applyAlignment="1" applyProtection="1">
      <alignment horizontal="center" vertical="center" wrapText="1"/>
    </xf>
    <xf numFmtId="0" fontId="3" fillId="0" borderId="99" xfId="0" applyFont="1" applyFill="1" applyBorder="1" applyAlignment="1" applyProtection="1">
      <alignment horizontal="center" vertical="center"/>
    </xf>
    <xf numFmtId="1" fontId="8" fillId="8" borderId="6" xfId="20" applyNumberFormat="1" applyFont="1" applyFill="1" applyBorder="1" applyAlignment="1" applyProtection="1">
      <alignment horizontal="center" vertical="center" wrapText="1"/>
    </xf>
    <xf numFmtId="0" fontId="3" fillId="0" borderId="99" xfId="0" applyFont="1" applyFill="1" applyBorder="1" applyAlignment="1" applyProtection="1">
      <alignment vertical="center"/>
    </xf>
    <xf numFmtId="0" fontId="33" fillId="0" borderId="99" xfId="0" applyFont="1" applyFill="1" applyBorder="1" applyAlignment="1" applyProtection="1">
      <alignment horizontal="center" vertical="center"/>
    </xf>
    <xf numFmtId="0" fontId="3" fillId="0" borderId="99" xfId="0" applyFont="1" applyBorder="1" applyAlignment="1" applyProtection="1">
      <alignment horizontal="left" vertical="center"/>
    </xf>
    <xf numFmtId="0" fontId="3" fillId="23" borderId="76" xfId="25" applyNumberFormat="1" applyFont="1" applyFill="1" applyBorder="1" applyAlignment="1" applyProtection="1">
      <alignment horizontal="center" vertical="center"/>
      <protection locked="0"/>
    </xf>
    <xf numFmtId="0" fontId="3" fillId="0" borderId="140" xfId="0" applyFont="1" applyBorder="1" applyAlignment="1" applyProtection="1">
      <alignment vertical="center" wrapText="1"/>
    </xf>
    <xf numFmtId="0" fontId="3" fillId="0" borderId="140" xfId="0" applyFont="1" applyFill="1" applyBorder="1" applyAlignment="1" applyProtection="1">
      <alignment vertical="center" wrapText="1"/>
    </xf>
    <xf numFmtId="0" fontId="3" fillId="0" borderId="141" xfId="0" applyFont="1" applyBorder="1" applyAlignment="1" applyProtection="1">
      <alignment vertical="center" wrapText="1"/>
    </xf>
    <xf numFmtId="0" fontId="3" fillId="0" borderId="141" xfId="0" applyFont="1" applyFill="1" applyBorder="1" applyAlignment="1" applyProtection="1">
      <alignment vertical="center" wrapText="1"/>
    </xf>
    <xf numFmtId="0" fontId="3" fillId="0" borderId="142" xfId="0" applyFont="1" applyBorder="1" applyAlignment="1" applyProtection="1">
      <alignment vertical="center" wrapText="1"/>
    </xf>
    <xf numFmtId="0" fontId="3" fillId="0" borderId="143" xfId="0" applyFont="1" applyBorder="1" applyAlignment="1" applyProtection="1">
      <alignment horizontal="center" vertical="center"/>
    </xf>
    <xf numFmtId="0" fontId="3" fillId="0" borderId="144" xfId="0" applyFont="1" applyBorder="1" applyAlignment="1" applyProtection="1">
      <alignment horizontal="center" vertical="center"/>
    </xf>
    <xf numFmtId="1" fontId="33" fillId="25" borderId="11" xfId="0" applyNumberFormat="1" applyFont="1" applyFill="1" applyBorder="1" applyAlignment="1" applyProtection="1">
      <alignment horizontal="center" vertical="center"/>
    </xf>
    <xf numFmtId="0" fontId="3" fillId="0" borderId="20" xfId="0" applyFont="1" applyBorder="1" applyAlignment="1" applyProtection="1">
      <alignment horizontal="left" vertical="center"/>
    </xf>
    <xf numFmtId="0" fontId="3" fillId="0" borderId="96" xfId="0" applyFont="1" applyBorder="1" applyAlignment="1" applyProtection="1">
      <alignment horizontal="left" vertical="center"/>
    </xf>
    <xf numFmtId="0" fontId="3" fillId="0" borderId="36" xfId="0" applyFont="1" applyBorder="1" applyAlignment="1" applyProtection="1">
      <alignment horizontal="center" vertical="center"/>
    </xf>
    <xf numFmtId="0" fontId="7" fillId="0" borderId="13" xfId="0" applyNumberFormat="1" applyFont="1" applyBorder="1" applyAlignment="1" applyProtection="1">
      <alignment wrapText="1"/>
    </xf>
    <xf numFmtId="0" fontId="8" fillId="8" borderId="145" xfId="25" applyNumberFormat="1" applyFont="1" applyFill="1" applyBorder="1" applyAlignment="1" applyProtection="1">
      <alignment horizontal="center" vertical="center"/>
    </xf>
    <xf numFmtId="166" fontId="4" fillId="0" borderId="0" xfId="0" applyNumberFormat="1" applyFont="1" applyAlignment="1" applyProtection="1">
      <alignment wrapText="1"/>
    </xf>
    <xf numFmtId="169" fontId="8" fillId="8" borderId="6" xfId="20" applyNumberFormat="1" applyFont="1" applyFill="1" applyBorder="1" applyAlignment="1" applyProtection="1">
      <alignment horizontal="center" vertical="center" wrapText="1"/>
    </xf>
    <xf numFmtId="166" fontId="8" fillId="8" borderId="61" xfId="20" applyNumberFormat="1" applyFont="1" applyFill="1" applyBorder="1" applyAlignment="1" applyProtection="1">
      <alignment horizontal="center" vertical="center" wrapText="1"/>
    </xf>
    <xf numFmtId="168" fontId="33" fillId="25" borderId="1" xfId="0" applyNumberFormat="1" applyFont="1" applyFill="1" applyBorder="1" applyAlignment="1" applyProtection="1">
      <alignment horizontal="center" vertical="center"/>
    </xf>
    <xf numFmtId="167" fontId="33" fillId="25" borderId="1" xfId="32" applyNumberFormat="1" applyFont="1" applyFill="1" applyBorder="1" applyAlignment="1" applyProtection="1">
      <alignment horizontal="center" vertical="center" wrapText="1"/>
    </xf>
    <xf numFmtId="167" fontId="8" fillId="25" borderId="1" xfId="20" applyNumberFormat="1" applyFont="1" applyFill="1" applyBorder="1" applyAlignment="1" applyProtection="1">
      <alignment horizontal="center" vertical="center" wrapText="1"/>
    </xf>
    <xf numFmtId="2" fontId="22" fillId="8" borderId="1" xfId="32" quotePrefix="1" applyNumberFormat="1" applyFont="1" applyFill="1" applyBorder="1" applyAlignment="1">
      <alignment horizontal="center" vertical="center"/>
    </xf>
    <xf numFmtId="0" fontId="3" fillId="0" borderId="0" xfId="28" applyFont="1" applyFill="1" applyBorder="1" applyAlignment="1">
      <alignment vertical="center"/>
    </xf>
    <xf numFmtId="2" fontId="22" fillId="8" borderId="11" xfId="32" quotePrefix="1" applyNumberFormat="1" applyFont="1" applyFill="1" applyBorder="1" applyAlignment="1">
      <alignment horizontal="center" vertical="center"/>
    </xf>
    <xf numFmtId="164" fontId="8" fillId="8" borderId="6" xfId="20" applyNumberFormat="1" applyFont="1" applyFill="1" applyBorder="1" applyAlignment="1" applyProtection="1">
      <alignment horizontal="center" vertical="center" wrapText="1"/>
    </xf>
    <xf numFmtId="14" fontId="33" fillId="25" borderId="10" xfId="20" applyNumberFormat="1" applyFont="1" applyFill="1" applyBorder="1" applyAlignment="1" applyProtection="1">
      <alignment horizontal="center" vertical="center" wrapText="1"/>
    </xf>
    <xf numFmtId="14" fontId="33" fillId="25" borderId="12" xfId="20" applyNumberFormat="1" applyFont="1" applyFill="1" applyBorder="1" applyAlignment="1" applyProtection="1">
      <alignment horizontal="center" vertical="center" wrapText="1"/>
    </xf>
    <xf numFmtId="0" fontId="3" fillId="0" borderId="23" xfId="25" applyNumberFormat="1" applyFont="1" applyBorder="1" applyAlignment="1" applyProtection="1">
      <alignment vertical="top" wrapText="1"/>
    </xf>
    <xf numFmtId="0" fontId="3" fillId="0" borderId="146" xfId="25" applyNumberFormat="1" applyFont="1" applyBorder="1" applyAlignment="1" applyProtection="1">
      <alignment vertical="top" wrapText="1"/>
    </xf>
    <xf numFmtId="0" fontId="3" fillId="0" borderId="147" xfId="25" applyNumberFormat="1" applyFont="1" applyBorder="1" applyAlignment="1" applyProtection="1">
      <alignment vertical="top" wrapText="1"/>
    </xf>
    <xf numFmtId="0" fontId="3" fillId="0" borderId="98" xfId="25" applyNumberFormat="1" applyFont="1" applyBorder="1" applyAlignment="1" applyProtection="1">
      <alignment vertical="top" wrapText="1"/>
    </xf>
    <xf numFmtId="0" fontId="3" fillId="0" borderId="101" xfId="0" applyNumberFormat="1" applyFont="1" applyBorder="1" applyAlignment="1" applyProtection="1">
      <alignment horizontal="center" vertical="center"/>
    </xf>
    <xf numFmtId="0" fontId="3" fillId="0" borderId="149" xfId="0" applyNumberFormat="1" applyFont="1" applyBorder="1" applyAlignment="1" applyProtection="1">
      <alignment horizontal="center" vertical="center"/>
    </xf>
    <xf numFmtId="0" fontId="3" fillId="0" borderId="151" xfId="0" applyNumberFormat="1" applyFont="1" applyBorder="1" applyAlignment="1" applyProtection="1">
      <alignment horizontal="center" vertical="center"/>
    </xf>
    <xf numFmtId="0" fontId="3" fillId="0" borderId="150" xfId="0" applyNumberFormat="1" applyFont="1" applyBorder="1" applyAlignment="1" applyProtection="1">
      <alignment horizontal="center" vertical="center"/>
    </xf>
    <xf numFmtId="0" fontId="3" fillId="0" borderId="152" xfId="0" applyNumberFormat="1" applyFont="1" applyBorder="1" applyAlignment="1" applyProtection="1">
      <alignment horizontal="center" vertical="center"/>
    </xf>
    <xf numFmtId="0" fontId="50" fillId="0" borderId="150" xfId="0" applyNumberFormat="1" applyFont="1" applyBorder="1" applyAlignment="1" applyProtection="1">
      <alignment horizontal="center" vertical="center"/>
    </xf>
    <xf numFmtId="0" fontId="3" fillId="0" borderId="153" xfId="0" applyNumberFormat="1" applyFont="1" applyBorder="1" applyAlignment="1" applyProtection="1">
      <alignment horizontal="center" vertical="center"/>
    </xf>
    <xf numFmtId="0" fontId="3" fillId="0" borderId="154" xfId="0" applyNumberFormat="1" applyFont="1" applyBorder="1" applyAlignment="1" applyProtection="1">
      <alignment horizontal="center" vertical="center"/>
    </xf>
    <xf numFmtId="0" fontId="3" fillId="0" borderId="92" xfId="0" applyNumberFormat="1" applyFont="1" applyBorder="1" applyAlignment="1" applyProtection="1">
      <alignment horizontal="center" vertical="center"/>
    </xf>
    <xf numFmtId="0" fontId="3" fillId="0" borderId="156" xfId="0" applyNumberFormat="1" applyFont="1" applyBorder="1" applyAlignment="1" applyProtection="1">
      <alignment horizontal="center" vertical="center"/>
    </xf>
    <xf numFmtId="0" fontId="3" fillId="0" borderId="155" xfId="0" applyNumberFormat="1" applyFont="1" applyBorder="1" applyAlignment="1" applyProtection="1">
      <alignment horizontal="center" vertical="center"/>
    </xf>
    <xf numFmtId="0" fontId="3" fillId="0" borderId="157" xfId="0" applyNumberFormat="1" applyFont="1" applyBorder="1" applyAlignment="1" applyProtection="1">
      <alignment horizontal="center"/>
    </xf>
    <xf numFmtId="0" fontId="3" fillId="0" borderId="5" xfId="0" applyNumberFormat="1" applyFont="1" applyBorder="1" applyAlignment="1" applyProtection="1">
      <alignment wrapText="1"/>
    </xf>
    <xf numFmtId="0" fontId="3" fillId="0" borderId="148" xfId="25" applyNumberFormat="1" applyFont="1" applyBorder="1" applyAlignment="1" applyProtection="1">
      <alignment vertical="center"/>
    </xf>
    <xf numFmtId="169" fontId="8" fillId="25" borderId="6" xfId="20" applyNumberFormat="1" applyFont="1" applyFill="1" applyBorder="1" applyAlignment="1" applyProtection="1">
      <alignment horizontal="center" vertical="center" wrapText="1"/>
    </xf>
    <xf numFmtId="168" fontId="8" fillId="8" borderId="1" xfId="20" applyNumberFormat="1" applyFont="1" applyFill="1" applyBorder="1" applyAlignment="1" applyProtection="1">
      <alignment horizontal="center" vertical="center" wrapText="1"/>
    </xf>
    <xf numFmtId="0" fontId="3" fillId="0" borderId="158" xfId="0" applyFont="1" applyBorder="1" applyAlignment="1" applyProtection="1">
      <alignment horizontal="center" vertical="center"/>
    </xf>
    <xf numFmtId="0" fontId="3" fillId="0" borderId="159" xfId="0" applyFont="1" applyBorder="1" applyAlignment="1" applyProtection="1">
      <alignment horizontal="center" vertical="center"/>
    </xf>
    <xf numFmtId="0" fontId="7" fillId="0" borderId="13" xfId="0" applyNumberFormat="1" applyFont="1" applyBorder="1" applyAlignment="1" applyProtection="1">
      <alignment horizontal="center" wrapText="1"/>
    </xf>
    <xf numFmtId="2" fontId="4" fillId="0" borderId="1" xfId="0" applyNumberFormat="1" applyFont="1" applyFill="1" applyBorder="1" applyAlignment="1">
      <alignment horizontal="center" vertical="center"/>
    </xf>
    <xf numFmtId="168" fontId="3" fillId="0" borderId="1" xfId="0" applyNumberFormat="1" applyFont="1" applyBorder="1" applyAlignment="1">
      <alignment horizontal="center" vertical="center"/>
    </xf>
    <xf numFmtId="0" fontId="36" fillId="0" borderId="3" xfId="0" applyFont="1" applyBorder="1" applyAlignment="1">
      <alignment horizontal="left" vertical="top"/>
    </xf>
    <xf numFmtId="0" fontId="5" fillId="5" borderId="128" xfId="20" applyFont="1" applyFill="1" applyBorder="1" applyAlignment="1" applyProtection="1">
      <alignment horizontal="center" vertical="center" wrapText="1"/>
      <protection locked="0"/>
    </xf>
    <xf numFmtId="0" fontId="5" fillId="23" borderId="6" xfId="20" applyFont="1" applyFill="1" applyBorder="1" applyAlignment="1" applyProtection="1">
      <alignment horizontal="center" vertical="center" wrapText="1"/>
      <protection locked="0"/>
    </xf>
    <xf numFmtId="0" fontId="33" fillId="25" borderId="1" xfId="20" applyFont="1" applyFill="1" applyBorder="1" applyAlignment="1" applyProtection="1">
      <alignment horizontal="center" vertical="center" wrapText="1"/>
    </xf>
    <xf numFmtId="0" fontId="33" fillId="25" borderId="6" xfId="20" applyFont="1" applyFill="1" applyBorder="1" applyAlignment="1" applyProtection="1">
      <alignment horizontal="center" vertical="center" wrapText="1"/>
    </xf>
    <xf numFmtId="0" fontId="33" fillId="25" borderId="145" xfId="20" applyFont="1" applyFill="1" applyBorder="1" applyAlignment="1" applyProtection="1">
      <alignment horizontal="center" vertical="center" wrapText="1"/>
    </xf>
    <xf numFmtId="0" fontId="33" fillId="25" borderId="11" xfId="20" applyFont="1" applyFill="1" applyBorder="1" applyAlignment="1" applyProtection="1">
      <alignment horizontal="center" vertical="center" wrapText="1"/>
    </xf>
    <xf numFmtId="0" fontId="45" fillId="0" borderId="61" xfId="0" applyNumberFormat="1" applyFont="1" applyBorder="1" applyAlignment="1" applyProtection="1">
      <alignment horizontal="center" vertical="center"/>
    </xf>
    <xf numFmtId="0" fontId="4" fillId="0" borderId="0" xfId="0" applyFont="1" applyBorder="1" applyAlignment="1" applyProtection="1">
      <alignment horizontal="left" vertical="top"/>
    </xf>
    <xf numFmtId="0" fontId="0" fillId="0" borderId="148" xfId="0" applyNumberFormat="1" applyBorder="1" applyProtection="1"/>
    <xf numFmtId="0" fontId="4" fillId="0" borderId="42" xfId="0" applyFont="1" applyBorder="1" applyAlignment="1" applyProtection="1">
      <alignment horizontal="left" vertical="top"/>
    </xf>
    <xf numFmtId="0" fontId="0" fillId="0" borderId="162" xfId="0" applyNumberFormat="1" applyBorder="1" applyProtection="1"/>
    <xf numFmtId="0" fontId="0" fillId="0" borderId="147" xfId="0" applyNumberFormat="1" applyBorder="1" applyProtection="1"/>
    <xf numFmtId="0" fontId="0" fillId="0" borderId="163" xfId="0" applyNumberFormat="1" applyBorder="1" applyProtection="1"/>
    <xf numFmtId="0" fontId="13" fillId="0" borderId="42" xfId="15" applyNumberFormat="1" applyFont="1" applyFill="1" applyBorder="1" applyProtection="1">
      <alignment horizontal="left" vertical="center"/>
    </xf>
    <xf numFmtId="0" fontId="13" fillId="0" borderId="0" xfId="15" applyNumberFormat="1" applyFont="1" applyFill="1" applyBorder="1" applyAlignment="1" applyProtection="1">
      <alignment horizontal="left" vertical="center"/>
    </xf>
    <xf numFmtId="0" fontId="13" fillId="0" borderId="0" xfId="15" applyNumberFormat="1" applyFont="1" applyFill="1" applyBorder="1" applyProtection="1">
      <alignment horizontal="left" vertical="center"/>
    </xf>
    <xf numFmtId="0" fontId="13" fillId="24" borderId="18" xfId="15" applyNumberFormat="1" applyFont="1" applyFill="1" applyBorder="1" applyProtection="1">
      <alignment horizontal="left" vertical="center"/>
    </xf>
    <xf numFmtId="0" fontId="13" fillId="24" borderId="17" xfId="15" applyNumberFormat="1" applyFont="1" applyFill="1" applyBorder="1" applyAlignment="1" applyProtection="1">
      <alignment horizontal="left" vertical="center"/>
    </xf>
    <xf numFmtId="0" fontId="13" fillId="24" borderId="17" xfId="15" applyNumberFormat="1" applyFont="1" applyFill="1" applyBorder="1" applyProtection="1">
      <alignment horizontal="left" vertical="center"/>
    </xf>
    <xf numFmtId="0" fontId="13" fillId="24" borderId="25" xfId="15" applyNumberFormat="1" applyFont="1" applyFill="1" applyBorder="1" applyAlignment="1" applyProtection="1">
      <alignment horizontal="center" vertical="center"/>
    </xf>
    <xf numFmtId="0" fontId="13" fillId="0" borderId="0" xfId="15" applyNumberFormat="1" applyFont="1" applyFill="1" applyBorder="1" applyAlignment="1" applyProtection="1">
      <alignment horizontal="left" vertical="top" wrapText="1"/>
    </xf>
    <xf numFmtId="0" fontId="57" fillId="0" borderId="65" xfId="15" applyNumberFormat="1" applyFont="1" applyFill="1" applyBorder="1" applyAlignment="1" applyProtection="1">
      <alignment horizontal="left" vertical="top" wrapText="1"/>
    </xf>
    <xf numFmtId="0" fontId="57" fillId="0" borderId="70" xfId="15" applyNumberFormat="1" applyFont="1" applyFill="1" applyBorder="1" applyAlignment="1" applyProtection="1">
      <alignment horizontal="left" vertical="top" wrapText="1"/>
    </xf>
    <xf numFmtId="0" fontId="57" fillId="0" borderId="0" xfId="15" applyNumberFormat="1" applyFont="1" applyFill="1" applyBorder="1" applyAlignment="1" applyProtection="1">
      <alignment horizontal="left" vertical="top" wrapText="1"/>
    </xf>
    <xf numFmtId="0" fontId="57" fillId="0" borderId="42" xfId="15" applyNumberFormat="1" applyFont="1" applyFill="1" applyBorder="1" applyAlignment="1" applyProtection="1">
      <alignment horizontal="left" vertical="top" wrapText="1"/>
    </xf>
    <xf numFmtId="0" fontId="3" fillId="0" borderId="4" xfId="25" applyNumberFormat="1" applyFont="1" applyBorder="1" applyAlignment="1" applyProtection="1">
      <alignment vertical="center"/>
    </xf>
    <xf numFmtId="0" fontId="3" fillId="0" borderId="164" xfId="0" applyNumberFormat="1" applyFont="1" applyBorder="1" applyAlignment="1" applyProtection="1">
      <alignment horizontal="center" vertical="center"/>
    </xf>
    <xf numFmtId="0" fontId="3" fillId="0" borderId="133" xfId="25" applyNumberFormat="1" applyFont="1" applyBorder="1" applyAlignment="1" applyProtection="1">
      <alignment vertical="center" wrapText="1"/>
    </xf>
    <xf numFmtId="0" fontId="33" fillId="25" borderId="11" xfId="25" applyNumberFormat="1" applyFont="1" applyFill="1" applyBorder="1" applyAlignment="1" applyProtection="1">
      <alignment horizontal="center" vertical="center"/>
    </xf>
    <xf numFmtId="0" fontId="3" fillId="0" borderId="165" xfId="0" applyNumberFormat="1" applyFont="1" applyBorder="1" applyAlignment="1" applyProtection="1">
      <alignment horizontal="center" vertical="center"/>
    </xf>
    <xf numFmtId="0" fontId="0" fillId="0" borderId="146" xfId="0" applyNumberFormat="1" applyBorder="1" applyProtection="1"/>
    <xf numFmtId="0" fontId="33" fillId="29" borderId="11" xfId="0" applyFont="1" applyFill="1" applyBorder="1" applyAlignment="1" applyProtection="1">
      <alignment horizontal="center" vertical="center" wrapText="1"/>
    </xf>
    <xf numFmtId="0" fontId="13" fillId="0" borderId="42" xfId="15" applyNumberFormat="1" applyFont="1" applyFill="1" applyBorder="1" applyAlignment="1" applyProtection="1">
      <alignment horizontal="left" vertical="top" wrapText="1"/>
    </xf>
    <xf numFmtId="0" fontId="3" fillId="0" borderId="41" xfId="0" applyNumberFormat="1" applyFont="1" applyFill="1" applyBorder="1" applyAlignment="1" applyProtection="1">
      <alignment vertical="center" wrapText="1"/>
    </xf>
    <xf numFmtId="0" fontId="3" fillId="0" borderId="41" xfId="25" applyNumberFormat="1" applyFont="1" applyBorder="1" applyAlignment="1" applyProtection="1">
      <alignment vertical="center" wrapText="1"/>
    </xf>
    <xf numFmtId="0" fontId="3" fillId="0" borderId="57" xfId="0" applyNumberFormat="1" applyFont="1" applyBorder="1" applyAlignment="1" applyProtection="1">
      <alignment horizontal="center"/>
    </xf>
    <xf numFmtId="0" fontId="3" fillId="0" borderId="42" xfId="25" applyNumberFormat="1" applyFont="1" applyFill="1" applyBorder="1" applyAlignment="1" applyProtection="1">
      <alignment vertical="center" wrapText="1"/>
    </xf>
    <xf numFmtId="0" fontId="3" fillId="0" borderId="166" xfId="0" applyNumberFormat="1" applyFont="1" applyBorder="1" applyAlignment="1" applyProtection="1">
      <alignment horizontal="center" vertical="center"/>
    </xf>
    <xf numFmtId="0" fontId="3" fillId="0" borderId="167" xfId="0" applyFont="1" applyBorder="1" applyAlignment="1" applyProtection="1">
      <alignment vertical="center" wrapText="1"/>
    </xf>
    <xf numFmtId="0" fontId="3" fillId="0" borderId="168" xfId="0" applyFont="1" applyBorder="1" applyAlignment="1" applyProtection="1">
      <alignment horizontal="center" vertical="center"/>
    </xf>
    <xf numFmtId="0" fontId="3" fillId="0" borderId="169"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9" fillId="0" borderId="0" xfId="0" applyFont="1" applyFill="1" applyBorder="1" applyAlignment="1" applyProtection="1">
      <alignment horizontal="center" vertical="center" wrapText="1"/>
    </xf>
    <xf numFmtId="0" fontId="3" fillId="0" borderId="170" xfId="0" applyFont="1" applyBorder="1" applyAlignment="1" applyProtection="1">
      <alignment vertical="center" wrapText="1"/>
    </xf>
    <xf numFmtId="0" fontId="56" fillId="0" borderId="0" xfId="0" applyFont="1" applyFill="1" applyBorder="1" applyAlignment="1" applyProtection="1">
      <alignment horizontal="center" vertical="center"/>
    </xf>
    <xf numFmtId="0" fontId="3" fillId="0" borderId="171" xfId="0" applyFont="1" applyBorder="1" applyAlignment="1" applyProtection="1">
      <alignment horizontal="center" vertical="center"/>
    </xf>
    <xf numFmtId="168" fontId="8" fillId="0" borderId="0" xfId="20" applyNumberFormat="1" applyFont="1" applyFill="1" applyBorder="1" applyAlignment="1" applyProtection="1">
      <alignment horizontal="center" vertical="center" wrapText="1"/>
    </xf>
    <xf numFmtId="167" fontId="8" fillId="0" borderId="0" xfId="32" applyNumberFormat="1" applyFont="1" applyFill="1" applyBorder="1" applyAlignment="1" applyProtection="1">
      <alignment horizontal="center" vertical="center" wrapText="1"/>
    </xf>
    <xf numFmtId="1" fontId="8" fillId="0" borderId="0" xfId="32" applyNumberFormat="1" applyFont="1" applyFill="1" applyBorder="1" applyAlignment="1" applyProtection="1">
      <alignment horizontal="center" vertical="center" wrapText="1"/>
    </xf>
    <xf numFmtId="166" fontId="8" fillId="0" borderId="0" xfId="32" applyNumberFormat="1" applyFont="1" applyFill="1" applyBorder="1" applyAlignment="1" applyProtection="1">
      <alignment horizontal="center" vertical="center" wrapText="1"/>
    </xf>
    <xf numFmtId="166" fontId="8" fillId="0" borderId="0" xfId="20" applyNumberFormat="1" applyFont="1" applyFill="1" applyBorder="1" applyAlignment="1" applyProtection="1">
      <alignment horizontal="center" vertical="center" wrapText="1"/>
    </xf>
    <xf numFmtId="167" fontId="3" fillId="0" borderId="0" xfId="0" applyNumberFormat="1" applyFont="1" applyFill="1" applyBorder="1" applyAlignment="1" applyProtection="1">
      <alignment horizontal="center" vertical="center"/>
    </xf>
    <xf numFmtId="167" fontId="33" fillId="0" borderId="0" xfId="20" applyNumberFormat="1" applyFont="1" applyFill="1" applyBorder="1" applyAlignment="1" applyProtection="1">
      <alignment horizontal="center" vertical="center" wrapText="1"/>
    </xf>
    <xf numFmtId="169" fontId="8" fillId="0" borderId="0" xfId="20" applyNumberFormat="1" applyFont="1" applyFill="1" applyBorder="1" applyAlignment="1" applyProtection="1">
      <alignment horizontal="center" vertical="center" wrapText="1"/>
    </xf>
    <xf numFmtId="0" fontId="3" fillId="0" borderId="172" xfId="0" applyFont="1" applyBorder="1" applyAlignment="1" applyProtection="1">
      <alignment horizontal="center" vertical="center"/>
    </xf>
    <xf numFmtId="0" fontId="3" fillId="0" borderId="173" xfId="0" applyFont="1" applyBorder="1" applyAlignment="1" applyProtection="1">
      <alignment horizontal="center" vertical="center"/>
    </xf>
    <xf numFmtId="0" fontId="3" fillId="0" borderId="174" xfId="0" applyFont="1" applyBorder="1" applyAlignment="1" applyProtection="1">
      <alignment horizontal="center" vertical="center"/>
    </xf>
    <xf numFmtId="0" fontId="3" fillId="0" borderId="130" xfId="0" applyFont="1" applyBorder="1" applyAlignment="1" applyProtection="1">
      <alignment horizontal="center" vertical="center"/>
    </xf>
    <xf numFmtId="0" fontId="3" fillId="0" borderId="173" xfId="0" applyFont="1" applyFill="1" applyBorder="1" applyAlignment="1" applyProtection="1">
      <alignment horizontal="center" vertical="center"/>
    </xf>
    <xf numFmtId="0" fontId="3" fillId="0" borderId="174" xfId="0" applyFont="1" applyFill="1" applyBorder="1" applyAlignment="1" applyProtection="1">
      <alignment horizontal="center" vertical="center"/>
    </xf>
    <xf numFmtId="1" fontId="8" fillId="8" borderId="48" xfId="20" applyNumberFormat="1" applyFont="1" applyFill="1" applyBorder="1" applyAlignment="1" applyProtection="1">
      <alignment horizontal="center" vertical="center" wrapText="1"/>
    </xf>
    <xf numFmtId="0" fontId="3" fillId="0" borderId="71" xfId="0" applyFont="1" applyBorder="1" applyAlignment="1" applyProtection="1">
      <alignment vertical="center"/>
    </xf>
    <xf numFmtId="0" fontId="3" fillId="0" borderId="175" xfId="0" applyFont="1" applyFill="1" applyBorder="1" applyAlignment="1" applyProtection="1">
      <alignment horizontal="center" vertical="center"/>
    </xf>
    <xf numFmtId="0" fontId="3" fillId="0" borderId="176" xfId="0" applyFont="1" applyBorder="1" applyAlignment="1" applyProtection="1">
      <alignment horizontal="center" vertical="center"/>
    </xf>
    <xf numFmtId="0" fontId="3" fillId="0" borderId="42" xfId="0" applyFont="1" applyFill="1" applyBorder="1" applyAlignment="1" applyProtection="1">
      <alignment vertical="center" wrapText="1"/>
    </xf>
    <xf numFmtId="0" fontId="3" fillId="0" borderId="46" xfId="0" applyFont="1" applyFill="1" applyBorder="1" applyAlignment="1" applyProtection="1">
      <alignment horizontal="center" vertical="center"/>
    </xf>
    <xf numFmtId="0" fontId="3" fillId="0" borderId="177" xfId="0" applyFont="1" applyFill="1" applyBorder="1" applyAlignment="1" applyProtection="1">
      <alignment vertical="center" wrapText="1"/>
    </xf>
    <xf numFmtId="0" fontId="3" fillId="0" borderId="178" xfId="0" applyFont="1" applyBorder="1" applyAlignment="1" applyProtection="1">
      <alignment horizontal="center" vertical="center"/>
    </xf>
    <xf numFmtId="0" fontId="3" fillId="0" borderId="177" xfId="0" applyFont="1" applyBorder="1" applyAlignment="1" applyProtection="1">
      <alignment vertical="center" wrapText="1"/>
    </xf>
    <xf numFmtId="0" fontId="3" fillId="0" borderId="179" xfId="0" applyFont="1" applyBorder="1" applyAlignment="1" applyProtection="1">
      <alignment vertical="center" wrapText="1"/>
    </xf>
    <xf numFmtId="0" fontId="3" fillId="0" borderId="127" xfId="0" applyFont="1" applyBorder="1" applyAlignment="1" applyProtection="1">
      <alignment horizontal="center" vertical="center" wrapText="1"/>
    </xf>
    <xf numFmtId="0" fontId="3" fillId="0" borderId="133" xfId="0" applyNumberFormat="1" applyFont="1" applyBorder="1" applyAlignment="1" applyProtection="1">
      <alignment horizontal="left" wrapText="1"/>
    </xf>
    <xf numFmtId="0" fontId="33" fillId="25" borderId="145" xfId="25" applyNumberFormat="1" applyFont="1" applyFill="1" applyBorder="1" applyAlignment="1" applyProtection="1">
      <alignment horizontal="center" vertical="center"/>
    </xf>
    <xf numFmtId="0" fontId="3" fillId="0" borderId="55" xfId="0" applyNumberFormat="1" applyFont="1" applyBorder="1" applyAlignment="1" applyProtection="1">
      <alignment horizontal="center"/>
    </xf>
    <xf numFmtId="0" fontId="3" fillId="0" borderId="116" xfId="0" applyNumberFormat="1" applyFont="1" applyBorder="1" applyAlignment="1" applyProtection="1">
      <alignment horizontal="center"/>
    </xf>
    <xf numFmtId="0" fontId="3" fillId="0" borderId="66" xfId="0" applyNumberFormat="1" applyFont="1" applyBorder="1" applyAlignment="1" applyProtection="1">
      <alignment wrapText="1"/>
    </xf>
    <xf numFmtId="0" fontId="3" fillId="0" borderId="115" xfId="25" applyNumberFormat="1" applyFont="1" applyBorder="1" applyAlignment="1" applyProtection="1">
      <alignment vertical="center" wrapText="1"/>
    </xf>
    <xf numFmtId="0" fontId="3" fillId="0" borderId="112" xfId="0" applyNumberFormat="1" applyFont="1" applyBorder="1" applyAlignment="1" applyProtection="1">
      <alignment wrapText="1"/>
    </xf>
    <xf numFmtId="0" fontId="3" fillId="0" borderId="72" xfId="0" applyNumberFormat="1" applyFont="1" applyBorder="1" applyAlignment="1" applyProtection="1">
      <alignment wrapText="1"/>
    </xf>
    <xf numFmtId="0" fontId="3" fillId="0" borderId="180" xfId="25" applyNumberFormat="1" applyFont="1" applyBorder="1" applyAlignment="1" applyProtection="1">
      <alignment vertical="center"/>
    </xf>
    <xf numFmtId="0" fontId="7" fillId="24" borderId="37" xfId="0" applyFont="1" applyFill="1" applyBorder="1" applyAlignment="1" applyProtection="1">
      <alignment vertical="center" wrapText="1"/>
    </xf>
    <xf numFmtId="0" fontId="3" fillId="24" borderId="119" xfId="0" applyFont="1" applyFill="1" applyBorder="1" applyAlignment="1" applyProtection="1">
      <alignment horizontal="center" vertical="center"/>
    </xf>
    <xf numFmtId="0" fontId="8" fillId="24" borderId="119" xfId="20" applyNumberFormat="1" applyFont="1" applyFill="1" applyBorder="1" applyAlignment="1" applyProtection="1">
      <alignment horizontal="center" vertical="center" wrapText="1"/>
    </xf>
    <xf numFmtId="0" fontId="3" fillId="24" borderId="38" xfId="0" applyFont="1" applyFill="1" applyBorder="1" applyAlignment="1" applyProtection="1">
      <alignment horizontal="center" vertical="center"/>
    </xf>
    <xf numFmtId="0" fontId="33" fillId="25" borderId="11" xfId="20" applyNumberFormat="1" applyFont="1" applyFill="1" applyBorder="1" applyAlignment="1" applyProtection="1">
      <alignment horizontal="center" vertical="center" wrapText="1"/>
    </xf>
    <xf numFmtId="0" fontId="33" fillId="0" borderId="20" xfId="20" applyNumberFormat="1" applyFont="1" applyFill="1" applyBorder="1" applyAlignment="1" applyProtection="1">
      <alignment horizontal="center" vertical="center" wrapText="1"/>
    </xf>
    <xf numFmtId="0" fontId="3" fillId="0" borderId="96" xfId="0" applyFont="1" applyBorder="1" applyAlignment="1" applyProtection="1">
      <alignment horizontal="center" vertical="center"/>
    </xf>
    <xf numFmtId="169" fontId="8" fillId="25" borderId="11" xfId="20" applyNumberFormat="1" applyFont="1" applyFill="1" applyBorder="1" applyAlignment="1" applyProtection="1">
      <alignment horizontal="center" vertical="center" wrapText="1"/>
    </xf>
    <xf numFmtId="1" fontId="8" fillId="8" borderId="145" xfId="32" applyNumberFormat="1" applyFont="1" applyFill="1" applyBorder="1" applyAlignment="1" applyProtection="1">
      <alignment horizontal="center" vertical="center" wrapText="1"/>
    </xf>
    <xf numFmtId="166" fontId="8" fillId="8" borderId="145" xfId="32" applyNumberFormat="1" applyFont="1" applyFill="1" applyBorder="1" applyAlignment="1" applyProtection="1">
      <alignment horizontal="center" vertical="center" wrapText="1"/>
    </xf>
    <xf numFmtId="166" fontId="8" fillId="8" borderId="11" xfId="20" applyNumberFormat="1" applyFont="1" applyFill="1" applyBorder="1" applyAlignment="1" applyProtection="1">
      <alignment horizontal="center" vertical="center" wrapText="1"/>
    </xf>
    <xf numFmtId="166" fontId="8" fillId="25" borderId="145" xfId="20" applyNumberFormat="1" applyFont="1" applyFill="1" applyBorder="1" applyAlignment="1" applyProtection="1">
      <alignment horizontal="center" vertical="center" wrapText="1"/>
    </xf>
    <xf numFmtId="166" fontId="8" fillId="8" borderId="145" xfId="20" applyNumberFormat="1" applyFont="1" applyFill="1" applyBorder="1" applyAlignment="1" applyProtection="1">
      <alignment horizontal="center" vertical="center" wrapText="1"/>
    </xf>
    <xf numFmtId="167" fontId="8" fillId="8" borderId="11" xfId="32" applyNumberFormat="1" applyFont="1" applyFill="1" applyBorder="1" applyAlignment="1" applyProtection="1">
      <alignment horizontal="center" vertical="center" wrapText="1"/>
    </xf>
    <xf numFmtId="0" fontId="3" fillId="0" borderId="142" xfId="0" applyFont="1" applyFill="1" applyBorder="1" applyAlignment="1" applyProtection="1">
      <alignment vertical="center" wrapText="1"/>
    </xf>
    <xf numFmtId="0" fontId="3" fillId="0" borderId="143" xfId="0" applyFont="1" applyFill="1" applyBorder="1" applyAlignment="1" applyProtection="1">
      <alignment horizontal="center" vertical="center"/>
    </xf>
    <xf numFmtId="164" fontId="8" fillId="8" borderId="11" xfId="20" applyNumberFormat="1" applyFont="1" applyFill="1" applyBorder="1" applyAlignment="1" applyProtection="1">
      <alignment horizontal="center" vertical="center" wrapText="1"/>
    </xf>
    <xf numFmtId="168" fontId="8" fillId="25" borderId="11" xfId="20" applyNumberFormat="1" applyFont="1" applyFill="1" applyBorder="1" applyAlignment="1" applyProtection="1">
      <alignment horizontal="center" vertical="center" wrapText="1"/>
    </xf>
    <xf numFmtId="164" fontId="8" fillId="25" borderId="11" xfId="20" applyNumberFormat="1" applyFont="1" applyFill="1" applyBorder="1" applyAlignment="1" applyProtection="1">
      <alignment horizontal="center" vertical="center" wrapText="1"/>
    </xf>
    <xf numFmtId="167" fontId="8" fillId="8" borderId="160" xfId="20" applyNumberFormat="1" applyFont="1" applyFill="1" applyBorder="1" applyAlignment="1" applyProtection="1">
      <alignment horizontal="center" vertical="center" wrapText="1"/>
    </xf>
    <xf numFmtId="0" fontId="56" fillId="0" borderId="143" xfId="0" applyFont="1" applyBorder="1" applyAlignment="1" applyProtection="1">
      <alignment horizontal="center" vertical="center"/>
    </xf>
    <xf numFmtId="167" fontId="8" fillId="8" borderId="11" xfId="20" applyNumberFormat="1" applyFont="1" applyFill="1" applyBorder="1" applyAlignment="1" applyProtection="1">
      <alignment horizontal="center" vertical="center" wrapText="1"/>
    </xf>
    <xf numFmtId="0" fontId="3" fillId="0" borderId="182" xfId="0" applyFont="1" applyBorder="1" applyAlignment="1" applyProtection="1">
      <alignment vertical="center" wrapText="1"/>
    </xf>
    <xf numFmtId="0" fontId="3" fillId="0" borderId="183" xfId="0" applyFont="1" applyBorder="1" applyAlignment="1" applyProtection="1">
      <alignment horizontal="center" vertical="center"/>
    </xf>
    <xf numFmtId="0" fontId="3" fillId="0" borderId="184" xfId="0" applyFont="1" applyBorder="1" applyAlignment="1" applyProtection="1">
      <alignment horizontal="center" vertical="center"/>
    </xf>
    <xf numFmtId="0" fontId="8" fillId="8" borderId="11" xfId="20" applyNumberFormat="1" applyFont="1" applyFill="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185" xfId="0" applyFont="1" applyBorder="1" applyAlignment="1" applyProtection="1">
      <alignment vertical="center" wrapText="1"/>
    </xf>
    <xf numFmtId="0" fontId="3" fillId="0" borderId="186" xfId="0" applyFont="1" applyBorder="1" applyAlignment="1" applyProtection="1">
      <alignment horizontal="center" vertical="center"/>
    </xf>
    <xf numFmtId="0" fontId="3" fillId="0" borderId="187" xfId="0" applyFont="1" applyBorder="1" applyAlignment="1" applyProtection="1">
      <alignment horizontal="center" vertical="center"/>
    </xf>
    <xf numFmtId="0" fontId="59" fillId="25" borderId="136" xfId="0" applyFont="1" applyFill="1" applyBorder="1" applyAlignment="1" applyProtection="1">
      <alignment horizontal="center" vertical="center" wrapText="1"/>
    </xf>
    <xf numFmtId="0" fontId="3" fillId="0" borderId="32" xfId="0" applyFont="1" applyBorder="1" applyAlignment="1" applyProtection="1">
      <alignment horizontal="center" vertical="center"/>
    </xf>
    <xf numFmtId="2" fontId="8" fillId="25" borderId="11" xfId="20" applyNumberFormat="1" applyFont="1" applyFill="1" applyBorder="1" applyAlignment="1" applyProtection="1">
      <alignment horizontal="center" vertical="center" wrapText="1"/>
    </xf>
    <xf numFmtId="0" fontId="33" fillId="25" borderId="11" xfId="0" applyFont="1" applyFill="1" applyBorder="1" applyAlignment="1" applyProtection="1">
      <alignment horizontal="center" vertical="center"/>
    </xf>
    <xf numFmtId="2" fontId="8" fillId="8" borderId="145" xfId="20" applyNumberFormat="1" applyFont="1" applyFill="1" applyBorder="1" applyAlignment="1" applyProtection="1">
      <alignment horizontal="center" vertical="center" wrapText="1"/>
    </xf>
    <xf numFmtId="2" fontId="8" fillId="8" borderId="11" xfId="20" applyNumberFormat="1" applyFont="1" applyFill="1" applyBorder="1" applyAlignment="1" applyProtection="1">
      <alignment horizontal="center" vertical="center" wrapText="1"/>
    </xf>
    <xf numFmtId="0" fontId="7" fillId="24" borderId="37" xfId="0" applyFont="1" applyFill="1" applyBorder="1" applyAlignment="1" applyProtection="1">
      <alignment vertical="center"/>
    </xf>
    <xf numFmtId="0" fontId="3" fillId="0" borderId="188" xfId="0" applyFont="1" applyFill="1" applyBorder="1" applyAlignment="1" applyProtection="1">
      <alignment horizontal="center" vertical="center"/>
    </xf>
    <xf numFmtId="167" fontId="8" fillId="8" borderId="145" xfId="20" applyNumberFormat="1" applyFont="1" applyFill="1" applyBorder="1" applyAlignment="1" applyProtection="1">
      <alignment horizontal="center" vertical="center" wrapText="1"/>
    </xf>
    <xf numFmtId="0" fontId="3" fillId="0" borderId="144" xfId="0" applyFont="1" applyFill="1" applyBorder="1" applyAlignment="1" applyProtection="1">
      <alignment horizontal="center" vertical="center"/>
    </xf>
    <xf numFmtId="167" fontId="33" fillId="25" borderId="145" xfId="20" applyNumberFormat="1" applyFont="1" applyFill="1" applyBorder="1" applyAlignment="1" applyProtection="1">
      <alignment horizontal="center" vertical="center" wrapText="1"/>
    </xf>
    <xf numFmtId="0" fontId="7" fillId="24" borderId="37" xfId="0" applyFont="1" applyFill="1" applyBorder="1" applyAlignment="1" applyProtection="1">
      <alignment vertical="top" wrapText="1"/>
    </xf>
    <xf numFmtId="0" fontId="7" fillId="24" borderId="119" xfId="0" applyFont="1" applyFill="1" applyBorder="1" applyAlignment="1" applyProtection="1">
      <alignment vertical="top" wrapText="1"/>
    </xf>
    <xf numFmtId="0" fontId="7" fillId="24" borderId="38" xfId="0" applyFont="1" applyFill="1" applyBorder="1" applyAlignment="1" applyProtection="1">
      <alignment vertical="top" wrapText="1"/>
    </xf>
    <xf numFmtId="0" fontId="7" fillId="24" borderId="37" xfId="0" applyFont="1" applyFill="1" applyBorder="1" applyAlignment="1" applyProtection="1">
      <alignment vertical="top"/>
    </xf>
    <xf numFmtId="0" fontId="3" fillId="0" borderId="189" xfId="0" applyFont="1" applyBorder="1" applyAlignment="1" applyProtection="1">
      <alignment vertical="center" wrapText="1"/>
    </xf>
    <xf numFmtId="0" fontId="3" fillId="0" borderId="190" xfId="0" applyFont="1" applyBorder="1" applyAlignment="1" applyProtection="1">
      <alignment horizontal="center" vertical="center"/>
    </xf>
    <xf numFmtId="1" fontId="33" fillId="25" borderId="145" xfId="0" applyNumberFormat="1" applyFont="1" applyFill="1" applyBorder="1" applyAlignment="1" applyProtection="1">
      <alignment horizontal="center" vertical="center"/>
    </xf>
    <xf numFmtId="0" fontId="3" fillId="0" borderId="191" xfId="0" applyFont="1" applyBorder="1" applyAlignment="1" applyProtection="1">
      <alignment horizontal="center" vertical="center"/>
    </xf>
    <xf numFmtId="2" fontId="33" fillId="25" borderId="145" xfId="0" applyNumberFormat="1" applyFont="1" applyFill="1" applyBorder="1" applyAlignment="1" applyProtection="1">
      <alignment horizontal="center" vertical="center"/>
    </xf>
    <xf numFmtId="0" fontId="3" fillId="0" borderId="20" xfId="0" applyFont="1" applyFill="1" applyBorder="1" applyAlignment="1" applyProtection="1">
      <alignment horizontal="left" vertical="center"/>
    </xf>
    <xf numFmtId="0" fontId="33" fillId="25" borderId="145" xfId="0" applyFont="1" applyFill="1" applyBorder="1" applyAlignment="1" applyProtection="1">
      <alignment horizontal="center" vertical="center"/>
    </xf>
    <xf numFmtId="2" fontId="33" fillId="25" borderId="11" xfId="0" applyNumberFormat="1" applyFont="1" applyFill="1" applyBorder="1" applyAlignment="1" applyProtection="1">
      <alignment horizontal="center" vertical="center"/>
    </xf>
    <xf numFmtId="167" fontId="8" fillId="25" borderId="1" xfId="32" applyNumberFormat="1" applyFont="1" applyFill="1" applyBorder="1" applyAlignment="1" applyProtection="1">
      <alignment horizontal="center" vertical="center" wrapText="1"/>
    </xf>
    <xf numFmtId="0" fontId="4" fillId="0" borderId="126" xfId="0" applyFont="1" applyBorder="1" applyAlignment="1" applyProtection="1">
      <alignment horizontal="center" vertical="center"/>
    </xf>
    <xf numFmtId="0" fontId="3" fillId="0" borderId="0" xfId="0" applyFont="1" applyFill="1" applyBorder="1" applyAlignment="1" applyProtection="1">
      <alignment horizontal="center"/>
    </xf>
    <xf numFmtId="0" fontId="3" fillId="0" borderId="0" xfId="0" applyFont="1" applyFill="1" applyBorder="1" applyProtection="1"/>
    <xf numFmtId="0" fontId="7" fillId="0" borderId="1" xfId="0" applyNumberFormat="1" applyFont="1" applyBorder="1" applyAlignment="1" applyProtection="1">
      <alignment horizontal="center" vertical="center"/>
    </xf>
    <xf numFmtId="0" fontId="3" fillId="0" borderId="192" xfId="0" applyFont="1" applyBorder="1" applyAlignment="1" applyProtection="1">
      <alignment vertical="center" wrapText="1"/>
    </xf>
    <xf numFmtId="0" fontId="3" fillId="0" borderId="193" xfId="0" applyFont="1" applyFill="1" applyBorder="1" applyAlignment="1" applyProtection="1">
      <alignment horizontal="center" vertical="center"/>
    </xf>
    <xf numFmtId="0" fontId="3" fillId="0" borderId="194" xfId="0" applyFont="1" applyFill="1" applyBorder="1" applyAlignment="1" applyProtection="1">
      <alignment horizontal="center" vertical="center"/>
    </xf>
    <xf numFmtId="0" fontId="3" fillId="0" borderId="195" xfId="0" applyFont="1" applyFill="1" applyBorder="1" applyAlignment="1" applyProtection="1">
      <alignment horizontal="center" vertical="center"/>
    </xf>
    <xf numFmtId="0" fontId="3" fillId="0" borderId="176" xfId="0" applyFont="1" applyFill="1" applyBorder="1" applyAlignment="1" applyProtection="1">
      <alignment horizontal="center" vertical="center"/>
    </xf>
    <xf numFmtId="0" fontId="3" fillId="0" borderId="196" xfId="0" applyFont="1" applyBorder="1" applyAlignment="1" applyProtection="1">
      <alignment horizontal="center" vertical="center"/>
    </xf>
    <xf numFmtId="0" fontId="3" fillId="0" borderId="129" xfId="0" applyFont="1" applyBorder="1" applyAlignment="1" applyProtection="1">
      <alignment horizontal="center" vertical="center"/>
    </xf>
    <xf numFmtId="0" fontId="3" fillId="0" borderId="197" xfId="0" applyFont="1" applyFill="1" applyBorder="1" applyAlignment="1" applyProtection="1">
      <alignment horizontal="center" vertical="center"/>
    </xf>
    <xf numFmtId="168" fontId="8" fillId="8" borderId="61" xfId="20"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xf>
    <xf numFmtId="169" fontId="8" fillId="8" borderId="11" xfId="20" applyNumberFormat="1" applyFont="1" applyFill="1" applyBorder="1" applyAlignment="1" applyProtection="1">
      <alignment horizontal="center" vertical="center" wrapText="1"/>
    </xf>
    <xf numFmtId="0" fontId="13" fillId="24" borderId="43" xfId="15" applyNumberFormat="1" applyFont="1" applyFill="1" applyBorder="1" applyAlignment="1" applyProtection="1">
      <alignment horizontal="center" vertical="center"/>
    </xf>
    <xf numFmtId="0" fontId="7" fillId="0" borderId="102" xfId="0" applyNumberFormat="1" applyFont="1" applyBorder="1" applyAlignment="1" applyProtection="1">
      <alignment horizontal="center"/>
    </xf>
    <xf numFmtId="0" fontId="0" fillId="0" borderId="0" xfId="0" applyNumberFormat="1" applyBorder="1" applyAlignment="1" applyProtection="1">
      <alignment horizontal="center"/>
    </xf>
    <xf numFmtId="0" fontId="3" fillId="0" borderId="198" xfId="0" applyNumberFormat="1"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4" fillId="0" borderId="0" xfId="0" applyFont="1" applyBorder="1" applyAlignment="1" applyProtection="1">
      <alignment horizontal="left"/>
    </xf>
    <xf numFmtId="0" fontId="3" fillId="0" borderId="200" xfId="0" applyNumberFormat="1" applyFont="1" applyBorder="1" applyAlignment="1" applyProtection="1">
      <alignment horizontal="center" vertical="center"/>
    </xf>
    <xf numFmtId="0" fontId="3" fillId="0" borderId="201" xfId="0" applyNumberFormat="1" applyFont="1" applyBorder="1" applyAlignment="1" applyProtection="1">
      <alignment horizontal="center" vertical="center"/>
    </xf>
    <xf numFmtId="0" fontId="3" fillId="0" borderId="202" xfId="0" applyNumberFormat="1" applyFont="1" applyBorder="1" applyAlignment="1" applyProtection="1">
      <alignment horizontal="center" vertical="center"/>
    </xf>
    <xf numFmtId="0" fontId="3" fillId="0" borderId="203" xfId="0" applyNumberFormat="1" applyFont="1" applyBorder="1" applyAlignment="1" applyProtection="1">
      <alignment horizontal="center" vertical="center"/>
    </xf>
    <xf numFmtId="0" fontId="33" fillId="29" borderId="61" xfId="0" applyFont="1" applyFill="1" applyBorder="1" applyAlignment="1" applyProtection="1">
      <alignment horizontal="center" vertical="center" wrapText="1"/>
    </xf>
    <xf numFmtId="0" fontId="0" fillId="0" borderId="30" xfId="0" applyNumberFormat="1" applyBorder="1" applyProtection="1"/>
    <xf numFmtId="0" fontId="0" fillId="0" borderId="43" xfId="0" applyNumberFormat="1" applyBorder="1" applyProtection="1"/>
    <xf numFmtId="0" fontId="0" fillId="0" borderId="43" xfId="0" applyNumberFormat="1" applyBorder="1" applyAlignment="1" applyProtection="1">
      <alignment horizontal="center"/>
    </xf>
    <xf numFmtId="0" fontId="3" fillId="0" borderId="31" xfId="0" applyFont="1" applyBorder="1" applyAlignment="1" applyProtection="1">
      <alignment horizontal="center"/>
    </xf>
    <xf numFmtId="0" fontId="3" fillId="0" borderId="199" xfId="0" applyNumberFormat="1" applyFont="1" applyBorder="1" applyAlignment="1" applyProtection="1">
      <alignment horizontal="center"/>
    </xf>
    <xf numFmtId="0" fontId="13" fillId="24" borderId="17" xfId="15" applyNumberFormat="1" applyFont="1" applyFill="1" applyBorder="1" applyAlignment="1" applyProtection="1">
      <alignment horizontal="center" vertical="center"/>
    </xf>
    <xf numFmtId="0" fontId="4" fillId="0" borderId="42" xfId="0" applyNumberFormat="1" applyFont="1" applyBorder="1" applyAlignment="1" applyProtection="1">
      <alignment horizontal="left" vertical="top" wrapText="1"/>
    </xf>
    <xf numFmtId="0" fontId="3" fillId="0" borderId="0" xfId="0" applyNumberFormat="1" applyFont="1" applyBorder="1" applyAlignment="1" applyProtection="1">
      <alignment horizontal="left" vertical="top" wrapText="1"/>
    </xf>
    <xf numFmtId="0" fontId="3" fillId="0" borderId="53" xfId="0" applyFont="1" applyBorder="1" applyAlignment="1" applyProtection="1">
      <alignment horizontal="center"/>
    </xf>
    <xf numFmtId="0" fontId="3" fillId="0" borderId="46" xfId="0" applyFont="1" applyBorder="1" applyAlignment="1" applyProtection="1">
      <alignment horizontal="center"/>
    </xf>
    <xf numFmtId="0" fontId="3" fillId="0" borderId="130" xfId="0" applyFont="1" applyBorder="1" applyAlignment="1" applyProtection="1">
      <alignment horizontal="center"/>
    </xf>
    <xf numFmtId="0" fontId="7" fillId="0" borderId="10" xfId="0" applyFont="1" applyBorder="1" applyAlignment="1" applyProtection="1">
      <alignment horizontal="center" vertical="center" wrapText="1"/>
    </xf>
    <xf numFmtId="0" fontId="33" fillId="25" borderId="61" xfId="25" applyNumberFormat="1" applyFont="1" applyFill="1" applyBorder="1" applyAlignment="1" applyProtection="1">
      <alignment horizontal="center" vertical="center"/>
    </xf>
    <xf numFmtId="0" fontId="3" fillId="0" borderId="205" xfId="0" applyNumberFormat="1" applyFont="1" applyBorder="1" applyAlignment="1" applyProtection="1">
      <alignment horizontal="center" vertical="center"/>
    </xf>
    <xf numFmtId="0" fontId="3" fillId="0" borderId="206" xfId="0" applyNumberFormat="1" applyFont="1" applyBorder="1" applyAlignment="1" applyProtection="1">
      <alignment horizontal="center" vertical="center"/>
    </xf>
    <xf numFmtId="0" fontId="3" fillId="0" borderId="30" xfId="0" applyFont="1" applyBorder="1" applyProtection="1"/>
    <xf numFmtId="0" fontId="3" fillId="0" borderId="43" xfId="0" applyFont="1" applyBorder="1" applyProtection="1"/>
    <xf numFmtId="0" fontId="8" fillId="8" borderId="61" xfId="20" applyNumberFormat="1" applyFont="1" applyFill="1" applyBorder="1" applyAlignment="1" applyProtection="1">
      <alignment horizontal="center" vertical="center"/>
    </xf>
    <xf numFmtId="0" fontId="3" fillId="0" borderId="30" xfId="25" applyNumberFormat="1" applyFont="1" applyFill="1" applyBorder="1" applyAlignment="1" applyProtection="1">
      <alignment vertical="center"/>
    </xf>
    <xf numFmtId="0" fontId="3" fillId="0" borderId="43" xfId="0" applyNumberFormat="1" applyFont="1" applyFill="1" applyBorder="1" applyAlignment="1" applyProtection="1">
      <alignment horizontal="center" vertical="center"/>
    </xf>
    <xf numFmtId="0" fontId="4" fillId="0" borderId="43" xfId="0" applyNumberFormat="1" applyFont="1" applyFill="1" applyBorder="1" applyAlignment="1" applyProtection="1">
      <alignment horizontal="center" vertical="center"/>
    </xf>
    <xf numFmtId="0" fontId="3" fillId="0" borderId="46" xfId="0" applyFont="1" applyBorder="1" applyAlignment="1" applyProtection="1">
      <alignment horizontal="left"/>
    </xf>
    <xf numFmtId="0" fontId="3" fillId="0" borderId="23" xfId="25" applyNumberFormat="1" applyFont="1" applyBorder="1" applyAlignment="1" applyProtection="1">
      <alignment vertical="center"/>
    </xf>
    <xf numFmtId="0" fontId="3" fillId="0" borderId="98" xfId="25" applyNumberFormat="1" applyFont="1" applyBorder="1" applyAlignment="1" applyProtection="1">
      <alignment vertical="center" wrapText="1"/>
    </xf>
    <xf numFmtId="0" fontId="7" fillId="0" borderId="1" xfId="0" applyNumberFormat="1" applyFont="1" applyBorder="1" applyAlignment="1" applyProtection="1">
      <alignment horizontal="center"/>
    </xf>
    <xf numFmtId="0" fontId="4" fillId="0" borderId="0" xfId="0" applyNumberFormat="1" applyFont="1" applyBorder="1" applyAlignment="1" applyProtection="1">
      <alignment horizontal="center" vertical="center"/>
    </xf>
    <xf numFmtId="0" fontId="3" fillId="0" borderId="108" xfId="0" applyFont="1" applyBorder="1" applyAlignment="1" applyProtection="1">
      <alignment horizontal="right" wrapText="1"/>
    </xf>
    <xf numFmtId="0" fontId="3" fillId="0" borderId="43" xfId="0" applyFont="1" applyBorder="1" applyAlignment="1" applyProtection="1">
      <alignment horizontal="center"/>
    </xf>
    <xf numFmtId="0" fontId="7" fillId="0" borderId="64" xfId="0" applyFont="1" applyBorder="1" applyAlignment="1" applyProtection="1">
      <alignment horizontal="center" vertical="center" wrapText="1"/>
    </xf>
    <xf numFmtId="0" fontId="3" fillId="0" borderId="20" xfId="0" applyFont="1" applyBorder="1" applyProtection="1"/>
    <xf numFmtId="0" fontId="3" fillId="0" borderId="63" xfId="0" applyNumberFormat="1" applyFont="1" applyBorder="1" applyAlignment="1" applyProtection="1">
      <alignment horizontal="center" vertical="center"/>
    </xf>
    <xf numFmtId="0" fontId="3" fillId="0" borderId="207"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0" fontId="3" fillId="24" borderId="43" xfId="0" applyFont="1" applyFill="1" applyBorder="1" applyProtection="1"/>
    <xf numFmtId="0" fontId="3" fillId="24" borderId="31" xfId="0" applyFont="1" applyFill="1" applyBorder="1" applyProtection="1"/>
    <xf numFmtId="0" fontId="7" fillId="0" borderId="0" xfId="0" applyFont="1" applyBorder="1" applyAlignment="1" applyProtection="1">
      <alignment horizontal="center"/>
    </xf>
    <xf numFmtId="0" fontId="7" fillId="0" borderId="1" xfId="0" applyFont="1" applyBorder="1" applyAlignment="1" applyProtection="1">
      <alignment horizontal="center"/>
    </xf>
    <xf numFmtId="0" fontId="8" fillId="8" borderId="64" xfId="20" applyNumberFormat="1" applyFont="1" applyFill="1" applyBorder="1" applyAlignment="1" applyProtection="1">
      <alignment horizontal="center" vertical="center"/>
    </xf>
    <xf numFmtId="0" fontId="3" fillId="0" borderId="128" xfId="0" applyNumberFormat="1" applyFont="1" applyBorder="1" applyAlignment="1" applyProtection="1">
      <alignment horizontal="center"/>
    </xf>
    <xf numFmtId="0" fontId="3" fillId="0" borderId="65" xfId="0" applyFont="1" applyBorder="1" applyAlignment="1" applyProtection="1">
      <alignment horizontal="center"/>
    </xf>
    <xf numFmtId="0" fontId="3" fillId="0" borderId="48" xfId="0" applyFont="1" applyBorder="1" applyAlignment="1" applyProtection="1">
      <alignment horizontal="center"/>
    </xf>
    <xf numFmtId="0" fontId="33" fillId="0" borderId="0" xfId="0" applyFont="1" applyFill="1" applyBorder="1" applyAlignment="1" applyProtection="1">
      <alignment horizontal="center" vertical="center" wrapText="1"/>
    </xf>
    <xf numFmtId="0" fontId="3" fillId="0" borderId="107" xfId="0" applyFont="1" applyBorder="1" applyAlignment="1" applyProtection="1">
      <alignment horizontal="right" wrapText="1"/>
    </xf>
    <xf numFmtId="0" fontId="7" fillId="0" borderId="101" xfId="0" applyFont="1" applyBorder="1" applyAlignment="1" applyProtection="1">
      <alignment vertical="top" wrapText="1"/>
    </xf>
    <xf numFmtId="0" fontId="4" fillId="0" borderId="71" xfId="0" applyFont="1" applyBorder="1" applyAlignment="1" applyProtection="1">
      <alignment vertical="top" wrapText="1"/>
    </xf>
    <xf numFmtId="0" fontId="33" fillId="25" borderId="1" xfId="0" applyFont="1" applyFill="1" applyBorder="1" applyAlignment="1" applyProtection="1">
      <alignment horizontal="center" vertical="center" wrapText="1"/>
    </xf>
    <xf numFmtId="0" fontId="33" fillId="25" borderId="1"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center"/>
    </xf>
    <xf numFmtId="0" fontId="4" fillId="0" borderId="0" xfId="0" applyFont="1" applyBorder="1" applyAlignment="1" applyProtection="1">
      <alignment horizontal="center" wrapText="1"/>
    </xf>
    <xf numFmtId="0" fontId="13" fillId="24" borderId="30" xfId="15" applyNumberFormat="1" applyFont="1" applyFill="1" applyBorder="1" applyAlignment="1" applyProtection="1">
      <alignment vertical="top" wrapText="1"/>
    </xf>
    <xf numFmtId="0" fontId="13" fillId="24" borderId="43" xfId="15" applyNumberFormat="1" applyFont="1" applyFill="1" applyBorder="1" applyAlignment="1" applyProtection="1">
      <alignment vertical="top" wrapText="1"/>
    </xf>
    <xf numFmtId="0" fontId="3" fillId="0" borderId="208" xfId="0" applyNumberFormat="1" applyFont="1" applyBorder="1" applyAlignment="1" applyProtection="1">
      <alignment horizontal="center" vertical="center"/>
    </xf>
    <xf numFmtId="0" fontId="0" fillId="0" borderId="46" xfId="0" applyBorder="1" applyProtection="1"/>
    <xf numFmtId="0" fontId="4" fillId="0" borderId="46" xfId="0" applyFont="1" applyBorder="1" applyAlignment="1" applyProtection="1">
      <alignment horizontal="center" wrapText="1"/>
    </xf>
    <xf numFmtId="0" fontId="3" fillId="0" borderId="209" xfId="0" applyNumberFormat="1" applyFont="1" applyBorder="1" applyAlignment="1" applyProtection="1">
      <alignment horizontal="center" vertical="center"/>
    </xf>
    <xf numFmtId="0" fontId="4" fillId="0" borderId="20" xfId="0" applyFont="1" applyBorder="1" applyAlignment="1" applyProtection="1">
      <alignment horizontal="left" wrapText="1"/>
    </xf>
    <xf numFmtId="0" fontId="4" fillId="0" borderId="20" xfId="0" applyFont="1" applyBorder="1" applyAlignment="1" applyProtection="1">
      <alignment horizontal="center" wrapText="1"/>
    </xf>
    <xf numFmtId="0" fontId="4" fillId="0" borderId="53" xfId="0" applyFont="1" applyBorder="1" applyAlignment="1" applyProtection="1">
      <alignment horizontal="center" wrapText="1"/>
    </xf>
    <xf numFmtId="0" fontId="7" fillId="0" borderId="3" xfId="0" applyNumberFormat="1" applyFont="1" applyBorder="1" applyAlignment="1" applyProtection="1">
      <alignment horizontal="center" wrapText="1"/>
    </xf>
    <xf numFmtId="0" fontId="7" fillId="0" borderId="3" xfId="0" applyFont="1" applyBorder="1" applyAlignment="1" applyProtection="1">
      <alignment vertical="top" wrapText="1"/>
    </xf>
    <xf numFmtId="0" fontId="3" fillId="0" borderId="42" xfId="0" applyFont="1" applyFill="1" applyBorder="1" applyAlignment="1" applyProtection="1">
      <alignment horizontal="right" wrapText="1"/>
    </xf>
    <xf numFmtId="0" fontId="0" fillId="0" borderId="98" xfId="0" applyNumberFormat="1" applyBorder="1" applyProtection="1"/>
    <xf numFmtId="0" fontId="3" fillId="0" borderId="76" xfId="0" applyNumberFormat="1" applyFont="1" applyBorder="1" applyAlignment="1" applyProtection="1">
      <alignment horizontal="center"/>
    </xf>
    <xf numFmtId="2" fontId="8" fillId="8" borderId="1" xfId="20" applyNumberFormat="1" applyFont="1" applyFill="1" applyBorder="1" applyAlignment="1" applyProtection="1">
      <alignment horizontal="center" vertical="center"/>
    </xf>
    <xf numFmtId="164" fontId="8" fillId="8" borderId="1" xfId="20" applyNumberFormat="1" applyFont="1" applyFill="1" applyBorder="1" applyAlignment="1" applyProtection="1">
      <alignment horizontal="center" vertical="center"/>
    </xf>
    <xf numFmtId="164" fontId="33" fillId="25" borderId="64" xfId="25" applyNumberFormat="1" applyFont="1" applyFill="1" applyBorder="1" applyAlignment="1" applyProtection="1">
      <alignment horizontal="center" vertical="center"/>
    </xf>
    <xf numFmtId="0" fontId="0" fillId="0" borderId="20" xfId="0" applyBorder="1" applyProtection="1"/>
    <xf numFmtId="0" fontId="0" fillId="0" borderId="53" xfId="0" applyBorder="1" applyProtection="1"/>
    <xf numFmtId="0" fontId="3" fillId="0" borderId="211" xfId="0" applyNumberFormat="1" applyFont="1" applyBorder="1" applyAlignment="1" applyProtection="1">
      <alignment horizontal="center" vertical="center"/>
    </xf>
    <xf numFmtId="0" fontId="3" fillId="0" borderId="212" xfId="0" applyNumberFormat="1" applyFont="1" applyBorder="1" applyAlignment="1" applyProtection="1">
      <alignment horizontal="center"/>
    </xf>
    <xf numFmtId="0" fontId="46" fillId="0" borderId="0" xfId="0" applyFont="1" applyBorder="1" applyProtection="1"/>
    <xf numFmtId="0" fontId="57" fillId="0" borderId="48" xfId="15" applyNumberFormat="1" applyFont="1" applyFill="1" applyBorder="1" applyAlignment="1" applyProtection="1">
      <alignment horizontal="left" vertical="top" wrapText="1"/>
    </xf>
    <xf numFmtId="0" fontId="13" fillId="24" borderId="31" xfId="15" applyNumberFormat="1" applyFont="1" applyFill="1" applyBorder="1" applyAlignment="1" applyProtection="1">
      <alignment vertical="top" wrapText="1"/>
    </xf>
    <xf numFmtId="0" fontId="3" fillId="0" borderId="213" xfId="0" applyNumberFormat="1" applyFont="1" applyBorder="1" applyAlignment="1" applyProtection="1">
      <alignment horizontal="center" vertical="center"/>
    </xf>
    <xf numFmtId="0" fontId="13" fillId="0" borderId="0" xfId="15" applyNumberFormat="1" applyFont="1" applyFill="1" applyBorder="1" applyAlignment="1" applyProtection="1">
      <alignment horizontal="center" vertical="center"/>
    </xf>
    <xf numFmtId="0" fontId="3" fillId="0" borderId="102" xfId="0" applyNumberFormat="1" applyFont="1" applyBorder="1" applyAlignment="1" applyProtection="1">
      <alignment horizontal="center"/>
    </xf>
    <xf numFmtId="0" fontId="3" fillId="0" borderId="65" xfId="0" applyFont="1" applyBorder="1" applyAlignment="1" applyProtection="1">
      <alignment horizontal="left"/>
    </xf>
    <xf numFmtId="0" fontId="0" fillId="0" borderId="3" xfId="0" applyNumberFormat="1" applyBorder="1" applyProtection="1"/>
    <xf numFmtId="0" fontId="3" fillId="0" borderId="20" xfId="0" applyFont="1" applyBorder="1" applyAlignment="1" applyProtection="1">
      <alignment horizontal="left"/>
    </xf>
    <xf numFmtId="0" fontId="3" fillId="0" borderId="20" xfId="0" applyFont="1" applyBorder="1" applyAlignment="1" applyProtection="1">
      <alignment horizontal="center"/>
    </xf>
    <xf numFmtId="0" fontId="3" fillId="0" borderId="181" xfId="0" applyNumberFormat="1" applyFont="1" applyBorder="1" applyAlignment="1" applyProtection="1">
      <alignment horizontal="center"/>
    </xf>
    <xf numFmtId="0" fontId="3" fillId="0" borderId="0" xfId="0" applyNumberFormat="1" applyFont="1" applyFill="1" applyBorder="1" applyAlignment="1" applyProtection="1">
      <alignment horizontal="center"/>
    </xf>
    <xf numFmtId="0" fontId="13" fillId="24" borderId="30" xfId="15" applyNumberFormat="1" applyFont="1" applyFill="1" applyBorder="1" applyAlignment="1" applyProtection="1">
      <alignment vertical="top"/>
    </xf>
    <xf numFmtId="0" fontId="3" fillId="0" borderId="20" xfId="0" applyFont="1" applyFill="1" applyBorder="1" applyProtection="1"/>
    <xf numFmtId="0" fontId="14" fillId="0" borderId="209" xfId="0" applyNumberFormat="1" applyFont="1" applyBorder="1" applyAlignment="1" applyProtection="1">
      <alignment horizontal="center" vertical="center"/>
    </xf>
    <xf numFmtId="0" fontId="3" fillId="0" borderId="20" xfId="0" applyFont="1" applyFill="1" applyBorder="1" applyAlignment="1" applyProtection="1">
      <alignment horizontal="center"/>
    </xf>
    <xf numFmtId="0" fontId="13" fillId="0" borderId="30" xfId="15" applyNumberFormat="1" applyFont="1" applyFill="1" applyBorder="1" applyAlignment="1" applyProtection="1">
      <alignment horizontal="left" vertical="top" wrapText="1"/>
    </xf>
    <xf numFmtId="0" fontId="13" fillId="0" borderId="43" xfId="15" applyNumberFormat="1" applyFont="1" applyFill="1" applyBorder="1" applyAlignment="1" applyProtection="1">
      <alignment horizontal="left" vertical="top" wrapText="1"/>
    </xf>
    <xf numFmtId="0" fontId="7" fillId="0" borderId="1" xfId="0" applyNumberFormat="1" applyFont="1" applyBorder="1" applyAlignment="1" applyProtection="1">
      <alignment horizontal="center" vertical="center" wrapText="1"/>
    </xf>
    <xf numFmtId="0" fontId="3" fillId="0" borderId="214" xfId="0" applyNumberFormat="1" applyFont="1" applyBorder="1" applyAlignment="1" applyProtection="1">
      <alignment horizontal="center" vertical="center"/>
    </xf>
    <xf numFmtId="0" fontId="3" fillId="0" borderId="99" xfId="0" applyFont="1" applyBorder="1" applyProtection="1"/>
    <xf numFmtId="0" fontId="3" fillId="0" borderId="96" xfId="0" applyFont="1" applyBorder="1" applyProtection="1"/>
    <xf numFmtId="0" fontId="3" fillId="0" borderId="216" xfId="0" applyNumberFormat="1" applyFont="1" applyBorder="1" applyAlignment="1" applyProtection="1">
      <alignment horizontal="center" vertical="center"/>
    </xf>
    <xf numFmtId="0" fontId="3" fillId="0" borderId="217" xfId="0" applyNumberFormat="1" applyFont="1" applyBorder="1" applyAlignment="1" applyProtection="1">
      <alignment horizontal="center" vertical="center"/>
    </xf>
    <xf numFmtId="0" fontId="3" fillId="0" borderId="72" xfId="0" applyNumberFormat="1" applyFont="1" applyBorder="1" applyAlignment="1" applyProtection="1">
      <alignment vertical="center" wrapText="1"/>
    </xf>
    <xf numFmtId="0" fontId="12" fillId="0" borderId="0" xfId="15" applyNumberFormat="1" applyFont="1" applyFill="1" applyBorder="1" applyAlignment="1" applyProtection="1">
      <alignment vertical="center"/>
    </xf>
    <xf numFmtId="0" fontId="12" fillId="0" borderId="42" xfId="15" applyNumberFormat="1" applyFont="1" applyFill="1" applyBorder="1" applyAlignment="1" applyProtection="1">
      <alignment vertical="center"/>
    </xf>
    <xf numFmtId="0" fontId="12" fillId="0" borderId="46" xfId="15" applyNumberFormat="1" applyFont="1" applyFill="1" applyBorder="1" applyAlignment="1" applyProtection="1">
      <alignment vertical="center"/>
    </xf>
    <xf numFmtId="0" fontId="7" fillId="0" borderId="10" xfId="0" applyNumberFormat="1" applyFont="1" applyBorder="1" applyAlignment="1" applyProtection="1">
      <alignment horizontal="center"/>
    </xf>
    <xf numFmtId="0" fontId="8" fillId="8" borderId="6" xfId="20" applyNumberFormat="1" applyFont="1" applyFill="1" applyBorder="1" applyProtection="1">
      <alignment horizontal="center" vertical="center"/>
    </xf>
    <xf numFmtId="0" fontId="45" fillId="0" borderId="0" xfId="0" applyNumberFormat="1" applyFont="1" applyBorder="1" applyAlignment="1" applyProtection="1">
      <alignment horizontal="center" vertical="center"/>
    </xf>
    <xf numFmtId="0" fontId="45" fillId="0" borderId="0" xfId="0" applyNumberFormat="1" applyFont="1" applyBorder="1" applyAlignment="1" applyProtection="1">
      <alignment horizontal="center" vertical="center" wrapText="1"/>
    </xf>
    <xf numFmtId="0" fontId="0" fillId="0" borderId="0" xfId="0" applyFill="1" applyBorder="1" applyAlignment="1">
      <alignment vertical="center"/>
    </xf>
    <xf numFmtId="0" fontId="8" fillId="0" borderId="0" xfId="25" applyNumberFormat="1" applyFont="1" applyFill="1" applyBorder="1" applyAlignment="1" applyProtection="1">
      <alignment horizontal="center" vertical="center"/>
    </xf>
    <xf numFmtId="0" fontId="7" fillId="0" borderId="1" xfId="25" applyNumberFormat="1" applyFont="1" applyFill="1" applyBorder="1" applyAlignment="1" applyProtection="1">
      <alignment horizontal="center" vertical="center" wrapText="1"/>
    </xf>
    <xf numFmtId="0" fontId="8" fillId="29" borderId="7" xfId="25" applyNumberFormat="1" applyFont="1" applyFill="1" applyBorder="1" applyAlignment="1" applyProtection="1">
      <alignment horizontal="center" vertical="center"/>
    </xf>
    <xf numFmtId="0" fontId="4" fillId="0" borderId="66" xfId="25" applyNumberFormat="1" applyFont="1" applyFill="1" applyBorder="1" applyAlignment="1" applyProtection="1">
      <alignment horizontal="left" vertical="center" wrapText="1"/>
    </xf>
    <xf numFmtId="0" fontId="3" fillId="0" borderId="20" xfId="25" applyNumberFormat="1" applyFont="1" applyBorder="1" applyAlignment="1" applyProtection="1">
      <alignment vertical="center"/>
    </xf>
    <xf numFmtId="0" fontId="0" fillId="0" borderId="46" xfId="0" applyBorder="1"/>
    <xf numFmtId="0" fontId="0" fillId="0" borderId="20" xfId="0" applyBorder="1"/>
    <xf numFmtId="0" fontId="0" fillId="0" borderId="53" xfId="0" applyBorder="1"/>
    <xf numFmtId="0" fontId="7" fillId="0" borderId="1" xfId="0" applyNumberFormat="1" applyFont="1" applyBorder="1" applyAlignment="1" applyProtection="1">
      <alignment horizontal="center" vertical="center"/>
    </xf>
    <xf numFmtId="0" fontId="7" fillId="0" borderId="1" xfId="0" applyNumberFormat="1" applyFont="1" applyBorder="1" applyAlignment="1" applyProtection="1">
      <alignment horizontal="center"/>
    </xf>
    <xf numFmtId="0" fontId="7" fillId="0" borderId="3" xfId="0" applyNumberFormat="1" applyFont="1" applyBorder="1" applyAlignment="1" applyProtection="1">
      <alignment horizontal="center" wrapText="1"/>
    </xf>
    <xf numFmtId="0" fontId="3" fillId="0" borderId="11" xfId="0" applyNumberFormat="1" applyFont="1" applyBorder="1" applyAlignment="1" applyProtection="1">
      <alignment horizontal="center" vertical="center"/>
    </xf>
    <xf numFmtId="0" fontId="3" fillId="0" borderId="97" xfId="0" applyNumberFormat="1" applyFont="1" applyBorder="1" applyAlignment="1" applyProtection="1">
      <alignment horizontal="center" vertical="center"/>
    </xf>
    <xf numFmtId="0" fontId="7" fillId="0" borderId="128" xfId="0" applyNumberFormat="1" applyFont="1" applyBorder="1" applyAlignment="1" applyProtection="1">
      <alignment horizontal="center"/>
    </xf>
    <xf numFmtId="0" fontId="7" fillId="0" borderId="22" xfId="0" applyFont="1" applyBorder="1" applyProtection="1"/>
    <xf numFmtId="0" fontId="7" fillId="0" borderId="3" xfId="0" applyNumberFormat="1" applyFont="1" applyBorder="1" applyAlignment="1" applyProtection="1">
      <alignment horizontal="center" wrapText="1"/>
    </xf>
    <xf numFmtId="0" fontId="7" fillId="0" borderId="1" xfId="0" applyNumberFormat="1" applyFont="1" applyBorder="1" applyAlignment="1" applyProtection="1">
      <alignment horizontal="center"/>
    </xf>
    <xf numFmtId="0" fontId="29" fillId="0" borderId="87" xfId="28" applyNumberFormat="1" applyFont="1" applyBorder="1" applyAlignment="1">
      <alignment horizontal="left" vertical="center"/>
    </xf>
    <xf numFmtId="0" fontId="4" fillId="0" borderId="0" xfId="0" applyNumberFormat="1" applyFont="1" applyFill="1" applyBorder="1" applyAlignment="1" applyProtection="1">
      <alignment horizontal="center" vertical="center"/>
    </xf>
    <xf numFmtId="0" fontId="0" fillId="0" borderId="133" xfId="0" applyNumberFormat="1" applyBorder="1" applyProtection="1"/>
    <xf numFmtId="0" fontId="3" fillId="0" borderId="71" xfId="0" applyFont="1" applyBorder="1" applyAlignment="1" applyProtection="1">
      <alignment horizontal="center"/>
    </xf>
    <xf numFmtId="0" fontId="3" fillId="0" borderId="224" xfId="0" applyFont="1" applyBorder="1" applyAlignment="1" applyProtection="1">
      <alignment horizontal="right" wrapText="1"/>
    </xf>
    <xf numFmtId="0" fontId="3" fillId="0" borderId="121" xfId="0" applyFont="1" applyBorder="1" applyAlignment="1" applyProtection="1">
      <alignment horizontal="right" wrapText="1"/>
    </xf>
    <xf numFmtId="0" fontId="3" fillId="0" borderId="72" xfId="0" applyFont="1" applyBorder="1" applyAlignment="1" applyProtection="1">
      <alignment horizontal="right" wrapText="1"/>
    </xf>
    <xf numFmtId="0" fontId="33" fillId="0" borderId="0" xfId="0" applyFont="1" applyFill="1" applyBorder="1" applyAlignment="1" applyProtection="1">
      <alignment horizontal="center"/>
    </xf>
    <xf numFmtId="0" fontId="4" fillId="0" borderId="201" xfId="0" applyNumberFormat="1" applyFont="1" applyBorder="1" applyAlignment="1" applyProtection="1">
      <alignment horizontal="center" vertical="center"/>
    </xf>
    <xf numFmtId="0" fontId="0" fillId="0" borderId="70" xfId="0" applyNumberFormat="1" applyBorder="1" applyProtection="1"/>
    <xf numFmtId="0" fontId="3" fillId="0" borderId="44" xfId="0" applyFont="1" applyBorder="1" applyAlignment="1" applyProtection="1">
      <alignment horizontal="center"/>
    </xf>
    <xf numFmtId="0" fontId="33" fillId="29" borderId="1" xfId="20" applyNumberFormat="1" applyFont="1" applyFill="1" applyBorder="1" applyAlignment="1" applyProtection="1">
      <alignment horizontal="center" vertical="center"/>
    </xf>
    <xf numFmtId="0" fontId="4" fillId="0" borderId="208" xfId="0" applyNumberFormat="1" applyFont="1" applyBorder="1" applyAlignment="1" applyProtection="1">
      <alignment horizontal="center" vertical="center"/>
    </xf>
    <xf numFmtId="0" fontId="4" fillId="0" borderId="209" xfId="0" applyNumberFormat="1" applyFont="1" applyBorder="1" applyAlignment="1" applyProtection="1">
      <alignment horizontal="center" vertical="center"/>
    </xf>
    <xf numFmtId="0" fontId="3" fillId="0" borderId="99" xfId="0" applyNumberFormat="1" applyFont="1" applyBorder="1" applyAlignment="1" applyProtection="1">
      <alignment horizontal="center"/>
    </xf>
    <xf numFmtId="0" fontId="4" fillId="0" borderId="213" xfId="0" applyNumberFormat="1" applyFont="1" applyBorder="1" applyAlignment="1" applyProtection="1">
      <alignment horizontal="center" vertical="center"/>
    </xf>
    <xf numFmtId="0" fontId="0" fillId="0" borderId="71" xfId="0" applyBorder="1" applyProtection="1"/>
    <xf numFmtId="0" fontId="0" fillId="0" borderId="130" xfId="0" applyBorder="1" applyProtection="1"/>
    <xf numFmtId="0" fontId="3" fillId="0" borderId="225" xfId="0" applyNumberFormat="1" applyFont="1" applyBorder="1" applyAlignment="1" applyProtection="1">
      <alignment horizontal="center" vertical="center"/>
    </xf>
    <xf numFmtId="0" fontId="3" fillId="0" borderId="226" xfId="0" applyNumberFormat="1" applyFont="1" applyBorder="1" applyAlignment="1" applyProtection="1">
      <alignment horizontal="center" vertical="center"/>
    </xf>
    <xf numFmtId="0" fontId="4" fillId="0" borderId="227" xfId="0" applyNumberFormat="1" applyFont="1" applyBorder="1" applyAlignment="1" applyProtection="1">
      <alignment horizontal="center" vertical="center"/>
    </xf>
    <xf numFmtId="0" fontId="4" fillId="0" borderId="20" xfId="0" applyFont="1" applyBorder="1" applyAlignment="1" applyProtection="1">
      <alignment horizontal="left"/>
    </xf>
    <xf numFmtId="0" fontId="3" fillId="0" borderId="112" xfId="25" applyNumberFormat="1" applyFont="1" applyBorder="1" applyAlignment="1" applyProtection="1">
      <alignment vertical="center" wrapText="1"/>
    </xf>
    <xf numFmtId="0" fontId="3" fillId="0" borderId="17" xfId="0" applyFont="1" applyFill="1" applyBorder="1" applyAlignment="1" applyProtection="1">
      <alignment horizontal="center"/>
    </xf>
    <xf numFmtId="0" fontId="3" fillId="0" borderId="17" xfId="0" applyFont="1" applyBorder="1" applyAlignment="1" applyProtection="1">
      <alignment horizontal="center"/>
    </xf>
    <xf numFmtId="0" fontId="3" fillId="0" borderId="25" xfId="0" applyFont="1" applyBorder="1" applyAlignment="1" applyProtection="1">
      <alignment horizontal="center"/>
    </xf>
    <xf numFmtId="0" fontId="3" fillId="0" borderId="0" xfId="0" applyFont="1" applyFill="1" applyAlignment="1" applyProtection="1">
      <alignment horizontal="center"/>
    </xf>
    <xf numFmtId="0" fontId="46" fillId="31" borderId="0" xfId="0" applyNumberFormat="1" applyFont="1" applyFill="1" applyBorder="1" applyAlignment="1">
      <alignment horizontal="left" vertical="top" wrapText="1"/>
    </xf>
    <xf numFmtId="0" fontId="36" fillId="31" borderId="42" xfId="0" applyNumberFormat="1" applyFont="1" applyFill="1" applyBorder="1"/>
    <xf numFmtId="0" fontId="36" fillId="31" borderId="0" xfId="0" applyNumberFormat="1" applyFont="1" applyFill="1" applyBorder="1"/>
    <xf numFmtId="0" fontId="0" fillId="31" borderId="42" xfId="0" applyFill="1" applyBorder="1"/>
    <xf numFmtId="0" fontId="0" fillId="31" borderId="0" xfId="0" applyFill="1" applyBorder="1"/>
    <xf numFmtId="0" fontId="0" fillId="31" borderId="46" xfId="0" applyFill="1" applyBorder="1"/>
    <xf numFmtId="0" fontId="36" fillId="23" borderId="228" xfId="40" applyNumberFormat="1" applyFont="1" applyFill="1" applyBorder="1" applyAlignment="1" applyProtection="1">
      <alignment horizontal="center" vertical="center"/>
      <protection locked="0"/>
    </xf>
    <xf numFmtId="0" fontId="36" fillId="31" borderId="0" xfId="0" applyNumberFormat="1" applyFont="1" applyFill="1" applyBorder="1" applyAlignment="1"/>
    <xf numFmtId="0" fontId="36" fillId="31" borderId="42" xfId="0" applyNumberFormat="1" applyFont="1" applyFill="1" applyBorder="1" applyAlignment="1"/>
    <xf numFmtId="0" fontId="45" fillId="31" borderId="228" xfId="0" applyNumberFormat="1" applyFont="1" applyFill="1" applyBorder="1" applyAlignment="1">
      <alignment horizontal="center" vertical="center" wrapText="1"/>
    </xf>
    <xf numFmtId="0" fontId="36" fillId="31" borderId="231" xfId="0" applyNumberFormat="1" applyFont="1" applyFill="1" applyBorder="1"/>
    <xf numFmtId="0" fontId="36" fillId="31" borderId="231" xfId="0" applyNumberFormat="1" applyFont="1" applyFill="1" applyBorder="1" applyAlignment="1"/>
    <xf numFmtId="0" fontId="36" fillId="31" borderId="0" xfId="0" applyNumberFormat="1" applyFont="1" applyFill="1" applyBorder="1" applyAlignment="1">
      <alignment horizontal="center"/>
    </xf>
    <xf numFmtId="0" fontId="36" fillId="23" borderId="233" xfId="40" applyNumberFormat="1" applyFont="1" applyFill="1" applyBorder="1" applyAlignment="1" applyProtection="1">
      <alignment horizontal="center" vertical="center"/>
      <protection locked="0"/>
    </xf>
    <xf numFmtId="0" fontId="73" fillId="25" borderId="228" xfId="41" applyNumberFormat="1" applyFont="1" applyFill="1" applyBorder="1" applyAlignment="1">
      <alignment horizontal="center" vertical="center"/>
    </xf>
    <xf numFmtId="0" fontId="73" fillId="25" borderId="228" xfId="41" applyNumberFormat="1" applyFont="1" applyFill="1" applyBorder="1" applyAlignment="1" applyProtection="1">
      <alignment horizontal="center" vertical="center"/>
    </xf>
    <xf numFmtId="0" fontId="5" fillId="23" borderId="228" xfId="42" applyNumberFormat="1" applyFont="1" applyFill="1" applyBorder="1" applyAlignment="1" applyProtection="1">
      <alignment horizontal="center" vertical="center"/>
      <protection locked="0"/>
    </xf>
    <xf numFmtId="0" fontId="36" fillId="31" borderId="99" xfId="0" applyNumberFormat="1" applyFont="1" applyFill="1" applyBorder="1" applyAlignment="1">
      <alignment horizontal="center" vertical="center"/>
    </xf>
    <xf numFmtId="0" fontId="36" fillId="31" borderId="128" xfId="0" applyNumberFormat="1" applyFont="1" applyFill="1" applyBorder="1" applyAlignment="1">
      <alignment horizontal="center" vertical="center"/>
    </xf>
    <xf numFmtId="0" fontId="36" fillId="31" borderId="236" xfId="0" applyNumberFormat="1" applyFont="1" applyFill="1" applyBorder="1" applyAlignment="1"/>
    <xf numFmtId="0" fontId="36" fillId="31" borderId="241" xfId="0" applyNumberFormat="1" applyFont="1" applyFill="1" applyBorder="1" applyAlignment="1">
      <alignment horizontal="center" vertical="center"/>
    </xf>
    <xf numFmtId="0" fontId="36" fillId="31" borderId="242" xfId="0" applyNumberFormat="1" applyFont="1" applyFill="1" applyBorder="1" applyAlignment="1">
      <alignment horizontal="center" vertical="center"/>
    </xf>
    <xf numFmtId="0" fontId="36" fillId="31" borderId="243" xfId="0" applyNumberFormat="1" applyFont="1" applyFill="1" applyBorder="1" applyAlignment="1">
      <alignment horizontal="center" vertical="center"/>
    </xf>
    <xf numFmtId="0" fontId="29" fillId="31" borderId="82" xfId="28" applyFont="1" applyFill="1" applyBorder="1" applyAlignment="1">
      <alignment vertical="center"/>
    </xf>
    <xf numFmtId="0" fontId="48" fillId="31" borderId="83" xfId="28" applyFont="1" applyFill="1" applyBorder="1" applyAlignment="1">
      <alignment horizontal="left"/>
    </xf>
    <xf numFmtId="0" fontId="29" fillId="31" borderId="84" xfId="28" applyFont="1" applyFill="1" applyBorder="1" applyAlignment="1">
      <alignment vertical="center"/>
    </xf>
    <xf numFmtId="0" fontId="29" fillId="31" borderId="85" xfId="28" applyNumberFormat="1" applyFont="1" applyFill="1" applyBorder="1" applyAlignment="1">
      <alignment horizontal="left"/>
    </xf>
    <xf numFmtId="0" fontId="20" fillId="31" borderId="0" xfId="16" applyFont="1" applyFill="1" applyAlignment="1" applyProtection="1">
      <alignment vertical="center"/>
      <protection locked="0"/>
    </xf>
    <xf numFmtId="14" fontId="29" fillId="31" borderId="85" xfId="28" applyNumberFormat="1" applyFont="1" applyFill="1" applyBorder="1" applyAlignment="1">
      <alignment horizontal="left"/>
    </xf>
    <xf numFmtId="0" fontId="29" fillId="31" borderId="84" xfId="28" applyNumberFormat="1" applyFont="1" applyFill="1" applyBorder="1" applyAlignment="1">
      <alignment vertical="center"/>
    </xf>
    <xf numFmtId="0" fontId="48" fillId="31" borderId="85" xfId="28" applyFont="1" applyFill="1" applyBorder="1" applyAlignment="1">
      <alignment horizontal="left"/>
    </xf>
    <xf numFmtId="0" fontId="29" fillId="31" borderId="86" xfId="28" applyFont="1" applyFill="1" applyBorder="1" applyAlignment="1">
      <alignment horizontal="left" vertical="center"/>
    </xf>
    <xf numFmtId="0" fontId="29" fillId="31" borderId="87" xfId="28" applyNumberFormat="1" applyFont="1" applyFill="1" applyBorder="1" applyAlignment="1">
      <alignment horizontal="left" vertical="center"/>
    </xf>
    <xf numFmtId="0" fontId="29" fillId="31" borderId="88" xfId="28" applyFont="1" applyFill="1" applyBorder="1" applyAlignment="1">
      <alignment vertical="center"/>
    </xf>
    <xf numFmtId="14" fontId="29" fillId="31" borderId="89" xfId="28" applyNumberFormat="1" applyFont="1" applyFill="1" applyBorder="1" applyAlignment="1">
      <alignment horizontal="left"/>
    </xf>
    <xf numFmtId="0" fontId="0" fillId="31" borderId="240" xfId="0" applyFill="1" applyBorder="1" applyAlignment="1">
      <alignment horizontal="center" vertical="center"/>
    </xf>
    <xf numFmtId="0" fontId="0" fillId="31" borderId="237" xfId="0" applyFill="1" applyBorder="1" applyAlignment="1">
      <alignment horizontal="center" vertical="center"/>
    </xf>
    <xf numFmtId="0" fontId="0" fillId="31" borderId="99" xfId="0" applyFill="1" applyBorder="1" applyAlignment="1">
      <alignment horizontal="center" vertical="center"/>
    </xf>
    <xf numFmtId="0" fontId="0" fillId="31" borderId="238" xfId="0" applyFill="1" applyBorder="1" applyAlignment="1">
      <alignment horizontal="center" vertical="center"/>
    </xf>
    <xf numFmtId="0" fontId="0" fillId="31" borderId="239" xfId="0" applyFill="1" applyBorder="1" applyAlignment="1">
      <alignment horizontal="center" vertical="center"/>
    </xf>
    <xf numFmtId="0" fontId="36" fillId="31" borderId="0" xfId="40" applyNumberFormat="1" applyFont="1" applyFill="1" applyBorder="1" applyAlignment="1" applyProtection="1">
      <alignment horizontal="center" vertical="center"/>
      <protection locked="0"/>
    </xf>
    <xf numFmtId="0" fontId="0" fillId="31" borderId="235" xfId="0" applyFill="1" applyBorder="1" applyAlignment="1">
      <alignment horizontal="center" vertical="center"/>
    </xf>
    <xf numFmtId="0" fontId="8" fillId="25" borderId="228" xfId="42" applyNumberFormat="1" applyFont="1" applyFill="1" applyBorder="1" applyAlignment="1" applyProtection="1">
      <alignment horizontal="center" vertical="center"/>
    </xf>
    <xf numFmtId="0" fontId="33" fillId="25" borderId="228" xfId="41" applyNumberFormat="1" applyFont="1" applyFill="1" applyBorder="1" applyAlignment="1" applyProtection="1">
      <alignment horizontal="center" vertical="center"/>
    </xf>
    <xf numFmtId="0" fontId="33" fillId="25" borderId="233" xfId="41" applyNumberFormat="1" applyFont="1" applyFill="1" applyBorder="1" applyAlignment="1" applyProtection="1">
      <alignment horizontal="center" vertical="center"/>
    </xf>
    <xf numFmtId="0" fontId="36" fillId="31" borderId="234" xfId="0" applyFont="1" applyFill="1" applyBorder="1" applyAlignment="1">
      <alignment horizontal="left" vertical="top" wrapText="1"/>
    </xf>
    <xf numFmtId="0" fontId="45" fillId="24" borderId="30" xfId="0" applyFont="1" applyFill="1" applyBorder="1"/>
    <xf numFmtId="0" fontId="0" fillId="24" borderId="43" xfId="0" applyFill="1" applyBorder="1"/>
    <xf numFmtId="0" fontId="0" fillId="24" borderId="31" xfId="0" applyFill="1" applyBorder="1"/>
    <xf numFmtId="0" fontId="36" fillId="31" borderId="70" xfId="0" applyFont="1" applyFill="1" applyBorder="1" applyAlignment="1">
      <alignment horizontal="left" vertical="top" wrapText="1"/>
    </xf>
    <xf numFmtId="0" fontId="36" fillId="31" borderId="244" xfId="0" applyFont="1" applyFill="1" applyBorder="1" applyAlignment="1">
      <alignment horizontal="left" vertical="top" wrapText="1"/>
    </xf>
    <xf numFmtId="0" fontId="45" fillId="31" borderId="3" xfId="0" applyNumberFormat="1" applyFont="1" applyFill="1" applyBorder="1" applyAlignment="1">
      <alignment horizontal="center" vertical="center" wrapText="1"/>
    </xf>
    <xf numFmtId="0" fontId="36" fillId="31" borderId="245" xfId="0" applyNumberFormat="1" applyFont="1" applyFill="1" applyBorder="1" applyAlignment="1"/>
    <xf numFmtId="0" fontId="36" fillId="31" borderId="246" xfId="0" applyNumberFormat="1" applyFont="1" applyFill="1" applyBorder="1" applyAlignment="1"/>
    <xf numFmtId="0" fontId="36" fillId="31" borderId="247" xfId="0" applyNumberFormat="1" applyFont="1" applyFill="1" applyBorder="1" applyAlignment="1"/>
    <xf numFmtId="0" fontId="36" fillId="31" borderId="247" xfId="0" applyNumberFormat="1" applyFont="1" applyFill="1" applyBorder="1"/>
    <xf numFmtId="0" fontId="36" fillId="31" borderId="248" xfId="0" applyNumberFormat="1" applyFont="1" applyFill="1" applyBorder="1"/>
    <xf numFmtId="0" fontId="45" fillId="31" borderId="10" xfId="0" applyNumberFormat="1" applyFont="1" applyFill="1" applyBorder="1" applyAlignment="1">
      <alignment horizontal="center" vertical="center" wrapText="1"/>
    </xf>
    <xf numFmtId="0" fontId="33" fillId="25" borderId="10" xfId="41" applyNumberFormat="1" applyFont="1" applyFill="1" applyBorder="1" applyAlignment="1" applyProtection="1">
      <alignment horizontal="center" vertical="center"/>
    </xf>
    <xf numFmtId="0" fontId="36" fillId="31" borderId="249" xfId="0" applyNumberFormat="1" applyFont="1" applyFill="1" applyBorder="1" applyAlignment="1"/>
    <xf numFmtId="0" fontId="36" fillId="23" borderId="250" xfId="40" applyNumberFormat="1" applyFont="1" applyFill="1" applyBorder="1" applyAlignment="1" applyProtection="1">
      <alignment horizontal="center" vertical="center"/>
      <protection locked="0"/>
    </xf>
    <xf numFmtId="0" fontId="33" fillId="25" borderId="250" xfId="41" applyNumberFormat="1" applyFont="1" applyFill="1" applyBorder="1" applyAlignment="1" applyProtection="1">
      <alignment horizontal="center" vertical="center"/>
    </xf>
    <xf numFmtId="0" fontId="33" fillId="25" borderId="251" xfId="41" applyNumberFormat="1" applyFont="1" applyFill="1" applyBorder="1" applyAlignment="1" applyProtection="1">
      <alignment horizontal="center" vertical="center"/>
    </xf>
    <xf numFmtId="0" fontId="8" fillId="29" borderId="228" xfId="42" applyNumberFormat="1" applyFont="1" applyFill="1" applyBorder="1" applyAlignment="1" applyProtection="1">
      <alignment horizontal="center" vertical="center"/>
    </xf>
    <xf numFmtId="0" fontId="8" fillId="0" borderId="0" xfId="42" applyNumberFormat="1" applyFont="1" applyFill="1" applyBorder="1" applyAlignment="1" applyProtection="1">
      <alignment horizontal="center" vertical="center"/>
    </xf>
    <xf numFmtId="0" fontId="36" fillId="31" borderId="232" xfId="0" applyNumberFormat="1" applyFont="1" applyFill="1" applyBorder="1" applyAlignment="1">
      <alignment horizontal="center" vertical="center"/>
    </xf>
    <xf numFmtId="0" fontId="36" fillId="31" borderId="252" xfId="0" applyNumberFormat="1" applyFont="1" applyFill="1" applyBorder="1" applyAlignment="1">
      <alignment horizontal="center" vertical="center"/>
    </xf>
    <xf numFmtId="0" fontId="73" fillId="25" borderId="61" xfId="25" applyNumberFormat="1" applyFont="1" applyFill="1" applyBorder="1" applyAlignment="1" applyProtection="1">
      <alignment horizontal="center" vertical="center"/>
    </xf>
    <xf numFmtId="0" fontId="36" fillId="31" borderId="246" xfId="0" applyNumberFormat="1" applyFont="1" applyFill="1" applyBorder="1"/>
    <xf numFmtId="0" fontId="36" fillId="31" borderId="253" xfId="0" applyNumberFormat="1" applyFont="1" applyFill="1" applyBorder="1" applyAlignment="1">
      <alignment horizontal="center" vertical="center"/>
    </xf>
    <xf numFmtId="0" fontId="0" fillId="22" borderId="0" xfId="0" applyFill="1" applyBorder="1"/>
    <xf numFmtId="0" fontId="8" fillId="8" borderId="250" xfId="25" applyNumberFormat="1" applyFont="1" applyFill="1" applyBorder="1" applyAlignment="1" applyProtection="1">
      <alignment horizontal="center" vertical="center"/>
    </xf>
    <xf numFmtId="0" fontId="3" fillId="0" borderId="254" xfId="0" applyNumberFormat="1" applyFont="1" applyBorder="1" applyAlignment="1" applyProtection="1">
      <alignment horizontal="center" vertical="center"/>
    </xf>
    <xf numFmtId="0" fontId="3" fillId="0" borderId="255" xfId="0" applyNumberFormat="1" applyFont="1" applyBorder="1" applyAlignment="1" applyProtection="1">
      <alignment horizontal="center" vertical="center"/>
    </xf>
    <xf numFmtId="0" fontId="3" fillId="0" borderId="18" xfId="25" applyFont="1" applyBorder="1"/>
    <xf numFmtId="0" fontId="3" fillId="0" borderId="17" xfId="25" applyFont="1" applyBorder="1"/>
    <xf numFmtId="0" fontId="3" fillId="0" borderId="25" xfId="25" applyFont="1" applyBorder="1"/>
    <xf numFmtId="0" fontId="36" fillId="0" borderId="76" xfId="0" applyNumberFormat="1" applyFont="1" applyBorder="1" applyAlignment="1" applyProtection="1">
      <alignment horizontal="center" vertical="center"/>
    </xf>
    <xf numFmtId="0" fontId="0" fillId="0" borderId="145" xfId="0" applyBorder="1" applyAlignment="1" applyProtection="1">
      <alignment horizontal="center" vertical="center"/>
    </xf>
    <xf numFmtId="0" fontId="36" fillId="0" borderId="239" xfId="0" applyNumberFormat="1" applyFont="1" applyBorder="1" applyAlignment="1" applyProtection="1">
      <alignment horizontal="center" vertical="center"/>
    </xf>
    <xf numFmtId="0" fontId="3" fillId="0" borderId="238" xfId="25" applyFont="1" applyBorder="1" applyAlignment="1" applyProtection="1">
      <alignment horizontal="center" vertical="center"/>
    </xf>
    <xf numFmtId="168" fontId="8" fillId="8" borderId="160" xfId="20" applyNumberFormat="1" applyFont="1" applyFill="1" applyBorder="1" applyAlignment="1" applyProtection="1">
      <alignment horizontal="center" vertical="center" wrapText="1"/>
    </xf>
    <xf numFmtId="169" fontId="8" fillId="8" borderId="145" xfId="32" applyNumberFormat="1" applyFont="1" applyFill="1" applyBorder="1" applyAlignment="1" applyProtection="1">
      <alignment horizontal="center" vertical="center" wrapText="1"/>
    </xf>
    <xf numFmtId="169" fontId="8" fillId="8" borderId="1" xfId="20" applyNumberFormat="1" applyFont="1" applyFill="1" applyBorder="1" applyAlignment="1" applyProtection="1">
      <alignment horizontal="center" vertical="center" wrapText="1"/>
    </xf>
    <xf numFmtId="0" fontId="3" fillId="22" borderId="0" xfId="0" applyFont="1" applyFill="1" applyAlignment="1" applyProtection="1">
      <alignment vertical="center"/>
    </xf>
    <xf numFmtId="0" fontId="3" fillId="0" borderId="0" xfId="0" applyFont="1" applyFill="1" applyAlignment="1" applyProtection="1">
      <alignment vertical="center"/>
    </xf>
    <xf numFmtId="0" fontId="7" fillId="0" borderId="1" xfId="0" applyNumberFormat="1" applyFont="1" applyBorder="1" applyAlignment="1" applyProtection="1">
      <alignment horizontal="center" vertical="center"/>
    </xf>
    <xf numFmtId="0" fontId="7" fillId="0" borderId="3" xfId="0" applyNumberFormat="1" applyFont="1" applyBorder="1" applyAlignment="1" applyProtection="1">
      <alignment horizontal="center" wrapText="1"/>
    </xf>
    <xf numFmtId="0" fontId="7" fillId="0" borderId="1" xfId="0" applyNumberFormat="1" applyFont="1" applyBorder="1" applyAlignment="1" applyProtection="1">
      <alignment horizontal="center"/>
    </xf>
    <xf numFmtId="0" fontId="0" fillId="0" borderId="234" xfId="0" applyNumberFormat="1" applyBorder="1" applyProtection="1"/>
    <xf numFmtId="0" fontId="0" fillId="0" borderId="234" xfId="0" applyNumberFormat="1" applyBorder="1" applyAlignment="1" applyProtection="1">
      <alignment horizontal="center"/>
    </xf>
    <xf numFmtId="0" fontId="3" fillId="0" borderId="234" xfId="0" applyFont="1" applyBorder="1" applyAlignment="1" applyProtection="1">
      <alignment horizontal="center"/>
    </xf>
    <xf numFmtId="0" fontId="4" fillId="0" borderId="258" xfId="0" applyFont="1" applyBorder="1" applyAlignment="1" applyProtection="1">
      <alignment vertical="top" wrapText="1"/>
    </xf>
    <xf numFmtId="0" fontId="3" fillId="5" borderId="12" xfId="25" applyNumberFormat="1" applyFont="1" applyFill="1" applyBorder="1" applyAlignment="1" applyProtection="1">
      <alignment horizontal="center" vertical="center"/>
      <protection locked="0"/>
    </xf>
    <xf numFmtId="0" fontId="3" fillId="0" borderId="262" xfId="0" applyNumberFormat="1" applyFont="1" applyBorder="1" applyAlignment="1" applyProtection="1">
      <alignment horizontal="center" vertical="center"/>
    </xf>
    <xf numFmtId="0" fontId="47" fillId="0" borderId="59" xfId="16" applyFont="1" applyBorder="1" applyAlignment="1" applyProtection="1">
      <alignment vertical="center"/>
      <protection locked="0"/>
    </xf>
    <xf numFmtId="0" fontId="47" fillId="0" borderId="263" xfId="16" applyFont="1" applyBorder="1" applyAlignment="1" applyProtection="1">
      <alignment vertical="center"/>
      <protection locked="0"/>
    </xf>
    <xf numFmtId="0" fontId="5" fillId="5" borderId="12" xfId="20" applyFont="1" applyFill="1" applyBorder="1" applyAlignment="1" applyProtection="1">
      <alignment horizontal="center" vertical="center"/>
      <protection locked="0"/>
    </xf>
    <xf numFmtId="167" fontId="8" fillId="25" borderId="92" xfId="20" applyNumberFormat="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xf numFmtId="0" fontId="5" fillId="23" borderId="1" xfId="20" applyFont="1" applyFill="1" applyBorder="1" applyAlignment="1" applyProtection="1">
      <alignment horizontal="center" vertical="center"/>
      <protection locked="0"/>
    </xf>
    <xf numFmtId="169" fontId="8" fillId="25" borderId="1" xfId="20" applyNumberFormat="1" applyFont="1" applyFill="1" applyAlignment="1" applyProtection="1">
      <alignment horizontal="center" vertical="center" wrapText="1"/>
    </xf>
    <xf numFmtId="167" fontId="8" fillId="25" borderId="11" xfId="32" applyNumberFormat="1" applyFont="1" applyFill="1" applyBorder="1" applyAlignment="1" applyProtection="1">
      <alignment horizontal="center" vertical="center" wrapText="1"/>
    </xf>
    <xf numFmtId="2" fontId="8" fillId="25" borderId="1" xfId="32" applyNumberFormat="1" applyFont="1" applyFill="1" applyBorder="1" applyAlignment="1" applyProtection="1">
      <alignment horizontal="center" vertical="center" wrapText="1"/>
    </xf>
    <xf numFmtId="1" fontId="8" fillId="25" borderId="1" xfId="32" applyNumberFormat="1" applyFont="1" applyFill="1" applyBorder="1" applyAlignment="1" applyProtection="1">
      <alignment horizontal="center" vertical="center" wrapText="1"/>
    </xf>
    <xf numFmtId="2" fontId="8" fillId="25" borderId="0" xfId="20" applyNumberFormat="1" applyFont="1" applyFill="1" applyBorder="1" applyAlignment="1" applyProtection="1">
      <alignment horizontal="center" vertical="center" wrapText="1"/>
    </xf>
    <xf numFmtId="0" fontId="8" fillId="31" borderId="12" xfId="25" applyNumberFormat="1" applyFont="1" applyFill="1" applyBorder="1" applyAlignment="1" applyProtection="1">
      <alignment horizontal="center" vertical="center"/>
    </xf>
    <xf numFmtId="164" fontId="9" fillId="31" borderId="47" xfId="28" applyNumberFormat="1" applyFont="1" applyFill="1" applyBorder="1" applyAlignment="1">
      <alignment horizontal="center" wrapText="1"/>
    </xf>
    <xf numFmtId="14" fontId="14" fillId="31" borderId="95" xfId="28" applyNumberFormat="1" applyFont="1" applyFill="1" applyBorder="1" applyAlignment="1">
      <alignment horizontal="center" wrapText="1"/>
    </xf>
    <xf numFmtId="2" fontId="5" fillId="23" borderId="6" xfId="0" applyNumberFormat="1" applyFont="1" applyFill="1" applyBorder="1" applyAlignment="1" applyProtection="1">
      <alignment horizontal="center" vertical="center"/>
      <protection locked="0"/>
    </xf>
    <xf numFmtId="0" fontId="7" fillId="0" borderId="1" xfId="0" applyNumberFormat="1" applyFont="1" applyBorder="1" applyAlignment="1" applyProtection="1">
      <alignment horizontal="center" vertical="center"/>
    </xf>
    <xf numFmtId="0" fontId="7" fillId="0" borderId="3" xfId="0" applyNumberFormat="1" applyFont="1" applyBorder="1" applyAlignment="1" applyProtection="1">
      <alignment horizontal="center" wrapText="1"/>
    </xf>
    <xf numFmtId="0" fontId="7" fillId="0" borderId="1" xfId="0" applyNumberFormat="1" applyFont="1" applyBorder="1" applyAlignment="1" applyProtection="1">
      <alignment horizontal="center"/>
    </xf>
    <xf numFmtId="2" fontId="5" fillId="23" borderId="11" xfId="20" applyNumberFormat="1" applyFont="1" applyFill="1" applyBorder="1" applyAlignment="1" applyProtection="1">
      <alignment horizontal="center" vertical="center" wrapText="1"/>
      <protection locked="0"/>
    </xf>
    <xf numFmtId="0" fontId="7" fillId="0" borderId="0" xfId="0" applyFont="1" applyBorder="1" applyProtection="1"/>
    <xf numFmtId="0" fontId="56" fillId="34" borderId="233" xfId="0" applyFont="1" applyFill="1" applyBorder="1" applyAlignment="1" applyProtection="1">
      <alignment horizontal="center" vertical="center"/>
      <protection locked="0"/>
    </xf>
    <xf numFmtId="0" fontId="3" fillId="0" borderId="0" xfId="32" applyNumberFormat="1" applyFont="1" applyFill="1" applyBorder="1" applyAlignment="1" applyProtection="1">
      <alignment horizontal="center" vertical="center"/>
    </xf>
    <xf numFmtId="0" fontId="56" fillId="34" borderId="64" xfId="0" applyFont="1" applyFill="1" applyBorder="1" applyAlignment="1" applyProtection="1">
      <alignment horizontal="center" vertical="center"/>
      <protection locked="0"/>
    </xf>
    <xf numFmtId="0" fontId="56" fillId="34" borderId="1" xfId="0" applyFont="1" applyFill="1" applyBorder="1" applyAlignment="1" applyProtection="1">
      <alignment horizontal="center" vertical="center"/>
      <protection locked="0"/>
    </xf>
    <xf numFmtId="0" fontId="56" fillId="34" borderId="11" xfId="0" applyFont="1" applyFill="1" applyBorder="1" applyAlignment="1" applyProtection="1">
      <alignment horizontal="center" vertical="center"/>
      <protection locked="0"/>
    </xf>
    <xf numFmtId="0" fontId="56" fillId="34" borderId="160" xfId="0" applyFont="1" applyFill="1" applyBorder="1" applyAlignment="1" applyProtection="1">
      <alignment horizontal="center" vertical="center"/>
      <protection locked="0"/>
    </xf>
    <xf numFmtId="0" fontId="3" fillId="0" borderId="43" xfId="25" applyNumberFormat="1" applyFont="1" applyFill="1" applyBorder="1" applyAlignment="1" applyProtection="1">
      <alignment horizontal="center" vertical="center"/>
    </xf>
    <xf numFmtId="0" fontId="3" fillId="0" borderId="0" xfId="25" applyNumberFormat="1" applyFont="1" applyFill="1" applyBorder="1" applyAlignment="1" applyProtection="1">
      <alignment horizontal="center" vertical="center"/>
    </xf>
    <xf numFmtId="166" fontId="8" fillId="25" borderId="102" xfId="20" applyNumberFormat="1" applyFont="1" applyFill="1" applyBorder="1" applyAlignment="1" applyProtection="1">
      <alignment horizontal="center" vertical="center" wrapText="1"/>
    </xf>
    <xf numFmtId="0" fontId="5" fillId="5" borderId="15" xfId="20" applyFont="1" applyFill="1" applyBorder="1" applyProtection="1">
      <alignment horizontal="center" vertical="center"/>
      <protection locked="0"/>
    </xf>
    <xf numFmtId="0" fontId="5" fillId="5" borderId="10" xfId="20" applyFont="1" applyFill="1" applyBorder="1" applyProtection="1">
      <alignment horizontal="center" vertical="center"/>
      <protection locked="0"/>
    </xf>
    <xf numFmtId="14" fontId="5" fillId="5" borderId="10" xfId="20" applyNumberFormat="1" applyFont="1" applyFill="1" applyBorder="1" applyProtection="1">
      <alignment horizontal="center" vertical="center"/>
      <protection locked="0"/>
    </xf>
    <xf numFmtId="3" fontId="5" fillId="5" borderId="10" xfId="20" applyNumberFormat="1" applyFont="1" applyFill="1" applyBorder="1" applyProtection="1">
      <alignment horizontal="center" vertical="center"/>
      <protection locked="0"/>
    </xf>
    <xf numFmtId="3" fontId="5" fillId="5" borderId="12" xfId="20" applyNumberFormat="1" applyFont="1" applyFill="1" applyBorder="1" applyProtection="1">
      <alignment horizontal="center" vertical="center"/>
      <protection locked="0"/>
    </xf>
    <xf numFmtId="0" fontId="3" fillId="5" borderId="48" xfId="25" applyFont="1" applyFill="1" applyBorder="1" applyAlignment="1" applyProtection="1">
      <alignment horizontal="center" vertical="center"/>
      <protection locked="0"/>
    </xf>
    <xf numFmtId="0" fontId="3" fillId="5" borderId="64" xfId="25" applyFont="1" applyFill="1" applyBorder="1" applyAlignment="1" applyProtection="1">
      <alignment horizontal="center" vertical="center"/>
      <protection locked="0"/>
    </xf>
    <xf numFmtId="0" fontId="3" fillId="5" borderId="233" xfId="25" applyFont="1" applyFill="1" applyBorder="1" applyAlignment="1" applyProtection="1">
      <alignment horizontal="center" vertical="center"/>
      <protection locked="0"/>
    </xf>
    <xf numFmtId="0" fontId="3" fillId="5" borderId="11" xfId="25" applyFont="1" applyFill="1" applyBorder="1" applyAlignment="1" applyProtection="1">
      <alignment horizontal="center" vertical="center"/>
      <protection locked="0"/>
    </xf>
    <xf numFmtId="0" fontId="3" fillId="5" borderId="1" xfId="25" applyFont="1" applyFill="1" applyBorder="1" applyAlignment="1" applyProtection="1">
      <alignment horizontal="center" vertical="center"/>
      <protection locked="0"/>
    </xf>
    <xf numFmtId="0" fontId="3" fillId="5" borderId="10" xfId="25" applyFont="1" applyFill="1" applyBorder="1" applyAlignment="1" applyProtection="1">
      <alignment horizontal="center" vertical="center"/>
      <protection locked="0"/>
    </xf>
    <xf numFmtId="0" fontId="3" fillId="5" borderId="14" xfId="25" applyFont="1" applyFill="1" applyBorder="1" applyAlignment="1" applyProtection="1">
      <alignment horizontal="center" vertical="center"/>
      <protection locked="0"/>
    </xf>
    <xf numFmtId="0" fontId="3" fillId="23" borderId="264" xfId="25" applyFont="1" applyFill="1" applyBorder="1" applyAlignment="1" applyProtection="1">
      <alignment horizontal="center" vertical="center"/>
      <protection locked="0"/>
    </xf>
    <xf numFmtId="0" fontId="3" fillId="5" borderId="160" xfId="25" applyFont="1" applyFill="1" applyBorder="1" applyAlignment="1" applyProtection="1">
      <alignment horizontal="center" vertical="center"/>
      <protection locked="0"/>
    </xf>
    <xf numFmtId="0" fontId="3" fillId="5" borderId="264" xfId="32" applyNumberFormat="1" applyFont="1" applyFill="1" applyBorder="1" applyAlignment="1" applyProtection="1">
      <alignment horizontal="center" vertical="center"/>
      <protection locked="0"/>
    </xf>
    <xf numFmtId="0" fontId="3" fillId="5" borderId="264" xfId="25" applyFont="1" applyFill="1" applyBorder="1" applyAlignment="1" applyProtection="1">
      <alignment horizontal="center" vertical="center"/>
      <protection locked="0"/>
    </xf>
    <xf numFmtId="0" fontId="8" fillId="25" borderId="6" xfId="20" applyNumberFormat="1" applyFont="1" applyFill="1" applyBorder="1" applyAlignment="1" applyProtection="1">
      <alignment horizontal="center" vertical="center" wrapText="1"/>
    </xf>
    <xf numFmtId="0" fontId="8" fillId="25" borderId="65" xfId="20" applyNumberFormat="1" applyFont="1" applyFill="1" applyBorder="1" applyAlignment="1" applyProtection="1">
      <alignment horizontal="center" vertical="center" wrapText="1"/>
    </xf>
    <xf numFmtId="0" fontId="45" fillId="0" borderId="1" xfId="0" applyFont="1" applyBorder="1" applyAlignment="1">
      <alignment horizontal="center"/>
    </xf>
    <xf numFmtId="0" fontId="7" fillId="0" borderId="14" xfId="0" applyFont="1" applyBorder="1" applyAlignment="1" applyProtection="1">
      <alignment horizontal="left" vertical="top" wrapText="1"/>
    </xf>
    <xf numFmtId="0" fontId="7" fillId="0" borderId="61" xfId="0" applyFont="1" applyBorder="1" applyAlignment="1" applyProtection="1">
      <alignment horizontal="left" vertical="top" wrapText="1"/>
    </xf>
    <xf numFmtId="0" fontId="45" fillId="0" borderId="14"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7" fillId="0" borderId="0" xfId="0" applyFont="1" applyFill="1" applyBorder="1" applyAlignment="1"/>
    <xf numFmtId="0" fontId="7" fillId="0" borderId="0" xfId="0" applyFont="1" applyFill="1" applyBorder="1"/>
    <xf numFmtId="0" fontId="7" fillId="0" borderId="0" xfId="0" applyFont="1" applyFill="1" applyBorder="1" applyAlignment="1">
      <alignment horizontal="center" vertical="center"/>
    </xf>
    <xf numFmtId="0" fontId="3" fillId="0" borderId="0" xfId="25" applyFont="1" applyFill="1" applyAlignment="1">
      <alignment vertical="center"/>
    </xf>
    <xf numFmtId="0" fontId="8" fillId="0" borderId="0" xfId="20" applyNumberFormat="1" applyFont="1" applyFill="1" applyBorder="1" applyAlignment="1" applyProtection="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3" fillId="0" borderId="0" xfId="25" applyFont="1" applyFill="1" applyBorder="1" applyAlignment="1">
      <alignment vertical="center"/>
    </xf>
    <xf numFmtId="0" fontId="24" fillId="0" borderId="0" xfId="25" applyFont="1" applyFill="1" applyBorder="1" applyAlignment="1">
      <alignment vertical="center"/>
    </xf>
    <xf numFmtId="0" fontId="7" fillId="0" borderId="0" xfId="25" applyFont="1" applyFill="1" applyBorder="1" applyAlignment="1">
      <alignment vertical="center"/>
    </xf>
    <xf numFmtId="0" fontId="5" fillId="0" borderId="0" xfId="20" applyFont="1" applyFill="1" applyBorder="1" applyAlignment="1" applyProtection="1">
      <alignment horizontal="left" vertical="center"/>
      <protection locked="0"/>
    </xf>
    <xf numFmtId="0" fontId="7" fillId="22" borderId="0" xfId="0" applyFont="1" applyFill="1" applyBorder="1" applyAlignment="1"/>
    <xf numFmtId="0" fontId="3" fillId="22" borderId="0" xfId="0" applyFont="1" applyFill="1" applyBorder="1"/>
    <xf numFmtId="0" fontId="3" fillId="22" borderId="0" xfId="25" applyFont="1" applyFill="1" applyAlignment="1">
      <alignment vertical="center"/>
    </xf>
    <xf numFmtId="0" fontId="7" fillId="22" borderId="0" xfId="0" applyFont="1" applyFill="1" applyBorder="1"/>
    <xf numFmtId="0" fontId="24" fillId="22" borderId="0" xfId="25" applyFont="1" applyFill="1" applyAlignment="1">
      <alignment vertical="center"/>
    </xf>
    <xf numFmtId="0" fontId="29" fillId="0" borderId="0" xfId="28" applyFont="1" applyBorder="1" applyAlignment="1" applyProtection="1">
      <alignment vertical="center" wrapText="1"/>
    </xf>
    <xf numFmtId="14" fontId="29" fillId="0" borderId="0" xfId="28" applyNumberFormat="1" applyFont="1" applyBorder="1" applyAlignment="1" applyProtection="1">
      <alignment horizontal="left" vertical="center" wrapText="1"/>
    </xf>
    <xf numFmtId="0" fontId="29" fillId="0" borderId="5" xfId="28" applyFont="1" applyBorder="1" applyAlignment="1" applyProtection="1">
      <alignment vertical="center" wrapText="1"/>
    </xf>
    <xf numFmtId="14" fontId="29" fillId="0" borderId="7" xfId="28" applyNumberFormat="1" applyFont="1" applyBorder="1" applyAlignment="1" applyProtection="1">
      <alignment horizontal="left" vertical="center" wrapText="1"/>
    </xf>
    <xf numFmtId="0" fontId="29" fillId="0" borderId="3" xfId="28" applyFont="1" applyBorder="1" applyAlignment="1" applyProtection="1">
      <alignment vertical="center" wrapText="1"/>
    </xf>
    <xf numFmtId="14" fontId="29" fillId="0" borderId="10" xfId="28" applyNumberFormat="1" applyFont="1" applyBorder="1" applyAlignment="1" applyProtection="1">
      <alignment horizontal="left" vertical="center" wrapText="1"/>
    </xf>
    <xf numFmtId="0" fontId="3" fillId="0" borderId="4" xfId="28" applyFont="1" applyBorder="1" applyAlignment="1" applyProtection="1">
      <alignment vertical="center"/>
    </xf>
    <xf numFmtId="0" fontId="3" fillId="0" borderId="12" xfId="28" applyFont="1" applyBorder="1" applyAlignment="1" applyProtection="1">
      <alignment vertical="center"/>
    </xf>
    <xf numFmtId="14" fontId="29" fillId="33" borderId="31" xfId="28" applyNumberFormat="1" applyFont="1" applyFill="1" applyBorder="1" applyAlignment="1" applyProtection="1">
      <alignment horizontal="left" vertical="center" wrapText="1"/>
    </xf>
    <xf numFmtId="0" fontId="3" fillId="0" borderId="0" xfId="28" applyFont="1" applyAlignment="1" applyProtection="1">
      <alignment vertical="center" wrapText="1"/>
    </xf>
    <xf numFmtId="0" fontId="3" fillId="33" borderId="31" xfId="28" applyFont="1" applyFill="1" applyBorder="1" applyAlignment="1" applyProtection="1">
      <alignment vertical="center"/>
    </xf>
    <xf numFmtId="0" fontId="3" fillId="0" borderId="3" xfId="28" applyFont="1" applyBorder="1" applyAlignment="1" applyProtection="1">
      <alignment vertical="center"/>
    </xf>
    <xf numFmtId="0" fontId="3" fillId="0" borderId="12" xfId="28" applyFont="1" applyBorder="1" applyAlignment="1" applyProtection="1">
      <alignment vertical="center" wrapText="1"/>
    </xf>
    <xf numFmtId="0" fontId="33" fillId="25" borderId="7" xfId="20" applyFont="1" applyFill="1" applyBorder="1" applyProtection="1">
      <alignment horizontal="center" vertical="center"/>
    </xf>
    <xf numFmtId="0" fontId="3" fillId="0" borderId="18" xfId="0" applyFont="1" applyBorder="1"/>
    <xf numFmtId="0" fontId="3" fillId="0" borderId="42" xfId="0" applyFont="1" applyFill="1" applyBorder="1"/>
    <xf numFmtId="0" fontId="8" fillId="8" borderId="69" xfId="2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top" wrapText="1"/>
    </xf>
    <xf numFmtId="0" fontId="3" fillId="0" borderId="266" xfId="0" applyFont="1" applyBorder="1" applyAlignment="1" applyProtection="1">
      <alignment vertical="center" wrapText="1"/>
    </xf>
    <xf numFmtId="0" fontId="3" fillId="0" borderId="267" xfId="0" applyFont="1" applyFill="1" applyBorder="1" applyAlignment="1" applyProtection="1">
      <alignment horizontal="center" vertical="center"/>
    </xf>
    <xf numFmtId="0" fontId="3" fillId="0" borderId="168" xfId="0" applyFont="1" applyFill="1" applyBorder="1" applyAlignment="1" applyProtection="1">
      <alignment horizontal="center" vertical="center"/>
    </xf>
    <xf numFmtId="2" fontId="8" fillId="8" borderId="233" xfId="20" applyNumberFormat="1" applyFont="1" applyFill="1" applyBorder="1" applyAlignment="1" applyProtection="1">
      <alignment horizontal="center" vertical="center" wrapText="1"/>
    </xf>
    <xf numFmtId="0" fontId="3" fillId="0" borderId="268" xfId="0" applyFont="1" applyBorder="1" applyAlignment="1" applyProtection="1">
      <alignment horizontal="center" vertical="center"/>
    </xf>
    <xf numFmtId="0" fontId="8" fillId="33" borderId="119" xfId="20" applyNumberFormat="1" applyFont="1" applyFill="1" applyBorder="1" applyAlignment="1" applyProtection="1">
      <alignment horizontal="center" vertical="center" wrapText="1"/>
    </xf>
    <xf numFmtId="164" fontId="8" fillId="8" borderId="264" xfId="20" applyNumberFormat="1" applyFont="1" applyFill="1" applyBorder="1" applyAlignment="1" applyProtection="1">
      <alignment horizontal="center" vertical="center" wrapText="1"/>
    </xf>
    <xf numFmtId="0" fontId="3" fillId="0" borderId="141" xfId="0" applyFont="1" applyBorder="1" applyAlignment="1">
      <alignment vertical="center" wrapText="1"/>
    </xf>
    <xf numFmtId="0" fontId="3" fillId="0" borderId="54" xfId="0" applyFont="1" applyBorder="1" applyAlignment="1">
      <alignment horizontal="center" vertical="center"/>
    </xf>
    <xf numFmtId="0" fontId="3" fillId="0" borderId="269" xfId="0" applyFont="1" applyBorder="1" applyAlignment="1">
      <alignment horizontal="center" vertical="center"/>
    </xf>
    <xf numFmtId="0" fontId="3" fillId="0" borderId="0" xfId="24" applyFont="1" applyFill="1" applyBorder="1" applyAlignment="1" applyProtection="1">
      <alignment horizontal="left"/>
    </xf>
    <xf numFmtId="0" fontId="12" fillId="19" borderId="30" xfId="15" quotePrefix="1" applyNumberFormat="1" applyFont="1" applyBorder="1" applyAlignment="1" applyProtection="1">
      <alignment vertical="center"/>
    </xf>
    <xf numFmtId="0" fontId="3" fillId="0" borderId="0" xfId="0" applyFont="1" applyBorder="1" applyAlignment="1" applyProtection="1">
      <alignment vertical="center" wrapText="1"/>
    </xf>
    <xf numFmtId="0" fontId="59" fillId="31" borderId="0" xfId="0" applyFont="1" applyFill="1" applyBorder="1" applyAlignment="1" applyProtection="1">
      <alignment horizontal="center" vertical="center" wrapText="1"/>
    </xf>
    <xf numFmtId="0" fontId="59" fillId="25" borderId="1" xfId="0" applyFont="1" applyFill="1" applyBorder="1" applyAlignment="1" applyProtection="1">
      <alignment horizontal="center" vertical="center" wrapText="1"/>
    </xf>
    <xf numFmtId="0" fontId="7" fillId="0" borderId="11" xfId="0" applyFont="1" applyBorder="1" applyAlignment="1" applyProtection="1">
      <alignment horizontal="left" vertical="top" wrapText="1"/>
    </xf>
    <xf numFmtId="0" fontId="0" fillId="33" borderId="25" xfId="0" applyFill="1" applyBorder="1" applyProtection="1"/>
    <xf numFmtId="0" fontId="59" fillId="25" borderId="64" xfId="0" applyFont="1" applyFill="1" applyBorder="1" applyAlignment="1" applyProtection="1">
      <alignment horizontal="center" vertical="center" wrapText="1"/>
    </xf>
    <xf numFmtId="0" fontId="59" fillId="31" borderId="272" xfId="0" applyFont="1" applyFill="1" applyBorder="1" applyAlignment="1" applyProtection="1">
      <alignment horizontal="center" vertical="center" wrapText="1"/>
    </xf>
    <xf numFmtId="0" fontId="59" fillId="25" borderId="6" xfId="0" applyFont="1" applyFill="1" applyBorder="1" applyAlignment="1" applyProtection="1">
      <alignment horizontal="center" vertical="center" wrapText="1"/>
    </xf>
    <xf numFmtId="0" fontId="59" fillId="25" borderId="11" xfId="0" applyFont="1" applyFill="1" applyBorder="1" applyAlignment="1" applyProtection="1">
      <alignment horizontal="center" vertical="center" wrapText="1"/>
    </xf>
    <xf numFmtId="0" fontId="3" fillId="0" borderId="274" xfId="0" applyFont="1" applyBorder="1" applyAlignment="1" applyProtection="1">
      <alignment horizontal="center" vertical="center"/>
    </xf>
    <xf numFmtId="0" fontId="7" fillId="0" borderId="22" xfId="0" applyFont="1" applyBorder="1" applyAlignment="1" applyProtection="1">
      <alignment horizontal="center" vertical="center" wrapText="1"/>
    </xf>
    <xf numFmtId="0" fontId="7" fillId="0" borderId="20" xfId="0" applyFont="1" applyBorder="1" applyAlignment="1" applyProtection="1">
      <alignment horizontal="center" vertical="center"/>
    </xf>
    <xf numFmtId="0" fontId="7" fillId="0" borderId="20" xfId="0" applyFont="1" applyFill="1" applyBorder="1" applyAlignment="1" applyProtection="1">
      <alignment horizontal="center" vertical="center" wrapText="1"/>
    </xf>
    <xf numFmtId="0" fontId="7" fillId="0" borderId="145" xfId="0" applyFont="1" applyBorder="1" applyAlignment="1" applyProtection="1">
      <alignment horizontal="left" vertical="top" wrapText="1"/>
    </xf>
    <xf numFmtId="0" fontId="7" fillId="0" borderId="32" xfId="0" applyFont="1" applyBorder="1" applyAlignment="1" applyProtection="1">
      <alignment horizontal="center" vertical="center"/>
    </xf>
    <xf numFmtId="0" fontId="59" fillId="25" borderId="32" xfId="0" applyFont="1" applyFill="1" applyBorder="1" applyAlignment="1" applyProtection="1">
      <alignment horizontal="center" vertical="center"/>
    </xf>
    <xf numFmtId="0" fontId="3" fillId="0" borderId="275" xfId="0" applyNumberFormat="1" applyFont="1" applyBorder="1" applyAlignment="1" applyProtection="1">
      <alignment horizontal="center" vertical="center"/>
    </xf>
    <xf numFmtId="0" fontId="3" fillId="0" borderId="263" xfId="0" applyNumberFormat="1" applyFont="1" applyBorder="1" applyAlignment="1" applyProtection="1">
      <alignment horizontal="center" vertical="center"/>
    </xf>
    <xf numFmtId="0" fontId="3" fillId="0" borderId="276" xfId="25" applyNumberFormat="1" applyFont="1" applyBorder="1" applyAlignment="1" applyProtection="1">
      <alignment vertical="center"/>
    </xf>
    <xf numFmtId="0" fontId="3" fillId="0" borderId="277" xfId="0" applyNumberFormat="1" applyFont="1" applyBorder="1" applyAlignment="1" applyProtection="1">
      <alignment horizontal="center" vertical="center"/>
    </xf>
    <xf numFmtId="0" fontId="3" fillId="0" borderId="270" xfId="0" applyNumberFormat="1" applyFont="1" applyBorder="1" applyAlignment="1" applyProtection="1">
      <alignment horizontal="center" vertical="center"/>
    </xf>
    <xf numFmtId="0" fontId="3" fillId="0" borderId="278" xfId="0" applyNumberFormat="1" applyFont="1" applyBorder="1" applyAlignment="1" applyProtection="1">
      <alignment horizontal="center" vertical="center"/>
    </xf>
    <xf numFmtId="0" fontId="3" fillId="0" borderId="279" xfId="0" applyNumberFormat="1" applyFont="1" applyBorder="1" applyAlignment="1" applyProtection="1">
      <alignment horizontal="center"/>
    </xf>
    <xf numFmtId="0" fontId="12" fillId="19" borderId="18" xfId="15" applyFont="1" applyBorder="1" applyAlignment="1">
      <alignment horizontal="left" vertical="center"/>
    </xf>
    <xf numFmtId="0" fontId="12" fillId="19" borderId="17" xfId="15" quotePrefix="1" applyFont="1" applyBorder="1" applyAlignment="1">
      <alignment horizontal="left" vertical="center"/>
    </xf>
    <xf numFmtId="0" fontId="12" fillId="19" borderId="25" xfId="15" applyFont="1" applyBorder="1" applyAlignment="1">
      <alignment horizontal="left" vertical="center"/>
    </xf>
    <xf numFmtId="0" fontId="7" fillId="0" borderId="17" xfId="35" applyFont="1" applyBorder="1" applyAlignment="1">
      <alignment horizontal="center" vertical="center" wrapText="1"/>
    </xf>
    <xf numFmtId="0" fontId="7" fillId="0" borderId="95" xfId="35" applyFont="1" applyBorder="1" applyAlignment="1">
      <alignment horizontal="center" vertical="center" wrapText="1"/>
    </xf>
    <xf numFmtId="0" fontId="3" fillId="0" borderId="276" xfId="35" applyFont="1" applyBorder="1" applyAlignment="1">
      <alignment horizontal="left" vertical="center" wrapText="1"/>
    </xf>
    <xf numFmtId="0" fontId="7" fillId="25" borderId="181" xfId="35" applyFont="1" applyFill="1" applyBorder="1" applyAlignment="1">
      <alignment horizontal="center" vertical="center" wrapText="1"/>
    </xf>
    <xf numFmtId="0" fontId="7" fillId="0" borderId="280" xfId="35" applyFont="1" applyBorder="1" applyAlignment="1">
      <alignment horizontal="center" vertical="center" wrapText="1"/>
    </xf>
    <xf numFmtId="0" fontId="29" fillId="0" borderId="0" xfId="28" applyFont="1" applyBorder="1" applyAlignment="1">
      <alignment wrapText="1"/>
    </xf>
    <xf numFmtId="14" fontId="29" fillId="0" borderId="0" xfId="28" applyNumberFormat="1" applyFont="1" applyBorder="1" applyAlignment="1">
      <alignment horizontal="left" wrapText="1"/>
    </xf>
    <xf numFmtId="171" fontId="8" fillId="0" borderId="0" xfId="20" applyNumberFormat="1" applyFont="1" applyFill="1" applyBorder="1" applyAlignment="1" applyProtection="1">
      <alignment horizontal="center" vertical="center"/>
    </xf>
    <xf numFmtId="0" fontId="0" fillId="0" borderId="0" xfId="0" applyNumberFormat="1" applyBorder="1" applyAlignment="1" applyProtection="1">
      <alignment horizontal="left" vertical="top" wrapText="1"/>
    </xf>
    <xf numFmtId="0" fontId="45" fillId="0" borderId="264" xfId="0" applyNumberFormat="1" applyFont="1" applyBorder="1" applyAlignment="1" applyProtection="1">
      <alignment horizontal="center" vertical="center"/>
    </xf>
    <xf numFmtId="0" fontId="0" fillId="0" borderId="46" xfId="0" applyNumberFormat="1" applyBorder="1" applyAlignment="1" applyProtection="1">
      <alignment horizontal="left" vertical="top" wrapText="1"/>
    </xf>
    <xf numFmtId="0" fontId="0" fillId="0" borderId="20" xfId="0" applyNumberFormat="1" applyBorder="1" applyAlignment="1" applyProtection="1">
      <alignment horizontal="left" vertical="top" wrapText="1"/>
    </xf>
    <xf numFmtId="0" fontId="0" fillId="0" borderId="53" xfId="0" applyNumberFormat="1" applyBorder="1" applyAlignment="1" applyProtection="1">
      <alignment horizontal="left" vertical="top" wrapText="1"/>
    </xf>
    <xf numFmtId="171" fontId="8" fillId="0" borderId="43" xfId="20" applyNumberFormat="1" applyFont="1" applyFill="1" applyBorder="1" applyAlignment="1" applyProtection="1">
      <alignment horizontal="center" vertical="center"/>
    </xf>
    <xf numFmtId="0" fontId="3" fillId="0" borderId="43" xfId="0" applyNumberFormat="1" applyFont="1" applyFill="1" applyBorder="1" applyAlignment="1" applyProtection="1">
      <alignment horizontal="center"/>
    </xf>
    <xf numFmtId="0" fontId="0" fillId="0" borderId="43" xfId="0" applyNumberFormat="1" applyBorder="1" applyAlignment="1" applyProtection="1">
      <alignment horizontal="left" vertical="top" wrapText="1"/>
    </xf>
    <xf numFmtId="0" fontId="0" fillId="0" borderId="31" xfId="0" applyNumberFormat="1" applyBorder="1" applyAlignment="1" applyProtection="1">
      <alignment horizontal="left" vertical="top" wrapText="1"/>
    </xf>
    <xf numFmtId="171" fontId="33" fillId="0" borderId="0" xfId="0" applyNumberFormat="1" applyFont="1" applyBorder="1" applyProtection="1"/>
    <xf numFmtId="0" fontId="5" fillId="0" borderId="0" xfId="0" applyNumberFormat="1" applyFont="1" applyBorder="1" applyProtection="1"/>
    <xf numFmtId="21" fontId="3" fillId="0" borderId="0" xfId="0" applyNumberFormat="1" applyFont="1" applyBorder="1" applyProtection="1"/>
    <xf numFmtId="0" fontId="33" fillId="0" borderId="0" xfId="0" applyNumberFormat="1" applyFont="1" applyBorder="1" applyProtection="1"/>
    <xf numFmtId="0" fontId="3" fillId="0" borderId="46" xfId="0" applyFont="1" applyFill="1" applyBorder="1" applyProtection="1"/>
    <xf numFmtId="171" fontId="33" fillId="0" borderId="0" xfId="0" applyNumberFormat="1" applyFont="1" applyFill="1" applyBorder="1" applyProtection="1"/>
    <xf numFmtId="171" fontId="33" fillId="0" borderId="0" xfId="0" applyNumberFormat="1" applyFont="1" applyFill="1" applyBorder="1" applyAlignment="1" applyProtection="1">
      <alignment horizontal="left" vertical="top" wrapText="1"/>
    </xf>
    <xf numFmtId="0" fontId="33" fillId="0" borderId="0" xfId="0" applyNumberFormat="1" applyFont="1" applyFill="1" applyBorder="1" applyProtection="1"/>
    <xf numFmtId="0" fontId="33" fillId="0" borderId="0" xfId="0" applyNumberFormat="1" applyFont="1" applyFill="1" applyBorder="1" applyAlignment="1" applyProtection="1">
      <alignment horizontal="left" vertical="top" wrapText="1"/>
    </xf>
    <xf numFmtId="0" fontId="33" fillId="0" borderId="20" xfId="0" applyNumberFormat="1" applyFont="1" applyBorder="1" applyProtection="1"/>
    <xf numFmtId="0" fontId="33" fillId="0" borderId="0" xfId="0" applyFont="1" applyFill="1" applyProtection="1"/>
    <xf numFmtId="0" fontId="3" fillId="0" borderId="175" xfId="0" applyFont="1" applyBorder="1" applyAlignment="1" applyProtection="1">
      <alignment horizontal="center" vertical="center"/>
    </xf>
    <xf numFmtId="0" fontId="3" fillId="0" borderId="284" xfId="0" applyFont="1" applyBorder="1" applyAlignment="1" applyProtection="1">
      <alignment vertical="center" wrapText="1"/>
    </xf>
    <xf numFmtId="0" fontId="3" fillId="0" borderId="281" xfId="0" applyFont="1" applyBorder="1" applyAlignment="1" applyProtection="1">
      <alignment vertical="center" wrapText="1"/>
    </xf>
    <xf numFmtId="0" fontId="3" fillId="0" borderId="282" xfId="0" applyFont="1" applyBorder="1" applyAlignment="1" applyProtection="1">
      <alignment vertical="center" wrapText="1"/>
    </xf>
    <xf numFmtId="0" fontId="3" fillId="0" borderId="286" xfId="0" applyFont="1" applyBorder="1" applyAlignment="1" applyProtection="1">
      <alignment horizontal="center" vertical="center"/>
    </xf>
    <xf numFmtId="0" fontId="3" fillId="0" borderId="288" xfId="0" applyFont="1" applyBorder="1" applyAlignment="1" applyProtection="1">
      <alignment horizontal="center" vertical="center"/>
    </xf>
    <xf numFmtId="0" fontId="3" fillId="0" borderId="290" xfId="0" applyFont="1" applyBorder="1" applyAlignment="1" applyProtection="1">
      <alignment horizontal="center" vertical="center"/>
    </xf>
    <xf numFmtId="0" fontId="3" fillId="0" borderId="273" xfId="0" applyFont="1" applyBorder="1" applyAlignment="1" applyProtection="1">
      <alignment horizontal="center" vertical="center"/>
    </xf>
    <xf numFmtId="0" fontId="3" fillId="0" borderId="291" xfId="0" applyFont="1" applyBorder="1" applyAlignment="1" applyProtection="1">
      <alignment horizontal="center" vertical="center"/>
    </xf>
    <xf numFmtId="0" fontId="59" fillId="31" borderId="292" xfId="0" applyFont="1" applyFill="1" applyBorder="1" applyAlignment="1" applyProtection="1">
      <alignment horizontal="center" vertical="center" wrapText="1"/>
    </xf>
    <xf numFmtId="0" fontId="59" fillId="31" borderId="211" xfId="0" applyFont="1" applyFill="1" applyBorder="1" applyAlignment="1" applyProtection="1">
      <alignment horizontal="center" vertical="center" wrapText="1"/>
    </xf>
    <xf numFmtId="0" fontId="59" fillId="31" borderId="294" xfId="0" applyFont="1" applyFill="1" applyBorder="1" applyAlignment="1" applyProtection="1">
      <alignment horizontal="center" vertical="center" wrapText="1"/>
    </xf>
    <xf numFmtId="0" fontId="3" fillId="0" borderId="295" xfId="0" applyFont="1" applyBorder="1" applyAlignment="1" applyProtection="1">
      <alignment horizontal="center" vertical="center"/>
    </xf>
    <xf numFmtId="0" fontId="3" fillId="0" borderId="223" xfId="0" applyFont="1" applyBorder="1" applyAlignment="1" applyProtection="1">
      <alignment horizontal="center" vertical="center"/>
    </xf>
    <xf numFmtId="0" fontId="3" fillId="0" borderId="296" xfId="0" applyFont="1" applyBorder="1" applyAlignment="1" applyProtection="1">
      <alignment horizontal="center" vertical="center"/>
    </xf>
    <xf numFmtId="0" fontId="3" fillId="0" borderId="297" xfId="0" applyFont="1" applyBorder="1" applyAlignment="1" applyProtection="1">
      <alignment horizontal="center" vertical="center"/>
    </xf>
    <xf numFmtId="0" fontId="3" fillId="0" borderId="298" xfId="0" applyFont="1" applyBorder="1" applyAlignment="1" applyProtection="1">
      <alignment horizontal="center" vertical="center"/>
    </xf>
    <xf numFmtId="0" fontId="3" fillId="0" borderId="299" xfId="0" applyFont="1" applyBorder="1" applyAlignment="1" applyProtection="1">
      <alignment horizontal="center" vertical="center"/>
    </xf>
    <xf numFmtId="0" fontId="3" fillId="0" borderId="300" xfId="0" applyFont="1" applyBorder="1" applyAlignment="1" applyProtection="1">
      <alignment horizontal="center" vertical="center"/>
    </xf>
    <xf numFmtId="2" fontId="22" fillId="8" borderId="264" xfId="32" quotePrefix="1" applyNumberFormat="1" applyFont="1" applyFill="1" applyBorder="1" applyAlignment="1">
      <alignment horizontal="center" vertical="center"/>
    </xf>
    <xf numFmtId="0" fontId="22" fillId="25" borderId="265" xfId="32" quotePrefix="1" applyNumberFormat="1" applyFont="1" applyFill="1" applyBorder="1" applyAlignment="1">
      <alignment horizontal="center" vertical="center"/>
    </xf>
    <xf numFmtId="0" fontId="7" fillId="0" borderId="301" xfId="25" applyFont="1" applyFill="1" applyBorder="1" applyAlignment="1">
      <alignment horizontal="center" vertical="center"/>
    </xf>
    <xf numFmtId="0" fontId="3" fillId="0" borderId="302" xfId="28" applyFont="1" applyFill="1" applyBorder="1" applyAlignment="1">
      <alignment vertical="center"/>
    </xf>
    <xf numFmtId="0" fontId="7" fillId="31" borderId="4" xfId="28" applyFont="1" applyFill="1" applyBorder="1" applyAlignment="1">
      <alignment vertical="center"/>
    </xf>
    <xf numFmtId="0" fontId="7" fillId="0" borderId="12" xfId="35" applyFont="1" applyBorder="1" applyAlignment="1">
      <alignment horizontal="center" vertical="center" wrapText="1"/>
    </xf>
    <xf numFmtId="0" fontId="3" fillId="0" borderId="0" xfId="0" applyFont="1" applyFill="1" applyAlignment="1" applyProtection="1">
      <alignment horizontal="center" vertical="center"/>
    </xf>
    <xf numFmtId="2" fontId="8" fillId="8" borderId="6" xfId="20" applyNumberFormat="1" applyFont="1" applyFill="1" applyBorder="1" applyAlignment="1" applyProtection="1">
      <alignment horizontal="center" vertical="center" wrapText="1"/>
    </xf>
    <xf numFmtId="0" fontId="3" fillId="22" borderId="0" xfId="25" applyFont="1" applyFill="1" applyAlignment="1" applyProtection="1">
      <alignment vertical="center"/>
    </xf>
    <xf numFmtId="0" fontId="0" fillId="22" borderId="0" xfId="0" applyFill="1" applyProtection="1"/>
    <xf numFmtId="0" fontId="3" fillId="0" borderId="0" xfId="25" applyFont="1" applyFill="1" applyAlignment="1" applyProtection="1">
      <alignment vertical="center"/>
    </xf>
    <xf numFmtId="0" fontId="3" fillId="0" borderId="0" xfId="25" quotePrefix="1" applyFont="1" applyFill="1" applyAlignment="1" applyProtection="1">
      <alignment vertical="center"/>
    </xf>
    <xf numFmtId="0" fontId="7" fillId="0" borderId="0" xfId="0" applyFont="1" applyFill="1" applyBorder="1" applyAlignment="1" applyProtection="1">
      <alignment horizontal="centerContinuous"/>
    </xf>
    <xf numFmtId="0" fontId="5" fillId="0" borderId="305" xfId="28" applyFont="1" applyFill="1" applyBorder="1" applyAlignment="1" applyProtection="1">
      <alignment vertical="center"/>
    </xf>
    <xf numFmtId="0" fontId="47" fillId="0" borderId="306" xfId="16" applyFont="1" applyBorder="1" applyAlignment="1" applyProtection="1">
      <alignment vertical="center"/>
      <protection locked="0"/>
    </xf>
    <xf numFmtId="166" fontId="8" fillId="25" borderId="228" xfId="20" applyNumberFormat="1" applyFont="1" applyFill="1" applyBorder="1" applyAlignment="1" applyProtection="1">
      <alignment horizontal="center" vertical="center" wrapText="1"/>
    </xf>
    <xf numFmtId="0" fontId="8" fillId="25" borderId="228" xfId="20" applyNumberFormat="1" applyFont="1" applyFill="1" applyBorder="1" applyAlignment="1" applyProtection="1">
      <alignment horizontal="center" vertical="center" wrapText="1"/>
    </xf>
    <xf numFmtId="0" fontId="3" fillId="0" borderId="307" xfId="0" applyFont="1" applyBorder="1" applyAlignment="1">
      <alignment vertical="center" wrapText="1"/>
    </xf>
    <xf numFmtId="0" fontId="3" fillId="0" borderId="308" xfId="0" applyFont="1" applyBorder="1" applyAlignment="1">
      <alignment horizontal="center" vertical="center"/>
    </xf>
    <xf numFmtId="0" fontId="3" fillId="0" borderId="309" xfId="0" applyFont="1" applyBorder="1" applyAlignment="1" applyProtection="1">
      <alignment horizontal="center" vertical="center"/>
    </xf>
    <xf numFmtId="0" fontId="3" fillId="0" borderId="294" xfId="0" applyFont="1" applyBorder="1" applyAlignment="1" applyProtection="1">
      <alignment horizontal="center" vertical="center"/>
    </xf>
    <xf numFmtId="0" fontId="33" fillId="0" borderId="310" xfId="20" applyNumberFormat="1" applyFont="1" applyFill="1" applyBorder="1" applyAlignment="1" applyProtection="1">
      <alignment horizontal="center" vertical="center" wrapText="1"/>
    </xf>
    <xf numFmtId="0" fontId="3" fillId="0" borderId="294" xfId="0" applyFont="1" applyBorder="1" applyAlignment="1" applyProtection="1">
      <alignment vertical="center"/>
    </xf>
    <xf numFmtId="0" fontId="3" fillId="0" borderId="311" xfId="0" applyFont="1" applyBorder="1" applyAlignment="1" applyProtection="1">
      <alignment vertical="center" wrapText="1"/>
    </xf>
    <xf numFmtId="0" fontId="3" fillId="0" borderId="312" xfId="0" applyFont="1" applyBorder="1" applyAlignment="1" applyProtection="1">
      <alignment horizontal="center" vertical="center"/>
    </xf>
    <xf numFmtId="0" fontId="3" fillId="0" borderId="313" xfId="0" applyFont="1" applyBorder="1" applyAlignment="1" applyProtection="1">
      <alignment horizontal="center" vertical="center"/>
    </xf>
    <xf numFmtId="0" fontId="8" fillId="8" borderId="314" xfId="20" applyNumberFormat="1" applyFont="1" applyFill="1" applyBorder="1" applyAlignment="1" applyProtection="1">
      <alignment horizontal="center" vertical="center" wrapText="1"/>
    </xf>
    <xf numFmtId="0" fontId="3" fillId="0" borderId="315" xfId="0" applyFont="1" applyBorder="1" applyAlignment="1" applyProtection="1">
      <alignment horizontal="center" vertical="center"/>
    </xf>
    <xf numFmtId="0" fontId="5" fillId="0" borderId="306" xfId="16" applyFont="1" applyBorder="1" applyAlignment="1" applyProtection="1">
      <alignment vertical="center" wrapText="1"/>
      <protection locked="0"/>
    </xf>
    <xf numFmtId="167" fontId="8" fillId="8" borderId="1" xfId="25" applyNumberFormat="1" applyFont="1" applyFill="1" applyBorder="1" applyAlignment="1">
      <alignment horizontal="center" vertical="center" wrapText="1"/>
    </xf>
    <xf numFmtId="167" fontId="8" fillId="8" borderId="1" xfId="25" applyNumberFormat="1" applyFont="1" applyFill="1" applyBorder="1" applyAlignment="1">
      <alignment horizontal="center" vertical="center"/>
    </xf>
    <xf numFmtId="167" fontId="8" fillId="8" borderId="11" xfId="25" applyNumberFormat="1" applyFont="1" applyFill="1" applyBorder="1" applyAlignment="1">
      <alignment horizontal="center" vertical="center"/>
    </xf>
    <xf numFmtId="0" fontId="33" fillId="25" borderId="1" xfId="0" quotePrefix="1" applyFont="1" applyFill="1" applyBorder="1" applyAlignment="1" applyProtection="1">
      <alignment horizontal="center" vertical="center" wrapText="1"/>
    </xf>
    <xf numFmtId="0" fontId="3" fillId="0" borderId="307" xfId="0" applyFont="1" applyBorder="1" applyAlignment="1" applyProtection="1">
      <alignment vertical="center" wrapText="1"/>
    </xf>
    <xf numFmtId="0" fontId="3" fillId="0" borderId="308" xfId="0" applyFont="1" applyBorder="1" applyAlignment="1" applyProtection="1">
      <alignment horizontal="center" vertical="center"/>
    </xf>
    <xf numFmtId="0" fontId="3" fillId="0" borderId="269" xfId="0" applyFont="1" applyBorder="1" applyAlignment="1" applyProtection="1">
      <alignment horizontal="center" vertical="center"/>
    </xf>
    <xf numFmtId="0" fontId="33" fillId="31" borderId="0" xfId="0" applyFont="1" applyFill="1" applyBorder="1" applyAlignment="1" applyProtection="1">
      <alignment horizontal="center" vertical="center"/>
    </xf>
    <xf numFmtId="0" fontId="33" fillId="25" borderId="99" xfId="0" applyFont="1" applyFill="1" applyBorder="1" applyAlignment="1" applyProtection="1">
      <alignment horizontal="center" vertical="center"/>
    </xf>
    <xf numFmtId="0" fontId="33" fillId="31" borderId="99" xfId="0" applyFont="1" applyFill="1" applyBorder="1" applyAlignment="1" applyProtection="1">
      <alignment horizontal="center" vertical="center"/>
    </xf>
    <xf numFmtId="0" fontId="12" fillId="19" borderId="30" xfId="15" applyFont="1" applyBorder="1" applyAlignment="1" applyProtection="1">
      <alignment horizontal="left" vertical="center"/>
    </xf>
    <xf numFmtId="0" fontId="12" fillId="19" borderId="43" xfId="15" applyFont="1" applyBorder="1" applyAlignment="1" applyProtection="1">
      <alignment horizontal="left" vertical="center"/>
    </xf>
    <xf numFmtId="0" fontId="12" fillId="19" borderId="31" xfId="15" applyFont="1" applyBorder="1" applyAlignment="1" applyProtection="1">
      <alignment horizontal="left" vertical="center"/>
    </xf>
    <xf numFmtId="0" fontId="7" fillId="0" borderId="1" xfId="0" applyNumberFormat="1" applyFont="1" applyBorder="1" applyAlignment="1" applyProtection="1">
      <alignment horizontal="center" vertical="center"/>
    </xf>
    <xf numFmtId="0" fontId="7" fillId="0" borderId="3" xfId="0" applyNumberFormat="1" applyFont="1" applyBorder="1" applyAlignment="1" applyProtection="1">
      <alignment horizontal="center" wrapText="1"/>
    </xf>
    <xf numFmtId="0" fontId="7" fillId="0" borderId="1" xfId="0" applyNumberFormat="1" applyFont="1" applyBorder="1" applyAlignment="1" applyProtection="1">
      <alignment horizontal="center"/>
    </xf>
    <xf numFmtId="0" fontId="7" fillId="0" borderId="191" xfId="0" applyFont="1" applyBorder="1" applyAlignment="1" applyProtection="1">
      <alignment horizontal="center" vertical="center"/>
    </xf>
    <xf numFmtId="0" fontId="7" fillId="24" borderId="37" xfId="0" applyFont="1" applyFill="1" applyBorder="1" applyAlignment="1" applyProtection="1">
      <alignment vertical="top" wrapText="1"/>
    </xf>
    <xf numFmtId="0" fontId="59" fillId="31" borderId="316" xfId="0" applyFont="1" applyFill="1" applyBorder="1" applyAlignment="1" applyProtection="1">
      <alignment horizontal="center" vertical="center" wrapText="1"/>
    </xf>
    <xf numFmtId="0" fontId="59" fillId="0" borderId="101" xfId="0" applyFont="1" applyFill="1" applyBorder="1" applyAlignment="1" applyProtection="1">
      <alignment horizontal="center" vertical="center" wrapText="1"/>
    </xf>
    <xf numFmtId="0" fontId="3" fillId="0" borderId="317" xfId="0" applyFont="1" applyBorder="1" applyAlignment="1" applyProtection="1">
      <alignment horizontal="center" vertical="center"/>
    </xf>
    <xf numFmtId="0" fontId="3" fillId="0" borderId="318" xfId="0" applyFont="1" applyBorder="1" applyAlignment="1" applyProtection="1">
      <alignment vertical="center" wrapText="1"/>
    </xf>
    <xf numFmtId="0" fontId="3" fillId="0" borderId="319" xfId="0" applyFont="1" applyBorder="1" applyAlignment="1" applyProtection="1">
      <alignment horizontal="center" vertical="center"/>
    </xf>
    <xf numFmtId="0" fontId="3" fillId="0" borderId="274" xfId="0" applyFont="1" applyBorder="1" applyAlignment="1" applyProtection="1">
      <alignment horizontal="center" vertical="center" wrapText="1"/>
    </xf>
    <xf numFmtId="0" fontId="3" fillId="0" borderId="145" xfId="0" applyFont="1" applyBorder="1" applyAlignment="1" applyProtection="1">
      <alignment horizontal="left" vertical="center"/>
    </xf>
    <xf numFmtId="0" fontId="3" fillId="0" borderId="320" xfId="0" applyFont="1" applyBorder="1" applyAlignment="1" applyProtection="1">
      <alignment horizontal="center" vertical="center"/>
    </xf>
    <xf numFmtId="0" fontId="3" fillId="0" borderId="321" xfId="0" applyFont="1" applyBorder="1" applyAlignment="1" applyProtection="1">
      <alignment horizontal="center" vertical="center"/>
    </xf>
    <xf numFmtId="1" fontId="33" fillId="25" borderId="264" xfId="0" applyNumberFormat="1" applyFont="1" applyFill="1" applyBorder="1" applyAlignment="1" applyProtection="1">
      <alignment horizontal="center" vertical="center"/>
    </xf>
    <xf numFmtId="0" fontId="3" fillId="0" borderId="207" xfId="0" applyFont="1" applyBorder="1" applyAlignment="1" applyProtection="1">
      <alignment horizontal="center" vertical="center"/>
    </xf>
    <xf numFmtId="0" fontId="3" fillId="0" borderId="322" xfId="0" applyFont="1" applyBorder="1" applyAlignment="1" applyProtection="1">
      <alignment horizontal="center" vertical="center"/>
    </xf>
    <xf numFmtId="0" fontId="59" fillId="31" borderId="101" xfId="0" applyFont="1" applyFill="1" applyBorder="1" applyAlignment="1" applyProtection="1">
      <alignment horizontal="center" vertical="center" wrapText="1"/>
    </xf>
    <xf numFmtId="0" fontId="0" fillId="33" borderId="43" xfId="0" applyFill="1" applyBorder="1" applyProtection="1"/>
    <xf numFmtId="0" fontId="45" fillId="33" borderId="30" xfId="28" applyFont="1" applyFill="1" applyBorder="1" applyAlignment="1" applyProtection="1">
      <alignment vertical="center"/>
    </xf>
    <xf numFmtId="0" fontId="55" fillId="33" borderId="30" xfId="28" applyFont="1" applyFill="1" applyBorder="1" applyAlignment="1" applyProtection="1">
      <alignment vertical="center"/>
    </xf>
    <xf numFmtId="3" fontId="5" fillId="0" borderId="0" xfId="20" applyNumberFormat="1" applyFont="1" applyFill="1" applyBorder="1" applyProtection="1">
      <alignment horizontal="center" vertical="center"/>
    </xf>
    <xf numFmtId="0" fontId="24" fillId="0" borderId="0" xfId="25" applyFont="1" applyAlignment="1" applyProtection="1">
      <alignment vertical="center"/>
    </xf>
    <xf numFmtId="0" fontId="24" fillId="0" borderId="0" xfId="25" applyFont="1" applyFill="1" applyAlignment="1" applyProtection="1">
      <alignment vertical="center"/>
    </xf>
    <xf numFmtId="0" fontId="20" fillId="0" borderId="0" xfId="16" applyFont="1" applyAlignment="1" applyProtection="1">
      <alignment vertical="center"/>
    </xf>
    <xf numFmtId="0" fontId="7" fillId="24" borderId="30" xfId="0" applyFont="1" applyFill="1" applyBorder="1" applyAlignment="1" applyProtection="1"/>
    <xf numFmtId="0" fontId="7" fillId="0" borderId="42" xfId="0" applyFont="1" applyBorder="1" applyProtection="1"/>
    <xf numFmtId="0" fontId="7" fillId="0" borderId="23" xfId="0" applyFont="1" applyBorder="1" applyProtection="1"/>
    <xf numFmtId="0" fontId="3" fillId="0" borderId="9" xfId="0" applyFont="1" applyBorder="1" applyProtection="1"/>
    <xf numFmtId="0" fontId="3" fillId="0" borderId="324" xfId="0" applyFont="1" applyBorder="1" applyAlignment="1" applyProtection="1">
      <alignment horizontal="left" vertical="top" wrapText="1"/>
    </xf>
    <xf numFmtId="0" fontId="3" fillId="0" borderId="324" xfId="0" applyFont="1" applyBorder="1" applyProtection="1"/>
    <xf numFmtId="0" fontId="3" fillId="0" borderId="323" xfId="0" applyFont="1" applyBorder="1" applyProtection="1"/>
    <xf numFmtId="0" fontId="3" fillId="0" borderId="98" xfId="0" applyFont="1" applyBorder="1" applyProtection="1"/>
    <xf numFmtId="0" fontId="3" fillId="0" borderId="326" xfId="0" applyFont="1" applyBorder="1" applyProtection="1"/>
    <xf numFmtId="0" fontId="3" fillId="0" borderId="22" xfId="0" applyFont="1" applyBorder="1" applyProtection="1"/>
    <xf numFmtId="0" fontId="7" fillId="33" borderId="30" xfId="25" applyFont="1" applyFill="1" applyBorder="1" applyAlignment="1" applyProtection="1">
      <alignment vertical="center"/>
    </xf>
    <xf numFmtId="0" fontId="3" fillId="0" borderId="9" xfId="28" applyFont="1" applyBorder="1" applyAlignment="1" applyProtection="1">
      <alignment vertical="center"/>
    </xf>
    <xf numFmtId="0" fontId="3" fillId="0" borderId="323" xfId="28" applyFont="1" applyBorder="1" applyAlignment="1" applyProtection="1">
      <alignment vertical="center"/>
    </xf>
    <xf numFmtId="0" fontId="3" fillId="0" borderId="323" xfId="25" applyFont="1" applyFill="1" applyBorder="1" applyAlignment="1" applyProtection="1">
      <alignment vertical="center"/>
    </xf>
    <xf numFmtId="0" fontId="3" fillId="0" borderId="98" xfId="25" applyFont="1" applyFill="1" applyBorder="1" applyAlignment="1" applyProtection="1">
      <alignment vertical="center"/>
    </xf>
    <xf numFmtId="0" fontId="3" fillId="0" borderId="324" xfId="25" applyFont="1" applyFill="1" applyBorder="1" applyAlignment="1" applyProtection="1">
      <alignment vertical="center"/>
    </xf>
    <xf numFmtId="0" fontId="3" fillId="0" borderId="325" xfId="28" applyFont="1" applyBorder="1" applyAlignment="1" applyProtection="1">
      <alignment vertical="center"/>
    </xf>
    <xf numFmtId="0" fontId="3" fillId="0" borderId="28" xfId="28" applyFont="1" applyBorder="1" applyAlignment="1" applyProtection="1">
      <alignment vertical="center"/>
    </xf>
    <xf numFmtId="0" fontId="7" fillId="24" borderId="43" xfId="0" applyFont="1" applyFill="1" applyBorder="1" applyAlignment="1" applyProtection="1"/>
    <xf numFmtId="0" fontId="7" fillId="24" borderId="31" xfId="0" applyFont="1" applyFill="1" applyBorder="1" applyAlignment="1" applyProtection="1"/>
    <xf numFmtId="0" fontId="7" fillId="0" borderId="2" xfId="0" applyFont="1" applyBorder="1" applyProtection="1"/>
    <xf numFmtId="0" fontId="7" fillId="0" borderId="0" xfId="0" applyFont="1" applyFill="1" applyBorder="1" applyAlignment="1" applyProtection="1"/>
    <xf numFmtId="0" fontId="7" fillId="0" borderId="130" xfId="0" applyFont="1" applyBorder="1" applyProtection="1"/>
    <xf numFmtId="0" fontId="7" fillId="0" borderId="61" xfId="0" applyFont="1" applyBorder="1" applyAlignment="1" applyProtection="1">
      <alignment horizontal="center" vertical="center"/>
    </xf>
    <xf numFmtId="0" fontId="7" fillId="0" borderId="101" xfId="0" applyFont="1" applyBorder="1" applyAlignment="1" applyProtection="1">
      <alignment horizontal="center" vertical="center"/>
    </xf>
    <xf numFmtId="0" fontId="33" fillId="25" borderId="2" xfId="0" applyFont="1" applyFill="1" applyBorder="1" applyAlignment="1" applyProtection="1">
      <alignment horizontal="center" vertical="center"/>
    </xf>
    <xf numFmtId="0" fontId="7" fillId="22" borderId="0" xfId="0" applyFont="1" applyFill="1" applyBorder="1" applyAlignment="1" applyProtection="1"/>
    <xf numFmtId="0" fontId="3" fillId="22" borderId="0" xfId="0" applyFont="1" applyFill="1" applyBorder="1" applyProtection="1"/>
    <xf numFmtId="0" fontId="33" fillId="25" borderId="14" xfId="0" applyFont="1" applyFill="1" applyBorder="1" applyAlignment="1" applyProtection="1">
      <alignment horizontal="center" vertical="center"/>
    </xf>
    <xf numFmtId="0" fontId="3" fillId="28" borderId="14" xfId="0" applyFont="1" applyFill="1" applyBorder="1" applyAlignment="1" applyProtection="1">
      <alignment horizontal="center" vertical="center"/>
    </xf>
    <xf numFmtId="0" fontId="3" fillId="28" borderId="1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22" borderId="0" xfId="0" applyFont="1" applyFill="1" applyBorder="1" applyAlignment="1" applyProtection="1">
      <alignment horizontal="center" vertical="center"/>
    </xf>
    <xf numFmtId="0" fontId="3" fillId="28" borderId="1" xfId="0" applyFont="1" applyFill="1" applyBorder="1" applyAlignment="1" applyProtection="1">
      <alignment horizontal="center" vertical="center"/>
    </xf>
    <xf numFmtId="0" fontId="33" fillId="25" borderId="10" xfId="0" applyFont="1" applyFill="1" applyBorder="1" applyAlignment="1" applyProtection="1">
      <alignment horizontal="center" vertical="center"/>
    </xf>
    <xf numFmtId="0" fontId="33" fillId="22" borderId="0" xfId="0" applyFont="1" applyFill="1" applyBorder="1" applyAlignment="1" applyProtection="1">
      <alignment horizontal="center" vertical="center"/>
    </xf>
    <xf numFmtId="0" fontId="3" fillId="22" borderId="0" xfId="0" applyFont="1" applyFill="1" applyBorder="1" applyAlignment="1" applyProtection="1">
      <alignment horizontal="center" vertical="center"/>
    </xf>
    <xf numFmtId="0" fontId="3" fillId="28" borderId="1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0" xfId="0" applyFont="1" applyProtection="1"/>
    <xf numFmtId="0" fontId="3" fillId="0" borderId="1"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3" fillId="28" borderId="11" xfId="0" applyFont="1" applyFill="1" applyBorder="1" applyAlignment="1" applyProtection="1">
      <alignment horizontal="center" vertical="center"/>
    </xf>
    <xf numFmtId="0" fontId="3" fillId="28" borderId="12" xfId="0" applyFont="1" applyFill="1" applyBorder="1" applyAlignment="1" applyProtection="1">
      <alignment horizontal="center" vertical="center"/>
    </xf>
    <xf numFmtId="0" fontId="3" fillId="22" borderId="0" xfId="0" applyFont="1" applyFill="1" applyBorder="1" applyAlignment="1" applyProtection="1">
      <alignment horizontal="center" vertical="center" wrapText="1"/>
    </xf>
    <xf numFmtId="0" fontId="75" fillId="0" borderId="0" xfId="25" applyFont="1" applyAlignment="1" applyProtection="1">
      <alignment vertical="center"/>
    </xf>
    <xf numFmtId="0" fontId="33" fillId="0" borderId="46" xfId="0" applyFont="1" applyFill="1" applyBorder="1" applyAlignment="1" applyProtection="1">
      <alignment horizontal="center" vertical="center"/>
    </xf>
    <xf numFmtId="0" fontId="3" fillId="0" borderId="53" xfId="0" applyFont="1" applyBorder="1" applyProtection="1"/>
    <xf numFmtId="0" fontId="24" fillId="22" borderId="0" xfId="25" applyFont="1" applyFill="1" applyAlignment="1" applyProtection="1">
      <alignment vertical="center"/>
    </xf>
    <xf numFmtId="0" fontId="3" fillId="0" borderId="0" xfId="28" applyFont="1" applyFill="1" applyBorder="1" applyAlignment="1" applyProtection="1">
      <alignment vertical="center"/>
    </xf>
    <xf numFmtId="0" fontId="3" fillId="28" borderId="48" xfId="0" applyFont="1" applyFill="1" applyBorder="1" applyProtection="1"/>
    <xf numFmtId="0" fontId="3" fillId="28" borderId="69" xfId="0" applyFont="1" applyFill="1" applyBorder="1" applyProtection="1"/>
    <xf numFmtId="0" fontId="3" fillId="0" borderId="0" xfId="0" applyFont="1" applyBorder="1" applyAlignment="1" applyProtection="1">
      <alignment wrapText="1"/>
    </xf>
    <xf numFmtId="0" fontId="3" fillId="33" borderId="31" xfId="25" applyFont="1" applyFill="1" applyBorder="1" applyAlignment="1" applyProtection="1">
      <alignment vertical="center"/>
    </xf>
    <xf numFmtId="0" fontId="3" fillId="23" borderId="7" xfId="25" applyFont="1" applyFill="1" applyBorder="1" applyAlignment="1" applyProtection="1">
      <alignment vertical="center"/>
      <protection locked="0"/>
    </xf>
    <xf numFmtId="0" fontId="3" fillId="23" borderId="10" xfId="25" applyFont="1" applyFill="1" applyBorder="1" applyAlignment="1" applyProtection="1">
      <alignment vertical="center"/>
      <protection locked="0"/>
    </xf>
    <xf numFmtId="0" fontId="3" fillId="23" borderId="81" xfId="0" applyFont="1" applyFill="1" applyBorder="1" applyProtection="1">
      <protection locked="0"/>
    </xf>
    <xf numFmtId="0" fontId="3" fillId="23" borderId="48" xfId="0" applyFont="1" applyFill="1" applyBorder="1" applyAlignment="1" applyProtection="1">
      <alignment horizontal="left" vertical="top" wrapText="1"/>
      <protection locked="0"/>
    </xf>
    <xf numFmtId="0" fontId="3" fillId="23" borderId="48" xfId="0" applyFont="1" applyFill="1" applyBorder="1" applyProtection="1">
      <protection locked="0"/>
    </xf>
    <xf numFmtId="0" fontId="0" fillId="0" borderId="10" xfId="0" applyBorder="1" applyAlignment="1" applyProtection="1">
      <alignment wrapText="1"/>
    </xf>
    <xf numFmtId="0" fontId="45" fillId="0" borderId="1" xfId="0" applyFont="1" applyBorder="1" applyAlignment="1" applyProtection="1">
      <alignment horizontal="center" vertical="center" wrapText="1"/>
    </xf>
    <xf numFmtId="0" fontId="5" fillId="23" borderId="6" xfId="20" applyFont="1" applyFill="1" applyBorder="1" applyAlignment="1" applyProtection="1">
      <alignment horizontal="center" vertical="center" wrapText="1"/>
    </xf>
    <xf numFmtId="0" fontId="5" fillId="23" borderId="1" xfId="20" applyFont="1" applyFill="1" applyBorder="1" applyAlignment="1" applyProtection="1">
      <alignment horizontal="center" vertical="center" wrapText="1"/>
    </xf>
    <xf numFmtId="0" fontId="5" fillId="23" borderId="61" xfId="20" applyFont="1" applyFill="1" applyBorder="1" applyAlignment="1" applyProtection="1">
      <alignment horizontal="center" vertical="center" wrapText="1"/>
    </xf>
    <xf numFmtId="0" fontId="5" fillId="23" borderId="11" xfId="20" applyFont="1" applyFill="1" applyBorder="1" applyAlignment="1" applyProtection="1">
      <alignment horizontal="center" vertical="center" wrapText="1"/>
    </xf>
    <xf numFmtId="0" fontId="48" fillId="0" borderId="83" xfId="28" applyFont="1" applyBorder="1" applyAlignment="1" applyProtection="1">
      <alignment horizontal="left" wrapText="1"/>
    </xf>
    <xf numFmtId="0" fontId="29" fillId="0" borderId="85" xfId="28" applyNumberFormat="1" applyFont="1" applyBorder="1" applyAlignment="1" applyProtection="1">
      <alignment horizontal="left" wrapText="1"/>
    </xf>
    <xf numFmtId="14" fontId="29" fillId="0" borderId="85" xfId="28" applyNumberFormat="1" applyFont="1" applyBorder="1" applyAlignment="1" applyProtection="1">
      <alignment horizontal="left" wrapText="1"/>
    </xf>
    <xf numFmtId="0" fontId="48" fillId="0" borderId="85" xfId="28" applyFont="1" applyBorder="1" applyAlignment="1" applyProtection="1">
      <alignment horizontal="left" wrapText="1"/>
    </xf>
    <xf numFmtId="14" fontId="29" fillId="0" borderId="89" xfId="28" applyNumberFormat="1" applyFont="1" applyBorder="1" applyAlignment="1" applyProtection="1">
      <alignment horizontal="left" wrapText="1"/>
    </xf>
    <xf numFmtId="0" fontId="33" fillId="29" borderId="264" xfId="25" applyFont="1" applyFill="1" applyBorder="1" applyAlignment="1" applyProtection="1">
      <alignment horizontal="center" vertical="center"/>
    </xf>
    <xf numFmtId="0" fontId="33" fillId="29" borderId="181" xfId="25" applyFont="1" applyFill="1" applyBorder="1" applyAlignment="1" applyProtection="1">
      <alignment horizontal="center" vertical="center"/>
    </xf>
    <xf numFmtId="0" fontId="3" fillId="0" borderId="283" xfId="0" applyFont="1" applyBorder="1" applyAlignment="1" applyProtection="1">
      <alignment horizontal="center" vertical="center"/>
    </xf>
    <xf numFmtId="0" fontId="3" fillId="0" borderId="271" xfId="0" applyFont="1" applyBorder="1" applyAlignment="1" applyProtection="1">
      <alignment horizontal="center" vertical="center"/>
    </xf>
    <xf numFmtId="0" fontId="3" fillId="0" borderId="289" xfId="0" applyFont="1" applyBorder="1" applyAlignment="1" applyProtection="1">
      <alignment horizontal="center" vertical="center"/>
    </xf>
    <xf numFmtId="0" fontId="3" fillId="0" borderId="293" xfId="0" applyFont="1" applyBorder="1" applyAlignment="1" applyProtection="1">
      <alignment horizontal="center" vertical="center"/>
    </xf>
    <xf numFmtId="0" fontId="0" fillId="0" borderId="282" xfId="0" applyBorder="1" applyProtection="1"/>
    <xf numFmtId="0" fontId="3" fillId="0" borderId="287" xfId="0" applyFont="1" applyBorder="1" applyAlignment="1" applyProtection="1">
      <alignment horizontal="center" vertical="center"/>
    </xf>
    <xf numFmtId="0" fontId="0" fillId="0" borderId="282" xfId="0" applyBorder="1" applyAlignment="1" applyProtection="1">
      <alignment wrapText="1"/>
    </xf>
    <xf numFmtId="0" fontId="0" fillId="0" borderId="285" xfId="0" applyBorder="1" applyAlignment="1" applyProtection="1">
      <alignment wrapText="1"/>
    </xf>
    <xf numFmtId="0" fontId="29" fillId="0" borderId="85" xfId="28" applyNumberFormat="1" applyFont="1" applyFill="1" applyBorder="1" applyAlignment="1">
      <alignment horizontal="left" vertical="center" wrapText="1"/>
    </xf>
    <xf numFmtId="14" fontId="29" fillId="0" borderId="85" xfId="28" applyNumberFormat="1" applyFont="1" applyFill="1" applyBorder="1" applyAlignment="1">
      <alignment horizontal="left" vertical="center" wrapText="1"/>
    </xf>
    <xf numFmtId="0" fontId="29" fillId="0" borderId="85" xfId="28" applyNumberFormat="1" applyFont="1" applyFill="1" applyBorder="1" applyAlignment="1" applyProtection="1">
      <alignment horizontal="left" vertical="center" wrapText="1"/>
    </xf>
    <xf numFmtId="14" fontId="29" fillId="0" borderId="85" xfId="28" applyNumberFormat="1" applyFont="1" applyFill="1" applyBorder="1" applyAlignment="1" applyProtection="1">
      <alignment horizontal="left" vertical="center" wrapText="1"/>
    </xf>
    <xf numFmtId="0" fontId="0" fillId="0" borderId="0" xfId="0" applyProtection="1">
      <protection locked="0"/>
    </xf>
    <xf numFmtId="0" fontId="45" fillId="0" borderId="1" xfId="0" applyNumberFormat="1" applyFont="1" applyBorder="1" applyAlignment="1" applyProtection="1">
      <alignment horizontal="center" vertical="center"/>
    </xf>
    <xf numFmtId="0" fontId="36" fillId="0" borderId="44" xfId="0" applyNumberFormat="1" applyFont="1" applyBorder="1" applyAlignment="1" applyProtection="1">
      <alignment horizontal="left" vertical="top" wrapText="1"/>
    </xf>
    <xf numFmtId="0" fontId="0" fillId="0" borderId="44" xfId="0" applyNumberFormat="1" applyBorder="1" applyAlignment="1" applyProtection="1">
      <alignment horizontal="left" vertical="top" wrapText="1"/>
    </xf>
    <xf numFmtId="0" fontId="36" fillId="0" borderId="234" xfId="0" applyNumberFormat="1" applyFont="1" applyBorder="1" applyAlignment="1" applyProtection="1">
      <alignment horizontal="left" vertical="top" wrapText="1"/>
    </xf>
    <xf numFmtId="0" fontId="45" fillId="0" borderId="1" xfId="0" applyNumberFormat="1" applyFont="1" applyBorder="1" applyAlignment="1" applyProtection="1">
      <alignment horizontal="center" vertical="center"/>
    </xf>
    <xf numFmtId="0" fontId="36" fillId="0" borderId="44" xfId="0" applyNumberFormat="1" applyFont="1" applyBorder="1" applyAlignment="1" applyProtection="1">
      <alignment horizontal="left" vertical="top" wrapText="1"/>
    </xf>
    <xf numFmtId="0" fontId="0" fillId="0" borderId="44" xfId="0" applyNumberFormat="1" applyBorder="1" applyAlignment="1" applyProtection="1">
      <alignment horizontal="left" vertical="top" wrapText="1"/>
    </xf>
    <xf numFmtId="0" fontId="36" fillId="0" borderId="234" xfId="0" applyNumberFormat="1" applyFont="1" applyBorder="1" applyAlignment="1" applyProtection="1">
      <alignment horizontal="left" vertical="top" wrapText="1"/>
    </xf>
    <xf numFmtId="166" fontId="8" fillId="25" borderId="61" xfId="20" applyNumberFormat="1" applyFont="1" applyFill="1" applyBorder="1" applyAlignment="1" applyProtection="1">
      <alignment horizontal="center" vertical="center" wrapText="1"/>
    </xf>
    <xf numFmtId="0" fontId="45" fillId="0" borderId="1" xfId="0" applyNumberFormat="1" applyFont="1" applyBorder="1" applyAlignment="1" applyProtection="1">
      <alignment vertical="center"/>
    </xf>
    <xf numFmtId="171" fontId="5" fillId="31" borderId="329" xfId="20" applyNumberFormat="1" applyFont="1" applyFill="1" applyBorder="1" applyAlignment="1" applyProtection="1">
      <alignment horizontal="center" vertical="center"/>
      <protection locked="0"/>
    </xf>
    <xf numFmtId="171" fontId="5" fillId="31" borderId="64" xfId="20" applyNumberFormat="1" applyFont="1" applyFill="1" applyBorder="1" applyAlignment="1" applyProtection="1">
      <alignment horizontal="center" vertical="center"/>
      <protection locked="0"/>
    </xf>
    <xf numFmtId="0" fontId="45" fillId="0" borderId="329" xfId="0" applyNumberFormat="1" applyFont="1" applyBorder="1" applyAlignment="1" applyProtection="1">
      <alignment horizontal="center" vertical="center"/>
    </xf>
    <xf numFmtId="0" fontId="55" fillId="0" borderId="70" xfId="0" applyNumberFormat="1" applyFont="1" applyBorder="1" applyAlignment="1" applyProtection="1">
      <alignment horizontal="left" vertical="center" wrapText="1"/>
    </xf>
    <xf numFmtId="0" fontId="56" fillId="0" borderId="70" xfId="0" applyNumberFormat="1" applyFont="1" applyBorder="1" applyAlignment="1" applyProtection="1">
      <alignment horizontal="left" vertical="center" wrapText="1"/>
    </xf>
    <xf numFmtId="171" fontId="5" fillId="31" borderId="1" xfId="20" applyNumberFormat="1" applyFont="1" applyFill="1" applyBorder="1" applyAlignment="1" applyProtection="1">
      <alignment horizontal="center" vertical="center"/>
      <protection locked="0"/>
    </xf>
    <xf numFmtId="171" fontId="8" fillId="0" borderId="20" xfId="20" applyNumberFormat="1" applyFont="1" applyFill="1" applyBorder="1" applyAlignment="1" applyProtection="1">
      <alignment horizontal="center" vertical="center"/>
    </xf>
    <xf numFmtId="0" fontId="33" fillId="0" borderId="20" xfId="0" applyFont="1" applyFill="1" applyBorder="1" applyAlignment="1" applyProtection="1">
      <alignment horizontal="center" vertical="center" wrapText="1"/>
    </xf>
    <xf numFmtId="0" fontId="0" fillId="0" borderId="234" xfId="0" applyNumberFormat="1" applyBorder="1" applyAlignment="1" applyProtection="1">
      <alignment horizontal="left" vertical="top" wrapText="1"/>
    </xf>
    <xf numFmtId="0" fontId="45" fillId="0" borderId="70" xfId="0" applyNumberFormat="1" applyFont="1" applyBorder="1" applyAlignment="1" applyProtection="1">
      <alignment horizontal="left" vertical="top" wrapText="1"/>
    </xf>
    <xf numFmtId="0" fontId="3" fillId="0" borderId="20" xfId="0" applyNumberFormat="1" applyFont="1" applyFill="1" applyBorder="1" applyAlignment="1" applyProtection="1">
      <alignment horizontal="center"/>
    </xf>
    <xf numFmtId="171" fontId="5" fillId="31" borderId="11" xfId="20" applyNumberFormat="1" applyFont="1" applyFill="1" applyBorder="1" applyAlignment="1" applyProtection="1">
      <alignment horizontal="center" vertical="center"/>
      <protection locked="0"/>
    </xf>
    <xf numFmtId="0" fontId="5" fillId="23" borderId="1" xfId="20" applyNumberFormat="1" applyFont="1" applyFill="1" applyBorder="1" applyAlignment="1" applyProtection="1">
      <alignment horizontal="center" vertical="center"/>
      <protection locked="0"/>
    </xf>
    <xf numFmtId="0" fontId="5" fillId="23" borderId="11" xfId="20" applyNumberFormat="1" applyFont="1" applyFill="1" applyBorder="1" applyAlignment="1" applyProtection="1">
      <alignment horizontal="center" vertical="center"/>
      <protection locked="0"/>
    </xf>
    <xf numFmtId="0" fontId="36" fillId="0" borderId="70" xfId="0" applyNumberFormat="1" applyFont="1" applyBorder="1" applyAlignment="1" applyProtection="1">
      <alignment horizontal="left" vertical="center" wrapText="1"/>
    </xf>
    <xf numFmtId="0" fontId="3" fillId="23" borderId="1" xfId="0" applyNumberFormat="1" applyFont="1" applyFill="1" applyBorder="1" applyAlignment="1" applyProtection="1">
      <alignment horizontal="center"/>
      <protection locked="0"/>
    </xf>
    <xf numFmtId="0" fontId="3" fillId="23" borderId="11" xfId="0" applyNumberFormat="1" applyFont="1" applyFill="1" applyBorder="1" applyAlignment="1" applyProtection="1">
      <alignment horizontal="center"/>
      <protection locked="0"/>
    </xf>
    <xf numFmtId="0" fontId="4" fillId="23" borderId="1" xfId="0" applyNumberFormat="1" applyFont="1" applyFill="1" applyBorder="1" applyAlignment="1" applyProtection="1">
      <alignment horizontal="left" vertical="center" wrapText="1"/>
      <protection locked="0"/>
    </xf>
    <xf numFmtId="0" fontId="5" fillId="23" borderId="64" xfId="0" applyNumberFormat="1" applyFont="1" applyFill="1" applyBorder="1" applyAlignment="1" applyProtection="1">
      <alignment horizontal="center"/>
      <protection locked="0"/>
    </xf>
    <xf numFmtId="0" fontId="3" fillId="23" borderId="64" xfId="0" applyNumberFormat="1" applyFont="1" applyFill="1" applyBorder="1" applyAlignment="1" applyProtection="1">
      <alignment horizontal="center"/>
      <protection locked="0"/>
    </xf>
    <xf numFmtId="0" fontId="5" fillId="0" borderId="331" xfId="28" applyFont="1" applyFill="1" applyBorder="1" applyAlignment="1" applyProtection="1">
      <alignment vertical="center"/>
    </xf>
    <xf numFmtId="0" fontId="17" fillId="0" borderId="332" xfId="16" applyFont="1" applyBorder="1" applyAlignment="1" applyProtection="1">
      <alignment vertical="center"/>
      <protection locked="0"/>
    </xf>
    <xf numFmtId="0" fontId="5" fillId="0" borderId="333" xfId="28" applyFont="1" applyFill="1" applyBorder="1" applyAlignment="1" applyProtection="1">
      <alignment vertical="center"/>
    </xf>
    <xf numFmtId="0" fontId="47" fillId="0" borderId="297" xfId="16" applyFont="1" applyBorder="1" applyAlignment="1" applyProtection="1">
      <alignment vertical="center"/>
      <protection locked="0"/>
    </xf>
    <xf numFmtId="0" fontId="17" fillId="0" borderId="297" xfId="16" applyFont="1" applyBorder="1" applyAlignment="1" applyProtection="1">
      <alignment vertical="center"/>
      <protection locked="0"/>
    </xf>
    <xf numFmtId="0" fontId="5" fillId="0" borderId="297" xfId="16" applyFont="1" applyBorder="1" applyAlignment="1" applyProtection="1">
      <alignment vertical="center"/>
    </xf>
    <xf numFmtId="0" fontId="5" fillId="0" borderId="334" xfId="28" applyFont="1" applyFill="1" applyBorder="1" applyAlignment="1" applyProtection="1">
      <alignment vertical="center"/>
    </xf>
    <xf numFmtId="0" fontId="47" fillId="0" borderId="335" xfId="16" applyFont="1" applyBorder="1" applyAlignment="1" applyProtection="1">
      <alignment vertical="center"/>
      <protection locked="0"/>
    </xf>
    <xf numFmtId="2" fontId="5" fillId="23" borderId="11" xfId="0" applyNumberFormat="1" applyFont="1" applyFill="1" applyBorder="1" applyAlignment="1" applyProtection="1">
      <alignment horizontal="center" vertical="center"/>
      <protection locked="0"/>
    </xf>
    <xf numFmtId="0" fontId="13" fillId="19" borderId="30" xfId="15" applyFont="1" applyBorder="1" applyAlignment="1">
      <alignment horizontal="left" vertical="center"/>
    </xf>
    <xf numFmtId="0" fontId="13" fillId="19" borderId="31" xfId="15" applyFont="1" applyBorder="1" applyAlignment="1">
      <alignment horizontal="left" vertical="center"/>
    </xf>
    <xf numFmtId="0" fontId="45" fillId="24" borderId="30" xfId="0" applyFont="1" applyFill="1" applyBorder="1" applyAlignment="1">
      <alignment horizontal="center"/>
    </xf>
    <xf numFmtId="0" fontId="45" fillId="24" borderId="31" xfId="0" applyFont="1" applyFill="1" applyBorder="1" applyAlignment="1">
      <alignment horizontal="center"/>
    </xf>
    <xf numFmtId="0" fontId="45" fillId="24" borderId="77" xfId="0" applyFont="1" applyFill="1" applyBorder="1" applyAlignment="1">
      <alignment horizontal="center" vertical="center"/>
    </xf>
    <xf numFmtId="0" fontId="45" fillId="24" borderId="93" xfId="0" applyFont="1" applyFill="1" applyBorder="1" applyAlignment="1">
      <alignment horizontal="center" vertical="center"/>
    </xf>
    <xf numFmtId="0" fontId="45" fillId="24" borderId="104" xfId="0" applyFont="1" applyFill="1" applyBorder="1" applyAlignment="1">
      <alignment horizontal="center" vertical="center"/>
    </xf>
    <xf numFmtId="0" fontId="45" fillId="24" borderId="78" xfId="0" applyFont="1" applyFill="1" applyBorder="1" applyAlignment="1">
      <alignment horizontal="center" vertical="center"/>
    </xf>
    <xf numFmtId="0" fontId="47" fillId="0" borderId="30" xfId="16" applyNumberFormat="1" applyFont="1" applyBorder="1" applyAlignment="1" applyProtection="1">
      <alignment horizontal="left" vertical="center"/>
      <protection locked="0"/>
    </xf>
    <xf numFmtId="0" fontId="47" fillId="0" borderId="31" xfId="16" applyNumberFormat="1" applyFont="1" applyBorder="1" applyAlignment="1" applyProtection="1">
      <alignment horizontal="left" vertical="center"/>
      <protection locked="0"/>
    </xf>
    <xf numFmtId="0" fontId="5" fillId="0" borderId="303" xfId="28" applyFont="1" applyFill="1" applyBorder="1" applyAlignment="1" applyProtection="1">
      <alignment vertical="center" wrapText="1"/>
    </xf>
    <xf numFmtId="0" fontId="5" fillId="0" borderId="304" xfId="28" applyFont="1" applyFill="1" applyBorder="1" applyAlignment="1" applyProtection="1">
      <alignment vertical="center" wrapText="1"/>
    </xf>
    <xf numFmtId="0" fontId="5" fillId="10" borderId="18" xfId="15" applyFont="1" applyFill="1" applyBorder="1" applyAlignment="1">
      <alignment horizontal="left" vertical="center" wrapText="1"/>
    </xf>
    <xf numFmtId="0" fontId="5" fillId="10" borderId="25" xfId="15" applyFont="1" applyFill="1" applyBorder="1" applyAlignment="1">
      <alignment horizontal="left" vertical="center" wrapText="1"/>
    </xf>
    <xf numFmtId="0" fontId="5" fillId="10" borderId="42" xfId="15" applyFont="1" applyFill="1" applyBorder="1" applyAlignment="1">
      <alignment horizontal="left" vertical="center" wrapText="1"/>
    </xf>
    <xf numFmtId="0" fontId="5" fillId="10" borderId="46" xfId="15" applyFont="1" applyFill="1" applyBorder="1" applyAlignment="1">
      <alignment horizontal="left" vertical="center" wrapText="1"/>
    </xf>
    <xf numFmtId="0" fontId="5" fillId="10" borderId="22" xfId="15" applyFont="1" applyFill="1" applyBorder="1" applyAlignment="1">
      <alignment horizontal="left" vertical="center" wrapText="1"/>
    </xf>
    <xf numFmtId="0" fontId="5" fillId="10" borderId="53" xfId="15" applyFont="1" applyFill="1" applyBorder="1" applyAlignment="1">
      <alignment horizontal="left" vertical="center" wrapText="1"/>
    </xf>
    <xf numFmtId="0" fontId="5" fillId="10" borderId="18" xfId="15" applyFont="1" applyFill="1" applyBorder="1" applyAlignment="1" applyProtection="1">
      <alignment horizontal="left" vertical="center" wrapText="1"/>
    </xf>
    <xf numFmtId="0" fontId="5" fillId="10" borderId="25" xfId="15" applyFont="1" applyFill="1" applyBorder="1" applyAlignment="1" applyProtection="1">
      <alignment horizontal="left" vertical="center" wrapText="1"/>
    </xf>
    <xf numFmtId="0" fontId="5" fillId="10" borderId="22" xfId="15" applyFont="1" applyFill="1" applyBorder="1" applyAlignment="1" applyProtection="1">
      <alignment horizontal="left" vertical="center" wrapText="1"/>
    </xf>
    <xf numFmtId="0" fontId="5" fillId="10" borderId="53" xfId="15" applyFont="1" applyFill="1" applyBorder="1" applyAlignment="1" applyProtection="1">
      <alignment horizontal="left" vertical="center" wrapText="1"/>
    </xf>
    <xf numFmtId="0" fontId="18" fillId="9" borderId="9" xfId="15" applyFont="1" applyFill="1" applyBorder="1" applyAlignment="1">
      <alignment horizontal="center" vertical="center"/>
    </xf>
    <xf numFmtId="0" fontId="18" fillId="9" borderId="5" xfId="15" applyFont="1" applyFill="1" applyBorder="1" applyAlignment="1">
      <alignment horizontal="center" vertical="center"/>
    </xf>
    <xf numFmtId="0" fontId="18" fillId="9" borderId="8" xfId="15" applyFont="1" applyFill="1" applyBorder="1" applyAlignment="1">
      <alignment horizontal="center" vertical="center"/>
    </xf>
    <xf numFmtId="0" fontId="18" fillId="9" borderId="7" xfId="15" applyFont="1" applyFill="1" applyBorder="1" applyAlignment="1">
      <alignment horizontal="center" vertical="center"/>
    </xf>
    <xf numFmtId="0" fontId="3" fillId="0" borderId="0" xfId="0" applyFont="1" applyFill="1" applyBorder="1" applyAlignment="1">
      <alignment horizontal="center" vertical="center" wrapText="1"/>
    </xf>
    <xf numFmtId="0" fontId="13" fillId="19" borderId="30" xfId="15" applyFont="1" applyBorder="1" applyAlignment="1">
      <alignment horizontal="left" vertical="center" wrapText="1"/>
    </xf>
    <xf numFmtId="0" fontId="13" fillId="19" borderId="31" xfId="15" applyFont="1" applyBorder="1" applyAlignment="1">
      <alignment horizontal="left" vertical="center" wrapText="1"/>
    </xf>
    <xf numFmtId="0" fontId="3" fillId="0" borderId="0" xfId="24" applyFont="1" applyFill="1" applyBorder="1" applyAlignment="1" applyProtection="1">
      <alignment horizontal="left"/>
    </xf>
    <xf numFmtId="0" fontId="12" fillId="11" borderId="18" xfId="15" applyFont="1" applyFill="1" applyBorder="1" applyAlignment="1" applyProtection="1">
      <alignment horizontal="left" vertical="center" wrapText="1"/>
    </xf>
    <xf numFmtId="0" fontId="12" fillId="11" borderId="17" xfId="15" applyFont="1" applyFill="1" applyBorder="1" applyAlignment="1" applyProtection="1">
      <alignment horizontal="left" vertical="center" wrapText="1"/>
    </xf>
    <xf numFmtId="0" fontId="12" fillId="11" borderId="25" xfId="15" applyFont="1" applyFill="1" applyBorder="1" applyAlignment="1" applyProtection="1">
      <alignment horizontal="left" vertical="center" wrapText="1"/>
    </xf>
    <xf numFmtId="0" fontId="12" fillId="11" borderId="42" xfId="15" applyFont="1" applyFill="1" applyBorder="1" applyAlignment="1" applyProtection="1">
      <alignment horizontal="left" vertical="center" wrapText="1"/>
    </xf>
    <xf numFmtId="0" fontId="12" fillId="11" borderId="0" xfId="15" applyFont="1" applyFill="1" applyBorder="1" applyAlignment="1" applyProtection="1">
      <alignment horizontal="left" vertical="center" wrapText="1"/>
    </xf>
    <xf numFmtId="0" fontId="12" fillId="11" borderId="46" xfId="15" applyFont="1" applyFill="1" applyBorder="1" applyAlignment="1" applyProtection="1">
      <alignment horizontal="left" vertical="center" wrapText="1"/>
    </xf>
    <xf numFmtId="0" fontId="7" fillId="0" borderId="70" xfId="24" applyFont="1" applyBorder="1" applyAlignment="1" applyProtection="1">
      <alignment horizontal="center"/>
    </xf>
    <xf numFmtId="0" fontId="7" fillId="0" borderId="48" xfId="24" applyFont="1" applyBorder="1" applyAlignment="1" applyProtection="1">
      <alignment horizontal="center"/>
    </xf>
    <xf numFmtId="0" fontId="3" fillId="0" borderId="70" xfId="24" applyFont="1" applyBorder="1" applyAlignment="1" applyProtection="1">
      <alignment horizontal="left"/>
    </xf>
    <xf numFmtId="0" fontId="3" fillId="0" borderId="48" xfId="24" applyFont="1" applyBorder="1" applyAlignment="1" applyProtection="1">
      <alignment horizontal="left"/>
    </xf>
    <xf numFmtId="0" fontId="3" fillId="0" borderId="68" xfId="24" applyFont="1" applyBorder="1" applyAlignment="1" applyProtection="1">
      <alignment horizontal="left"/>
    </xf>
    <xf numFmtId="0" fontId="3" fillId="0" borderId="69" xfId="24" applyFont="1" applyBorder="1" applyAlignment="1" applyProtection="1">
      <alignment horizontal="left"/>
    </xf>
    <xf numFmtId="0" fontId="12" fillId="19" borderId="30" xfId="15" applyFont="1" applyBorder="1" applyAlignment="1" applyProtection="1">
      <alignment horizontal="left" vertical="center"/>
    </xf>
    <xf numFmtId="0" fontId="12" fillId="19" borderId="43" xfId="15" applyFont="1" applyBorder="1" applyAlignment="1" applyProtection="1">
      <alignment horizontal="left" vertical="center"/>
    </xf>
    <xf numFmtId="0" fontId="12" fillId="19" borderId="31" xfId="15" applyFont="1" applyBorder="1" applyAlignment="1" applyProtection="1">
      <alignment horizontal="left" vertical="center"/>
    </xf>
    <xf numFmtId="0" fontId="3" fillId="0" borderId="101" xfId="0" applyFont="1" applyFill="1" applyBorder="1" applyAlignment="1" applyProtection="1">
      <alignment horizontal="center" vertical="center" wrapText="1"/>
    </xf>
    <xf numFmtId="0" fontId="3" fillId="0" borderId="259" xfId="0" applyFont="1" applyFill="1" applyBorder="1" applyAlignment="1" applyProtection="1">
      <alignment horizontal="center" vertical="center" wrapText="1"/>
    </xf>
    <xf numFmtId="0" fontId="3" fillId="0" borderId="92"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265" xfId="0" applyFont="1" applyFill="1" applyBorder="1" applyAlignment="1" applyProtection="1">
      <alignment horizontal="center" vertical="center" wrapText="1"/>
    </xf>
    <xf numFmtId="0" fontId="3" fillId="0" borderId="9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19" borderId="30" xfId="15" applyFont="1" applyBorder="1" applyAlignment="1" applyProtection="1">
      <alignment horizontal="left" vertical="center" wrapText="1"/>
    </xf>
    <xf numFmtId="0" fontId="13" fillId="19" borderId="31" xfId="15" applyFont="1" applyBorder="1" applyAlignment="1" applyProtection="1">
      <alignment horizontal="left" vertical="center" wrapText="1"/>
    </xf>
    <xf numFmtId="0" fontId="3" fillId="5" borderId="18" xfId="25" applyFont="1" applyFill="1" applyBorder="1" applyAlignment="1" applyProtection="1">
      <alignment horizontal="left" vertical="top" wrapText="1"/>
      <protection locked="0"/>
    </xf>
    <xf numFmtId="0" fontId="3" fillId="5" borderId="17" xfId="25" applyFont="1" applyFill="1" applyBorder="1" applyAlignment="1" applyProtection="1">
      <alignment horizontal="left" vertical="top" wrapText="1"/>
      <protection locked="0"/>
    </xf>
    <xf numFmtId="0" fontId="3" fillId="5" borderId="25" xfId="25" applyFont="1" applyFill="1" applyBorder="1" applyAlignment="1" applyProtection="1">
      <alignment horizontal="left" vertical="top" wrapText="1"/>
      <protection locked="0"/>
    </xf>
    <xf numFmtId="0" fontId="3" fillId="5" borderId="42" xfId="25" applyFont="1" applyFill="1" applyBorder="1" applyAlignment="1" applyProtection="1">
      <alignment horizontal="left" vertical="top" wrapText="1"/>
      <protection locked="0"/>
    </xf>
    <xf numFmtId="0" fontId="3" fillId="5" borderId="0" xfId="25" applyFont="1" applyFill="1" applyBorder="1" applyAlignment="1" applyProtection="1">
      <alignment horizontal="left" vertical="top" wrapText="1"/>
      <protection locked="0"/>
    </xf>
    <xf numFmtId="0" fontId="3" fillId="5" borderId="46" xfId="25" applyFont="1" applyFill="1" applyBorder="1" applyAlignment="1" applyProtection="1">
      <alignment horizontal="left" vertical="top" wrapText="1"/>
      <protection locked="0"/>
    </xf>
    <xf numFmtId="0" fontId="3" fillId="5" borderId="22" xfId="25" applyFont="1" applyFill="1" applyBorder="1" applyAlignment="1" applyProtection="1">
      <alignment horizontal="left" vertical="top" wrapText="1"/>
      <protection locked="0"/>
    </xf>
    <xf numFmtId="0" fontId="3" fillId="5" borderId="20" xfId="25" applyFont="1" applyFill="1" applyBorder="1" applyAlignment="1" applyProtection="1">
      <alignment horizontal="left" vertical="top" wrapText="1"/>
      <protection locked="0"/>
    </xf>
    <xf numFmtId="0" fontId="3" fillId="5" borderId="53" xfId="25" applyFont="1" applyFill="1" applyBorder="1" applyAlignment="1" applyProtection="1">
      <alignment horizontal="left" vertical="top" wrapText="1"/>
      <protection locked="0"/>
    </xf>
    <xf numFmtId="0" fontId="45" fillId="0" borderId="14" xfId="24" applyFont="1" applyBorder="1" applyAlignment="1" applyProtection="1">
      <alignment horizontal="center" vertical="center" wrapText="1"/>
    </xf>
    <xf numFmtId="0" fontId="45" fillId="0" borderId="1" xfId="24" applyFont="1" applyBorder="1" applyAlignment="1" applyProtection="1">
      <alignment horizontal="center" vertical="center" wrapText="1"/>
    </xf>
    <xf numFmtId="0" fontId="7" fillId="0" borderId="15" xfId="28" applyFont="1" applyFill="1" applyBorder="1" applyAlignment="1" applyProtection="1">
      <alignment horizontal="center" vertical="center" wrapText="1"/>
    </xf>
    <xf numFmtId="0" fontId="7" fillId="0" borderId="10" xfId="28" applyFont="1" applyFill="1" applyBorder="1" applyAlignment="1" applyProtection="1">
      <alignment horizontal="center" vertical="center" wrapText="1"/>
    </xf>
    <xf numFmtId="0" fontId="7" fillId="0" borderId="14" xfId="28" applyFont="1" applyFill="1" applyBorder="1" applyAlignment="1" applyProtection="1">
      <alignment horizontal="center" vertical="center" wrapText="1"/>
    </xf>
    <xf numFmtId="0" fontId="7" fillId="0" borderId="1" xfId="28" applyFont="1" applyFill="1" applyBorder="1" applyAlignment="1" applyProtection="1">
      <alignment horizontal="center" vertical="center" wrapText="1"/>
    </xf>
    <xf numFmtId="0" fontId="7" fillId="0" borderId="13" xfId="28" applyFont="1" applyBorder="1" applyAlignment="1" applyProtection="1">
      <alignment horizontal="center" vertical="center" wrapText="1"/>
    </xf>
    <xf numFmtId="0" fontId="7" fillId="0" borderId="3" xfId="28" applyFont="1" applyBorder="1" applyAlignment="1" applyProtection="1">
      <alignment horizontal="center" vertical="center" wrapText="1"/>
    </xf>
    <xf numFmtId="0" fontId="7" fillId="0" borderId="1" xfId="28" applyFont="1" applyBorder="1" applyAlignment="1" applyProtection="1">
      <alignment horizontal="center" vertical="center" wrapText="1"/>
    </xf>
    <xf numFmtId="0" fontId="7" fillId="0" borderId="14" xfId="28" applyFont="1" applyBorder="1" applyAlignment="1" applyProtection="1">
      <alignment horizontal="center" vertical="center" wrapText="1"/>
    </xf>
    <xf numFmtId="0" fontId="12" fillId="0" borderId="70" xfId="15" applyNumberFormat="1" applyFont="1" applyFill="1" applyBorder="1" applyAlignment="1" applyProtection="1">
      <alignment horizontal="left" vertical="top" wrapText="1"/>
    </xf>
    <xf numFmtId="0" fontId="12" fillId="0" borderId="65" xfId="15" applyNumberFormat="1" applyFont="1" applyFill="1" applyBorder="1" applyAlignment="1" applyProtection="1">
      <alignment horizontal="left" vertical="top" wrapText="1"/>
    </xf>
    <xf numFmtId="0" fontId="12" fillId="0" borderId="44" xfId="15" applyNumberFormat="1" applyFont="1" applyFill="1" applyBorder="1" applyAlignment="1" applyProtection="1">
      <alignment horizontal="left" vertical="top" wrapText="1"/>
    </xf>
    <xf numFmtId="0" fontId="3" fillId="0" borderId="124" xfId="25" applyNumberFormat="1" applyFont="1" applyBorder="1" applyAlignment="1" applyProtection="1">
      <alignment horizontal="left" vertical="top"/>
    </xf>
    <xf numFmtId="0" fontId="3" fillId="0" borderId="125" xfId="25" applyNumberFormat="1" applyFont="1" applyBorder="1" applyAlignment="1" applyProtection="1">
      <alignment horizontal="left" vertical="top"/>
    </xf>
    <xf numFmtId="0" fontId="3" fillId="0" borderId="42" xfId="25" applyNumberFormat="1" applyFont="1" applyBorder="1" applyAlignment="1" applyProtection="1">
      <alignment horizontal="left" vertical="top"/>
    </xf>
    <xf numFmtId="0" fontId="3" fillId="0" borderId="0" xfId="25" applyNumberFormat="1" applyFont="1" applyBorder="1" applyAlignment="1" applyProtection="1">
      <alignment horizontal="left" vertical="top"/>
    </xf>
    <xf numFmtId="0" fontId="3" fillId="0" borderId="121" xfId="25" applyNumberFormat="1" applyFont="1" applyBorder="1" applyAlignment="1" applyProtection="1">
      <alignment horizontal="left" vertical="top"/>
    </xf>
    <xf numFmtId="0" fontId="3" fillId="0" borderId="122" xfId="25" applyNumberFormat="1" applyFont="1" applyBorder="1" applyAlignment="1" applyProtection="1">
      <alignment horizontal="left" vertical="top"/>
    </xf>
    <xf numFmtId="0" fontId="3" fillId="0" borderId="66" xfId="25" applyNumberFormat="1" applyFont="1" applyBorder="1" applyAlignment="1" applyProtection="1">
      <alignment horizontal="left" vertical="top"/>
    </xf>
    <xf numFmtId="0" fontId="3" fillId="0" borderId="71" xfId="25" applyNumberFormat="1" applyFont="1" applyBorder="1" applyAlignment="1" applyProtection="1">
      <alignment horizontal="left" vertical="top"/>
    </xf>
    <xf numFmtId="0" fontId="3" fillId="0" borderId="246" xfId="25" applyNumberFormat="1" applyFont="1" applyBorder="1" applyAlignment="1" applyProtection="1">
      <alignment vertical="center"/>
    </xf>
    <xf numFmtId="0" fontId="3" fillId="0" borderId="235" xfId="25" applyNumberFormat="1" applyFont="1" applyBorder="1" applyAlignment="1" applyProtection="1">
      <alignment vertical="center"/>
    </xf>
    <xf numFmtId="0" fontId="3" fillId="0" borderId="22" xfId="25" applyNumberFormat="1" applyFont="1" applyBorder="1" applyAlignment="1" applyProtection="1">
      <alignment vertical="center"/>
    </xf>
    <xf numFmtId="0" fontId="0" fillId="0" borderId="96" xfId="0" applyBorder="1" applyAlignment="1">
      <alignment vertical="center"/>
    </xf>
    <xf numFmtId="0" fontId="36" fillId="0" borderId="261" xfId="0" applyNumberFormat="1" applyFont="1" applyBorder="1" applyAlignment="1" applyProtection="1">
      <alignment horizontal="left" vertical="top"/>
    </xf>
    <xf numFmtId="0" fontId="36" fillId="0" borderId="239" xfId="0" applyNumberFormat="1" applyFont="1" applyBorder="1" applyAlignment="1" applyProtection="1">
      <alignment horizontal="left" vertical="top"/>
    </xf>
    <xf numFmtId="0" fontId="4" fillId="0" borderId="72" xfId="25" applyNumberFormat="1" applyFont="1" applyFill="1" applyBorder="1" applyAlignment="1" applyProtection="1">
      <alignment horizontal="left" vertical="top" wrapText="1"/>
    </xf>
    <xf numFmtId="0" fontId="4" fillId="0" borderId="138" xfId="25" applyNumberFormat="1" applyFont="1" applyFill="1" applyBorder="1" applyAlignment="1" applyProtection="1">
      <alignment horizontal="left" vertical="top" wrapText="1"/>
    </xf>
    <xf numFmtId="0" fontId="4" fillId="0" borderId="117" xfId="25" applyNumberFormat="1" applyFont="1" applyFill="1" applyBorder="1" applyAlignment="1" applyProtection="1">
      <alignment horizontal="left" vertical="top" wrapText="1"/>
    </xf>
    <xf numFmtId="0" fontId="45" fillId="0" borderId="10" xfId="0" applyNumberFormat="1" applyFont="1" applyBorder="1" applyAlignment="1" applyProtection="1">
      <alignment horizontal="center" vertical="center" wrapText="1"/>
    </xf>
    <xf numFmtId="0" fontId="45" fillId="0" borderId="1" xfId="0" applyNumberFormat="1" applyFont="1" applyBorder="1" applyAlignment="1" applyProtection="1">
      <alignment horizontal="center" vertical="center"/>
    </xf>
    <xf numFmtId="0" fontId="45" fillId="0" borderId="3" xfId="0" applyNumberFormat="1" applyFont="1" applyBorder="1" applyAlignment="1" applyProtection="1">
      <alignment horizontal="center" vertical="center"/>
    </xf>
    <xf numFmtId="0" fontId="8" fillId="8" borderId="160" xfId="20" applyNumberFormat="1" applyFont="1" applyFill="1" applyBorder="1" applyAlignment="1" applyProtection="1">
      <alignment horizontal="center" vertical="center"/>
    </xf>
    <xf numFmtId="0" fontId="8" fillId="8" borderId="69" xfId="20" applyNumberFormat="1" applyFont="1" applyFill="1" applyBorder="1" applyAlignment="1" applyProtection="1">
      <alignment horizontal="center" vertical="center"/>
    </xf>
    <xf numFmtId="0" fontId="4" fillId="0" borderId="13" xfId="25" applyFont="1" applyFill="1" applyBorder="1" applyAlignment="1" applyProtection="1">
      <alignment horizontal="left" vertical="top" wrapText="1"/>
    </xf>
    <xf numFmtId="0" fontId="4" fillId="0" borderId="14" xfId="25" applyFont="1" applyFill="1" applyBorder="1" applyAlignment="1" applyProtection="1">
      <alignment horizontal="left" vertical="top" wrapText="1"/>
    </xf>
    <xf numFmtId="0" fontId="4" fillId="0" borderId="15" xfId="25" applyFont="1" applyFill="1" applyBorder="1" applyAlignment="1" applyProtection="1">
      <alignment horizontal="left" vertical="top" wrapText="1"/>
    </xf>
    <xf numFmtId="0" fontId="4" fillId="0" borderId="13" xfId="25" applyNumberFormat="1" applyFont="1" applyFill="1" applyBorder="1" applyAlignment="1" applyProtection="1">
      <alignment horizontal="left" vertical="top" wrapText="1"/>
    </xf>
    <xf numFmtId="0" fontId="4" fillId="0" borderId="14" xfId="25" applyNumberFormat="1" applyFont="1" applyFill="1" applyBorder="1" applyAlignment="1" applyProtection="1">
      <alignment horizontal="left" vertical="top"/>
    </xf>
    <xf numFmtId="0" fontId="4" fillId="0" borderId="15" xfId="25" applyNumberFormat="1" applyFont="1" applyFill="1" applyBorder="1" applyAlignment="1" applyProtection="1">
      <alignment horizontal="left" vertical="top"/>
    </xf>
    <xf numFmtId="0" fontId="12" fillId="0" borderId="39" xfId="15" applyNumberFormat="1" applyFont="1" applyFill="1" applyBorder="1" applyAlignment="1" applyProtection="1">
      <alignment horizontal="left" vertical="top" wrapText="1"/>
    </xf>
    <xf numFmtId="0" fontId="12" fillId="0" borderId="136" xfId="15" applyNumberFormat="1" applyFont="1" applyFill="1" applyBorder="1" applyAlignment="1" applyProtection="1">
      <alignment horizontal="left" vertical="top"/>
    </xf>
    <xf numFmtId="0" fontId="12" fillId="0" borderId="32" xfId="15" applyNumberFormat="1" applyFont="1" applyFill="1" applyBorder="1" applyAlignment="1" applyProtection="1">
      <alignment horizontal="left" vertical="top"/>
    </xf>
    <xf numFmtId="0" fontId="3" fillId="0" borderId="112" xfId="25" applyNumberFormat="1" applyFont="1" applyBorder="1" applyAlignment="1" applyProtection="1">
      <alignment horizontal="left" vertical="top"/>
    </xf>
    <xf numFmtId="0" fontId="3" fillId="0" borderId="204" xfId="25" applyNumberFormat="1" applyFont="1" applyBorder="1" applyAlignment="1" applyProtection="1">
      <alignment horizontal="left" vertical="top"/>
    </xf>
    <xf numFmtId="0" fontId="3" fillId="0" borderId="114" xfId="25" applyNumberFormat="1" applyFont="1" applyBorder="1" applyAlignment="1" applyProtection="1">
      <alignment horizontal="left" vertical="top"/>
    </xf>
    <xf numFmtId="0" fontId="3" fillId="0" borderId="221" xfId="25" applyNumberFormat="1" applyFont="1" applyBorder="1" applyAlignment="1" applyProtection="1">
      <alignment horizontal="left" vertical="top"/>
    </xf>
    <xf numFmtId="0" fontId="3" fillId="0" borderId="111" xfId="25" applyNumberFormat="1" applyFont="1" applyBorder="1" applyAlignment="1" applyProtection="1">
      <alignment horizontal="left" vertical="top" wrapText="1"/>
    </xf>
    <xf numFmtId="0" fontId="3" fillId="0" borderId="123" xfId="25" applyNumberFormat="1" applyFont="1" applyBorder="1" applyAlignment="1" applyProtection="1">
      <alignment horizontal="left" vertical="top"/>
    </xf>
    <xf numFmtId="0" fontId="3" fillId="0" borderId="220" xfId="25" applyNumberFormat="1" applyFont="1" applyBorder="1" applyAlignment="1" applyProtection="1">
      <alignment horizontal="left" vertical="top" wrapText="1"/>
    </xf>
    <xf numFmtId="0" fontId="3" fillId="0" borderId="217" xfId="25" applyNumberFormat="1" applyFont="1" applyBorder="1" applyAlignment="1" applyProtection="1">
      <alignment horizontal="left" vertical="top" wrapText="1"/>
    </xf>
    <xf numFmtId="0" fontId="4" fillId="0" borderId="3" xfId="25" applyNumberFormat="1" applyFont="1" applyFill="1" applyBorder="1" applyAlignment="1" applyProtection="1">
      <alignment horizontal="left" vertical="top" wrapText="1"/>
    </xf>
    <xf numFmtId="0" fontId="4" fillId="0" borderId="1" xfId="25" applyNumberFormat="1" applyFont="1" applyFill="1" applyBorder="1" applyAlignment="1" applyProtection="1">
      <alignment horizontal="left" vertical="top"/>
    </xf>
    <xf numFmtId="0" fontId="4" fillId="0" borderId="10" xfId="25" applyNumberFormat="1" applyFont="1" applyFill="1" applyBorder="1" applyAlignment="1" applyProtection="1">
      <alignment horizontal="left" vertical="top"/>
    </xf>
    <xf numFmtId="0" fontId="4" fillId="0" borderId="1" xfId="25" applyNumberFormat="1" applyFont="1" applyFill="1" applyBorder="1" applyAlignment="1" applyProtection="1">
      <alignment horizontal="left" vertical="top" wrapText="1"/>
    </xf>
    <xf numFmtId="0" fontId="4" fillId="0" borderId="10" xfId="25" applyNumberFormat="1" applyFont="1" applyFill="1" applyBorder="1" applyAlignment="1" applyProtection="1">
      <alignment horizontal="left" vertical="top" wrapText="1"/>
    </xf>
    <xf numFmtId="0" fontId="36" fillId="0" borderId="260" xfId="0" applyNumberFormat="1" applyFont="1" applyBorder="1" applyAlignment="1" applyProtection="1">
      <alignment horizontal="left" vertical="top"/>
    </xf>
    <xf numFmtId="0" fontId="36" fillId="0" borderId="256" xfId="0" applyNumberFormat="1" applyFont="1" applyBorder="1" applyAlignment="1" applyProtection="1">
      <alignment horizontal="left" vertical="top"/>
    </xf>
    <xf numFmtId="0" fontId="7" fillId="0" borderId="1" xfId="0" applyFont="1" applyBorder="1" applyAlignment="1" applyProtection="1">
      <alignment horizontal="center"/>
    </xf>
    <xf numFmtId="0" fontId="12" fillId="0" borderId="37" xfId="15" applyNumberFormat="1" applyFont="1" applyFill="1" applyBorder="1" applyAlignment="1" applyProtection="1">
      <alignment horizontal="left" vertical="top" wrapText="1"/>
    </xf>
    <xf numFmtId="0" fontId="12" fillId="0" borderId="119" xfId="15" applyNumberFormat="1" applyFont="1" applyFill="1" applyBorder="1" applyAlignment="1" applyProtection="1">
      <alignment horizontal="left" vertical="top" wrapText="1"/>
    </xf>
    <xf numFmtId="0" fontId="12" fillId="0" borderId="38" xfId="15" applyNumberFormat="1" applyFont="1" applyFill="1" applyBorder="1" applyAlignment="1" applyProtection="1">
      <alignment horizontal="left" vertical="top" wrapText="1"/>
    </xf>
    <xf numFmtId="0" fontId="12" fillId="0" borderId="68" xfId="15" applyNumberFormat="1" applyFont="1" applyFill="1" applyBorder="1" applyAlignment="1" applyProtection="1">
      <alignment horizontal="left" vertical="top" wrapText="1"/>
    </xf>
    <xf numFmtId="0" fontId="12" fillId="0" borderId="161" xfId="15" applyNumberFormat="1" applyFont="1" applyFill="1" applyBorder="1" applyAlignment="1" applyProtection="1">
      <alignment horizontal="left" vertical="top" wrapText="1"/>
    </xf>
    <xf numFmtId="0" fontId="12" fillId="0" borderId="45" xfId="15" applyNumberFormat="1" applyFont="1" applyFill="1" applyBorder="1" applyAlignment="1" applyProtection="1">
      <alignment horizontal="left" vertical="top" wrapText="1"/>
    </xf>
    <xf numFmtId="0" fontId="4" fillId="0" borderId="37" xfId="25" applyNumberFormat="1" applyFont="1" applyFill="1" applyBorder="1" applyAlignment="1" applyProtection="1">
      <alignment horizontal="left" vertical="center" wrapText="1"/>
    </xf>
    <xf numFmtId="0" fontId="4" fillId="0" borderId="119" xfId="25" applyNumberFormat="1" applyFont="1" applyFill="1" applyBorder="1" applyAlignment="1" applyProtection="1">
      <alignment horizontal="left" vertical="center" wrapText="1"/>
    </xf>
    <xf numFmtId="0" fontId="4" fillId="0" borderId="38" xfId="25" applyNumberFormat="1" applyFont="1" applyFill="1" applyBorder="1" applyAlignment="1" applyProtection="1">
      <alignment horizontal="left" vertical="center" wrapText="1"/>
    </xf>
    <xf numFmtId="0" fontId="57" fillId="0" borderId="39" xfId="15" applyNumberFormat="1" applyFont="1" applyFill="1" applyBorder="1" applyAlignment="1" applyProtection="1">
      <alignment horizontal="left" vertical="top" wrapText="1"/>
    </xf>
    <xf numFmtId="0" fontId="57" fillId="0" borderId="136" xfId="15" applyNumberFormat="1" applyFont="1" applyFill="1" applyBorder="1" applyAlignment="1" applyProtection="1">
      <alignment horizontal="left" vertical="top"/>
    </xf>
    <xf numFmtId="0" fontId="57" fillId="0" borderId="32" xfId="15" applyNumberFormat="1" applyFont="1" applyFill="1" applyBorder="1" applyAlignment="1" applyProtection="1">
      <alignment horizontal="left" vertical="top"/>
    </xf>
    <xf numFmtId="0" fontId="3" fillId="0" borderId="218" xfId="25" applyNumberFormat="1" applyFont="1" applyBorder="1" applyAlignment="1" applyProtection="1">
      <alignment horizontal="left" vertical="top" wrapText="1"/>
    </xf>
    <xf numFmtId="0" fontId="3" fillId="0" borderId="219" xfId="25" applyNumberFormat="1" applyFont="1" applyBorder="1" applyAlignment="1" applyProtection="1">
      <alignment horizontal="left" vertical="top"/>
    </xf>
    <xf numFmtId="0" fontId="12" fillId="0" borderId="62" xfId="15" applyNumberFormat="1" applyFont="1" applyFill="1" applyBorder="1" applyAlignment="1" applyProtection="1">
      <alignment horizontal="left" vertical="center" wrapText="1"/>
    </xf>
    <xf numFmtId="0" fontId="12" fillId="0" borderId="8" xfId="15" applyNumberFormat="1" applyFont="1" applyFill="1" applyBorder="1" applyAlignment="1" applyProtection="1">
      <alignment horizontal="left" vertical="center" wrapText="1"/>
    </xf>
    <xf numFmtId="0" fontId="7" fillId="0" borderId="215" xfId="0" applyNumberFormat="1" applyFont="1" applyFill="1" applyBorder="1" applyAlignment="1" applyProtection="1">
      <alignment horizontal="left" vertical="center" wrapText="1"/>
    </xf>
    <xf numFmtId="0" fontId="7" fillId="0" borderId="223" xfId="0" applyNumberFormat="1" applyFont="1" applyFill="1" applyBorder="1" applyAlignment="1" applyProtection="1">
      <alignment horizontal="left" vertical="center" wrapText="1"/>
    </xf>
    <xf numFmtId="0" fontId="12" fillId="0" borderId="210" xfId="15" applyNumberFormat="1" applyFont="1" applyFill="1" applyBorder="1" applyAlignment="1" applyProtection="1">
      <alignment horizontal="left" vertical="center" wrapText="1"/>
    </xf>
    <xf numFmtId="0" fontId="12" fillId="0" borderId="222" xfId="15" applyNumberFormat="1" applyFont="1" applyFill="1" applyBorder="1" applyAlignment="1" applyProtection="1">
      <alignment horizontal="left" vertical="center" wrapText="1"/>
    </xf>
    <xf numFmtId="0" fontId="3" fillId="0" borderId="98" xfId="25" applyNumberFormat="1" applyFont="1" applyBorder="1" applyAlignment="1" applyProtection="1">
      <alignment horizontal="left" vertical="top"/>
    </xf>
    <xf numFmtId="0" fontId="3" fillId="0" borderId="76" xfId="25" applyNumberFormat="1" applyFont="1" applyBorder="1" applyAlignment="1" applyProtection="1">
      <alignment horizontal="left" vertical="top"/>
    </xf>
    <xf numFmtId="0" fontId="7" fillId="0" borderId="1" xfId="0" applyNumberFormat="1" applyFont="1" applyBorder="1" applyAlignment="1" applyProtection="1">
      <alignment horizontal="center" vertical="center"/>
    </xf>
    <xf numFmtId="0" fontId="7" fillId="0" borderId="3" xfId="0" applyNumberFormat="1" applyFont="1" applyBorder="1" applyAlignment="1" applyProtection="1">
      <alignment horizontal="center" wrapText="1"/>
    </xf>
    <xf numFmtId="0" fontId="7" fillId="0" borderId="1" xfId="0" applyNumberFormat="1" applyFont="1" applyBorder="1" applyAlignment="1" applyProtection="1">
      <alignment horizontal="center" wrapText="1"/>
    </xf>
    <xf numFmtId="0" fontId="7" fillId="0" borderId="1" xfId="0" applyNumberFormat="1" applyFont="1" applyBorder="1" applyAlignment="1" applyProtection="1">
      <alignment horizontal="center"/>
    </xf>
    <xf numFmtId="0" fontId="12" fillId="0" borderId="5" xfId="15" applyNumberFormat="1" applyFont="1" applyFill="1" applyBorder="1" applyAlignment="1" applyProtection="1">
      <alignment horizontal="left" vertical="top" wrapText="1"/>
    </xf>
    <xf numFmtId="0" fontId="12" fillId="0" borderId="6" xfId="15" applyNumberFormat="1" applyFont="1" applyFill="1" applyBorder="1" applyAlignment="1" applyProtection="1">
      <alignment horizontal="left" vertical="top"/>
    </xf>
    <xf numFmtId="0" fontId="12" fillId="0" borderId="7" xfId="15" applyNumberFormat="1" applyFont="1" applyFill="1" applyBorder="1" applyAlignment="1" applyProtection="1">
      <alignment horizontal="left" vertical="top"/>
    </xf>
    <xf numFmtId="0" fontId="12" fillId="0" borderId="3" xfId="15" applyNumberFormat="1" applyFont="1" applyFill="1" applyBorder="1" applyAlignment="1" applyProtection="1">
      <alignment horizontal="left" vertical="top" wrapText="1"/>
    </xf>
    <xf numFmtId="0" fontId="12" fillId="0" borderId="1" xfId="15" applyNumberFormat="1" applyFont="1" applyFill="1" applyBorder="1" applyAlignment="1" applyProtection="1">
      <alignment horizontal="left" vertical="top" wrapText="1"/>
    </xf>
    <xf numFmtId="0" fontId="12" fillId="0" borderId="10" xfId="15" applyNumberFormat="1" applyFont="1" applyFill="1" applyBorder="1" applyAlignment="1" applyProtection="1">
      <alignment horizontal="left" vertical="top" wrapText="1"/>
    </xf>
    <xf numFmtId="0" fontId="45" fillId="31" borderId="228" xfId="0" applyNumberFormat="1" applyFont="1" applyFill="1" applyBorder="1" applyAlignment="1">
      <alignment horizontal="center"/>
    </xf>
    <xf numFmtId="0" fontId="45" fillId="31" borderId="10" xfId="0" applyNumberFormat="1" applyFont="1" applyFill="1" applyBorder="1" applyAlignment="1">
      <alignment horizontal="center"/>
    </xf>
    <xf numFmtId="0" fontId="45" fillId="31" borderId="229" xfId="0" applyNumberFormat="1" applyFont="1" applyFill="1" applyBorder="1" applyAlignment="1">
      <alignment horizontal="center"/>
    </xf>
    <xf numFmtId="0" fontId="45" fillId="31" borderId="234" xfId="0" applyNumberFormat="1" applyFont="1" applyFill="1" applyBorder="1" applyAlignment="1">
      <alignment horizontal="center"/>
    </xf>
    <xf numFmtId="0" fontId="45" fillId="31" borderId="230" xfId="0" applyNumberFormat="1" applyFont="1" applyFill="1" applyBorder="1" applyAlignment="1">
      <alignment horizontal="center"/>
    </xf>
    <xf numFmtId="0" fontId="46" fillId="31" borderId="0" xfId="0" applyNumberFormat="1" applyFont="1" applyFill="1" applyBorder="1" applyAlignment="1">
      <alignment horizontal="center" vertical="top" wrapText="1"/>
    </xf>
    <xf numFmtId="0" fontId="46" fillId="31" borderId="46" xfId="0" applyNumberFormat="1" applyFont="1" applyFill="1" applyBorder="1" applyAlignment="1">
      <alignment horizontal="center" vertical="top" wrapText="1"/>
    </xf>
    <xf numFmtId="0" fontId="13" fillId="24" borderId="30" xfId="15" applyFont="1" applyFill="1" applyBorder="1" applyAlignment="1">
      <alignment horizontal="left" vertical="center" wrapText="1"/>
    </xf>
    <xf numFmtId="0" fontId="13" fillId="24" borderId="31" xfId="15" applyFont="1" applyFill="1" applyBorder="1" applyAlignment="1">
      <alignment horizontal="left" vertical="center" wrapText="1"/>
    </xf>
    <xf numFmtId="0" fontId="36" fillId="31" borderId="70" xfId="0" applyFont="1" applyFill="1" applyBorder="1" applyAlignment="1">
      <alignment horizontal="left" vertical="top" wrapText="1"/>
    </xf>
    <xf numFmtId="0" fontId="36" fillId="31" borderId="234" xfId="0" applyFont="1" applyFill="1" applyBorder="1" applyAlignment="1">
      <alignment horizontal="left" vertical="top" wrapText="1"/>
    </xf>
    <xf numFmtId="0" fontId="36" fillId="31" borderId="244" xfId="0" applyFont="1" applyFill="1" applyBorder="1" applyAlignment="1">
      <alignment horizontal="left" vertical="top" wrapText="1"/>
    </xf>
    <xf numFmtId="0" fontId="46" fillId="31" borderId="70" xfId="0" applyFont="1" applyFill="1" applyBorder="1" applyAlignment="1">
      <alignment horizontal="left" vertical="top" wrapText="1"/>
    </xf>
    <xf numFmtId="0" fontId="46" fillId="31" borderId="234" xfId="0" applyFont="1" applyFill="1" applyBorder="1" applyAlignment="1">
      <alignment horizontal="left" vertical="top" wrapText="1"/>
    </xf>
    <xf numFmtId="0" fontId="46" fillId="31" borderId="244" xfId="0" applyFont="1" applyFill="1" applyBorder="1" applyAlignment="1">
      <alignment horizontal="left" vertical="top" wrapText="1"/>
    </xf>
    <xf numFmtId="0" fontId="71" fillId="31" borderId="70" xfId="0" applyFont="1" applyFill="1" applyBorder="1" applyAlignment="1">
      <alignment horizontal="left" vertical="top" wrapText="1"/>
    </xf>
    <xf numFmtId="0" fontId="71" fillId="31" borderId="234" xfId="0" applyFont="1" applyFill="1" applyBorder="1" applyAlignment="1">
      <alignment horizontal="left" vertical="top" wrapText="1"/>
    </xf>
    <xf numFmtId="0" fontId="71" fillId="31" borderId="244" xfId="0" applyFont="1" applyFill="1" applyBorder="1" applyAlignment="1">
      <alignment horizontal="left" vertical="top" wrapText="1"/>
    </xf>
    <xf numFmtId="0" fontId="46" fillId="31" borderId="72" xfId="0" applyFont="1" applyFill="1" applyBorder="1" applyAlignment="1">
      <alignment horizontal="left" vertical="top" wrapText="1"/>
    </xf>
    <xf numFmtId="0" fontId="46" fillId="31" borderId="138" xfId="0" applyFont="1" applyFill="1" applyBorder="1" applyAlignment="1">
      <alignment horizontal="left" vertical="top" wrapText="1"/>
    </xf>
    <xf numFmtId="0" fontId="46" fillId="31" borderId="117" xfId="0" applyFont="1" applyFill="1" applyBorder="1" applyAlignment="1">
      <alignment horizontal="left" vertical="top" wrapText="1"/>
    </xf>
    <xf numFmtId="0" fontId="45" fillId="31" borderId="70" xfId="0" applyFont="1" applyFill="1" applyBorder="1" applyAlignment="1">
      <alignment horizontal="left" vertical="top"/>
    </xf>
    <xf numFmtId="0" fontId="45" fillId="31" borderId="234" xfId="0" applyFont="1" applyFill="1" applyBorder="1" applyAlignment="1">
      <alignment horizontal="left" vertical="top"/>
    </xf>
    <xf numFmtId="0" fontId="45" fillId="31" borderId="244" xfId="0" applyFont="1" applyFill="1" applyBorder="1" applyAlignment="1">
      <alignment horizontal="left" vertical="top"/>
    </xf>
    <xf numFmtId="0" fontId="36" fillId="31" borderId="37" xfId="0" applyFont="1" applyFill="1" applyBorder="1" applyAlignment="1">
      <alignment horizontal="left" vertical="top" wrapText="1"/>
    </xf>
    <xf numFmtId="0" fontId="36" fillId="31" borderId="119" xfId="0" applyFont="1" applyFill="1" applyBorder="1" applyAlignment="1">
      <alignment horizontal="left" vertical="top" wrapText="1"/>
    </xf>
    <xf numFmtId="0" fontId="36" fillId="31" borderId="38" xfId="0" applyFont="1" applyFill="1" applyBorder="1" applyAlignment="1">
      <alignment horizontal="left" vertical="top" wrapText="1"/>
    </xf>
    <xf numFmtId="0" fontId="46" fillId="0" borderId="64" xfId="0" applyNumberFormat="1" applyFont="1" applyBorder="1" applyAlignment="1" applyProtection="1">
      <alignment horizontal="left" vertical="top" wrapText="1"/>
    </xf>
    <xf numFmtId="0" fontId="36" fillId="0" borderId="234" xfId="0" applyNumberFormat="1" applyFont="1" applyBorder="1" applyAlignment="1" applyProtection="1">
      <alignment horizontal="left" vertical="top" wrapText="1"/>
    </xf>
    <xf numFmtId="0" fontId="36" fillId="0" borderId="44" xfId="0" applyNumberFormat="1" applyFont="1" applyBorder="1" applyAlignment="1" applyProtection="1">
      <alignment horizontal="left" vertical="top" wrapText="1"/>
    </xf>
    <xf numFmtId="0" fontId="57" fillId="0" borderId="37" xfId="15" applyNumberFormat="1" applyFont="1" applyFill="1" applyBorder="1" applyAlignment="1" applyProtection="1">
      <alignment horizontal="left" vertical="top" wrapText="1"/>
    </xf>
    <xf numFmtId="0" fontId="57" fillId="0" borderId="119" xfId="15" applyNumberFormat="1" applyFont="1" applyFill="1" applyBorder="1" applyAlignment="1" applyProtection="1">
      <alignment horizontal="left" vertical="top" wrapText="1"/>
    </xf>
    <xf numFmtId="0" fontId="57" fillId="0" borderId="38" xfId="15" applyNumberFormat="1" applyFont="1" applyFill="1" applyBorder="1" applyAlignment="1" applyProtection="1">
      <alignment horizontal="left" vertical="top" wrapText="1"/>
    </xf>
    <xf numFmtId="0" fontId="57" fillId="0" borderId="70" xfId="15" applyNumberFormat="1" applyFont="1" applyFill="1" applyBorder="1" applyAlignment="1" applyProtection="1">
      <alignment horizontal="left" vertical="top" wrapText="1"/>
    </xf>
    <xf numFmtId="0" fontId="57" fillId="0" borderId="65" xfId="15" applyNumberFormat="1" applyFont="1" applyFill="1" applyBorder="1" applyAlignment="1" applyProtection="1">
      <alignment horizontal="left" vertical="top" wrapText="1"/>
    </xf>
    <xf numFmtId="0" fontId="57" fillId="0" borderId="44" xfId="15" applyNumberFormat="1" applyFont="1" applyFill="1" applyBorder="1" applyAlignment="1" applyProtection="1">
      <alignment horizontal="left" vertical="top" wrapText="1"/>
    </xf>
    <xf numFmtId="0" fontId="4" fillId="0" borderId="70" xfId="0" applyFont="1" applyBorder="1" applyAlignment="1" applyProtection="1">
      <alignment horizontal="left" vertical="top" wrapText="1"/>
    </xf>
    <xf numFmtId="0" fontId="4" fillId="0" borderId="65" xfId="0" applyFont="1" applyBorder="1" applyAlignment="1" applyProtection="1">
      <alignment horizontal="left" vertical="top" wrapText="1"/>
    </xf>
    <xf numFmtId="0" fontId="4" fillId="0" borderId="44" xfId="0" applyFont="1" applyBorder="1" applyAlignment="1" applyProtection="1">
      <alignment horizontal="left" vertical="top" wrapText="1"/>
    </xf>
    <xf numFmtId="0" fontId="45" fillId="0" borderId="23" xfId="0" applyNumberFormat="1" applyFont="1" applyBorder="1" applyAlignment="1" applyProtection="1">
      <alignment horizontal="center" vertical="center"/>
    </xf>
    <xf numFmtId="0" fontId="45" fillId="0" borderId="5" xfId="0" applyNumberFormat="1" applyFont="1" applyBorder="1" applyAlignment="1" applyProtection="1">
      <alignment horizontal="center" vertical="center"/>
    </xf>
    <xf numFmtId="0" fontId="45" fillId="0" borderId="64" xfId="0" applyNumberFormat="1" applyFont="1" applyBorder="1" applyAlignment="1" applyProtection="1">
      <alignment horizontal="center" vertical="center"/>
    </xf>
    <xf numFmtId="0" fontId="45" fillId="0" borderId="48" xfId="0" applyNumberFormat="1" applyFont="1" applyBorder="1" applyAlignment="1" applyProtection="1">
      <alignment horizontal="center" vertical="center"/>
    </xf>
    <xf numFmtId="0" fontId="45" fillId="0" borderId="1" xfId="0" applyNumberFormat="1" applyFont="1" applyBorder="1" applyAlignment="1" applyProtection="1">
      <alignment horizontal="center" vertical="center" wrapText="1"/>
    </xf>
    <xf numFmtId="0" fontId="55" fillId="0" borderId="3" xfId="0" applyFont="1" applyBorder="1" applyAlignment="1" applyProtection="1">
      <alignment horizontal="left" vertical="top" wrapText="1"/>
    </xf>
    <xf numFmtId="0" fontId="55" fillId="0" borderId="1" xfId="0" applyFont="1" applyBorder="1" applyAlignment="1" applyProtection="1">
      <alignment horizontal="left" vertical="top" wrapText="1"/>
    </xf>
    <xf numFmtId="0" fontId="45" fillId="0" borderId="102" xfId="0" applyNumberFormat="1" applyFont="1" applyBorder="1" applyAlignment="1" applyProtection="1">
      <alignment horizontal="center" vertical="center"/>
    </xf>
    <xf numFmtId="0" fontId="45" fillId="0" borderId="128" xfId="0" applyNumberFormat="1" applyFont="1" applyBorder="1" applyAlignment="1" applyProtection="1">
      <alignment horizontal="center" vertical="center"/>
    </xf>
    <xf numFmtId="0" fontId="7" fillId="0" borderId="6" xfId="0" applyFont="1" applyBorder="1" applyAlignment="1" applyProtection="1">
      <alignment horizontal="center"/>
    </xf>
    <xf numFmtId="0" fontId="45" fillId="0" borderId="6" xfId="0" applyNumberFormat="1" applyFont="1" applyBorder="1" applyAlignment="1" applyProtection="1">
      <alignment horizontal="center" vertical="center"/>
    </xf>
    <xf numFmtId="0" fontId="45" fillId="0" borderId="6" xfId="0" applyNumberFormat="1" applyFont="1" applyBorder="1" applyAlignment="1" applyProtection="1">
      <alignment horizontal="center" vertical="center" wrapText="1"/>
    </xf>
    <xf numFmtId="0" fontId="36" fillId="0" borderId="70" xfId="0" applyNumberFormat="1" applyFont="1" applyBorder="1" applyAlignment="1" applyProtection="1">
      <alignment horizontal="left" vertical="top" wrapText="1"/>
    </xf>
    <xf numFmtId="0" fontId="36" fillId="0" borderId="65" xfId="0" applyNumberFormat="1" applyFont="1" applyBorder="1" applyAlignment="1" applyProtection="1">
      <alignment horizontal="left" vertical="top" wrapText="1"/>
    </xf>
    <xf numFmtId="0" fontId="46" fillId="0" borderId="70" xfId="0" applyNumberFormat="1" applyFont="1" applyBorder="1" applyAlignment="1" applyProtection="1">
      <alignment horizontal="left" vertical="top" wrapText="1"/>
    </xf>
    <xf numFmtId="0" fontId="46" fillId="0" borderId="65" xfId="0" applyNumberFormat="1" applyFont="1" applyBorder="1" applyAlignment="1" applyProtection="1">
      <alignment horizontal="left" vertical="top" wrapText="1"/>
    </xf>
    <xf numFmtId="0" fontId="46" fillId="0" borderId="44" xfId="0" applyNumberFormat="1" applyFont="1" applyBorder="1" applyAlignment="1" applyProtection="1">
      <alignment horizontal="left" vertical="top" wrapText="1"/>
    </xf>
    <xf numFmtId="0" fontId="45" fillId="0" borderId="72" xfId="0" applyNumberFormat="1" applyFont="1" applyBorder="1" applyAlignment="1" applyProtection="1">
      <alignment horizontal="left" vertical="top"/>
    </xf>
    <xf numFmtId="0" fontId="45" fillId="0" borderId="138" xfId="0" applyNumberFormat="1" applyFont="1" applyBorder="1" applyAlignment="1" applyProtection="1">
      <alignment horizontal="left" vertical="top"/>
    </xf>
    <xf numFmtId="0" fontId="45" fillId="0" borderId="117" xfId="0" applyNumberFormat="1" applyFont="1" applyBorder="1" applyAlignment="1" applyProtection="1">
      <alignment horizontal="left" vertical="top"/>
    </xf>
    <xf numFmtId="0" fontId="45" fillId="0" borderId="66" xfId="0" applyNumberFormat="1" applyFont="1" applyBorder="1" applyAlignment="1" applyProtection="1">
      <alignment horizontal="left" vertical="top"/>
    </xf>
    <xf numFmtId="0" fontId="45" fillId="0" borderId="71" xfId="0" applyNumberFormat="1" applyFont="1" applyBorder="1" applyAlignment="1" applyProtection="1">
      <alignment horizontal="left" vertical="top"/>
    </xf>
    <xf numFmtId="0" fontId="4" fillId="0" borderId="72" xfId="0" applyFont="1" applyBorder="1" applyAlignment="1" applyProtection="1">
      <alignment horizontal="left" vertical="top" wrapText="1"/>
    </xf>
    <xf numFmtId="0" fontId="4" fillId="0" borderId="138" xfId="0" applyFont="1" applyBorder="1" applyAlignment="1" applyProtection="1">
      <alignment horizontal="left" vertical="top" wrapText="1"/>
    </xf>
    <xf numFmtId="0" fontId="4" fillId="0" borderId="117" xfId="0" applyFont="1" applyBorder="1" applyAlignment="1" applyProtection="1">
      <alignment horizontal="left" vertical="top" wrapText="1"/>
    </xf>
    <xf numFmtId="0" fontId="4" fillId="0" borderId="72" xfId="0" applyNumberFormat="1" applyFont="1" applyBorder="1" applyAlignment="1" applyProtection="1">
      <alignment horizontal="left" vertical="top" wrapText="1"/>
    </xf>
    <xf numFmtId="0" fontId="4" fillId="0" borderId="138" xfId="0" applyNumberFormat="1" applyFont="1" applyBorder="1" applyAlignment="1" applyProtection="1">
      <alignment horizontal="left" vertical="top" wrapText="1"/>
    </xf>
    <xf numFmtId="0" fontId="4" fillId="0" borderId="117" xfId="0" applyNumberFormat="1" applyFont="1" applyBorder="1" applyAlignment="1" applyProtection="1">
      <alignment horizontal="left" vertical="top" wrapText="1"/>
    </xf>
    <xf numFmtId="0" fontId="4" fillId="0" borderId="70" xfId="0" applyNumberFormat="1" applyFont="1" applyBorder="1" applyAlignment="1" applyProtection="1">
      <alignment horizontal="left" vertical="top" wrapText="1"/>
    </xf>
    <xf numFmtId="0" fontId="4" fillId="0" borderId="65" xfId="0" applyNumberFormat="1" applyFont="1" applyBorder="1" applyAlignment="1" applyProtection="1">
      <alignment horizontal="left" vertical="top" wrapText="1"/>
    </xf>
    <xf numFmtId="0" fontId="4" fillId="0" borderId="44" xfId="0" applyNumberFormat="1" applyFont="1" applyBorder="1" applyAlignment="1" applyProtection="1">
      <alignment horizontal="left" vertical="top" wrapText="1"/>
    </xf>
    <xf numFmtId="0" fontId="13" fillId="24" borderId="30" xfId="15" applyNumberFormat="1" applyFont="1" applyFill="1" applyBorder="1" applyAlignment="1" applyProtection="1">
      <alignment horizontal="left" vertical="top" wrapText="1"/>
    </xf>
    <xf numFmtId="0" fontId="13" fillId="24" borderId="43" xfId="15" applyNumberFormat="1" applyFont="1" applyFill="1" applyBorder="1" applyAlignment="1" applyProtection="1">
      <alignment horizontal="left" vertical="top" wrapText="1"/>
    </xf>
    <xf numFmtId="0" fontId="13" fillId="24" borderId="31" xfId="15" applyNumberFormat="1" applyFont="1" applyFill="1" applyBorder="1" applyAlignment="1" applyProtection="1">
      <alignment horizontal="left" vertical="top" wrapText="1"/>
    </xf>
    <xf numFmtId="0" fontId="4" fillId="0" borderId="30" xfId="0" applyFont="1" applyBorder="1" applyAlignment="1" applyProtection="1">
      <alignment horizontal="left" vertical="top" wrapText="1"/>
    </xf>
    <xf numFmtId="0" fontId="4" fillId="0" borderId="43" xfId="0" applyFont="1" applyBorder="1" applyAlignment="1" applyProtection="1">
      <alignment horizontal="left" vertical="top" wrapText="1"/>
    </xf>
    <xf numFmtId="0" fontId="4" fillId="0" borderId="31" xfId="0" applyFont="1" applyBorder="1" applyAlignment="1" applyProtection="1">
      <alignment horizontal="left" vertical="top" wrapText="1"/>
    </xf>
    <xf numFmtId="0" fontId="45" fillId="0" borderId="70" xfId="0" applyNumberFormat="1" applyFont="1" applyBorder="1" applyAlignment="1" applyProtection="1">
      <alignment horizontal="left" vertical="top"/>
    </xf>
    <xf numFmtId="0" fontId="45" fillId="0" borderId="65" xfId="0" applyNumberFormat="1" applyFont="1" applyBorder="1" applyAlignment="1" applyProtection="1">
      <alignment horizontal="left" vertical="top"/>
    </xf>
    <xf numFmtId="0" fontId="45" fillId="0" borderId="44" xfId="0" applyNumberFormat="1" applyFont="1" applyBorder="1" applyAlignment="1" applyProtection="1">
      <alignment horizontal="left" vertical="top"/>
    </xf>
    <xf numFmtId="0" fontId="4" fillId="0" borderId="37" xfId="0" applyFont="1" applyBorder="1" applyAlignment="1" applyProtection="1">
      <alignment horizontal="left" vertical="top" wrapText="1"/>
    </xf>
    <xf numFmtId="0" fontId="4" fillId="0" borderId="119" xfId="0" applyFont="1" applyBorder="1" applyAlignment="1" applyProtection="1">
      <alignment horizontal="left" vertical="top" wrapText="1"/>
    </xf>
    <xf numFmtId="0" fontId="4" fillId="0" borderId="38" xfId="0" applyFont="1" applyBorder="1" applyAlignment="1" applyProtection="1">
      <alignment horizontal="left" vertical="top" wrapText="1"/>
    </xf>
    <xf numFmtId="0" fontId="57" fillId="0" borderId="5" xfId="15" applyNumberFormat="1" applyFont="1" applyFill="1" applyBorder="1" applyAlignment="1" applyProtection="1">
      <alignment horizontal="left" vertical="top" wrapText="1"/>
    </xf>
    <xf numFmtId="0" fontId="57" fillId="0" borderId="6" xfId="15" applyNumberFormat="1" applyFont="1" applyFill="1" applyBorder="1" applyAlignment="1" applyProtection="1">
      <alignment horizontal="left" vertical="top" wrapText="1"/>
    </xf>
    <xf numFmtId="0" fontId="57" fillId="0" borderId="7" xfId="15" applyNumberFormat="1" applyFont="1" applyFill="1" applyBorder="1" applyAlignment="1" applyProtection="1">
      <alignment horizontal="left" vertical="top" wrapText="1"/>
    </xf>
    <xf numFmtId="0" fontId="57" fillId="0" borderId="72" xfId="15" applyNumberFormat="1" applyFont="1" applyFill="1" applyBorder="1" applyAlignment="1" applyProtection="1">
      <alignment horizontal="left" vertical="top" wrapText="1"/>
    </xf>
    <xf numFmtId="0" fontId="57" fillId="0" borderId="138" xfId="15" applyNumberFormat="1" applyFont="1" applyFill="1" applyBorder="1" applyAlignment="1" applyProtection="1">
      <alignment horizontal="left" vertical="top" wrapText="1"/>
    </xf>
    <xf numFmtId="0" fontId="57" fillId="0" borderId="117" xfId="15" applyNumberFormat="1" applyFont="1" applyFill="1" applyBorder="1" applyAlignment="1" applyProtection="1">
      <alignment horizontal="left" vertical="top" wrapText="1"/>
    </xf>
    <xf numFmtId="0" fontId="5" fillId="0" borderId="37" xfId="15" applyNumberFormat="1" applyFont="1" applyFill="1" applyBorder="1" applyAlignment="1" applyProtection="1">
      <alignment horizontal="left" vertical="top" wrapText="1"/>
    </xf>
    <xf numFmtId="0" fontId="5" fillId="0" borderId="119" xfId="15" applyNumberFormat="1" applyFont="1" applyFill="1" applyBorder="1" applyAlignment="1" applyProtection="1">
      <alignment horizontal="left" vertical="top" wrapText="1"/>
    </xf>
    <xf numFmtId="0" fontId="5" fillId="0" borderId="38" xfId="15" applyNumberFormat="1" applyFont="1" applyFill="1" applyBorder="1" applyAlignment="1" applyProtection="1">
      <alignment horizontal="left" vertical="top" wrapText="1"/>
    </xf>
    <xf numFmtId="0" fontId="12" fillId="0" borderId="30" xfId="15" applyNumberFormat="1" applyFont="1" applyFill="1" applyBorder="1" applyAlignment="1" applyProtection="1">
      <alignment horizontal="left" vertical="top" wrapText="1"/>
    </xf>
    <xf numFmtId="0" fontId="12" fillId="0" borderId="43" xfId="15" applyNumberFormat="1" applyFont="1" applyFill="1" applyBorder="1" applyAlignment="1" applyProtection="1">
      <alignment horizontal="left" vertical="top" wrapText="1"/>
    </xf>
    <xf numFmtId="0" fontId="12" fillId="0" borderId="31" xfId="15" applyNumberFormat="1" applyFont="1" applyFill="1" applyBorder="1" applyAlignment="1" applyProtection="1">
      <alignment horizontal="left" vertical="top" wrapText="1"/>
    </xf>
    <xf numFmtId="0" fontId="13" fillId="24" borderId="18" xfId="15" applyNumberFormat="1" applyFont="1" applyFill="1" applyBorder="1" applyAlignment="1" applyProtection="1">
      <alignment horizontal="left" vertical="top" wrapText="1"/>
    </xf>
    <xf numFmtId="0" fontId="13" fillId="24" borderId="17" xfId="15" applyNumberFormat="1" applyFont="1" applyFill="1" applyBorder="1" applyAlignment="1" applyProtection="1">
      <alignment horizontal="left" vertical="top" wrapText="1"/>
    </xf>
    <xf numFmtId="0" fontId="13" fillId="24" borderId="25" xfId="15" applyNumberFormat="1" applyFont="1" applyFill="1" applyBorder="1" applyAlignment="1" applyProtection="1">
      <alignment horizontal="left" vertical="top" wrapText="1"/>
    </xf>
    <xf numFmtId="0" fontId="26" fillId="0" borderId="1" xfId="0" applyFont="1" applyBorder="1" applyAlignment="1" applyProtection="1">
      <alignment horizontal="left" vertical="top" wrapText="1"/>
    </xf>
    <xf numFmtId="0" fontId="26" fillId="0" borderId="64" xfId="0" applyFont="1" applyBorder="1" applyAlignment="1" applyProtection="1">
      <alignment horizontal="left" vertical="top" wrapText="1"/>
    </xf>
    <xf numFmtId="0" fontId="13" fillId="0" borderId="3" xfId="15" applyNumberFormat="1" applyFont="1" applyFill="1" applyBorder="1" applyAlignment="1" applyProtection="1">
      <alignment horizontal="left" vertical="top" wrapText="1"/>
    </xf>
    <xf numFmtId="0" fontId="13" fillId="0" borderId="1" xfId="15" applyNumberFormat="1" applyFont="1" applyFill="1" applyBorder="1" applyAlignment="1" applyProtection="1">
      <alignment horizontal="left" vertical="top" wrapText="1"/>
    </xf>
    <xf numFmtId="0" fontId="13" fillId="0" borderId="10" xfId="15" applyNumberFormat="1" applyFont="1" applyFill="1" applyBorder="1" applyAlignment="1" applyProtection="1">
      <alignment horizontal="left" vertical="top" wrapText="1"/>
    </xf>
    <xf numFmtId="0" fontId="55" fillId="0" borderId="70" xfId="0" applyFont="1" applyBorder="1" applyAlignment="1" applyProtection="1">
      <alignment horizontal="left" vertical="top" wrapText="1"/>
    </xf>
    <xf numFmtId="0" fontId="55" fillId="0" borderId="65" xfId="0" applyFont="1" applyBorder="1" applyAlignment="1" applyProtection="1">
      <alignment horizontal="left" vertical="top" wrapText="1"/>
    </xf>
    <xf numFmtId="0" fontId="55" fillId="0" borderId="44" xfId="0" applyFont="1" applyBorder="1" applyAlignment="1" applyProtection="1">
      <alignment horizontal="left" vertical="top" wrapText="1"/>
    </xf>
    <xf numFmtId="0" fontId="0" fillId="0" borderId="65" xfId="0" applyNumberFormat="1" applyBorder="1" applyAlignment="1" applyProtection="1">
      <alignment horizontal="left" vertical="top" wrapText="1"/>
    </xf>
    <xf numFmtId="0" fontId="0" fillId="0" borderId="44" xfId="0" applyNumberFormat="1" applyBorder="1" applyAlignment="1" applyProtection="1">
      <alignment horizontal="left" vertical="top" wrapText="1"/>
    </xf>
    <xf numFmtId="0" fontId="4" fillId="0" borderId="42" xfId="0" applyNumberFormat="1" applyFont="1" applyBorder="1" applyAlignment="1" applyProtection="1">
      <alignment horizontal="left" vertical="top" wrapText="1"/>
    </xf>
    <xf numFmtId="0" fontId="4" fillId="0" borderId="0" xfId="0" applyNumberFormat="1" applyFont="1" applyBorder="1" applyAlignment="1" applyProtection="1">
      <alignment horizontal="left" vertical="top" wrapText="1"/>
    </xf>
    <xf numFmtId="0" fontId="4" fillId="0" borderId="46" xfId="0" applyNumberFormat="1" applyFont="1" applyBorder="1" applyAlignment="1" applyProtection="1">
      <alignment horizontal="left" vertical="top" wrapText="1"/>
    </xf>
    <xf numFmtId="0" fontId="45" fillId="0" borderId="98" xfId="0" applyNumberFormat="1" applyFont="1" applyBorder="1" applyAlignment="1" applyProtection="1">
      <alignment horizontal="center" vertical="center"/>
    </xf>
    <xf numFmtId="0" fontId="45" fillId="0" borderId="328" xfId="0" applyNumberFormat="1" applyFont="1" applyBorder="1" applyAlignment="1" applyProtection="1">
      <alignment horizontal="center" vertical="center" wrapText="1"/>
    </xf>
    <xf numFmtId="0" fontId="45" fillId="0" borderId="76" xfId="0" applyNumberFormat="1" applyFont="1" applyBorder="1" applyAlignment="1" applyProtection="1">
      <alignment horizontal="center" vertical="center" wrapText="1"/>
    </xf>
    <xf numFmtId="0" fontId="45" fillId="0" borderId="234" xfId="0" applyNumberFormat="1" applyFont="1" applyBorder="1" applyAlignment="1" applyProtection="1">
      <alignment horizontal="center" vertical="center"/>
    </xf>
    <xf numFmtId="0" fontId="7" fillId="0" borderId="234" xfId="0" applyNumberFormat="1" applyFont="1" applyFill="1" applyBorder="1" applyAlignment="1" applyProtection="1">
      <alignment horizontal="left" vertical="top" wrapText="1"/>
    </xf>
    <xf numFmtId="0" fontId="7" fillId="0" borderId="44" xfId="0" applyNumberFormat="1" applyFont="1" applyFill="1" applyBorder="1" applyAlignment="1" applyProtection="1">
      <alignment horizontal="left" vertical="top" wrapText="1"/>
    </xf>
    <xf numFmtId="0" fontId="0" fillId="0" borderId="330" xfId="0" applyNumberFormat="1" applyBorder="1" applyAlignment="1" applyProtection="1">
      <alignment horizontal="center" vertical="center"/>
    </xf>
    <xf numFmtId="0" fontId="0" fillId="0" borderId="98" xfId="0" applyNumberFormat="1" applyBorder="1" applyAlignment="1" applyProtection="1">
      <alignment horizontal="center" vertical="center"/>
    </xf>
    <xf numFmtId="0" fontId="0" fillId="0" borderId="5" xfId="0" applyNumberFormat="1" applyBorder="1" applyAlignment="1" applyProtection="1">
      <alignment horizontal="center" vertical="center"/>
    </xf>
    <xf numFmtId="0" fontId="33" fillId="29" borderId="328" xfId="0" applyNumberFormat="1" applyFont="1" applyFill="1" applyBorder="1" applyAlignment="1" applyProtection="1">
      <alignment horizontal="center" vertical="center" wrapText="1"/>
    </xf>
    <xf numFmtId="0" fontId="33" fillId="29" borderId="76" xfId="0" applyNumberFormat="1" applyFont="1" applyFill="1" applyBorder="1" applyAlignment="1" applyProtection="1">
      <alignment horizontal="center" vertical="center" wrapText="1"/>
    </xf>
    <xf numFmtId="0" fontId="33" fillId="29" borderId="6" xfId="0" applyNumberFormat="1" applyFont="1" applyFill="1" applyBorder="1" applyAlignment="1" applyProtection="1">
      <alignment horizontal="center" vertical="center" wrapText="1"/>
    </xf>
    <xf numFmtId="0" fontId="4" fillId="0" borderId="64" xfId="0" applyNumberFormat="1" applyFont="1" applyBorder="1" applyAlignment="1" applyProtection="1">
      <alignment horizontal="left" vertical="top" wrapText="1"/>
    </xf>
    <xf numFmtId="0" fontId="4" fillId="0" borderId="234" xfId="0" applyNumberFormat="1" applyFont="1" applyBorder="1" applyAlignment="1" applyProtection="1">
      <alignment horizontal="left" vertical="top" wrapText="1"/>
    </xf>
    <xf numFmtId="0" fontId="46" fillId="0" borderId="234" xfId="0" applyNumberFormat="1" applyFont="1" applyBorder="1" applyAlignment="1" applyProtection="1">
      <alignment horizontal="left" vertical="top" wrapText="1"/>
    </xf>
    <xf numFmtId="0" fontId="0" fillId="0" borderId="327" xfId="0" applyNumberFormat="1" applyBorder="1" applyAlignment="1" applyProtection="1">
      <alignment horizontal="center" vertical="center"/>
    </xf>
    <xf numFmtId="0" fontId="0" fillId="0" borderId="42" xfId="0" applyNumberFormat="1" applyBorder="1" applyAlignment="1" applyProtection="1">
      <alignment horizontal="center" vertical="center"/>
    </xf>
    <xf numFmtId="0" fontId="33" fillId="29" borderId="145" xfId="0" applyNumberFormat="1" applyFont="1" applyFill="1" applyBorder="1" applyAlignment="1" applyProtection="1">
      <alignment horizontal="center" vertical="center" wrapText="1"/>
    </xf>
    <xf numFmtId="0" fontId="0" fillId="0" borderId="22" xfId="0" applyNumberFormat="1" applyBorder="1" applyAlignment="1" applyProtection="1">
      <alignment horizontal="center" vertical="center"/>
    </xf>
    <xf numFmtId="0" fontId="33" fillId="29" borderId="1" xfId="0" applyFont="1" applyFill="1" applyBorder="1" applyAlignment="1" applyProtection="1">
      <alignment horizontal="center" vertical="center" wrapText="1"/>
    </xf>
    <xf numFmtId="0" fontId="33" fillId="29" borderId="11" xfId="0" applyFont="1" applyFill="1" applyBorder="1" applyAlignment="1" applyProtection="1">
      <alignment horizontal="center" vertical="center" wrapText="1"/>
    </xf>
    <xf numFmtId="0" fontId="33" fillId="29" borderId="1" xfId="0" quotePrefix="1" applyFont="1" applyFill="1" applyBorder="1" applyAlignment="1" applyProtection="1">
      <alignment horizontal="center" vertical="center" wrapText="1"/>
    </xf>
    <xf numFmtId="0" fontId="0" fillId="0" borderId="133" xfId="0" applyNumberFormat="1" applyBorder="1" applyAlignment="1" applyProtection="1">
      <alignment horizontal="center" vertical="center"/>
    </xf>
    <xf numFmtId="0" fontId="36" fillId="0" borderId="18" xfId="0" applyNumberFormat="1" applyFont="1" applyBorder="1" applyAlignment="1" applyProtection="1">
      <alignment horizontal="left" vertical="top" wrapText="1"/>
    </xf>
    <xf numFmtId="0" fontId="0" fillId="0" borderId="17" xfId="0" applyNumberFormat="1" applyBorder="1" applyAlignment="1" applyProtection="1">
      <alignment horizontal="left" vertical="top"/>
    </xf>
    <xf numFmtId="0" fontId="0" fillId="0" borderId="25" xfId="0" applyNumberFormat="1" applyBorder="1" applyAlignment="1" applyProtection="1">
      <alignment horizontal="left" vertical="top"/>
    </xf>
    <xf numFmtId="0" fontId="55" fillId="0" borderId="234" xfId="0" applyFont="1" applyBorder="1" applyAlignment="1" applyProtection="1">
      <alignment horizontal="left" vertical="top" wrapText="1"/>
    </xf>
    <xf numFmtId="0" fontId="36" fillId="0" borderId="42" xfId="0" applyNumberFormat="1" applyFont="1" applyBorder="1" applyAlignment="1" applyProtection="1">
      <alignment horizontal="left" vertical="top" wrapText="1"/>
    </xf>
    <xf numFmtId="0" fontId="0" fillId="0" borderId="0" xfId="0" applyNumberFormat="1" applyBorder="1" applyAlignment="1" applyProtection="1">
      <alignment horizontal="left" vertical="top"/>
    </xf>
    <xf numFmtId="0" fontId="0" fillId="0" borderId="46" xfId="0" applyNumberFormat="1" applyBorder="1" applyAlignment="1" applyProtection="1">
      <alignment horizontal="left" vertical="top"/>
    </xf>
    <xf numFmtId="0" fontId="57" fillId="0" borderId="13" xfId="15" applyNumberFormat="1" applyFont="1" applyFill="1" applyBorder="1" applyAlignment="1" applyProtection="1">
      <alignment horizontal="left" vertical="top" wrapText="1"/>
    </xf>
    <xf numFmtId="0" fontId="57" fillId="0" borderId="14" xfId="15" applyNumberFormat="1" applyFont="1" applyFill="1" applyBorder="1" applyAlignment="1" applyProtection="1">
      <alignment horizontal="left" vertical="top" wrapText="1"/>
    </xf>
    <xf numFmtId="0" fontId="57" fillId="0" borderId="15" xfId="15" applyNumberFormat="1" applyFont="1" applyFill="1" applyBorder="1" applyAlignment="1" applyProtection="1">
      <alignment horizontal="left" vertical="top" wrapText="1"/>
    </xf>
    <xf numFmtId="0" fontId="13" fillId="24" borderId="22" xfId="15" applyNumberFormat="1" applyFont="1" applyFill="1" applyBorder="1" applyAlignment="1" applyProtection="1">
      <alignment horizontal="left" vertical="top" wrapText="1"/>
    </xf>
    <xf numFmtId="0" fontId="13" fillId="24" borderId="20" xfId="15" applyNumberFormat="1" applyFont="1" applyFill="1" applyBorder="1" applyAlignment="1" applyProtection="1">
      <alignment horizontal="left" vertical="top" wrapText="1"/>
    </xf>
    <xf numFmtId="0" fontId="13" fillId="24" borderId="53" xfId="15" applyNumberFormat="1" applyFont="1" applyFill="1" applyBorder="1" applyAlignment="1" applyProtection="1">
      <alignment horizontal="left" vertical="top" wrapText="1"/>
    </xf>
    <xf numFmtId="0" fontId="4" fillId="0" borderId="30" xfId="0" applyNumberFormat="1" applyFont="1" applyBorder="1" applyAlignment="1" applyProtection="1">
      <alignment horizontal="left" vertical="top" wrapText="1"/>
    </xf>
    <xf numFmtId="0" fontId="4" fillId="0" borderId="43" xfId="0" applyNumberFormat="1" applyFont="1" applyBorder="1" applyAlignment="1" applyProtection="1">
      <alignment horizontal="left" vertical="top" wrapText="1"/>
    </xf>
    <xf numFmtId="0" fontId="4" fillId="0" borderId="31" xfId="0" applyNumberFormat="1" applyFont="1" applyBorder="1" applyAlignment="1" applyProtection="1">
      <alignment horizontal="left" vertical="top" wrapText="1"/>
    </xf>
    <xf numFmtId="0" fontId="4" fillId="0" borderId="37" xfId="0" applyNumberFormat="1" applyFont="1" applyBorder="1" applyAlignment="1" applyProtection="1">
      <alignment horizontal="left" vertical="top" wrapText="1"/>
    </xf>
    <xf numFmtId="0" fontId="4" fillId="0" borderId="119" xfId="0" applyNumberFormat="1" applyFont="1" applyBorder="1" applyAlignment="1" applyProtection="1">
      <alignment horizontal="left" vertical="top" wrapText="1"/>
    </xf>
    <xf numFmtId="0" fontId="4" fillId="0" borderId="38" xfId="0" applyNumberFormat="1" applyFont="1" applyBorder="1" applyAlignment="1" applyProtection="1">
      <alignment horizontal="left" vertical="top" wrapText="1"/>
    </xf>
    <xf numFmtId="0" fontId="45" fillId="0" borderId="37" xfId="0" applyNumberFormat="1" applyFont="1" applyBorder="1" applyAlignment="1" applyProtection="1">
      <alignment horizontal="left" vertical="top"/>
    </xf>
    <xf numFmtId="0" fontId="45" fillId="0" borderId="119" xfId="0" applyNumberFormat="1" applyFont="1" applyBorder="1" applyAlignment="1" applyProtection="1">
      <alignment horizontal="left" vertical="top"/>
    </xf>
    <xf numFmtId="0" fontId="45" fillId="0" borderId="38" xfId="0" applyNumberFormat="1" applyFont="1" applyBorder="1" applyAlignment="1" applyProtection="1">
      <alignment horizontal="left" vertical="top"/>
    </xf>
    <xf numFmtId="0" fontId="45" fillId="0" borderId="42" xfId="0" applyNumberFormat="1" applyFont="1" applyBorder="1" applyAlignment="1" applyProtection="1">
      <alignment horizontal="left" vertical="top"/>
    </xf>
    <xf numFmtId="0" fontId="45" fillId="0" borderId="0" xfId="0" applyNumberFormat="1" applyFont="1" applyBorder="1" applyAlignment="1" applyProtection="1">
      <alignment horizontal="left" vertical="top"/>
    </xf>
    <xf numFmtId="0" fontId="45" fillId="0" borderId="234" xfId="0" applyNumberFormat="1" applyFont="1" applyBorder="1" applyAlignment="1" applyProtection="1">
      <alignment horizontal="left" vertical="top"/>
    </xf>
    <xf numFmtId="0" fontId="7" fillId="0" borderId="8" xfId="0" applyFont="1" applyBorder="1" applyAlignment="1" applyProtection="1">
      <alignment horizontal="center" vertical="center"/>
    </xf>
    <xf numFmtId="0" fontId="7" fillId="0" borderId="191" xfId="0" applyFont="1" applyBorder="1" applyAlignment="1" applyProtection="1">
      <alignment horizontal="center" vertical="center"/>
    </xf>
    <xf numFmtId="0" fontId="7" fillId="0" borderId="9" xfId="0" applyFont="1" applyBorder="1" applyAlignment="1" applyProtection="1">
      <alignment horizontal="center" vertical="center" wrapText="1"/>
    </xf>
    <xf numFmtId="0" fontId="7" fillId="0" borderId="133" xfId="0" applyFont="1" applyBorder="1" applyAlignment="1" applyProtection="1">
      <alignment horizontal="center" vertical="center" wrapText="1"/>
    </xf>
    <xf numFmtId="0" fontId="7" fillId="0" borderId="62" xfId="0" applyFont="1" applyBorder="1" applyAlignment="1" applyProtection="1">
      <alignment horizontal="center" vertical="center"/>
    </xf>
    <xf numFmtId="0" fontId="7" fillId="0" borderId="145" xfId="0" applyFont="1" applyBorder="1" applyAlignment="1" applyProtection="1">
      <alignment horizontal="center" vertical="center"/>
    </xf>
    <xf numFmtId="0" fontId="7" fillId="0" borderId="62" xfId="0" applyFont="1" applyFill="1" applyBorder="1" applyAlignment="1" applyProtection="1">
      <alignment horizontal="center" vertical="center" wrapText="1"/>
    </xf>
    <xf numFmtId="0" fontId="7" fillId="0" borderId="145" xfId="0" applyFont="1" applyFill="1" applyBorder="1" applyAlignment="1" applyProtection="1">
      <alignment horizontal="center" vertical="center" wrapText="1"/>
    </xf>
    <xf numFmtId="0" fontId="7" fillId="0" borderId="14" xfId="0" applyFont="1" applyBorder="1" applyAlignment="1" applyProtection="1">
      <alignment horizontal="left" vertical="top" wrapText="1"/>
    </xf>
    <xf numFmtId="0" fontId="20" fillId="0" borderId="0" xfId="16" applyFont="1" applyAlignment="1" applyProtection="1">
      <alignment horizontal="center" vertical="center"/>
      <protection locked="0"/>
    </xf>
    <xf numFmtId="0" fontId="7" fillId="0" borderId="76" xfId="0" applyFont="1" applyFill="1" applyBorder="1" applyAlignment="1" applyProtection="1">
      <alignment horizontal="center" vertical="center" wrapText="1"/>
    </xf>
    <xf numFmtId="0" fontId="7" fillId="0" borderId="169" xfId="0" applyFont="1" applyBorder="1" applyAlignment="1" applyProtection="1">
      <alignment horizontal="center" vertical="center"/>
    </xf>
    <xf numFmtId="0" fontId="7" fillId="24" borderId="37" xfId="0" applyFont="1" applyFill="1" applyBorder="1" applyAlignment="1" applyProtection="1">
      <alignment vertical="top" wrapText="1"/>
    </xf>
    <xf numFmtId="0" fontId="0" fillId="0" borderId="119" xfId="0" applyBorder="1" applyAlignment="1">
      <alignment vertical="top" wrapText="1"/>
    </xf>
    <xf numFmtId="0" fontId="0" fillId="0" borderId="38" xfId="0" applyBorder="1" applyAlignment="1">
      <alignment vertical="top" wrapText="1"/>
    </xf>
    <xf numFmtId="0" fontId="12" fillId="19" borderId="30" xfId="15" applyFont="1" applyBorder="1" applyAlignment="1">
      <alignment horizontal="left" vertical="center"/>
    </xf>
    <xf numFmtId="0" fontId="12" fillId="19" borderId="31" xfId="15" applyFont="1" applyBorder="1" applyAlignment="1">
      <alignment horizontal="left" vertical="center"/>
    </xf>
    <xf numFmtId="0" fontId="7" fillId="0" borderId="98" xfId="0" applyFont="1" applyBorder="1" applyAlignment="1" applyProtection="1">
      <alignment horizontal="center" vertical="center" wrapText="1"/>
    </xf>
    <xf numFmtId="0" fontId="7" fillId="0" borderId="76" xfId="0" applyFont="1" applyBorder="1" applyAlignment="1" applyProtection="1">
      <alignment horizontal="center" vertical="center"/>
    </xf>
    <xf numFmtId="0" fontId="7" fillId="0" borderId="1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3" fillId="0" borderId="0" xfId="28" applyFont="1" applyFill="1" applyBorder="1" applyAlignment="1" applyProtection="1">
      <alignment horizontal="left" wrapText="1"/>
    </xf>
    <xf numFmtId="0" fontId="3" fillId="0" borderId="64" xfId="0" applyFont="1" applyBorder="1" applyAlignment="1" applyProtection="1">
      <alignment horizontal="left" vertical="center"/>
    </xf>
    <xf numFmtId="0" fontId="3" fillId="0" borderId="65" xfId="0" applyFont="1" applyBorder="1" applyAlignment="1" applyProtection="1">
      <alignment horizontal="left" vertical="center"/>
    </xf>
    <xf numFmtId="0" fontId="3" fillId="0" borderId="44" xfId="0" applyFont="1" applyBorder="1" applyAlignment="1" applyProtection="1">
      <alignment horizontal="left" vertical="center"/>
    </xf>
    <xf numFmtId="0" fontId="7" fillId="0" borderId="61" xfId="0" applyFont="1" applyBorder="1" applyAlignment="1" applyProtection="1">
      <alignment horizontal="left" vertical="top" wrapText="1"/>
    </xf>
    <xf numFmtId="0" fontId="7" fillId="24" borderId="30" xfId="0" applyFont="1" applyFill="1" applyBorder="1" applyAlignment="1" applyProtection="1">
      <alignment horizontal="left" vertical="top" wrapText="1"/>
    </xf>
    <xf numFmtId="0" fontId="0" fillId="0" borderId="43" xfId="0" applyBorder="1" applyAlignment="1">
      <alignment horizontal="left" vertical="top" wrapText="1"/>
    </xf>
    <xf numFmtId="0" fontId="0" fillId="0" borderId="31" xfId="0" applyBorder="1" applyAlignment="1">
      <alignment horizontal="left" vertical="top" wrapText="1"/>
    </xf>
    <xf numFmtId="0" fontId="45" fillId="0" borderId="73" xfId="0" applyFont="1" applyBorder="1" applyAlignment="1">
      <alignment horizontal="center" vertical="center"/>
    </xf>
    <xf numFmtId="0" fontId="45" fillId="0" borderId="119" xfId="0" applyFont="1" applyBorder="1" applyAlignment="1">
      <alignment horizontal="center" vertical="center"/>
    </xf>
    <xf numFmtId="0" fontId="45" fillId="0" borderId="38" xfId="0" applyFont="1" applyBorder="1" applyAlignment="1">
      <alignment horizontal="center" vertical="center"/>
    </xf>
    <xf numFmtId="0" fontId="3" fillId="0" borderId="1" xfId="25" applyNumberFormat="1" applyFont="1" applyBorder="1" applyAlignment="1" applyProtection="1">
      <alignment horizontal="left" vertical="top" wrapText="1"/>
    </xf>
    <xf numFmtId="0" fontId="3" fillId="0" borderId="10" xfId="25" applyNumberFormat="1" applyFont="1" applyBorder="1" applyAlignment="1" applyProtection="1">
      <alignment horizontal="left" vertical="top" wrapText="1"/>
    </xf>
    <xf numFmtId="0" fontId="3" fillId="0" borderId="1"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36" fillId="0" borderId="42" xfId="0" applyFont="1" applyBorder="1" applyAlignment="1">
      <alignment horizontal="left" vertical="top" wrapText="1"/>
    </xf>
    <xf numFmtId="0" fontId="36" fillId="0" borderId="0" xfId="0" applyFont="1" applyBorder="1" applyAlignment="1">
      <alignment horizontal="left" vertical="top" wrapText="1"/>
    </xf>
    <xf numFmtId="0" fontId="36" fillId="0" borderId="46" xfId="0" applyFont="1" applyBorder="1" applyAlignment="1">
      <alignment horizontal="left" vertical="top" wrapText="1"/>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1" xfId="0" applyFont="1" applyBorder="1" applyAlignment="1">
      <alignment horizontal="center"/>
    </xf>
    <xf numFmtId="0" fontId="45" fillId="0" borderId="10" xfId="0" applyFont="1" applyBorder="1" applyAlignment="1">
      <alignment horizontal="center"/>
    </xf>
    <xf numFmtId="0" fontId="7" fillId="24" borderId="37" xfId="0" applyFont="1" applyFill="1" applyBorder="1" applyAlignment="1" applyProtection="1">
      <alignment horizontal="left" vertical="top" wrapText="1"/>
    </xf>
    <xf numFmtId="0" fontId="0" fillId="0" borderId="119" xfId="0" applyBorder="1" applyAlignment="1">
      <alignment horizontal="left" vertical="top" wrapText="1"/>
    </xf>
    <xf numFmtId="0" fontId="7" fillId="24" borderId="119" xfId="0" applyFont="1" applyFill="1" applyBorder="1" applyAlignment="1" applyProtection="1">
      <alignment horizontal="left" vertical="top" wrapText="1"/>
    </xf>
    <xf numFmtId="0" fontId="7" fillId="24" borderId="38" xfId="0" applyFont="1" applyFill="1" applyBorder="1" applyAlignment="1" applyProtection="1">
      <alignment horizontal="left" vertical="top" wrapText="1"/>
    </xf>
    <xf numFmtId="0" fontId="13" fillId="19" borderId="30" xfId="15" applyFont="1" applyBorder="1" applyAlignment="1" applyProtection="1">
      <alignment horizontal="left" vertical="center"/>
    </xf>
    <xf numFmtId="0" fontId="13" fillId="19" borderId="31" xfId="15" applyFont="1" applyBorder="1" applyAlignment="1" applyProtection="1">
      <alignment horizontal="left" vertical="center"/>
    </xf>
    <xf numFmtId="0" fontId="20" fillId="0" borderId="0" xfId="16" applyFont="1" applyAlignment="1" applyProtection="1">
      <alignment horizontal="left" vertical="center"/>
    </xf>
    <xf numFmtId="0" fontId="46" fillId="0" borderId="30" xfId="0" applyFont="1" applyBorder="1" applyAlignment="1" applyProtection="1">
      <alignment horizontal="left"/>
    </xf>
    <xf numFmtId="0" fontId="46" fillId="0" borderId="31" xfId="0" applyFont="1" applyBorder="1" applyAlignment="1" applyProtection="1">
      <alignment horizontal="left"/>
    </xf>
    <xf numFmtId="0" fontId="20" fillId="0" borderId="0" xfId="16" applyFont="1" applyAlignment="1" applyProtection="1">
      <alignment horizontal="left" vertical="center"/>
      <protection locked="0"/>
    </xf>
    <xf numFmtId="0" fontId="16" fillId="0" borderId="0" xfId="28" applyFont="1" applyFill="1" applyBorder="1" applyAlignment="1" applyProtection="1">
      <alignment horizontal="left" vertical="center" wrapText="1"/>
    </xf>
    <xf numFmtId="0" fontId="3" fillId="5" borderId="257" xfId="25" applyFont="1" applyFill="1" applyBorder="1" applyAlignment="1" applyProtection="1">
      <alignment horizontal="left" vertical="top" wrapText="1"/>
      <protection locked="0"/>
    </xf>
    <xf numFmtId="0" fontId="3" fillId="5" borderId="258" xfId="25" applyFont="1" applyFill="1" applyBorder="1" applyAlignment="1" applyProtection="1">
      <alignment horizontal="left" vertical="top" wrapText="1"/>
      <protection locked="0"/>
    </xf>
    <xf numFmtId="0" fontId="3" fillId="5" borderId="259" xfId="25" applyFont="1" applyFill="1" applyBorder="1" applyAlignment="1" applyProtection="1">
      <alignment horizontal="left" vertical="top" wrapText="1"/>
      <protection locked="0"/>
    </xf>
    <xf numFmtId="0" fontId="3" fillId="5" borderId="72" xfId="25" applyFont="1" applyFill="1" applyBorder="1" applyAlignment="1" applyProtection="1">
      <alignment horizontal="left" vertical="top" wrapText="1"/>
      <protection locked="0"/>
    </xf>
    <xf numFmtId="0" fontId="3" fillId="5" borderId="138" xfId="25" applyFont="1" applyFill="1" applyBorder="1" applyAlignment="1" applyProtection="1">
      <alignment horizontal="left" vertical="top" wrapText="1"/>
      <protection locked="0"/>
    </xf>
    <xf numFmtId="0" fontId="3" fillId="5" borderId="117" xfId="25" applyFont="1" applyFill="1" applyBorder="1" applyAlignment="1" applyProtection="1">
      <alignment horizontal="left" vertical="top" wrapText="1"/>
      <protection locked="0"/>
    </xf>
    <xf numFmtId="0" fontId="12" fillId="30" borderId="30" xfId="15" applyFont="1" applyFill="1" applyBorder="1" applyAlignment="1">
      <alignment horizontal="left" vertical="top"/>
    </xf>
    <xf numFmtId="0" fontId="12" fillId="30" borderId="43" xfId="15" applyFont="1" applyFill="1" applyBorder="1" applyAlignment="1">
      <alignment horizontal="left" vertical="top"/>
    </xf>
    <xf numFmtId="0" fontId="12" fillId="30" borderId="31" xfId="15" applyFont="1" applyFill="1" applyBorder="1" applyAlignment="1">
      <alignment horizontal="left" vertical="top"/>
    </xf>
    <xf numFmtId="0" fontId="16" fillId="0" borderId="0" xfId="28" applyFont="1" applyFill="1" applyBorder="1" applyAlignment="1">
      <alignment horizontal="left" wrapText="1"/>
    </xf>
    <xf numFmtId="0" fontId="17" fillId="0" borderId="0" xfId="16" applyFont="1" applyAlignment="1" applyProtection="1">
      <alignment horizontal="left"/>
      <protection locked="0"/>
    </xf>
    <xf numFmtId="0" fontId="12" fillId="24" borderId="30" xfId="15" applyFont="1" applyFill="1" applyBorder="1" applyAlignment="1" applyProtection="1">
      <alignment horizontal="left" vertical="center"/>
    </xf>
    <xf numFmtId="0" fontId="12" fillId="24" borderId="43" xfId="15" applyFont="1" applyFill="1" applyBorder="1" applyAlignment="1" applyProtection="1">
      <alignment horizontal="left" vertical="center"/>
    </xf>
    <xf numFmtId="0" fontId="12" fillId="24" borderId="31" xfId="15" applyFont="1" applyFill="1" applyBorder="1" applyAlignment="1" applyProtection="1">
      <alignment horizontal="left" vertical="center"/>
    </xf>
    <xf numFmtId="0" fontId="5" fillId="11" borderId="5" xfId="15" applyFont="1" applyFill="1" applyBorder="1" applyAlignment="1" applyProtection="1">
      <alignment horizontal="left" vertical="center" wrapText="1"/>
    </xf>
    <xf numFmtId="0" fontId="5" fillId="11" borderId="6" xfId="15" applyFont="1" applyFill="1" applyBorder="1" applyAlignment="1" applyProtection="1">
      <alignment horizontal="left" vertical="center" wrapText="1"/>
    </xf>
    <xf numFmtId="0" fontId="5" fillId="11" borderId="7" xfId="15" applyFont="1" applyFill="1" applyBorder="1" applyAlignment="1" applyProtection="1">
      <alignment horizontal="left" vertical="center" wrapText="1"/>
    </xf>
    <xf numFmtId="0" fontId="5" fillId="11" borderId="3" xfId="15" applyFont="1" applyFill="1" applyBorder="1" applyAlignment="1" applyProtection="1">
      <alignment horizontal="left" vertical="center" wrapText="1"/>
    </xf>
    <xf numFmtId="0" fontId="5" fillId="11" borderId="1" xfId="15" applyFont="1" applyFill="1" applyBorder="1" applyAlignment="1" applyProtection="1">
      <alignment horizontal="left" vertical="center" wrapText="1"/>
    </xf>
    <xf numFmtId="0" fontId="5" fillId="11" borderId="10" xfId="15" applyFont="1" applyFill="1" applyBorder="1" applyAlignment="1" applyProtection="1">
      <alignment horizontal="left" vertical="center" wrapText="1"/>
    </xf>
    <xf numFmtId="0" fontId="7" fillId="0" borderId="101" xfId="0" applyFont="1" applyBorder="1" applyAlignment="1">
      <alignment horizontal="center" vertical="center"/>
    </xf>
    <xf numFmtId="0" fontId="7" fillId="0" borderId="6" xfId="0" applyFont="1" applyBorder="1" applyAlignment="1">
      <alignment horizontal="center" vertical="center"/>
    </xf>
    <xf numFmtId="0" fontId="7" fillId="0" borderId="61" xfId="0" applyFont="1" applyBorder="1" applyAlignment="1">
      <alignment horizontal="center" vertical="center"/>
    </xf>
    <xf numFmtId="0" fontId="26" fillId="0" borderId="61" xfId="0" applyFont="1" applyBorder="1" applyAlignment="1">
      <alignment horizontal="center" vertical="center"/>
    </xf>
    <xf numFmtId="0" fontId="26" fillId="0" borderId="6" xfId="0" applyFont="1" applyBorder="1" applyAlignment="1">
      <alignment horizontal="center" vertical="center"/>
    </xf>
    <xf numFmtId="0" fontId="7" fillId="0" borderId="73" xfId="0" applyFont="1" applyBorder="1" applyAlignment="1">
      <alignment horizontal="center" wrapText="1"/>
    </xf>
    <xf numFmtId="0" fontId="7" fillId="0" borderId="38" xfId="0" applyFont="1" applyBorder="1" applyAlignment="1">
      <alignment horizontal="center" wrapText="1"/>
    </xf>
    <xf numFmtId="0" fontId="7" fillId="0" borderId="1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1" xfId="0" applyFont="1" applyBorder="1" applyAlignment="1">
      <alignment horizontal="center" vertical="center"/>
    </xf>
    <xf numFmtId="0" fontId="7" fillId="0" borderId="64" xfId="0" applyFont="1" applyBorder="1" applyAlignment="1">
      <alignment horizontal="center" vertical="center"/>
    </xf>
    <xf numFmtId="0" fontId="7" fillId="0" borderId="48" xfId="0" applyFont="1" applyBorder="1" applyAlignment="1">
      <alignment horizontal="center" vertical="center"/>
    </xf>
    <xf numFmtId="0" fontId="7" fillId="0" borderId="73" xfId="0" applyFont="1" applyBorder="1" applyAlignment="1">
      <alignment horizontal="center" vertical="center"/>
    </xf>
    <xf numFmtId="0" fontId="7" fillId="0" borderId="38" xfId="0" applyFont="1" applyBorder="1" applyAlignment="1">
      <alignment horizontal="center" vertical="center"/>
    </xf>
    <xf numFmtId="0" fontId="7" fillId="0" borderId="81" xfId="0" applyFont="1" applyBorder="1" applyAlignment="1">
      <alignment horizontal="center" vertical="center"/>
    </xf>
    <xf numFmtId="0" fontId="7" fillId="0" borderId="6" xfId="0" applyFont="1" applyBorder="1" applyAlignment="1">
      <alignment horizontal="center" vertical="center" wrapText="1"/>
    </xf>
    <xf numFmtId="0" fontId="7" fillId="0" borderId="24"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3"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72" xfId="0" applyFont="1" applyBorder="1" applyAlignment="1">
      <alignment horizontal="center" vertical="center"/>
    </xf>
    <xf numFmtId="0" fontId="7" fillId="0" borderId="75" xfId="0" applyFont="1" applyBorder="1" applyAlignment="1">
      <alignment horizontal="center" vertical="center"/>
    </xf>
    <xf numFmtId="0" fontId="7" fillId="4" borderId="1" xfId="0" applyFont="1" applyFill="1" applyBorder="1" applyAlignment="1">
      <alignment horizontal="left"/>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wrapText="1"/>
    </xf>
    <xf numFmtId="0" fontId="3" fillId="0" borderId="10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9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102"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98" xfId="0" applyFont="1" applyBorder="1" applyAlignment="1">
      <alignment horizontal="center" vertical="center"/>
    </xf>
    <xf numFmtId="0" fontId="66" fillId="0" borderId="64" xfId="0" applyFont="1" applyBorder="1" applyAlignment="1">
      <alignment horizontal="left" vertical="top" wrapText="1"/>
    </xf>
    <xf numFmtId="0" fontId="66" fillId="0" borderId="65" xfId="0" applyFont="1" applyBorder="1" applyAlignment="1">
      <alignment horizontal="left" vertical="top" wrapText="1"/>
    </xf>
    <xf numFmtId="0" fontId="66" fillId="0" borderId="44" xfId="0" applyFont="1" applyBorder="1" applyAlignment="1">
      <alignment horizontal="left" vertical="top" wrapText="1"/>
    </xf>
    <xf numFmtId="0" fontId="66" fillId="0" borderId="160" xfId="0" applyFont="1" applyBorder="1" applyAlignment="1">
      <alignment horizontal="center" vertical="center"/>
    </xf>
    <xf numFmtId="0" fontId="66" fillId="0" borderId="161" xfId="0" applyFont="1" applyBorder="1" applyAlignment="1">
      <alignment horizontal="center" vertical="center"/>
    </xf>
    <xf numFmtId="0" fontId="66" fillId="0" borderId="45" xfId="0" applyFont="1" applyBorder="1" applyAlignment="1">
      <alignment horizontal="center" vertical="center"/>
    </xf>
    <xf numFmtId="0" fontId="45" fillId="0" borderId="102" xfId="0" applyFont="1" applyBorder="1" applyAlignment="1">
      <alignment horizontal="center" vertical="center"/>
    </xf>
    <xf numFmtId="0" fontId="45" fillId="0" borderId="138" xfId="0" applyFont="1" applyBorder="1" applyAlignment="1">
      <alignment horizontal="center" vertical="center"/>
    </xf>
    <xf numFmtId="0" fontId="45" fillId="0" borderId="117" xfId="0" applyFont="1" applyBorder="1" applyAlignment="1">
      <alignment horizontal="center" vertical="center"/>
    </xf>
    <xf numFmtId="0" fontId="36" fillId="0" borderId="30" xfId="0" applyFont="1" applyFill="1" applyBorder="1" applyAlignment="1" applyProtection="1">
      <alignment horizontal="left" vertical="top" wrapText="1"/>
    </xf>
    <xf numFmtId="0" fontId="36" fillId="0" borderId="43" xfId="0" applyFont="1" applyFill="1" applyBorder="1" applyAlignment="1" applyProtection="1">
      <alignment horizontal="left" vertical="top" wrapText="1"/>
    </xf>
    <xf numFmtId="0" fontId="36" fillId="0" borderId="31" xfId="0" applyFont="1" applyFill="1" applyBorder="1" applyAlignment="1" applyProtection="1">
      <alignment horizontal="left" vertical="top" wrapText="1"/>
    </xf>
  </cellXfs>
  <cellStyles count="44">
    <cellStyle name="40% - Accent1" xfId="38" builtinId="31"/>
    <cellStyle name="40% - Accent1 2" xfId="1" xr:uid="{00000000-0005-0000-0000-000001000000}"/>
    <cellStyle name="60% - Accent1" xfId="2" builtinId="32" customBuiltin="1"/>
    <cellStyle name="60% - Accent1 2" xfId="3" xr:uid="{00000000-0005-0000-0000-000003000000}"/>
    <cellStyle name="60% - Accent2" xfId="39" builtinId="36"/>
    <cellStyle name="60% - Accent2 2" xfId="4" xr:uid="{00000000-0005-0000-0000-000005000000}"/>
    <cellStyle name="Auto Populated Cells" xfId="5" xr:uid="{00000000-0005-0000-0000-000006000000}"/>
    <cellStyle name="Bad" xfId="6" builtinId="27" customBuiltin="1"/>
    <cellStyle name="Calculation" xfId="7" builtinId="22" customBuiltin="1"/>
    <cellStyle name="Calculation 2" xfId="8" xr:uid="{00000000-0005-0000-0000-000009000000}"/>
    <cellStyle name="Conditional Cell" xfId="9" xr:uid="{00000000-0005-0000-0000-00000A000000}"/>
    <cellStyle name="Explanatory Text" xfId="10" builtinId="53" customBuiltin="1"/>
    <cellStyle name="Explanatory Text 2" xfId="11" xr:uid="{00000000-0005-0000-0000-00000C000000}"/>
    <cellStyle name="Explanatory Text 3" xfId="12" xr:uid="{00000000-0005-0000-0000-00000D000000}"/>
    <cellStyle name="Fixed Values" xfId="13" xr:uid="{00000000-0005-0000-0000-00000E000000}"/>
    <cellStyle name="Heading 4" xfId="14" builtinId="19" customBuiltin="1"/>
    <cellStyle name="Heading 4 2" xfId="15" xr:uid="{00000000-0005-0000-0000-000010000000}"/>
    <cellStyle name="Hyperlink" xfId="16" builtinId="8"/>
    <cellStyle name="Hyperlink 2" xfId="17" xr:uid="{00000000-0005-0000-0000-000012000000}"/>
    <cellStyle name="Input" xfId="18" builtinId="20" customBuiltin="1"/>
    <cellStyle name="Input 2" xfId="19" xr:uid="{00000000-0005-0000-0000-000014000000}"/>
    <cellStyle name="Input 3" xfId="20" xr:uid="{00000000-0005-0000-0000-000015000000}"/>
    <cellStyle name="Input Cell" xfId="40" xr:uid="{992DE6B1-661C-42B4-AC77-0834499ED2F3}"/>
    <cellStyle name="Input Cell 2" xfId="43" xr:uid="{A0E82C8A-965F-4564-9420-1F6760EAD2BA}"/>
    <cellStyle name="Neutral" xfId="21" builtinId="28" customBuiltin="1"/>
    <cellStyle name="Neutral 2" xfId="22" xr:uid="{00000000-0005-0000-0000-000017000000}"/>
    <cellStyle name="Normal" xfId="0" builtinId="0" customBuiltin="1"/>
    <cellStyle name="Normal 2" xfId="23" xr:uid="{00000000-0005-0000-0000-000019000000}"/>
    <cellStyle name="Normal 2 2" xfId="24" xr:uid="{00000000-0005-0000-0000-00001A000000}"/>
    <cellStyle name="Normal 3" xfId="25" xr:uid="{00000000-0005-0000-0000-00001B000000}"/>
    <cellStyle name="Normal 3 2" xfId="26" xr:uid="{00000000-0005-0000-0000-00001C000000}"/>
    <cellStyle name="Normal 3 3" xfId="27" xr:uid="{00000000-0005-0000-0000-00001D000000}"/>
    <cellStyle name="Normal 4" xfId="28" xr:uid="{00000000-0005-0000-0000-00001E000000}"/>
    <cellStyle name="Output" xfId="29" builtinId="21" customBuiltin="1"/>
    <cellStyle name="Output 2" xfId="30" xr:uid="{00000000-0005-0000-0000-000020000000}"/>
    <cellStyle name="Output 2 2" xfId="31" xr:uid="{00000000-0005-0000-0000-000021000000}"/>
    <cellStyle name="Output Cell" xfId="41" xr:uid="{4A47D43D-20F3-41B3-BA62-139AB1486F0B}"/>
    <cellStyle name="Output Cell 2" xfId="42" xr:uid="{36100156-F72D-4E74-8BB5-17A4D025295E}"/>
    <cellStyle name="Percent" xfId="32" builtinId="5"/>
    <cellStyle name="Revision Needed" xfId="33" xr:uid="{00000000-0005-0000-0000-000023000000}"/>
    <cellStyle name="Tab Header" xfId="34" xr:uid="{00000000-0005-0000-0000-000024000000}"/>
    <cellStyle name="Table Header" xfId="35" xr:uid="{00000000-0005-0000-0000-000025000000}"/>
    <cellStyle name="Variable" xfId="36" xr:uid="{00000000-0005-0000-0000-000026000000}"/>
    <cellStyle name="Variable 2" xfId="37" xr:uid="{00000000-0005-0000-0000-000027000000}"/>
  </cellStyles>
  <dxfs count="4">
    <dxf>
      <fill>
        <patternFill patternType="darkDown"/>
      </fill>
    </dxf>
    <dxf>
      <fill>
        <patternFill patternType="darkDown"/>
      </fill>
    </dxf>
    <dxf>
      <fill>
        <patternFill patternType="darkDown"/>
      </fill>
    </dxf>
    <dxf>
      <fill>
        <patternFill patternType="darkDown"/>
      </fill>
    </dxf>
  </dxfs>
  <tableStyles count="0" defaultTableStyle="TableStyleMedium9" defaultPivotStyle="PivotStyleLight16"/>
  <colors>
    <mruColors>
      <color rgb="FF99CCFF"/>
      <color rgb="FF800000"/>
      <color rgb="FFBFBFBF"/>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583407</xdr:colOff>
      <xdr:row>12</xdr:row>
      <xdr:rowOff>217487</xdr:rowOff>
    </xdr:from>
    <xdr:to>
      <xdr:col>12</xdr:col>
      <xdr:colOff>307212</xdr:colOff>
      <xdr:row>16</xdr:row>
      <xdr:rowOff>765121</xdr:rowOff>
    </xdr:to>
    <xdr:pic>
      <xdr:nvPicPr>
        <xdr:cNvPr id="6" name="Picture 5">
          <a:extLst>
            <a:ext uri="{FF2B5EF4-FFF2-40B4-BE49-F238E27FC236}">
              <a16:creationId xmlns:a16="http://schemas.microsoft.com/office/drawing/2014/main" id="{E18359AC-440D-1114-4DE6-8F7ACC95DE00}"/>
            </a:ext>
          </a:extLst>
        </xdr:cNvPr>
        <xdr:cNvPicPr>
          <a:picLocks noChangeAspect="1"/>
        </xdr:cNvPicPr>
      </xdr:nvPicPr>
      <xdr:blipFill>
        <a:blip xmlns:r="http://schemas.openxmlformats.org/officeDocument/2006/relationships" r:embed="rId1"/>
        <a:stretch>
          <a:fillRect/>
        </a:stretch>
      </xdr:blipFill>
      <xdr:spPr>
        <a:xfrm>
          <a:off x="13823157" y="3741737"/>
          <a:ext cx="6117461" cy="67809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urrent/title-10/chapter-II/subchapter-D/part-430"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83"/>
  <sheetViews>
    <sheetView showGridLines="0" tabSelected="1" zoomScale="80" zoomScaleNormal="80" workbookViewId="0">
      <selection activeCell="B11" sqref="B11:C11"/>
    </sheetView>
  </sheetViews>
  <sheetFormatPr defaultColWidth="9" defaultRowHeight="16.5" x14ac:dyDescent="0.3"/>
  <cols>
    <col min="1" max="1" width="3.625" style="36" customWidth="1"/>
    <col min="2" max="2" width="33" style="36" customWidth="1"/>
    <col min="3" max="3" width="97.125" style="36" customWidth="1"/>
    <col min="4" max="4" width="5.125" style="36" customWidth="1"/>
    <col min="5" max="5" width="3.625" style="36" customWidth="1"/>
    <col min="6" max="16384" width="9" style="36"/>
  </cols>
  <sheetData>
    <row r="1" spans="1:5" ht="17.25" customHeight="1" thickBot="1" x14ac:dyDescent="0.35">
      <c r="A1" s="58"/>
      <c r="E1" s="37"/>
    </row>
    <row r="2" spans="1:5" ht="18" thickBot="1" x14ac:dyDescent="0.35">
      <c r="B2" s="1510" t="s">
        <v>228</v>
      </c>
      <c r="C2" s="1511"/>
      <c r="E2" s="37"/>
    </row>
    <row r="3" spans="1:5" s="38" customFormat="1" x14ac:dyDescent="0.3">
      <c r="B3" s="248" t="s">
        <v>229</v>
      </c>
      <c r="C3" s="249" t="str">
        <f>'Version Control'!C3</f>
        <v>Consumer Boiler</v>
      </c>
      <c r="E3" s="39"/>
    </row>
    <row r="4" spans="1:5" s="38" customFormat="1" x14ac:dyDescent="0.3">
      <c r="B4" s="246" t="s">
        <v>117</v>
      </c>
      <c r="C4" s="242" t="str">
        <f>'Version Control'!C4</f>
        <v>v2.1</v>
      </c>
      <c r="E4" s="39"/>
    </row>
    <row r="5" spans="1:5" s="38" customFormat="1" x14ac:dyDescent="0.3">
      <c r="B5" s="246" t="s">
        <v>118</v>
      </c>
      <c r="C5" s="243">
        <f>'Version Control'!C5</f>
        <v>45407</v>
      </c>
      <c r="E5" s="39"/>
    </row>
    <row r="6" spans="1:5" s="38" customFormat="1" x14ac:dyDescent="0.3">
      <c r="B6" s="247" t="s">
        <v>116</v>
      </c>
      <c r="C6" s="244" t="str">
        <f ca="1">MID(CELL("filename",A1), FIND("]", CELL("filename", A1))+ 1, 255)</f>
        <v>Instructions</v>
      </c>
      <c r="E6" s="39"/>
    </row>
    <row r="7" spans="1:5" s="38" customFormat="1" ht="17.25" thickBot="1" x14ac:dyDescent="0.35">
      <c r="B7" s="250" t="s">
        <v>115</v>
      </c>
      <c r="C7" s="251" t="str">
        <f ca="1">'Version Control'!C7</f>
        <v>Consumer Boiler - v2.1.xlsx</v>
      </c>
      <c r="E7" s="39"/>
    </row>
    <row r="8" spans="1:5" x14ac:dyDescent="0.3">
      <c r="E8" s="37"/>
    </row>
    <row r="9" spans="1:5" ht="17.25" thickBot="1" x14ac:dyDescent="0.35">
      <c r="E9" s="37"/>
    </row>
    <row r="10" spans="1:5" ht="18" thickBot="1" x14ac:dyDescent="0.35">
      <c r="B10" s="41" t="s">
        <v>225</v>
      </c>
      <c r="C10" s="42"/>
      <c r="E10" s="37"/>
    </row>
    <row r="11" spans="1:5" ht="20.25" customHeight="1" thickBot="1" x14ac:dyDescent="0.35">
      <c r="B11" s="1518" t="s">
        <v>1232</v>
      </c>
      <c r="C11" s="1519"/>
      <c r="E11" s="37"/>
    </row>
    <row r="12" spans="1:5" ht="17.25" thickBot="1" x14ac:dyDescent="0.35">
      <c r="E12" s="37"/>
    </row>
    <row r="13" spans="1:5" ht="18" thickBot="1" x14ac:dyDescent="0.35">
      <c r="B13" s="41" t="s">
        <v>0</v>
      </c>
      <c r="C13" s="42"/>
      <c r="E13" s="37"/>
    </row>
    <row r="14" spans="1:5" ht="18" thickBot="1" x14ac:dyDescent="0.35">
      <c r="B14" s="43" t="s">
        <v>98</v>
      </c>
      <c r="C14" s="44" t="s">
        <v>99</v>
      </c>
      <c r="E14" s="37"/>
    </row>
    <row r="15" spans="1:5" x14ac:dyDescent="0.3">
      <c r="B15" s="45" t="s">
        <v>100</v>
      </c>
      <c r="C15" s="46" t="s">
        <v>101</v>
      </c>
      <c r="E15" s="37"/>
    </row>
    <row r="16" spans="1:5" x14ac:dyDescent="0.3">
      <c r="B16" s="45" t="s">
        <v>180</v>
      </c>
      <c r="C16" s="46" t="s">
        <v>200</v>
      </c>
      <c r="E16" s="37"/>
    </row>
    <row r="17" spans="2:5" x14ac:dyDescent="0.3">
      <c r="B17" s="45" t="s">
        <v>181</v>
      </c>
      <c r="C17" s="46" t="s">
        <v>201</v>
      </c>
      <c r="E17" s="37"/>
    </row>
    <row r="18" spans="2:5" x14ac:dyDescent="0.3">
      <c r="B18" s="45" t="s">
        <v>223</v>
      </c>
      <c r="C18" s="46" t="s">
        <v>224</v>
      </c>
      <c r="E18" s="37"/>
    </row>
    <row r="19" spans="2:5" x14ac:dyDescent="0.3">
      <c r="B19" s="40" t="s">
        <v>81</v>
      </c>
      <c r="C19" s="47" t="s">
        <v>182</v>
      </c>
      <c r="E19" s="37"/>
    </row>
    <row r="20" spans="2:5" x14ac:dyDescent="0.3">
      <c r="B20" s="40" t="s">
        <v>198</v>
      </c>
      <c r="C20" s="47" t="s">
        <v>183</v>
      </c>
      <c r="E20" s="37"/>
    </row>
    <row r="21" spans="2:5" x14ac:dyDescent="0.3">
      <c r="B21" s="40" t="s">
        <v>1</v>
      </c>
      <c r="C21" s="47" t="s">
        <v>184</v>
      </c>
      <c r="E21" s="37"/>
    </row>
    <row r="22" spans="2:5" x14ac:dyDescent="0.3">
      <c r="B22" s="40" t="s">
        <v>125</v>
      </c>
      <c r="C22" s="47" t="s">
        <v>185</v>
      </c>
      <c r="E22" s="37"/>
    </row>
    <row r="23" spans="2:5" x14ac:dyDescent="0.3">
      <c r="B23" s="40" t="s">
        <v>126</v>
      </c>
      <c r="C23" s="47" t="s">
        <v>206</v>
      </c>
      <c r="E23" s="37"/>
    </row>
    <row r="24" spans="2:5" x14ac:dyDescent="0.3">
      <c r="B24" s="40" t="s">
        <v>2</v>
      </c>
      <c r="C24" s="47" t="s">
        <v>186</v>
      </c>
      <c r="E24" s="37"/>
    </row>
    <row r="25" spans="2:5" x14ac:dyDescent="0.3">
      <c r="B25" s="40" t="s">
        <v>102</v>
      </c>
      <c r="C25" s="47" t="s">
        <v>187</v>
      </c>
      <c r="E25" s="37"/>
    </row>
    <row r="26" spans="2:5" x14ac:dyDescent="0.3">
      <c r="B26" s="40" t="s">
        <v>103</v>
      </c>
      <c r="C26" s="47" t="s">
        <v>188</v>
      </c>
      <c r="E26" s="37"/>
    </row>
    <row r="27" spans="2:5" x14ac:dyDescent="0.3">
      <c r="B27" s="40" t="s">
        <v>104</v>
      </c>
      <c r="C27" s="47" t="s">
        <v>189</v>
      </c>
      <c r="E27" s="37"/>
    </row>
    <row r="28" spans="2:5" x14ac:dyDescent="0.3">
      <c r="B28" s="48" t="s">
        <v>205</v>
      </c>
      <c r="C28" s="49" t="s">
        <v>190</v>
      </c>
      <c r="E28" s="37"/>
    </row>
    <row r="29" spans="2:5" ht="17.25" thickBot="1" x14ac:dyDescent="0.35">
      <c r="B29" s="50" t="s">
        <v>105</v>
      </c>
      <c r="C29" s="51" t="s">
        <v>191</v>
      </c>
      <c r="E29" s="37"/>
    </row>
    <row r="30" spans="2:5" ht="17.25" thickBot="1" x14ac:dyDescent="0.35">
      <c r="E30" s="37"/>
    </row>
    <row r="31" spans="2:5" ht="18" thickBot="1" x14ac:dyDescent="0.4">
      <c r="B31" s="1512" t="s">
        <v>106</v>
      </c>
      <c r="C31" s="1513"/>
      <c r="E31" s="37"/>
    </row>
    <row r="32" spans="2:5" x14ac:dyDescent="0.3">
      <c r="B32" s="1514" t="s">
        <v>230</v>
      </c>
      <c r="C32" s="285" t="s">
        <v>231</v>
      </c>
      <c r="E32" s="37"/>
    </row>
    <row r="33" spans="1:5" x14ac:dyDescent="0.3">
      <c r="B33" s="1515"/>
      <c r="C33" s="286" t="s">
        <v>232</v>
      </c>
      <c r="E33" s="37"/>
    </row>
    <row r="34" spans="1:5" x14ac:dyDescent="0.3">
      <c r="B34" s="1515" t="s">
        <v>233</v>
      </c>
      <c r="C34" s="287" t="s">
        <v>107</v>
      </c>
      <c r="E34" s="37"/>
    </row>
    <row r="35" spans="1:5" x14ac:dyDescent="0.3">
      <c r="B35" s="1515"/>
      <c r="C35" s="288" t="s">
        <v>234</v>
      </c>
      <c r="E35" s="37"/>
    </row>
    <row r="36" spans="1:5" x14ac:dyDescent="0.3">
      <c r="B36" s="1515"/>
      <c r="C36" s="289" t="s">
        <v>235</v>
      </c>
      <c r="E36" s="37"/>
    </row>
    <row r="37" spans="1:5" x14ac:dyDescent="0.3">
      <c r="B37" s="1516"/>
      <c r="C37" s="421" t="s">
        <v>376</v>
      </c>
      <c r="E37" s="37"/>
    </row>
    <row r="38" spans="1:5" ht="21.75" thickBot="1" x14ac:dyDescent="0.35">
      <c r="B38" s="1517"/>
      <c r="C38" s="290" t="s">
        <v>108</v>
      </c>
      <c r="E38" s="37"/>
    </row>
    <row r="39" spans="1:5" ht="17.25" thickBot="1" x14ac:dyDescent="0.35">
      <c r="C39" s="54"/>
      <c r="E39" s="37"/>
    </row>
    <row r="40" spans="1:5" ht="18.75" thickBot="1" x14ac:dyDescent="0.35">
      <c r="B40" s="55" t="s">
        <v>109</v>
      </c>
      <c r="C40" s="56"/>
      <c r="E40" s="37"/>
    </row>
    <row r="41" spans="1:5" ht="16.5" customHeight="1" x14ac:dyDescent="0.3">
      <c r="B41" s="1522" t="s">
        <v>110</v>
      </c>
      <c r="C41" s="1523"/>
      <c r="E41" s="37"/>
    </row>
    <row r="42" spans="1:5" x14ac:dyDescent="0.3">
      <c r="B42" s="1524"/>
      <c r="C42" s="1525"/>
      <c r="E42" s="37"/>
    </row>
    <row r="43" spans="1:5" ht="17.25" thickBot="1" x14ac:dyDescent="0.35">
      <c r="B43" s="1526"/>
      <c r="C43" s="1527"/>
      <c r="E43" s="37"/>
    </row>
    <row r="44" spans="1:5" ht="17.25" customHeight="1" x14ac:dyDescent="0.3">
      <c r="B44" s="1528" t="s">
        <v>111</v>
      </c>
      <c r="C44" s="1529"/>
      <c r="E44" s="37"/>
    </row>
    <row r="45" spans="1:5" ht="17.25" customHeight="1" thickBot="1" x14ac:dyDescent="0.35">
      <c r="B45" s="1530"/>
      <c r="C45" s="1531"/>
      <c r="E45" s="37"/>
    </row>
    <row r="46" spans="1:5" ht="17.25" customHeight="1" x14ac:dyDescent="0.3">
      <c r="B46" s="1532" t="s">
        <v>112</v>
      </c>
      <c r="C46" s="1534" t="s">
        <v>113</v>
      </c>
      <c r="E46" s="37"/>
    </row>
    <row r="47" spans="1:5" ht="17.25" customHeight="1" x14ac:dyDescent="0.3">
      <c r="B47" s="1533"/>
      <c r="C47" s="1535"/>
      <c r="E47" s="37"/>
    </row>
    <row r="48" spans="1:5" s="38" customFormat="1" ht="17.25" customHeight="1" x14ac:dyDescent="0.3">
      <c r="A48" s="10"/>
      <c r="B48" s="1501" t="s">
        <v>3</v>
      </c>
      <c r="C48" s="1502" t="s">
        <v>81</v>
      </c>
      <c r="E48" s="39"/>
    </row>
    <row r="49" spans="1:5" s="38" customFormat="1" ht="17.25" customHeight="1" x14ac:dyDescent="0.3">
      <c r="A49" s="10"/>
      <c r="B49" s="1503" t="s">
        <v>4</v>
      </c>
      <c r="C49" s="1504" t="s">
        <v>1211</v>
      </c>
      <c r="E49" s="39"/>
    </row>
    <row r="50" spans="1:5" x14ac:dyDescent="0.3">
      <c r="A50" s="10"/>
      <c r="B50" s="1503" t="s">
        <v>5</v>
      </c>
      <c r="C50" s="1505" t="s">
        <v>198</v>
      </c>
      <c r="E50" s="37"/>
    </row>
    <row r="51" spans="1:5" x14ac:dyDescent="0.3">
      <c r="A51" s="10"/>
      <c r="B51" s="1503" t="s">
        <v>6</v>
      </c>
      <c r="C51" s="1506" t="s">
        <v>168</v>
      </c>
      <c r="E51" s="37"/>
    </row>
    <row r="52" spans="1:5" x14ac:dyDescent="0.3">
      <c r="A52" s="10"/>
      <c r="B52" s="1503" t="s">
        <v>7</v>
      </c>
      <c r="C52" s="1505" t="s">
        <v>1</v>
      </c>
      <c r="E52" s="37"/>
    </row>
    <row r="53" spans="1:5" x14ac:dyDescent="0.3">
      <c r="A53" s="10"/>
      <c r="B53" s="1507" t="s">
        <v>8</v>
      </c>
      <c r="C53" s="1508" t="s">
        <v>1230</v>
      </c>
      <c r="E53" s="37"/>
    </row>
    <row r="54" spans="1:5" x14ac:dyDescent="0.3">
      <c r="A54" s="10"/>
      <c r="B54" s="77" t="s">
        <v>9</v>
      </c>
      <c r="C54" s="1144" t="s">
        <v>409</v>
      </c>
      <c r="E54" s="37"/>
    </row>
    <row r="55" spans="1:5" x14ac:dyDescent="0.3">
      <c r="A55" s="10"/>
      <c r="B55" s="160" t="s">
        <v>10</v>
      </c>
      <c r="C55" s="161" t="s">
        <v>125</v>
      </c>
      <c r="E55" s="37"/>
    </row>
    <row r="56" spans="1:5" x14ac:dyDescent="0.3">
      <c r="A56" s="10"/>
      <c r="B56" s="77" t="s">
        <v>11</v>
      </c>
      <c r="C56" s="161" t="s">
        <v>126</v>
      </c>
      <c r="E56" s="37"/>
    </row>
    <row r="57" spans="1:5" x14ac:dyDescent="0.3">
      <c r="A57" s="10"/>
      <c r="B57" s="1330" t="s">
        <v>166</v>
      </c>
      <c r="C57" s="1331" t="s">
        <v>1228</v>
      </c>
      <c r="E57" s="37"/>
    </row>
    <row r="58" spans="1:5" x14ac:dyDescent="0.3">
      <c r="A58" s="10"/>
      <c r="B58" s="160" t="s">
        <v>1039</v>
      </c>
      <c r="C58" s="1145" t="s">
        <v>1213</v>
      </c>
      <c r="E58" s="37"/>
    </row>
    <row r="59" spans="1:5" x14ac:dyDescent="0.3">
      <c r="A59" s="10"/>
      <c r="B59" s="1330" t="s">
        <v>1212</v>
      </c>
      <c r="C59" s="1331" t="s">
        <v>1215</v>
      </c>
      <c r="E59" s="37"/>
    </row>
    <row r="60" spans="1:5" x14ac:dyDescent="0.3">
      <c r="A60" s="10"/>
      <c r="B60" s="1330" t="s">
        <v>1221</v>
      </c>
      <c r="C60" s="1331" t="s">
        <v>1214</v>
      </c>
      <c r="E60" s="37"/>
    </row>
    <row r="61" spans="1:5" x14ac:dyDescent="0.3">
      <c r="A61" s="10"/>
      <c r="B61" s="1330" t="s">
        <v>1222</v>
      </c>
      <c r="C61" s="1331" t="s">
        <v>1216</v>
      </c>
      <c r="E61" s="37"/>
    </row>
    <row r="62" spans="1:5" x14ac:dyDescent="0.3">
      <c r="A62" s="10"/>
      <c r="B62" s="1330" t="s">
        <v>1223</v>
      </c>
      <c r="C62" s="1331" t="s">
        <v>1217</v>
      </c>
      <c r="E62" s="37"/>
    </row>
    <row r="63" spans="1:5" ht="33" x14ac:dyDescent="0.3">
      <c r="A63" s="10"/>
      <c r="B63" s="1330" t="s">
        <v>1224</v>
      </c>
      <c r="C63" s="1345" t="s">
        <v>1209</v>
      </c>
      <c r="E63" s="37"/>
    </row>
    <row r="64" spans="1:5" x14ac:dyDescent="0.3">
      <c r="A64" s="10"/>
      <c r="B64" s="1330" t="s">
        <v>1225</v>
      </c>
      <c r="C64" s="1331" t="s">
        <v>1218</v>
      </c>
      <c r="E64" s="37"/>
    </row>
    <row r="65" spans="1:5" x14ac:dyDescent="0.3">
      <c r="A65" s="10"/>
      <c r="B65" s="1330" t="s">
        <v>1226</v>
      </c>
      <c r="C65" s="1331" t="s">
        <v>1219</v>
      </c>
      <c r="E65" s="37"/>
    </row>
    <row r="66" spans="1:5" x14ac:dyDescent="0.3">
      <c r="A66" s="10"/>
      <c r="B66" s="1330" t="s">
        <v>1227</v>
      </c>
      <c r="C66" s="1331" t="s">
        <v>1220</v>
      </c>
      <c r="E66" s="37"/>
    </row>
    <row r="67" spans="1:5" x14ac:dyDescent="0.3">
      <c r="A67" s="10"/>
      <c r="B67" s="77" t="s">
        <v>1229</v>
      </c>
      <c r="C67" s="291" t="s">
        <v>2</v>
      </c>
      <c r="E67" s="37"/>
    </row>
    <row r="68" spans="1:5" x14ac:dyDescent="0.3">
      <c r="A68" s="10"/>
      <c r="B68" s="160" t="s">
        <v>1231</v>
      </c>
      <c r="C68" s="161" t="s">
        <v>103</v>
      </c>
      <c r="E68" s="37"/>
    </row>
    <row r="69" spans="1:5" ht="17.25" thickBot="1" x14ac:dyDescent="0.35">
      <c r="A69" s="10"/>
      <c r="B69" s="162" t="s">
        <v>1255</v>
      </c>
      <c r="C69" s="163" t="s">
        <v>114</v>
      </c>
      <c r="E69" s="37"/>
    </row>
    <row r="70" spans="1:5" ht="17.25" thickBot="1" x14ac:dyDescent="0.35">
      <c r="B70" s="57"/>
      <c r="C70" s="52"/>
      <c r="E70" s="37"/>
    </row>
    <row r="71" spans="1:5" ht="18" thickBot="1" x14ac:dyDescent="0.35">
      <c r="B71" s="158" t="s">
        <v>167</v>
      </c>
      <c r="C71" s="159"/>
      <c r="E71" s="37"/>
    </row>
    <row r="72" spans="1:5" x14ac:dyDescent="0.3">
      <c r="B72" s="100" t="s">
        <v>1208</v>
      </c>
      <c r="C72" s="101"/>
      <c r="E72" s="37"/>
    </row>
    <row r="73" spans="1:5" ht="34.5" customHeight="1" x14ac:dyDescent="0.3">
      <c r="B73" s="1520" t="s">
        <v>1209</v>
      </c>
      <c r="C73" s="1521"/>
      <c r="E73" s="37"/>
    </row>
    <row r="74" spans="1:5" ht="17.25" x14ac:dyDescent="0.3">
      <c r="B74" s="77" t="s">
        <v>164</v>
      </c>
      <c r="C74" s="103"/>
      <c r="E74" s="37"/>
    </row>
    <row r="75" spans="1:5" x14ac:dyDescent="0.3">
      <c r="B75" s="105" t="s">
        <v>160</v>
      </c>
      <c r="C75" s="102"/>
      <c r="E75" s="37"/>
    </row>
    <row r="76" spans="1:5" x14ac:dyDescent="0.3">
      <c r="B76" s="105" t="s">
        <v>161</v>
      </c>
      <c r="C76" s="102"/>
      <c r="E76" s="37"/>
    </row>
    <row r="77" spans="1:5" x14ac:dyDescent="0.3">
      <c r="B77" s="105" t="s">
        <v>162</v>
      </c>
      <c r="C77" s="102"/>
      <c r="E77" s="37"/>
    </row>
    <row r="78" spans="1:5" x14ac:dyDescent="0.3">
      <c r="B78" s="105" t="s">
        <v>163</v>
      </c>
      <c r="C78" s="102"/>
      <c r="E78" s="37"/>
    </row>
    <row r="79" spans="1:5" x14ac:dyDescent="0.3">
      <c r="B79" s="105" t="s">
        <v>165</v>
      </c>
      <c r="C79" s="102"/>
      <c r="E79" s="37"/>
    </row>
    <row r="80" spans="1:5" x14ac:dyDescent="0.3">
      <c r="B80" s="157" t="s">
        <v>172</v>
      </c>
      <c r="C80" s="102"/>
      <c r="E80" s="37"/>
    </row>
    <row r="81" spans="1:5" ht="17.25" thickBot="1" x14ac:dyDescent="0.35">
      <c r="B81" s="106" t="s">
        <v>192</v>
      </c>
      <c r="C81" s="104"/>
      <c r="E81" s="37"/>
    </row>
    <row r="82" spans="1:5" x14ac:dyDescent="0.3">
      <c r="E82" s="37"/>
    </row>
    <row r="83" spans="1:5" x14ac:dyDescent="0.3">
      <c r="A83" s="37"/>
      <c r="B83" s="37"/>
      <c r="C83" s="37"/>
      <c r="D83" s="37"/>
      <c r="E83" s="37"/>
    </row>
  </sheetData>
  <sheetProtection algorithmName="SHA-512" hashValue="nBIdJAYIei/77XIdwsEVcIFMq1mMCQcLIF7geMcECX3OUOLSuloNXgK+7TyH6ON2/NORNVirrXhCR0t2Y+QQxw==" saltValue="HzQ4LXlbspYYwgJJ3VS51Q==" spinCount="100000" sheet="1" selectLockedCells="1"/>
  <mergeCells count="10">
    <mergeCell ref="B73:C73"/>
    <mergeCell ref="B41:C43"/>
    <mergeCell ref="B44:C45"/>
    <mergeCell ref="B46:B47"/>
    <mergeCell ref="C46:C47"/>
    <mergeCell ref="B2:C2"/>
    <mergeCell ref="B31:C31"/>
    <mergeCell ref="B32:B33"/>
    <mergeCell ref="B34:B38"/>
    <mergeCell ref="B11:C11"/>
  </mergeCells>
  <phoneticPr fontId="28" type="noConversion"/>
  <hyperlinks>
    <hyperlink ref="B11" r:id="rId1" display="10 CFR 430 Subpart B Appendix N:  Uniform Test Method for Measuring the Energy Consumption of Furnaces and Boilers [62 FR 26157, May 12, 1997]" xr:uid="{00000000-0004-0000-0000-000000000000}"/>
    <hyperlink ref="C69" location="'Report Sign-Off Block'!A1" display="Report Sign-off Block" xr:uid="{00000000-0004-0000-0000-000001000000}"/>
    <hyperlink ref="C48" location="'General Info &amp; Test Results'!A1" display="General Info &amp; Test Results" xr:uid="{00000000-0004-0000-0000-000002000000}"/>
    <hyperlink ref="C52" location="'Test Conditions'!A1" display="Test Conditions" xr:uid="{00000000-0004-0000-0000-000004000000}"/>
    <hyperlink ref="C55" location="'MAX Test'!A1" display="Max Test" xr:uid="{00000000-0004-0000-0000-000005000000}"/>
    <hyperlink ref="C56" location="'Reduced Test'!A1" display="Reduced Test" xr:uid="{00000000-0004-0000-0000-000006000000}"/>
    <hyperlink ref="C67" location="Photos!A1" display="Photos" xr:uid="{00000000-0004-0000-0000-000007000000}"/>
    <hyperlink ref="C68" location="Comments!A1" display="Comments" xr:uid="{00000000-0004-0000-0000-000009000000}"/>
    <hyperlink ref="B11:C11" r:id="rId2" display="10 CFR 430 Subpart B Appendix N:  Uniform Test Method for Measuring the Energy Consumption of Furnaces and Boilers" xr:uid="{00000000-0004-0000-0000-00000A000000}"/>
    <hyperlink ref="C54" location="'Jacket Loss'!A1" display="Jacket Loss" xr:uid="{B9BEFE4E-C75B-4D8C-B7FA-C6F558FCE984}"/>
    <hyperlink ref="C58" location="'Electric F, B Calculations'!A1" display="Electric F,B Calculations" xr:uid="{AC55CE09-1EC3-4E1E-B1AD-BA054C551BAC}"/>
    <hyperlink ref="C57" location="'Cyclic Timing Calculations'!A1" display="Cyclic Timing Calculations" xr:uid="{00493849-7CDB-4E67-B705-86D0B49AAF5E}"/>
    <hyperlink ref="C59" location="' Non-Con, Non-Mod Calculations'!A1" display="Non-Con, Non-Mod Calculations" xr:uid="{EB10100C-BBB2-4EF0-9307-AFE40412ABC3}"/>
    <hyperlink ref="C60" location="'Con, Non-Mod Calculations'!A1" display="Con, Non-Mod Calculations" xr:uid="{1AC2F2C2-C081-48B9-93B8-383AA1EFBD9A}"/>
    <hyperlink ref="C61" location="'Non-Con, Mod Calculations'!A1" display="Non-Con, Mod Calculations" xr:uid="{01AB46F0-035E-4E49-BEF3-98AF6807B9A3}"/>
    <hyperlink ref="C62" location="'Con, Mod Calculations'!A1" display="Con, Mod Calculations" xr:uid="{13A01BC8-0EBB-4531-B127-9F0120CAC0B7}"/>
    <hyperlink ref="C64" location="'Input Steady State Test Data'!A1" display="Input Steady State Test Data" xr:uid="{8D0AB1B0-500D-4ED1-AF9B-94207572D78B}"/>
    <hyperlink ref="C65" location="'Input Cool-Down Test Data'!A1" display="Input Cool-Down Test Data" xr:uid="{5CAE12EC-0D25-4AAE-9882-F6FBC44EAC18}"/>
    <hyperlink ref="C66" location="'Input Heat-Up Test Data'!A1" display="Input Heat-Up Test Data" xr:uid="{D0F0BA2C-3B48-465C-92F3-C9D5EE4BF866}"/>
    <hyperlink ref="C53" location="'Standby &amp; Off Power'!A1" display="Standby &amp; Off Power" xr:uid="{341262C0-C379-48F1-A6EB-F964A8C365BA}"/>
    <hyperlink ref="C50" location="Instrumentation!A1" display="Instrumentation" xr:uid="{00000000-0004-0000-0000-000003000000}"/>
    <hyperlink ref="C49" location="'Sys. # &amp; Product Characteristic'!A1" display="Sys. # &amp; Product Characteristic" xr:uid="{E66BC1AC-7F64-435D-B0A2-F893D4D10EA2}"/>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Q67"/>
  <sheetViews>
    <sheetView showGridLines="0" zoomScale="80" zoomScaleNormal="80" workbookViewId="0">
      <selection activeCell="C12" sqref="C12"/>
    </sheetView>
  </sheetViews>
  <sheetFormatPr defaultColWidth="9" defaultRowHeight="16.5" x14ac:dyDescent="0.3"/>
  <cols>
    <col min="1" max="1" width="3.625" style="74" customWidth="1"/>
    <col min="2" max="2" width="61.625" style="74" customWidth="1"/>
    <col min="3" max="3" width="46.5" style="74" customWidth="1"/>
    <col min="4" max="4" width="5.875" style="74" customWidth="1"/>
    <col min="5" max="5" width="36.125" style="74" customWidth="1"/>
    <col min="6" max="6" width="19.875" style="74" customWidth="1"/>
    <col min="7" max="7" width="17.875" style="74" customWidth="1"/>
    <col min="8" max="8" width="40.125" style="74" customWidth="1"/>
    <col min="9" max="9" width="4.625" style="74" customWidth="1"/>
    <col min="10" max="10" width="3.875" style="74" customWidth="1"/>
    <col min="11" max="16" width="9" style="95"/>
    <col min="17" max="17" width="20.625" style="95" customWidth="1"/>
    <col min="18" max="16384" width="9" style="95"/>
  </cols>
  <sheetData>
    <row r="1" spans="2:10" ht="17.25" thickBot="1" x14ac:dyDescent="0.35">
      <c r="J1" s="75"/>
    </row>
    <row r="2" spans="2:10" ht="18" thickBot="1" x14ac:dyDescent="0.35">
      <c r="B2" s="1537" t="s">
        <v>228</v>
      </c>
      <c r="C2" s="1538"/>
      <c r="E2" s="292"/>
      <c r="J2" s="75"/>
    </row>
    <row r="3" spans="2:10" ht="21.75" customHeight="1" x14ac:dyDescent="0.3">
      <c r="B3" s="237" t="s">
        <v>229</v>
      </c>
      <c r="C3" s="241" t="str">
        <f>'Version Control'!C3</f>
        <v>Consumer Boiler</v>
      </c>
      <c r="J3" s="75"/>
    </row>
    <row r="4" spans="2:10" ht="18" x14ac:dyDescent="0.3">
      <c r="B4" s="238" t="s">
        <v>117</v>
      </c>
      <c r="C4" s="1466" t="str">
        <f>'Version Control'!C4</f>
        <v>v2.1</v>
      </c>
      <c r="E4" s="76" t="s">
        <v>124</v>
      </c>
      <c r="J4" s="75"/>
    </row>
    <row r="5" spans="2:10" x14ac:dyDescent="0.3">
      <c r="B5" s="238" t="s">
        <v>118</v>
      </c>
      <c r="C5" s="1467">
        <f>'Version Control'!C5</f>
        <v>45407</v>
      </c>
      <c r="J5" s="75"/>
    </row>
    <row r="6" spans="2:10" x14ac:dyDescent="0.3">
      <c r="B6" s="239" t="s">
        <v>116</v>
      </c>
      <c r="C6" s="244" t="str">
        <f ca="1">MID(CELL("filename",A1), FIND("]", CELL("filename", A1))+ 1, 255)</f>
        <v>General Info &amp; Test Results</v>
      </c>
      <c r="J6" s="75"/>
    </row>
    <row r="7" spans="2:10" x14ac:dyDescent="0.3">
      <c r="B7" s="228" t="s">
        <v>115</v>
      </c>
      <c r="C7" s="214" t="str">
        <f ca="1">'Version Control'!C7</f>
        <v>Consumer Boiler - v2.1.xlsx</v>
      </c>
      <c r="J7" s="75"/>
    </row>
    <row r="8" spans="2:10" ht="17.25" thickBot="1" x14ac:dyDescent="0.35">
      <c r="B8" s="240" t="s">
        <v>119</v>
      </c>
      <c r="C8" s="245" t="str">
        <f>'Version Control'!C8</f>
        <v>[MM/DD/YYYY]</v>
      </c>
      <c r="J8" s="75"/>
    </row>
    <row r="9" spans="2:10" x14ac:dyDescent="0.3">
      <c r="J9" s="75"/>
    </row>
    <row r="10" spans="2:10" ht="18" thickBot="1" x14ac:dyDescent="0.35">
      <c r="E10" s="83"/>
      <c r="F10" s="83"/>
      <c r="G10" s="83"/>
      <c r="H10" s="83"/>
      <c r="J10" s="75"/>
    </row>
    <row r="11" spans="2:10" ht="18" thickBot="1" x14ac:dyDescent="0.35">
      <c r="B11" s="41" t="s">
        <v>197</v>
      </c>
      <c r="C11" s="42"/>
      <c r="E11" s="1267" t="s">
        <v>196</v>
      </c>
      <c r="F11" s="1268"/>
      <c r="G11" s="1269"/>
      <c r="H11" s="83"/>
      <c r="J11" s="75"/>
    </row>
    <row r="12" spans="2:10" ht="18" x14ac:dyDescent="0.3">
      <c r="B12" s="84" t="s">
        <v>13</v>
      </c>
      <c r="C12" s="469"/>
      <c r="E12" s="85" t="s">
        <v>33</v>
      </c>
      <c r="F12" s="86" t="s">
        <v>135</v>
      </c>
      <c r="G12" s="87" t="s">
        <v>136</v>
      </c>
      <c r="H12" s="83"/>
      <c r="J12" s="75"/>
    </row>
    <row r="13" spans="2:10" ht="18.75" thickBot="1" x14ac:dyDescent="0.35">
      <c r="B13" s="88" t="s">
        <v>1026</v>
      </c>
      <c r="C13" s="470"/>
      <c r="E13" s="84" t="s">
        <v>149</v>
      </c>
      <c r="F13" s="708" t="str">
        <f>IF('Sys. # &amp; Product Characteristic'!Energy_Source = "Electricity", IFERROR("100", ""),
IF(AND('Sys. # &amp; Product Characteristic'!Flue_Gas = "Non-Condensing", 'Sys. # &amp; Product Characteristic'!Control_Type = "Single Stage"), IFERROR(' Non-Con, Non-Mod Calculations'!Effy.SS, ""),
IF(AND('Sys. # &amp; Product Characteristic'!Flue_Gas = "Condensing", 'Sys. # &amp; Product Characteristic'!Control_Type = "Single Stage"), IFERROR('Con, Non-Mod Calculations'!Effy.SS, ""),
IF(AND('Sys. # &amp; Product Characteristic'!Flue_Gas = "Non-Condensing", OR('Sys. # &amp; Product Characteristic'!Control_Type = "Step Modulating", 'Sys. # &amp; Product Characteristic'!Control_Type = "Two-Stage Modulating")), IFERROR('Non-Con, Mod Calculations'!Effy.SS_Max, ""),
IF(AND('Sys. # &amp; Product Characteristic'!Flue_Gas = "Condensing", OR('Sys. # &amp; Product Characteristic'!Control_Type = "Step Modulating", 'Sys. # &amp; Product Characteristic'!Control_Type = "Two-Stage Modulating")), IFERROR('Con, Mod Calculations'!Effy.SS_Max, ""), "")))))</f>
        <v/>
      </c>
      <c r="G13" s="89" t="s">
        <v>211</v>
      </c>
      <c r="H13" s="83"/>
      <c r="J13" s="75"/>
    </row>
    <row r="14" spans="2:10" ht="18" thickBot="1" x14ac:dyDescent="0.35">
      <c r="E14" s="94" t="s">
        <v>150</v>
      </c>
      <c r="F14" s="1317" t="str">
        <f>IF('Sys. # &amp; Product Characteristic'!Energy_Source = "Electricity", IFERROR("100", ""),
IF(AND('Sys. # &amp; Product Characteristic'!Flue_Gas = "Non-Condensing", 'Sys. # &amp; Product Characteristic'!Control_Type = "Single Stage"), IFERROR(' Non-Con, Non-Mod Calculations'!Effy.HS, ""),
IF(AND('Sys. # &amp; Product Characteristic'!Flue_Gas = "Condensing", 'Sys. # &amp; Product Characteristic'!Control_Type = "Single Stage"), IFERROR('Con, Non-Mod Calculations'!Effy.HS, ""),
IF(AND('Sys. # &amp; Product Characteristic'!Flue_Gas = "Non-Condensing", OR('Sys. # &amp; Product Characteristic'!Control_Type = "Step Modulating", 'Sys. # &amp; Product Characteristic'!Control_Type = "Two-Stage Modulating")), IFERROR('Non-Con, Mod Calculations'!Effy.HS, ""),
IF(AND('Sys. # &amp; Product Characteristic'!Flue_Gas = "Condensing", OR('Sys. # &amp; Product Characteristic'!Control_Type = "Step Modulating", 'Sys. # &amp; Product Characteristic'!Control_Type = "Two-Stage Modulating")), IFERROR('Con, Mod Calculations'!Effy.HS, ""), "")))))</f>
        <v/>
      </c>
      <c r="G14" s="1271" t="s">
        <v>211</v>
      </c>
      <c r="H14" s="83"/>
      <c r="J14" s="75"/>
    </row>
    <row r="15" spans="2:10" ht="18" thickBot="1" x14ac:dyDescent="0.35">
      <c r="B15" s="41" t="s">
        <v>137</v>
      </c>
      <c r="C15" s="42"/>
      <c r="E15" s="1321" t="s">
        <v>151</v>
      </c>
      <c r="F15" s="710" t="str">
        <f>IF('Sys. # &amp; Product Characteristic'!Energy_Source = "Electricity", IFERROR("100", ""),
IF(AND('Sys. # &amp; Product Characteristic'!Flue_Gas = "Non-Condensing", 'Sys. # &amp; Product Characteristic'!Control_Type = "Single Stage"), IFERROR(' Non-Con, Non-Mod Calculations'!AFUE, ""),
IF(AND('Sys. # &amp; Product Characteristic'!Flue_Gas = "Condensing", 'Sys. # &amp; Product Characteristic'!Control_Type = "Single Stage"), IFERROR('Con, Non-Mod Calculations'!AFUE, ""),
IF(AND('Sys. # &amp; Product Characteristic'!Flue_Gas = "Non-Condensing", OR('Sys. # &amp; Product Characteristic'!Control_Type = "Step Modulating", 'Sys. # &amp; Product Characteristic'!Control_Type = "Two-Stage Modulating")), IFERROR('Non-Con, Mod Calculations'!AFUE, ""),
IF(AND('Sys. # &amp; Product Characteristic'!Flue_Gas = "Condensing", OR('Sys. # &amp; Product Characteristic'!Control_Type = "Step Modulating", 'Sys. # &amp; Product Characteristic'!Control_Type = "Two-Stage Modulating")), IFERROR('Con, Mod Calculations'!AFUE, ""), "")))))</f>
        <v/>
      </c>
      <c r="G15" s="1322" t="s">
        <v>211</v>
      </c>
      <c r="H15" s="83"/>
      <c r="J15" s="75"/>
    </row>
    <row r="16" spans="2:10" ht="17.25" x14ac:dyDescent="0.3">
      <c r="B16" s="48" t="s">
        <v>138</v>
      </c>
      <c r="C16" s="467" t="s">
        <v>123</v>
      </c>
      <c r="E16" s="1320" t="s">
        <v>1194</v>
      </c>
      <c r="F16" s="1318" t="str">
        <f>IF('Standby &amp; Off Power'!P.WSB = "","",'Standby &amp; Off Power'!P.WSB)</f>
        <v/>
      </c>
      <c r="G16" s="1319" t="s">
        <v>179</v>
      </c>
      <c r="H16" s="83"/>
      <c r="J16" s="75"/>
    </row>
    <row r="17" spans="2:13" ht="18" thickBot="1" x14ac:dyDescent="0.35">
      <c r="B17" s="50" t="s">
        <v>139</v>
      </c>
      <c r="C17" s="468" t="s">
        <v>123</v>
      </c>
      <c r="E17" s="1272" t="s">
        <v>1193</v>
      </c>
      <c r="F17" s="1273" t="str">
        <f>IF('Standby &amp; Off Power'!P.WOFF="","",'Standby &amp; Off Power'!P.WOFF)</f>
        <v/>
      </c>
      <c r="G17" s="1274" t="s">
        <v>179</v>
      </c>
      <c r="H17" s="83"/>
      <c r="J17" s="75"/>
    </row>
    <row r="18" spans="2:13" ht="18" thickBot="1" x14ac:dyDescent="0.35">
      <c r="E18" s="1270"/>
      <c r="F18" s="1270"/>
      <c r="G18" s="83"/>
      <c r="H18" s="83"/>
      <c r="J18" s="75"/>
    </row>
    <row r="19" spans="2:13" ht="18" thickBot="1" x14ac:dyDescent="0.35">
      <c r="B19" s="41" t="s">
        <v>12</v>
      </c>
      <c r="C19" s="42"/>
      <c r="F19" s="53"/>
      <c r="G19" s="53"/>
      <c r="H19" s="57"/>
      <c r="J19" s="75"/>
    </row>
    <row r="20" spans="2:13" ht="18" thickBot="1" x14ac:dyDescent="0.35">
      <c r="B20" s="417" t="s">
        <v>140</v>
      </c>
      <c r="C20" s="1174"/>
      <c r="E20" s="90" t="s">
        <v>194</v>
      </c>
      <c r="F20" s="53"/>
      <c r="G20" s="53"/>
      <c r="H20" s="57"/>
      <c r="J20" s="75"/>
    </row>
    <row r="21" spans="2:13" ht="18" thickBot="1" x14ac:dyDescent="0.35">
      <c r="B21" s="40" t="s">
        <v>142</v>
      </c>
      <c r="C21" s="1175"/>
      <c r="E21" s="1552" t="s">
        <v>127</v>
      </c>
      <c r="F21" s="1553"/>
      <c r="G21" s="1553"/>
      <c r="H21" s="1554"/>
      <c r="J21" s="75"/>
    </row>
    <row r="22" spans="2:13" x14ac:dyDescent="0.3">
      <c r="B22" s="40" t="s">
        <v>143</v>
      </c>
      <c r="C22" s="1175"/>
      <c r="E22" s="1540" t="s">
        <v>141</v>
      </c>
      <c r="F22" s="1541"/>
      <c r="G22" s="1541"/>
      <c r="H22" s="1542"/>
      <c r="J22" s="75"/>
    </row>
    <row r="23" spans="2:13" x14ac:dyDescent="0.3">
      <c r="B23" s="40" t="s">
        <v>144</v>
      </c>
      <c r="C23" s="1175"/>
      <c r="E23" s="1543"/>
      <c r="F23" s="1544"/>
      <c r="G23" s="1544"/>
      <c r="H23" s="1545"/>
      <c r="J23" s="75"/>
    </row>
    <row r="24" spans="2:13" x14ac:dyDescent="0.3">
      <c r="B24" s="40" t="s">
        <v>145</v>
      </c>
      <c r="C24" s="1176"/>
      <c r="E24" s="1543"/>
      <c r="F24" s="1544"/>
      <c r="G24" s="1544"/>
      <c r="H24" s="1545"/>
      <c r="J24" s="75"/>
    </row>
    <row r="25" spans="2:13" ht="17.25" x14ac:dyDescent="0.35">
      <c r="B25" s="40" t="s">
        <v>146</v>
      </c>
      <c r="C25" s="1176"/>
      <c r="D25" s="57"/>
      <c r="E25" s="1546" t="s">
        <v>129</v>
      </c>
      <c r="F25" s="1547"/>
      <c r="G25" s="78" t="s">
        <v>122</v>
      </c>
      <c r="H25" s="79" t="s">
        <v>130</v>
      </c>
      <c r="J25" s="75"/>
    </row>
    <row r="26" spans="2:13" x14ac:dyDescent="0.3">
      <c r="B26" s="40" t="s">
        <v>147</v>
      </c>
      <c r="C26" s="1175"/>
      <c r="D26" s="57"/>
      <c r="E26" s="1548" t="s">
        <v>131</v>
      </c>
      <c r="F26" s="1549"/>
      <c r="G26" s="80" t="str">
        <f>'Report Sign-Off Block'!D15</f>
        <v>[MM/DD/YYYY]</v>
      </c>
      <c r="H26" s="91" t="str">
        <f>IF('Report Sign-Off Block'!E15&lt;&gt;0,'Report Sign-Off Block'!E15,"")</f>
        <v>[Test Lab Name]</v>
      </c>
      <c r="J26" s="75"/>
    </row>
    <row r="27" spans="2:13" x14ac:dyDescent="0.3">
      <c r="B27" s="40" t="s">
        <v>371</v>
      </c>
      <c r="C27" s="418" t="str">
        <f>IF(OR('Sys. # &amp; Product Characteristic'!Heating_Fuel_Used="",'Sys. # &amp; Product Characteristic'!Heating_Medium=""),"Fill in Product Characteristics",IF('Sys. # &amp; Product Characteristic'!Heating_Fuel_Used="Electricity","Electric ",'Sys. # &amp; Product Characteristic'!Energy_Source &amp; "-fired ")) &amp;
IF(OR('Sys. # &amp; Product Characteristic'!Heating_Fuel_Used="",'Sys. # &amp; Product Characteristic'!Heating_Medium=""),"",IF('Sys. # &amp; Product Characteristic'!Heating_Medium="Water","Hot Water ","Steam ")) &amp;   Product</f>
        <v>Fill in Product CharacteristicsBoiler</v>
      </c>
      <c r="D27" s="57"/>
      <c r="E27" s="1548" t="s">
        <v>133</v>
      </c>
      <c r="F27" s="1549"/>
      <c r="G27" s="80" t="str">
        <f>'Report Sign-Off Block'!D16</f>
        <v>[MM/DD/YYYY]</v>
      </c>
      <c r="H27" s="91" t="str">
        <f>IF('Report Sign-Off Block'!E16&lt;&gt;0,'Report Sign-Off Block'!E16,"")</f>
        <v>[Test Lab Name]</v>
      </c>
      <c r="J27" s="75"/>
    </row>
    <row r="28" spans="2:13" x14ac:dyDescent="0.3">
      <c r="B28" s="480" t="s">
        <v>193</v>
      </c>
      <c r="C28" s="1175"/>
      <c r="D28" s="57"/>
      <c r="E28" s="1548" t="s">
        <v>134</v>
      </c>
      <c r="F28" s="1549"/>
      <c r="G28" s="80" t="str">
        <f>'Report Sign-Off Block'!D17</f>
        <v>[MM/DD/YYYY]</v>
      </c>
      <c r="H28" s="91" t="str">
        <f>IF('Report Sign-Off Block'!E17&lt;&gt;0,'Report Sign-Off Block'!E17,"")</f>
        <v>[Test Lab Name]</v>
      </c>
      <c r="J28" s="75"/>
    </row>
    <row r="29" spans="2:13" ht="17.25" thickBot="1" x14ac:dyDescent="0.35">
      <c r="B29" s="650" t="s">
        <v>813</v>
      </c>
      <c r="C29" s="1177"/>
      <c r="D29" s="57"/>
      <c r="E29" s="1550" t="s">
        <v>134</v>
      </c>
      <c r="F29" s="1551"/>
      <c r="G29" s="92" t="str">
        <f>'Report Sign-Off Block'!D18</f>
        <v>[MM/DD/YYYY]</v>
      </c>
      <c r="H29" s="93" t="str">
        <f>IF('Report Sign-Off Block'!E18&lt;&gt;0,'Report Sign-Off Block'!E18,"")</f>
        <v>[Test Lab Name]</v>
      </c>
      <c r="J29" s="75"/>
    </row>
    <row r="30" spans="2:13" x14ac:dyDescent="0.3">
      <c r="B30" s="650" t="s">
        <v>814</v>
      </c>
      <c r="C30" s="1177"/>
      <c r="D30" s="57"/>
      <c r="E30" s="1539"/>
      <c r="F30" s="1539"/>
      <c r="G30" s="317"/>
      <c r="H30" s="318"/>
      <c r="J30" s="75"/>
    </row>
    <row r="31" spans="2:13" ht="18.75" thickBot="1" x14ac:dyDescent="0.35">
      <c r="B31" s="649" t="s">
        <v>408</v>
      </c>
      <c r="C31" s="1178"/>
      <c r="D31" s="57"/>
      <c r="E31" s="543"/>
      <c r="F31" s="543"/>
      <c r="G31" s="317"/>
      <c r="H31" s="318"/>
      <c r="J31" s="75"/>
      <c r="M31" s="651"/>
    </row>
    <row r="32" spans="2:13" x14ac:dyDescent="0.3">
      <c r="B32" s="57"/>
      <c r="C32" s="1380"/>
      <c r="D32" s="57"/>
      <c r="E32" s="1242"/>
      <c r="F32" s="1242"/>
      <c r="G32" s="317"/>
      <c r="H32" s="318"/>
      <c r="J32" s="75"/>
      <c r="M32" s="651"/>
    </row>
    <row r="33" spans="1:17" x14ac:dyDescent="0.3">
      <c r="B33" s="57"/>
      <c r="C33" s="1380"/>
      <c r="D33" s="57"/>
      <c r="E33" s="1242"/>
      <c r="F33" s="1242"/>
      <c r="G33" s="317"/>
      <c r="H33" s="318"/>
      <c r="J33" s="75"/>
      <c r="M33" s="651"/>
    </row>
    <row r="34" spans="1:17" x14ac:dyDescent="0.3">
      <c r="B34" s="57"/>
      <c r="C34" s="1380"/>
      <c r="D34" s="57"/>
      <c r="E34" s="1242"/>
      <c r="F34" s="1242"/>
      <c r="G34" s="317"/>
      <c r="H34" s="318"/>
      <c r="J34" s="75"/>
      <c r="M34" s="651"/>
    </row>
    <row r="35" spans="1:17" x14ac:dyDescent="0.3">
      <c r="B35" s="57"/>
      <c r="C35" s="1380"/>
      <c r="D35" s="57"/>
      <c r="E35" s="1242"/>
      <c r="F35" s="1242"/>
      <c r="G35" s="317"/>
      <c r="H35" s="318"/>
      <c r="J35" s="75"/>
      <c r="M35" s="651"/>
    </row>
    <row r="36" spans="1:17" x14ac:dyDescent="0.3">
      <c r="B36" s="57"/>
      <c r="C36" s="130"/>
      <c r="D36" s="57"/>
      <c r="E36" s="1242"/>
      <c r="F36" s="1242"/>
      <c r="G36" s="317"/>
      <c r="H36" s="318"/>
      <c r="J36" s="75"/>
      <c r="M36" s="651"/>
    </row>
    <row r="37" spans="1:17" x14ac:dyDescent="0.3">
      <c r="B37" s="57"/>
      <c r="C37" s="1380"/>
      <c r="D37" s="57"/>
      <c r="E37" s="1242"/>
      <c r="F37" s="1242"/>
      <c r="G37" s="317"/>
      <c r="H37" s="318"/>
      <c r="J37" s="75"/>
      <c r="M37" s="651"/>
    </row>
    <row r="38" spans="1:17" x14ac:dyDescent="0.3">
      <c r="B38" s="57"/>
      <c r="C38" s="1380"/>
      <c r="D38" s="57"/>
      <c r="E38" s="1242"/>
      <c r="F38" s="1242"/>
      <c r="G38" s="317"/>
      <c r="H38" s="318"/>
      <c r="J38" s="75"/>
      <c r="M38" s="651"/>
    </row>
    <row r="39" spans="1:17" x14ac:dyDescent="0.3">
      <c r="B39" s="57"/>
      <c r="C39" s="1380"/>
      <c r="D39" s="57"/>
      <c r="E39" s="1242"/>
      <c r="F39" s="1242"/>
      <c r="G39" s="317"/>
      <c r="H39" s="318"/>
      <c r="J39" s="75"/>
      <c r="M39" s="651"/>
    </row>
    <row r="40" spans="1:17" x14ac:dyDescent="0.3">
      <c r="B40" s="57"/>
      <c r="C40" s="1380"/>
      <c r="D40" s="57"/>
      <c r="E40" s="1242"/>
      <c r="F40" s="1242"/>
      <c r="G40" s="317"/>
      <c r="H40" s="318"/>
      <c r="J40" s="75"/>
      <c r="M40" s="651"/>
    </row>
    <row r="41" spans="1:17" x14ac:dyDescent="0.3">
      <c r="D41" s="57"/>
      <c r="J41" s="75"/>
    </row>
    <row r="42" spans="1:17" ht="17.25" x14ac:dyDescent="0.35">
      <c r="B42" s="1198"/>
      <c r="C42" s="1198"/>
      <c r="D42" s="1198"/>
      <c r="E42" s="1198"/>
      <c r="F42" s="1198"/>
      <c r="G42" s="1198"/>
      <c r="H42" s="1198"/>
      <c r="I42" s="1198"/>
      <c r="J42" s="1209"/>
      <c r="K42" s="1198"/>
      <c r="L42" s="1149"/>
      <c r="M42" s="1149"/>
      <c r="N42" s="10"/>
      <c r="O42" s="10"/>
      <c r="P42" s="10"/>
      <c r="Q42" s="10"/>
    </row>
    <row r="43" spans="1:17" ht="17.25" x14ac:dyDescent="0.35">
      <c r="A43" s="1211"/>
      <c r="B43" s="1212"/>
      <c r="C43" s="1210"/>
      <c r="D43" s="1210"/>
      <c r="E43" s="1210"/>
      <c r="F43" s="1210"/>
      <c r="G43" s="1210"/>
      <c r="H43" s="1210"/>
      <c r="I43" s="1210"/>
      <c r="J43" s="1210"/>
      <c r="K43" s="1149"/>
      <c r="L43" s="1199"/>
      <c r="M43" s="1198"/>
      <c r="N43" s="1198"/>
      <c r="O43" s="1198"/>
      <c r="P43" s="1198"/>
      <c r="Q43" s="1149"/>
    </row>
    <row r="44" spans="1:17" ht="17.25" x14ac:dyDescent="0.35">
      <c r="B44" s="1199"/>
      <c r="C44" s="1200"/>
      <c r="D44" s="1200"/>
      <c r="E44" s="1200"/>
      <c r="F44" s="1200"/>
      <c r="G44" s="1200"/>
      <c r="H44" s="1200"/>
      <c r="I44" s="1200"/>
      <c r="J44" s="1200"/>
      <c r="K44" s="1200"/>
      <c r="L44" s="660"/>
      <c r="M44" s="1149"/>
      <c r="N44" s="1149"/>
      <c r="O44" s="1149"/>
      <c r="P44" s="1149"/>
      <c r="Q44" s="1199"/>
    </row>
    <row r="45" spans="1:17" ht="17.25" x14ac:dyDescent="0.3">
      <c r="B45" s="1149"/>
      <c r="C45" s="660"/>
      <c r="D45" s="660"/>
      <c r="E45" s="660"/>
      <c r="F45" s="660"/>
      <c r="G45" s="660"/>
      <c r="H45" s="660"/>
      <c r="I45" s="660"/>
      <c r="J45" s="1196"/>
      <c r="K45" s="1196"/>
      <c r="L45" s="660"/>
      <c r="M45" s="1200"/>
      <c r="N45" s="1200"/>
      <c r="O45" s="1200"/>
      <c r="P45" s="1200"/>
      <c r="Q45" s="660"/>
    </row>
    <row r="46" spans="1:17" x14ac:dyDescent="0.3">
      <c r="B46" s="1203"/>
      <c r="C46" s="1196"/>
      <c r="D46" s="1196"/>
      <c r="E46" s="1196"/>
      <c r="F46" s="1196"/>
      <c r="G46" s="1196"/>
      <c r="H46" s="1196"/>
      <c r="I46" s="1196"/>
      <c r="J46" s="660"/>
      <c r="K46" s="660"/>
      <c r="L46" s="660"/>
      <c r="M46" s="660"/>
      <c r="N46" s="660"/>
      <c r="O46" s="1196"/>
      <c r="P46" s="1196"/>
      <c r="Q46" s="660"/>
    </row>
    <row r="47" spans="1:17" ht="15.6" customHeight="1" x14ac:dyDescent="0.3">
      <c r="A47" s="95"/>
      <c r="B47" s="1149"/>
      <c r="C47" s="1196"/>
      <c r="D47" s="1196"/>
      <c r="E47" s="660"/>
      <c r="F47" s="1196"/>
      <c r="G47" s="1196"/>
      <c r="H47" s="1196"/>
      <c r="I47" s="1196"/>
      <c r="J47" s="1536"/>
      <c r="K47" s="1536"/>
      <c r="L47" s="660"/>
      <c r="M47" s="1196"/>
      <c r="N47" s="1196"/>
      <c r="O47" s="660"/>
      <c r="P47" s="660"/>
      <c r="Q47" s="660"/>
    </row>
    <row r="48" spans="1:17" x14ac:dyDescent="0.3">
      <c r="A48" s="95"/>
      <c r="B48" s="1149"/>
      <c r="C48" s="660"/>
      <c r="D48" s="660"/>
      <c r="E48" s="1196"/>
      <c r="F48" s="1196"/>
      <c r="G48" s="660"/>
      <c r="H48" s="660"/>
      <c r="I48" s="1196"/>
      <c r="J48" s="1536"/>
      <c r="K48" s="1536"/>
      <c r="L48" s="660"/>
      <c r="M48" s="1196"/>
      <c r="N48" s="1196"/>
      <c r="O48" s="1536"/>
      <c r="P48" s="1536"/>
      <c r="Q48" s="660"/>
    </row>
    <row r="49" spans="1:17" x14ac:dyDescent="0.3">
      <c r="A49" s="95"/>
      <c r="B49" s="1149"/>
      <c r="C49" s="1196"/>
      <c r="D49" s="1196"/>
      <c r="E49" s="1196"/>
      <c r="F49" s="660"/>
      <c r="G49" s="1196"/>
      <c r="H49" s="1196"/>
      <c r="I49" s="660"/>
      <c r="J49" s="1536"/>
      <c r="K49" s="1536"/>
      <c r="L49" s="660"/>
      <c r="M49" s="660"/>
      <c r="N49" s="1196"/>
      <c r="O49" s="1536"/>
      <c r="P49" s="1536"/>
      <c r="Q49" s="660"/>
    </row>
    <row r="50" spans="1:17" x14ac:dyDescent="0.3">
      <c r="A50" s="95"/>
      <c r="B50" s="1149"/>
      <c r="C50" s="1196"/>
      <c r="D50" s="1196"/>
      <c r="E50" s="1196"/>
      <c r="F50" s="1196"/>
      <c r="G50" s="660"/>
      <c r="H50" s="660"/>
      <c r="I50" s="660"/>
      <c r="J50" s="1196"/>
      <c r="K50" s="1196"/>
      <c r="L50" s="660"/>
      <c r="M50" s="1196"/>
      <c r="N50" s="660"/>
      <c r="O50" s="1536"/>
      <c r="P50" s="1536"/>
      <c r="Q50" s="660"/>
    </row>
    <row r="51" spans="1:17" x14ac:dyDescent="0.3">
      <c r="A51" s="95"/>
      <c r="B51" s="1149"/>
      <c r="C51" s="660"/>
      <c r="D51" s="1196"/>
      <c r="E51" s="1196"/>
      <c r="F51" s="1196"/>
      <c r="G51" s="660"/>
      <c r="H51" s="1196"/>
      <c r="I51" s="1196"/>
      <c r="J51" s="660"/>
      <c r="K51" s="1196"/>
      <c r="L51" s="660"/>
      <c r="M51" s="660"/>
      <c r="N51" s="660"/>
      <c r="O51" s="1196"/>
      <c r="P51" s="1196"/>
      <c r="Q51" s="660"/>
    </row>
    <row r="52" spans="1:17" x14ac:dyDescent="0.3">
      <c r="A52" s="95"/>
      <c r="B52" s="1149"/>
      <c r="C52" s="1196"/>
      <c r="D52" s="660"/>
      <c r="E52" s="660"/>
      <c r="F52" s="660"/>
      <c r="G52" s="1196"/>
      <c r="H52" s="660"/>
      <c r="I52" s="660"/>
      <c r="J52" s="1196"/>
      <c r="K52" s="660"/>
      <c r="L52" s="660"/>
      <c r="M52" s="1196"/>
      <c r="N52" s="1196"/>
      <c r="O52" s="660"/>
      <c r="P52" s="1196"/>
      <c r="Q52" s="660"/>
    </row>
    <row r="53" spans="1:17" x14ac:dyDescent="0.3">
      <c r="A53" s="95"/>
      <c r="B53" s="1149"/>
      <c r="C53" s="660"/>
      <c r="D53" s="660"/>
      <c r="E53" s="660"/>
      <c r="F53" s="660"/>
      <c r="G53" s="1196"/>
      <c r="H53" s="1196"/>
      <c r="I53" s="1196"/>
      <c r="J53" s="660"/>
      <c r="K53" s="660"/>
      <c r="L53" s="660"/>
      <c r="M53" s="660"/>
      <c r="N53" s="660"/>
      <c r="O53" s="1196"/>
      <c r="P53" s="660"/>
      <c r="Q53" s="660"/>
    </row>
    <row r="54" spans="1:17" x14ac:dyDescent="0.3">
      <c r="A54" s="95"/>
      <c r="B54" s="1149"/>
      <c r="C54" s="1196"/>
      <c r="D54" s="1196"/>
      <c r="E54" s="1196"/>
      <c r="F54" s="1196"/>
      <c r="G54" s="1196"/>
      <c r="H54" s="1196"/>
      <c r="I54" s="1196"/>
      <c r="J54" s="1196"/>
      <c r="K54" s="1196"/>
      <c r="L54" s="1149"/>
      <c r="M54" s="1196"/>
      <c r="N54" s="1196"/>
      <c r="O54" s="660"/>
      <c r="P54" s="660"/>
      <c r="Q54" s="660"/>
    </row>
    <row r="55" spans="1:17" x14ac:dyDescent="0.3">
      <c r="A55" s="95"/>
      <c r="B55" s="1149"/>
      <c r="C55" s="1196"/>
      <c r="D55" s="1196"/>
      <c r="E55" s="1196"/>
      <c r="F55" s="1196"/>
      <c r="G55" s="1196"/>
      <c r="H55" s="1196"/>
      <c r="I55" s="1196"/>
      <c r="J55" s="1196"/>
      <c r="K55" s="1196"/>
      <c r="L55" s="1149"/>
      <c r="M55" s="1196"/>
      <c r="N55" s="1196"/>
      <c r="O55" s="1196"/>
      <c r="P55" s="1196"/>
      <c r="Q55" s="1149"/>
    </row>
    <row r="56" spans="1:17" x14ac:dyDescent="0.3">
      <c r="A56" s="95"/>
      <c r="B56" s="1149"/>
      <c r="C56" s="1196"/>
      <c r="D56" s="1196"/>
      <c r="E56" s="1196"/>
      <c r="F56" s="1197"/>
      <c r="G56" s="1196"/>
      <c r="H56" s="1196"/>
      <c r="I56" s="1197"/>
      <c r="J56" s="1196"/>
      <c r="K56" s="1196"/>
      <c r="L56" s="1149"/>
      <c r="M56" s="1196"/>
      <c r="N56" s="1196"/>
      <c r="O56" s="1196"/>
      <c r="P56" s="1196"/>
      <c r="Q56" s="1149"/>
    </row>
    <row r="57" spans="1:17" x14ac:dyDescent="0.3">
      <c r="A57" s="95"/>
      <c r="B57" s="1149"/>
      <c r="C57" s="1196"/>
      <c r="D57" s="1196"/>
      <c r="E57" s="1196"/>
      <c r="F57" s="1196"/>
      <c r="G57" s="1196"/>
      <c r="H57" s="1196"/>
      <c r="I57" s="1196"/>
      <c r="J57" s="1196"/>
      <c r="K57" s="1196"/>
      <c r="L57" s="1149"/>
      <c r="M57" s="1196"/>
      <c r="N57" s="1197"/>
      <c r="O57" s="1196"/>
      <c r="P57" s="1196"/>
      <c r="Q57" s="1149"/>
    </row>
    <row r="58" spans="1:17" x14ac:dyDescent="0.3">
      <c r="A58" s="95"/>
      <c r="B58" s="1204"/>
      <c r="C58" s="1149"/>
      <c r="D58" s="1149"/>
      <c r="E58" s="1149"/>
      <c r="F58" s="1149"/>
      <c r="G58" s="1149"/>
      <c r="H58" s="1149"/>
      <c r="I58" s="1149"/>
      <c r="J58" s="1149"/>
      <c r="K58" s="1149"/>
      <c r="L58" s="1149"/>
      <c r="M58" s="1196"/>
      <c r="N58" s="1196"/>
      <c r="O58" s="1196"/>
      <c r="P58" s="1196"/>
      <c r="Q58" s="1149"/>
    </row>
    <row r="59" spans="1:17" x14ac:dyDescent="0.3">
      <c r="A59" s="95"/>
      <c r="B59" s="1149"/>
      <c r="C59" s="1149"/>
      <c r="D59" s="1149"/>
      <c r="E59" s="1149"/>
      <c r="F59" s="1149"/>
      <c r="G59" s="1149"/>
      <c r="H59" s="1149"/>
      <c r="I59" s="1149"/>
      <c r="J59" s="1149"/>
      <c r="K59" s="1149"/>
      <c r="L59" s="1149"/>
      <c r="M59" s="1149"/>
      <c r="N59" s="1149"/>
      <c r="O59" s="1149"/>
      <c r="P59" s="1149"/>
      <c r="Q59" s="1149"/>
    </row>
    <row r="60" spans="1:17" ht="17.25" customHeight="1" x14ac:dyDescent="0.3">
      <c r="B60" s="1149"/>
      <c r="C60" s="1149"/>
      <c r="D60" s="1149"/>
      <c r="E60" s="1149"/>
      <c r="F60" s="1149"/>
      <c r="G60" s="1149"/>
      <c r="H60" s="1149"/>
      <c r="I60" s="1149"/>
      <c r="J60" s="1149"/>
      <c r="K60" s="1149"/>
      <c r="L60" s="1149"/>
      <c r="M60" s="1149"/>
      <c r="N60" s="1149"/>
      <c r="O60" s="1149"/>
      <c r="P60" s="1149"/>
      <c r="Q60" s="1149"/>
    </row>
    <row r="61" spans="1:17" ht="17.25" customHeight="1" x14ac:dyDescent="0.3">
      <c r="B61" s="1149"/>
      <c r="C61" s="1149"/>
      <c r="D61" s="1149"/>
      <c r="E61" s="1149"/>
      <c r="F61" s="1149"/>
      <c r="G61" s="1149"/>
      <c r="H61" s="1149"/>
      <c r="I61" s="1149"/>
      <c r="J61" s="1149"/>
      <c r="K61" s="1149"/>
      <c r="L61" s="1149"/>
      <c r="M61" s="1149"/>
      <c r="N61" s="1149"/>
      <c r="O61" s="1149"/>
      <c r="P61" s="1149"/>
      <c r="Q61" s="1149"/>
    </row>
    <row r="62" spans="1:17" x14ac:dyDescent="0.3">
      <c r="A62" s="1201"/>
      <c r="B62" s="1149"/>
      <c r="C62" s="1149"/>
      <c r="D62" s="1149"/>
      <c r="E62" s="1149"/>
      <c r="F62" s="1149"/>
      <c r="G62" s="1149"/>
      <c r="H62" s="1149"/>
      <c r="I62" s="1149"/>
      <c r="J62" s="1149"/>
      <c r="K62" s="1149"/>
      <c r="L62" s="1149"/>
      <c r="M62" s="1149"/>
      <c r="N62" s="1149"/>
      <c r="O62" s="1149"/>
      <c r="P62" s="1149"/>
      <c r="Q62" s="1149"/>
    </row>
    <row r="63" spans="1:17" x14ac:dyDescent="0.3">
      <c r="B63" s="1205"/>
      <c r="C63" s="1205"/>
      <c r="D63" s="1205"/>
      <c r="E63" s="1205"/>
      <c r="F63" s="1206"/>
      <c r="G63" s="1206"/>
      <c r="H63" s="1206"/>
      <c r="I63" s="1206"/>
      <c r="J63" s="1206"/>
      <c r="K63" s="1206"/>
      <c r="L63" s="1206"/>
      <c r="M63" s="1149"/>
      <c r="N63" s="1149"/>
      <c r="O63" s="1149"/>
      <c r="P63" s="1149"/>
      <c r="Q63" s="1149"/>
    </row>
    <row r="64" spans="1:17" ht="17.25" x14ac:dyDescent="0.3">
      <c r="B64" s="1207"/>
      <c r="C64" s="1205"/>
      <c r="D64" s="1205"/>
      <c r="E64" s="1205"/>
      <c r="F64" s="1206"/>
      <c r="G64" s="1206"/>
      <c r="H64" s="1206"/>
      <c r="I64" s="1206"/>
      <c r="J64" s="1206"/>
      <c r="K64" s="1206"/>
      <c r="L64" s="1206"/>
      <c r="M64" s="1206"/>
    </row>
    <row r="65" spans="2:13" x14ac:dyDescent="0.3">
      <c r="B65" s="709"/>
      <c r="C65" s="1208"/>
      <c r="D65" s="1205"/>
      <c r="E65" s="1205"/>
      <c r="F65" s="1206"/>
      <c r="G65" s="1206"/>
      <c r="H65" s="1206"/>
      <c r="I65" s="1206"/>
      <c r="J65" s="1206"/>
      <c r="K65" s="1206"/>
      <c r="L65" s="1206"/>
      <c r="M65" s="1206"/>
    </row>
    <row r="66" spans="2:13" x14ac:dyDescent="0.3">
      <c r="B66" s="709"/>
      <c r="C66" s="1202"/>
      <c r="D66" s="1205"/>
      <c r="E66" s="1205"/>
      <c r="F66" s="1206"/>
      <c r="G66" s="1206"/>
      <c r="H66" s="1206"/>
      <c r="I66" s="1206"/>
      <c r="J66" s="1206"/>
      <c r="K66" s="1206"/>
      <c r="L66" s="1206"/>
      <c r="M66" s="1206"/>
    </row>
    <row r="67" spans="2:13" x14ac:dyDescent="0.3">
      <c r="B67" s="1205"/>
      <c r="C67" s="1205"/>
      <c r="D67" s="1205"/>
      <c r="E67" s="1205"/>
      <c r="F67" s="1205"/>
      <c r="G67" s="709"/>
      <c r="H67" s="1202"/>
      <c r="I67" s="1205"/>
      <c r="J67" s="1205"/>
      <c r="K67" s="1206"/>
      <c r="L67" s="1206"/>
      <c r="M67" s="1206"/>
    </row>
  </sheetData>
  <sheetProtection algorithmName="SHA-512" hashValue="LdQXCR0JWxtZHxD47hHVYaawP8VZly7Pcl7lx8bw4GOq0YiCt6S1rt3a3YS2Og+XkNMrkhQFX+o1VR3NLUqUcw==" saltValue="wFxpGKtbY3ElWbvUISK5JQ==" spinCount="100000" sheet="1" selectLockedCells="1"/>
  <mergeCells count="11">
    <mergeCell ref="O48:P50"/>
    <mergeCell ref="J47:K49"/>
    <mergeCell ref="B2:C2"/>
    <mergeCell ref="E30:F30"/>
    <mergeCell ref="E22:H24"/>
    <mergeCell ref="E25:F25"/>
    <mergeCell ref="E26:F26"/>
    <mergeCell ref="E27:F27"/>
    <mergeCell ref="E28:F28"/>
    <mergeCell ref="E29:F29"/>
    <mergeCell ref="E21:H21"/>
  </mergeCells>
  <phoneticPr fontId="28" type="noConversion"/>
  <dataValidations count="2">
    <dataValidation showInputMessage="1" showErrorMessage="1" sqref="C27 H67 C66" xr:uid="{208F1726-2112-45E5-B4C8-02D6085B03C0}"/>
    <dataValidation type="decimal" allowBlank="1" showInputMessage="1" showErrorMessage="1" sqref="C30:C35 C37:C40" xr:uid="{9AADA343-C311-4785-8597-17E584A2815E}">
      <formula1>-10000000000000000</formula1>
      <formula2>10000000000000000</formula2>
    </dataValidation>
  </dataValidations>
  <hyperlinks>
    <hyperlink ref="E4" location="Instructions!C33" display="Back to Instructions tab" xr:uid="{00000000-0004-0000-0400-000000000000}"/>
  </hyperlinks>
  <printOptions horizontalCentered="1"/>
  <pageMargins left="0.25" right="0.25" top="0.75" bottom="0.25" header="0.3" footer="0.3"/>
  <pageSetup scale="58" orientation="landscape" r:id="rId1"/>
  <headerFooter>
    <oddHeader>&amp;F</oddHeader>
  </headerFooter>
  <extLst>
    <ext xmlns:x14="http://schemas.microsoft.com/office/spreadsheetml/2009/9/main" uri="{CCE6A557-97BC-4b89-ADB6-D9C93CAAB3DF}">
      <x14:dataValidations xmlns:xm="http://schemas.microsoft.com/office/excel/2006/main" count="2">
        <x14:dataValidation type="list" showInputMessage="1" showErrorMessage="1" xr:uid="{383F53EC-4FEA-4F13-B9A8-EF542904C829}">
          <x14:formula1>
            <xm:f>'Drop-Downs and Tables'!$B$81:$B$84</xm:f>
          </x14:formula1>
          <xm:sqref>C65</xm:sqref>
        </x14:dataValidation>
        <x14:dataValidation type="list" allowBlank="1" showInputMessage="1" showErrorMessage="1" xr:uid="{17EAF429-FF80-49C7-8F49-D5DD91120FBA}">
          <x14:formula1>
            <xm:f>'Drop-Downs and Tables'!$B$92:$B$94</xm:f>
          </x14:formula1>
          <xm:sqref>O57:P58 J56:K57 O46:P46 O51:P51 M54:N54 M52:N52 N49 M50 P52 O53 M47:N48 J45:K45 C46:I46 C47:D47 F47:I47 E48:F48 I48 C49:E49 G49:H49 C50:F50 J50:K50 D51:F51 H51:I51 K51 C52 G52 J52 G53:I53 G55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BCC1F-8AF4-45F4-B6AE-F2E9C57FDFEE}">
  <sheetPr codeName="Sheet3">
    <tabColor rgb="FF0070C0"/>
    <pageSetUpPr fitToPage="1"/>
  </sheetPr>
  <dimension ref="A1:R66"/>
  <sheetViews>
    <sheetView showGridLines="0" zoomScale="80" zoomScaleNormal="80" workbookViewId="0">
      <selection activeCell="C14" sqref="C14"/>
    </sheetView>
  </sheetViews>
  <sheetFormatPr defaultColWidth="9" defaultRowHeight="16.5" x14ac:dyDescent="0.3"/>
  <cols>
    <col min="1" max="1" width="3.625" style="74" customWidth="1"/>
    <col min="2" max="2" width="61.625" style="74" customWidth="1"/>
    <col min="3" max="3" width="40.25" style="74" customWidth="1"/>
    <col min="4" max="4" width="19.75" style="74" customWidth="1"/>
    <col min="5" max="5" width="26.625" style="74" customWidth="1"/>
    <col min="6" max="6" width="19.875" style="74" customWidth="1"/>
    <col min="7" max="7" width="21.125" style="74" customWidth="1"/>
    <col min="8" max="8" width="22.5" style="74" customWidth="1"/>
    <col min="9" max="9" width="23.25" style="74" customWidth="1"/>
    <col min="10" max="10" width="18.875" style="74" customWidth="1"/>
    <col min="11" max="11" width="9" style="95"/>
    <col min="12" max="12" width="18.75" style="95" customWidth="1"/>
    <col min="13" max="13" width="17.625" style="95" customWidth="1"/>
    <col min="14" max="14" width="3.625" style="95" customWidth="1"/>
    <col min="15" max="15" width="5" style="95" customWidth="1"/>
    <col min="16" max="16" width="9.5" style="95" bestFit="1" customWidth="1"/>
    <col min="17" max="17" width="20.625" style="95" customWidth="1"/>
    <col min="18" max="16384" width="9" style="95"/>
  </cols>
  <sheetData>
    <row r="1" spans="1:18" ht="17.25" thickBot="1" x14ac:dyDescent="0.35">
      <c r="A1" s="130"/>
      <c r="B1" s="130"/>
      <c r="C1" s="130"/>
      <c r="D1" s="130"/>
      <c r="E1" s="130"/>
      <c r="F1" s="130"/>
      <c r="G1" s="130"/>
      <c r="H1" s="130"/>
      <c r="I1" s="130"/>
      <c r="J1" s="1327"/>
      <c r="K1" s="1381"/>
      <c r="L1" s="1381"/>
      <c r="M1" s="1381"/>
      <c r="N1" s="1382"/>
      <c r="O1" s="1213"/>
    </row>
    <row r="2" spans="1:18" ht="18" thickBot="1" x14ac:dyDescent="0.35">
      <c r="A2" s="130"/>
      <c r="B2" s="1562" t="s">
        <v>228</v>
      </c>
      <c r="C2" s="1563"/>
      <c r="D2" s="130"/>
      <c r="E2" s="292"/>
      <c r="F2" s="130"/>
      <c r="G2" s="130"/>
      <c r="H2" s="130"/>
      <c r="I2" s="130"/>
      <c r="J2" s="1327"/>
      <c r="K2" s="1381"/>
      <c r="L2" s="1381"/>
      <c r="M2" s="1381"/>
      <c r="N2" s="1382"/>
      <c r="O2" s="1213"/>
    </row>
    <row r="3" spans="1:18" ht="21.75" customHeight="1" x14ac:dyDescent="0.3">
      <c r="A3" s="130"/>
      <c r="B3" s="293" t="s">
        <v>229</v>
      </c>
      <c r="C3" s="294" t="str">
        <f>'Version Control'!C3</f>
        <v>Consumer Boiler</v>
      </c>
      <c r="D3" s="130"/>
      <c r="E3" s="130"/>
      <c r="F3" s="130"/>
      <c r="G3" s="130"/>
      <c r="H3" s="130"/>
      <c r="I3" s="130"/>
      <c r="J3" s="1327"/>
      <c r="K3" s="1381"/>
      <c r="L3" s="1381"/>
      <c r="M3" s="1381"/>
      <c r="N3" s="1382"/>
      <c r="O3" s="1213"/>
    </row>
    <row r="4" spans="1:18" ht="18" x14ac:dyDescent="0.3">
      <c r="A4" s="130"/>
      <c r="B4" s="295" t="s">
        <v>117</v>
      </c>
      <c r="C4" s="1468" t="str">
        <f>'Version Control'!C4</f>
        <v>v2.1</v>
      </c>
      <c r="D4" s="130"/>
      <c r="E4" s="1383" t="s">
        <v>124</v>
      </c>
      <c r="F4" s="130"/>
      <c r="G4" s="130"/>
      <c r="H4" s="130"/>
      <c r="I4" s="130"/>
      <c r="J4" s="1327"/>
      <c r="K4" s="1381"/>
      <c r="L4" s="1381"/>
      <c r="M4" s="1381"/>
      <c r="N4" s="1382"/>
      <c r="O4" s="1213"/>
    </row>
    <row r="5" spans="1:18" x14ac:dyDescent="0.3">
      <c r="A5" s="130"/>
      <c r="B5" s="295" t="s">
        <v>118</v>
      </c>
      <c r="C5" s="1469">
        <f>'Version Control'!C5</f>
        <v>45407</v>
      </c>
      <c r="D5" s="130"/>
      <c r="E5" s="130"/>
      <c r="F5" s="130"/>
      <c r="G5" s="130"/>
      <c r="H5" s="130"/>
      <c r="I5" s="130"/>
      <c r="J5" s="1327"/>
      <c r="K5" s="1381"/>
      <c r="L5" s="1381"/>
      <c r="M5" s="1381"/>
      <c r="N5" s="1382"/>
      <c r="O5" s="1213"/>
    </row>
    <row r="6" spans="1:18" x14ac:dyDescent="0.3">
      <c r="A6" s="130"/>
      <c r="B6" s="298" t="s">
        <v>116</v>
      </c>
      <c r="C6" s="299" t="str">
        <f ca="1">MID(CELL("filename",A1), FIND("]", CELL("filename", A1))+ 1, 255)</f>
        <v>Sys. # &amp; Product Characteristic</v>
      </c>
      <c r="D6" s="130"/>
      <c r="E6" s="130"/>
      <c r="F6" s="130"/>
      <c r="G6" s="130"/>
      <c r="H6" s="130"/>
      <c r="I6" s="130"/>
      <c r="J6" s="1327"/>
      <c r="K6" s="1381"/>
      <c r="L6" s="1381"/>
      <c r="M6" s="1381"/>
      <c r="N6" s="1382"/>
      <c r="O6" s="1213"/>
    </row>
    <row r="7" spans="1:18" x14ac:dyDescent="0.3">
      <c r="A7" s="130"/>
      <c r="B7" s="300" t="s">
        <v>115</v>
      </c>
      <c r="C7" s="301" t="str">
        <f ca="1">'Version Control'!C7</f>
        <v>Consumer Boiler - v2.1.xlsx</v>
      </c>
      <c r="D7" s="130"/>
      <c r="E7" s="130"/>
      <c r="F7" s="130"/>
      <c r="G7" s="130"/>
      <c r="H7" s="130"/>
      <c r="I7" s="130"/>
      <c r="J7" s="1327"/>
      <c r="K7" s="1381"/>
      <c r="L7" s="1381"/>
      <c r="M7" s="1381"/>
      <c r="N7" s="1382"/>
      <c r="O7" s="1213"/>
    </row>
    <row r="8" spans="1:18" ht="17.25" thickBot="1" x14ac:dyDescent="0.35">
      <c r="A8" s="130"/>
      <c r="B8" s="302" t="s">
        <v>119</v>
      </c>
      <c r="C8" s="303" t="str">
        <f>'Version Control'!C8</f>
        <v>[MM/DD/YYYY]</v>
      </c>
      <c r="D8" s="130"/>
      <c r="E8" s="130"/>
      <c r="F8" s="130"/>
      <c r="G8" s="130"/>
      <c r="H8" s="130"/>
      <c r="I8" s="130"/>
      <c r="J8" s="1327"/>
      <c r="K8" s="1381"/>
      <c r="L8" s="1381"/>
      <c r="M8" s="1381"/>
      <c r="N8" s="1382"/>
      <c r="O8" s="1213"/>
    </row>
    <row r="9" spans="1:18" x14ac:dyDescent="0.3">
      <c r="A9" s="130"/>
      <c r="B9" s="130"/>
      <c r="C9" s="130"/>
      <c r="D9" s="130"/>
      <c r="E9" s="130"/>
      <c r="F9" s="130"/>
      <c r="G9" s="130"/>
      <c r="H9" s="130"/>
      <c r="I9" s="130"/>
      <c r="J9" s="1327"/>
      <c r="K9" s="1381"/>
      <c r="L9" s="1381"/>
      <c r="M9" s="1381"/>
      <c r="N9" s="1382"/>
      <c r="O9" s="1213"/>
    </row>
    <row r="10" spans="1:18" ht="17.25" thickBot="1" x14ac:dyDescent="0.35">
      <c r="A10" s="130"/>
      <c r="B10" s="130"/>
      <c r="C10" s="130"/>
      <c r="D10" s="464"/>
      <c r="E10" s="130"/>
      <c r="F10" s="130"/>
      <c r="G10" s="130"/>
      <c r="H10" s="130"/>
      <c r="I10" s="130"/>
      <c r="J10" s="1327"/>
      <c r="K10" s="1381"/>
      <c r="L10" s="1381"/>
      <c r="M10" s="1381"/>
      <c r="N10" s="1382"/>
      <c r="O10" s="1213"/>
    </row>
    <row r="11" spans="1:18" ht="18" thickBot="1" x14ac:dyDescent="0.4">
      <c r="A11" s="130"/>
      <c r="B11" s="1384" t="s">
        <v>306</v>
      </c>
      <c r="C11" s="1402"/>
      <c r="D11" s="1402"/>
      <c r="E11" s="1402"/>
      <c r="F11" s="1402"/>
      <c r="G11" s="1402"/>
      <c r="H11" s="1402"/>
      <c r="I11" s="1402"/>
      <c r="J11" s="1402"/>
      <c r="K11" s="1402"/>
      <c r="L11" s="1403"/>
      <c r="M11" s="133"/>
      <c r="N11" s="133"/>
      <c r="O11" s="320"/>
      <c r="P11" s="133"/>
      <c r="Q11" s="133"/>
      <c r="R11" s="10"/>
    </row>
    <row r="12" spans="1:18" ht="18" thickBot="1" x14ac:dyDescent="0.4">
      <c r="A12" s="130"/>
      <c r="B12" s="1385" t="s">
        <v>1110</v>
      </c>
      <c r="C12" s="1164"/>
      <c r="D12" s="430"/>
      <c r="E12" s="430"/>
      <c r="F12" s="430"/>
      <c r="G12" s="430"/>
      <c r="H12" s="430"/>
      <c r="I12" s="430"/>
      <c r="J12" s="430"/>
      <c r="K12" s="430"/>
      <c r="L12" s="430"/>
      <c r="M12" s="1404" t="s">
        <v>39</v>
      </c>
      <c r="N12" s="1405"/>
      <c r="O12" s="1410"/>
      <c r="P12" s="1405"/>
      <c r="Q12" s="1405"/>
      <c r="R12" s="1149"/>
    </row>
    <row r="13" spans="1:18" ht="18" thickBot="1" x14ac:dyDescent="0.4">
      <c r="A13" s="130"/>
      <c r="B13" s="1386" t="s">
        <v>308</v>
      </c>
      <c r="C13" s="1406" t="s">
        <v>1106</v>
      </c>
      <c r="D13" s="1407">
        <v>1</v>
      </c>
      <c r="E13" s="1407">
        <v>2</v>
      </c>
      <c r="F13" s="1407">
        <v>3</v>
      </c>
      <c r="G13" s="1407">
        <v>4</v>
      </c>
      <c r="H13" s="1407">
        <v>5</v>
      </c>
      <c r="I13" s="1407">
        <v>6</v>
      </c>
      <c r="J13" s="1407">
        <v>8</v>
      </c>
      <c r="K13" s="1407">
        <v>9</v>
      </c>
      <c r="L13" s="1408">
        <v>10</v>
      </c>
      <c r="M13" s="1409" t="str">
        <f>IF(COUNT(D27:L27)=1, SUM(D27:L27), "Check Inputs")</f>
        <v>Check Inputs</v>
      </c>
      <c r="N13" s="876"/>
      <c r="O13" s="1411"/>
      <c r="P13" s="876"/>
      <c r="Q13" s="876"/>
      <c r="R13" s="1199"/>
    </row>
    <row r="14" spans="1:18" ht="17.25" x14ac:dyDescent="0.3">
      <c r="A14" s="130"/>
      <c r="B14" s="1387" t="s">
        <v>309</v>
      </c>
      <c r="C14" s="1442"/>
      <c r="D14" s="1412" t="str">
        <f t="shared" ref="D14:J14" si="0">IF($C14="Yes", "Yes","")</f>
        <v/>
      </c>
      <c r="E14" s="1412" t="str">
        <f t="shared" si="0"/>
        <v/>
      </c>
      <c r="F14" s="1412" t="str">
        <f t="shared" si="0"/>
        <v/>
      </c>
      <c r="G14" s="1412" t="str">
        <f t="shared" si="0"/>
        <v/>
      </c>
      <c r="H14" s="1412" t="str">
        <f t="shared" si="0"/>
        <v/>
      </c>
      <c r="I14" s="1412" t="str">
        <f t="shared" si="0"/>
        <v/>
      </c>
      <c r="J14" s="1412" t="str">
        <f t="shared" si="0"/>
        <v/>
      </c>
      <c r="K14" s="1413" t="s">
        <v>320</v>
      </c>
      <c r="L14" s="1414" t="s">
        <v>320</v>
      </c>
      <c r="M14" s="1415"/>
      <c r="N14" s="1416"/>
      <c r="O14" s="1417"/>
      <c r="P14" s="1416"/>
      <c r="Q14" s="1416"/>
      <c r="R14" s="660"/>
    </row>
    <row r="15" spans="1:18" ht="17.25" x14ac:dyDescent="0.3">
      <c r="A15" s="130"/>
      <c r="B15" s="1388" t="s">
        <v>310</v>
      </c>
      <c r="C15" s="1443"/>
      <c r="D15" s="1418" t="s">
        <v>320</v>
      </c>
      <c r="E15" s="1418" t="s">
        <v>320</v>
      </c>
      <c r="F15" s="1418" t="s">
        <v>320</v>
      </c>
      <c r="G15" s="1418" t="s">
        <v>320</v>
      </c>
      <c r="H15" s="1418" t="s">
        <v>320</v>
      </c>
      <c r="I15" s="1418" t="s">
        <v>320</v>
      </c>
      <c r="J15" s="1418" t="s">
        <v>320</v>
      </c>
      <c r="K15" s="486" t="str">
        <f>IF(OR($C15="Direct Vent", C15="Isolated Combust. System", C15="Outdoor"), "Yes", "")</f>
        <v/>
      </c>
      <c r="L15" s="1419" t="str">
        <f>IF(OR($C15="Direct Vent", C15="Isolated Combust. System", C15="Outdoor"), "Yes", "")</f>
        <v/>
      </c>
      <c r="M15" s="1415"/>
      <c r="N15" s="1416"/>
      <c r="O15" s="1420"/>
      <c r="P15" s="781"/>
      <c r="Q15" s="781"/>
      <c r="R15" s="660"/>
    </row>
    <row r="16" spans="1:18" ht="17.25" x14ac:dyDescent="0.3">
      <c r="A16" s="130"/>
      <c r="B16" s="1389" t="s">
        <v>321</v>
      </c>
      <c r="C16" s="1444"/>
      <c r="D16" s="1418" t="s">
        <v>320</v>
      </c>
      <c r="E16" s="1418" t="s">
        <v>320</v>
      </c>
      <c r="F16" s="486" t="str">
        <f>IF($C16="Yes", "Yes","")</f>
        <v/>
      </c>
      <c r="G16" s="1418" t="s">
        <v>320</v>
      </c>
      <c r="H16" s="1418" t="s">
        <v>320</v>
      </c>
      <c r="I16" s="1418" t="s">
        <v>320</v>
      </c>
      <c r="J16" s="1418" t="s">
        <v>320</v>
      </c>
      <c r="K16" s="1555" t="s">
        <v>374</v>
      </c>
      <c r="L16" s="1556"/>
      <c r="M16" s="1415"/>
      <c r="N16" s="1416"/>
      <c r="O16" s="1421"/>
      <c r="P16" s="630"/>
      <c r="Q16" s="630"/>
      <c r="R16" s="660"/>
    </row>
    <row r="17" spans="1:18" ht="17.25" x14ac:dyDescent="0.3">
      <c r="A17" s="130"/>
      <c r="B17" s="1389" t="s">
        <v>311</v>
      </c>
      <c r="C17" s="1444"/>
      <c r="D17" s="486" t="str">
        <f>IF(OR($C17="Draft Hood", $C17="Integral Draft Diverter"), "Yes","")</f>
        <v/>
      </c>
      <c r="E17" s="486" t="str">
        <f>IF(OR($C17="Draft Hood", $C17="Integral Draft Diverter"), "Yes","")</f>
        <v/>
      </c>
      <c r="F17" s="1418" t="s">
        <v>320</v>
      </c>
      <c r="G17" s="1418" t="s">
        <v>320</v>
      </c>
      <c r="H17" s="486" t="str">
        <f>IF(OR($C17="Draft Hood", $C17="Integral Draft Diverter"), "Yes","")</f>
        <v/>
      </c>
      <c r="I17" s="486" t="str">
        <f>IF(OR($C17="Draft Hood", $C17="Integral Draft Diverter"), "Yes","")</f>
        <v/>
      </c>
      <c r="J17" s="1418" t="s">
        <v>320</v>
      </c>
      <c r="K17" s="1557"/>
      <c r="L17" s="1558"/>
      <c r="M17" s="1415"/>
      <c r="N17" s="1416"/>
      <c r="O17" s="1421"/>
      <c r="P17" s="1561"/>
      <c r="Q17" s="1561"/>
      <c r="R17" s="660"/>
    </row>
    <row r="18" spans="1:18" ht="17.25" x14ac:dyDescent="0.3">
      <c r="A18" s="130"/>
      <c r="B18" s="1389" t="s">
        <v>312</v>
      </c>
      <c r="C18" s="1444"/>
      <c r="D18" s="1418" t="s">
        <v>320</v>
      </c>
      <c r="E18" s="1418" t="s">
        <v>320</v>
      </c>
      <c r="F18" s="1418" t="s">
        <v>320</v>
      </c>
      <c r="G18" s="486" t="str">
        <f>IF($C18="Yes", "Yes","")</f>
        <v/>
      </c>
      <c r="H18" s="1418" t="s">
        <v>320</v>
      </c>
      <c r="I18" s="1418" t="s">
        <v>320</v>
      </c>
      <c r="J18" s="486" t="str">
        <f>IF($C18="Yes", "Yes","")</f>
        <v/>
      </c>
      <c r="K18" s="1559"/>
      <c r="L18" s="1560"/>
      <c r="M18" s="1415"/>
      <c r="N18" s="1416"/>
      <c r="O18" s="1421"/>
      <c r="P18" s="1561"/>
      <c r="Q18" s="1561"/>
      <c r="R18" s="660"/>
    </row>
    <row r="19" spans="1:18" ht="17.25" x14ac:dyDescent="0.3">
      <c r="A19" s="130"/>
      <c r="B19" s="1389" t="s">
        <v>313</v>
      </c>
      <c r="C19" s="1444"/>
      <c r="D19" s="1418" t="s">
        <v>320</v>
      </c>
      <c r="E19" s="1418" t="s">
        <v>320</v>
      </c>
      <c r="F19" s="1418" t="s">
        <v>320</v>
      </c>
      <c r="G19" s="1418" t="s">
        <v>320</v>
      </c>
      <c r="H19" s="486" t="str">
        <f>IF($C19="Yes", "Yes","")</f>
        <v/>
      </c>
      <c r="I19" s="486" t="str">
        <f>IF($C19="Yes", "Yes","")</f>
        <v/>
      </c>
      <c r="J19" s="486" t="str">
        <f>IF($C19="Yes", "Yes","")</f>
        <v/>
      </c>
      <c r="K19" s="1418" t="s">
        <v>320</v>
      </c>
      <c r="L19" s="1422" t="s">
        <v>320</v>
      </c>
      <c r="M19" s="1415"/>
      <c r="N19" s="1416"/>
      <c r="O19" s="1420"/>
      <c r="P19" s="1561"/>
      <c r="Q19" s="1561"/>
      <c r="R19" s="660"/>
    </row>
    <row r="20" spans="1:18" ht="17.25" x14ac:dyDescent="0.3">
      <c r="A20" s="130"/>
      <c r="B20" s="1390" t="s">
        <v>314</v>
      </c>
      <c r="C20" s="1444"/>
      <c r="D20" s="486" t="str">
        <f>IF($C20="Yes", "Yes","")</f>
        <v/>
      </c>
      <c r="E20" s="1418" t="s">
        <v>320</v>
      </c>
      <c r="F20" s="1418" t="s">
        <v>320</v>
      </c>
      <c r="G20" s="1418" t="s">
        <v>320</v>
      </c>
      <c r="H20" s="486" t="str">
        <f>IF($C20="Yes", "Yes","")</f>
        <v/>
      </c>
      <c r="I20" s="1418" t="s">
        <v>320</v>
      </c>
      <c r="J20" s="1418" t="s">
        <v>320</v>
      </c>
      <c r="K20" s="486" t="str">
        <f>IF($C20="Yes", "Yes","")</f>
        <v/>
      </c>
      <c r="L20" s="1422" t="s">
        <v>320</v>
      </c>
      <c r="M20" s="1415"/>
      <c r="N20" s="1416"/>
      <c r="O20" s="1420"/>
      <c r="P20" s="781"/>
      <c r="Q20" s="781"/>
      <c r="R20" s="660"/>
    </row>
    <row r="21" spans="1:18" ht="17.25" x14ac:dyDescent="0.3">
      <c r="A21" s="130"/>
      <c r="B21" s="1390" t="s">
        <v>315</v>
      </c>
      <c r="C21" s="1444"/>
      <c r="D21" s="1418" t="s">
        <v>320</v>
      </c>
      <c r="E21" s="486" t="str">
        <f>IF($C21="Yes", "Yes","")</f>
        <v/>
      </c>
      <c r="F21" s="486" t="str">
        <f>IF($C21="Yes", "Yes","")</f>
        <v/>
      </c>
      <c r="G21" s="486" t="str">
        <f>IF($C21="Yes", "Yes","")</f>
        <v/>
      </c>
      <c r="H21" s="1418" t="s">
        <v>320</v>
      </c>
      <c r="I21" s="486" t="str">
        <f>IF($C21="Yes", "Yes","")</f>
        <v/>
      </c>
      <c r="J21" s="486" t="str">
        <f>IF($C21="Yes", "Yes","")</f>
        <v/>
      </c>
      <c r="K21" s="1418" t="s">
        <v>320</v>
      </c>
      <c r="L21" s="1419" t="str">
        <f>IF($C21="Yes", "Yes","")</f>
        <v/>
      </c>
      <c r="M21" s="1415"/>
      <c r="N21" s="1416"/>
      <c r="O21" s="1421"/>
      <c r="P21" s="630"/>
      <c r="Q21" s="781"/>
      <c r="R21" s="660"/>
    </row>
    <row r="22" spans="1:18" ht="17.25" x14ac:dyDescent="0.3">
      <c r="A22" s="130"/>
      <c r="B22" s="1390" t="s">
        <v>316</v>
      </c>
      <c r="C22" s="1444"/>
      <c r="D22" s="486" t="str">
        <f>IF(OR($C22="Burner Inlet Damper", $C22="Flue Damper"), "Yes","")</f>
        <v/>
      </c>
      <c r="E22" s="486" t="str">
        <f>IF(OR($C22="Burner Inlet Damper", $C22="Flue Damper"), "Yes","")</f>
        <v/>
      </c>
      <c r="F22" s="486" t="str">
        <f>IF(OR($C22="Burner Inlet Damper", $C22="Flue Damper"), "Yes","")</f>
        <v/>
      </c>
      <c r="G22" s="486" t="str">
        <f>IF(OR($C22="Burner Inlet Damper", $C22="Flue Damper"), "Yes","")</f>
        <v/>
      </c>
      <c r="H22" s="1418" t="s">
        <v>320</v>
      </c>
      <c r="I22" s="1418" t="s">
        <v>320</v>
      </c>
      <c r="J22" s="1418" t="s">
        <v>320</v>
      </c>
      <c r="K22" s="486" t="str">
        <f>IF(OR($C22="Burner Inlet Damper", $C22="Flue Damper"), "Yes","")</f>
        <v/>
      </c>
      <c r="L22" s="1419" t="str">
        <f>IF(OR($C22="Burner Inlet Damper", $C22="Flue Damper"), "Yes","")</f>
        <v/>
      </c>
      <c r="M22" s="1415"/>
      <c r="N22" s="1416"/>
      <c r="O22" s="1420"/>
      <c r="P22" s="781"/>
      <c r="Q22" s="630"/>
      <c r="R22" s="660"/>
    </row>
    <row r="23" spans="1:18" ht="18" x14ac:dyDescent="0.35">
      <c r="A23" s="130"/>
      <c r="B23" s="1391" t="s">
        <v>805</v>
      </c>
      <c r="C23" s="1436"/>
      <c r="D23" s="1423">
        <v>1</v>
      </c>
      <c r="E23" s="1423">
        <v>0.4</v>
      </c>
      <c r="F23" s="1423">
        <v>0.4</v>
      </c>
      <c r="G23" s="1423">
        <v>0.4</v>
      </c>
      <c r="H23" s="1423">
        <v>1</v>
      </c>
      <c r="I23" s="1423">
        <v>0.4</v>
      </c>
      <c r="J23" s="1423">
        <v>0.4</v>
      </c>
      <c r="K23" s="1423">
        <v>1</v>
      </c>
      <c r="L23" s="1424">
        <v>0.4</v>
      </c>
      <c r="M23" s="1425"/>
      <c r="N23" s="781"/>
      <c r="O23" s="1421"/>
      <c r="P23" s="630"/>
      <c r="Q23" s="630"/>
      <c r="R23" s="660"/>
    </row>
    <row r="24" spans="1:18" ht="18" x14ac:dyDescent="0.35">
      <c r="A24" s="130"/>
      <c r="B24" s="1389" t="s">
        <v>806</v>
      </c>
      <c r="C24" s="1436"/>
      <c r="D24" s="1423" t="s">
        <v>503</v>
      </c>
      <c r="E24" s="1423" t="s">
        <v>504</v>
      </c>
      <c r="F24" s="1423" t="s">
        <v>504</v>
      </c>
      <c r="G24" s="1423" t="s">
        <v>504</v>
      </c>
      <c r="H24" s="1418"/>
      <c r="I24" s="1423" t="s">
        <v>504</v>
      </c>
      <c r="J24" s="1423" t="s">
        <v>504</v>
      </c>
      <c r="K24" s="1423" t="s">
        <v>505</v>
      </c>
      <c r="L24" s="1424" t="s">
        <v>504</v>
      </c>
      <c r="M24" s="1425"/>
      <c r="N24" s="781"/>
      <c r="O24" s="1421"/>
      <c r="P24" s="781"/>
      <c r="Q24" s="781"/>
      <c r="R24" s="1149"/>
    </row>
    <row r="25" spans="1:18" ht="33" x14ac:dyDescent="0.35">
      <c r="A25" s="130"/>
      <c r="B25" s="1389" t="s">
        <v>621</v>
      </c>
      <c r="C25" s="1436"/>
      <c r="D25" s="1423">
        <v>1</v>
      </c>
      <c r="E25" s="1423">
        <v>1</v>
      </c>
      <c r="F25" s="1423" t="s">
        <v>317</v>
      </c>
      <c r="G25" s="1426" t="s">
        <v>507</v>
      </c>
      <c r="H25" s="1423" t="s">
        <v>323</v>
      </c>
      <c r="I25" s="1423" t="s">
        <v>323</v>
      </c>
      <c r="J25" s="1426" t="s">
        <v>506</v>
      </c>
      <c r="K25" s="1418"/>
      <c r="L25" s="1422"/>
      <c r="M25" s="1425"/>
      <c r="N25" s="781"/>
      <c r="O25" s="1421"/>
      <c r="P25" s="781"/>
      <c r="Q25" s="781"/>
      <c r="R25" s="1149"/>
    </row>
    <row r="26" spans="1:18" ht="17.25" thickBot="1" x14ac:dyDescent="0.35">
      <c r="A26" s="130"/>
      <c r="B26" s="1392" t="s">
        <v>60</v>
      </c>
      <c r="C26" s="1437"/>
      <c r="D26" s="1427" t="s">
        <v>322</v>
      </c>
      <c r="E26" s="1427" t="s">
        <v>322</v>
      </c>
      <c r="F26" s="1427">
        <v>1</v>
      </c>
      <c r="G26" s="1427" t="s">
        <v>324</v>
      </c>
      <c r="H26" s="1427" t="s">
        <v>322</v>
      </c>
      <c r="I26" s="1427" t="s">
        <v>322</v>
      </c>
      <c r="J26" s="1427" t="s">
        <v>324</v>
      </c>
      <c r="K26" s="1428"/>
      <c r="L26" s="1429"/>
      <c r="M26" s="1425"/>
      <c r="N26" s="781"/>
      <c r="O26" s="1430"/>
      <c r="P26" s="781"/>
      <c r="Q26" s="781"/>
      <c r="R26" s="1149"/>
    </row>
    <row r="27" spans="1:18" x14ac:dyDescent="0.3">
      <c r="A27" s="130"/>
      <c r="B27" s="432"/>
      <c r="C27" s="876"/>
      <c r="D27" s="630" t="str">
        <f>IF(COUNTBLANK($D$14:$D$22)=0, 1, "")</f>
        <v/>
      </c>
      <c r="E27" s="630" t="str">
        <f>IF(COUNTBLANK($E$14:$E$22)=0, 2, "")</f>
        <v/>
      </c>
      <c r="F27" s="1431" t="str">
        <f>IF(COUNTBLANK($F$14:$F$22)=0, 3, "")</f>
        <v/>
      </c>
      <c r="G27" s="630" t="str">
        <f>IF(COUNTBLANK($G$14:$G$22)=0, 4, "")</f>
        <v/>
      </c>
      <c r="H27" s="630" t="str">
        <f>IF(COUNTBLANK($H$14:$H$22)=0, 5, "")</f>
        <v/>
      </c>
      <c r="I27" s="630" t="str">
        <f>IF(COUNTBLANK($I$14:$I$22)=0, "6", "")</f>
        <v/>
      </c>
      <c r="J27" s="630" t="str">
        <f>IF(COUNTBLANK($J$14:$J$22)=0, 8, "")</f>
        <v/>
      </c>
      <c r="K27" s="630" t="str">
        <f>IF(COUNTBLANK($K$14:$K$22)=0, 9, "")</f>
        <v/>
      </c>
      <c r="L27" s="1432" t="str">
        <f>IF(AND(COUNTBLANK($L$15)=0,COUNTBLANK(L21:L22)=0), 10, "")</f>
        <v/>
      </c>
      <c r="M27" s="1425"/>
      <c r="N27" s="781"/>
      <c r="O27" s="1430"/>
      <c r="P27" s="781"/>
      <c r="Q27" s="781"/>
      <c r="R27" s="1149"/>
    </row>
    <row r="28" spans="1:18" x14ac:dyDescent="0.3">
      <c r="A28" s="130"/>
      <c r="B28" s="431" t="s">
        <v>325</v>
      </c>
      <c r="C28" s="1438"/>
      <c r="D28" s="430"/>
      <c r="E28" s="430"/>
      <c r="F28" s="430"/>
      <c r="G28" s="430"/>
      <c r="H28" s="430"/>
      <c r="I28" s="430"/>
      <c r="J28" s="430"/>
      <c r="K28" s="430"/>
      <c r="L28" s="433"/>
      <c r="M28" s="1425"/>
      <c r="N28" s="781"/>
      <c r="O28" s="1421"/>
      <c r="P28" s="781"/>
      <c r="Q28" s="781"/>
      <c r="R28" s="1149"/>
    </row>
    <row r="29" spans="1:18" x14ac:dyDescent="0.3">
      <c r="A29" s="130"/>
      <c r="B29" s="432" t="s">
        <v>1261</v>
      </c>
      <c r="C29" s="430"/>
      <c r="D29" s="430"/>
      <c r="E29" s="430"/>
      <c r="F29" s="430"/>
      <c r="G29" s="430"/>
      <c r="H29" s="430"/>
      <c r="I29" s="430"/>
      <c r="J29" s="430"/>
      <c r="K29" s="430"/>
      <c r="L29" s="433"/>
      <c r="M29" s="1425"/>
      <c r="N29" s="876"/>
      <c r="O29" s="1411"/>
      <c r="P29" s="876"/>
      <c r="Q29" s="876"/>
      <c r="R29" s="1149"/>
    </row>
    <row r="30" spans="1:18" x14ac:dyDescent="0.3">
      <c r="A30" s="130"/>
      <c r="B30" s="432" t="s">
        <v>318</v>
      </c>
      <c r="C30" s="430"/>
      <c r="D30" s="430"/>
      <c r="E30" s="430"/>
      <c r="F30" s="430"/>
      <c r="G30" s="430"/>
      <c r="H30" s="430"/>
      <c r="I30" s="430"/>
      <c r="J30" s="430"/>
      <c r="K30" s="430"/>
      <c r="L30" s="433"/>
      <c r="M30" s="1425"/>
      <c r="N30" s="876"/>
      <c r="O30" s="1411"/>
      <c r="P30" s="876"/>
      <c r="Q30" s="876"/>
      <c r="R30" s="1149"/>
    </row>
    <row r="31" spans="1:18" x14ac:dyDescent="0.3">
      <c r="A31" s="130"/>
      <c r="B31" s="432" t="s">
        <v>438</v>
      </c>
      <c r="C31" s="430"/>
      <c r="D31" s="430"/>
      <c r="E31" s="430"/>
      <c r="F31" s="430"/>
      <c r="G31" s="430"/>
      <c r="H31" s="430"/>
      <c r="I31" s="430"/>
      <c r="J31" s="430"/>
      <c r="K31" s="430"/>
      <c r="L31" s="433"/>
      <c r="M31" s="1425"/>
      <c r="N31" s="876"/>
      <c r="O31" s="1411"/>
      <c r="P31" s="876"/>
      <c r="Q31" s="876"/>
      <c r="R31" s="1149"/>
    </row>
    <row r="32" spans="1:18" ht="17.25" thickBot="1" x14ac:dyDescent="0.35">
      <c r="A32" s="130"/>
      <c r="B32" s="1393" t="s">
        <v>319</v>
      </c>
      <c r="C32" s="930"/>
      <c r="D32" s="930"/>
      <c r="E32" s="930"/>
      <c r="F32" s="930"/>
      <c r="G32" s="930"/>
      <c r="H32" s="930"/>
      <c r="I32" s="930"/>
      <c r="J32" s="930"/>
      <c r="K32" s="930"/>
      <c r="L32" s="1433"/>
      <c r="M32" s="1425"/>
      <c r="N32" s="876"/>
      <c r="O32" s="1411"/>
      <c r="P32" s="876"/>
      <c r="Q32" s="876"/>
      <c r="R32" s="1149"/>
    </row>
    <row r="33" spans="1:17" ht="17.25" thickBot="1" x14ac:dyDescent="0.35">
      <c r="A33" s="130"/>
      <c r="B33" s="130"/>
      <c r="C33" s="130"/>
      <c r="D33" s="130"/>
      <c r="E33" s="130"/>
      <c r="F33" s="1381"/>
      <c r="G33" s="1381"/>
      <c r="H33" s="1381"/>
      <c r="I33" s="1381"/>
      <c r="J33" s="1381"/>
      <c r="K33" s="1381"/>
      <c r="L33" s="1381"/>
      <c r="M33" s="876"/>
      <c r="N33" s="876"/>
      <c r="O33" s="1411"/>
      <c r="P33" s="876"/>
      <c r="Q33" s="876"/>
    </row>
    <row r="34" spans="1:17" ht="18" thickBot="1" x14ac:dyDescent="0.35">
      <c r="A34" s="130"/>
      <c r="B34" s="1394" t="s">
        <v>148</v>
      </c>
      <c r="C34" s="1439"/>
      <c r="D34" s="130"/>
      <c r="E34" s="130"/>
      <c r="F34" s="1381"/>
      <c r="G34" s="1381"/>
      <c r="H34" s="1381"/>
      <c r="I34" s="1381"/>
      <c r="J34" s="1381"/>
      <c r="K34" s="1381"/>
      <c r="L34" s="1381"/>
      <c r="M34" s="1381"/>
      <c r="N34" s="1382"/>
      <c r="O34" s="1434"/>
      <c r="P34" s="1381"/>
      <c r="Q34" s="1381"/>
    </row>
    <row r="35" spans="1:17" x14ac:dyDescent="0.3">
      <c r="A35" s="130"/>
      <c r="B35" s="1395" t="s">
        <v>708</v>
      </c>
      <c r="C35" s="1227" t="s">
        <v>710</v>
      </c>
      <c r="D35" s="130"/>
      <c r="E35" s="130"/>
      <c r="F35" s="1381"/>
      <c r="G35" s="1381"/>
      <c r="H35" s="1381"/>
      <c r="I35" s="1381"/>
      <c r="J35" s="1381"/>
      <c r="K35" s="1381"/>
      <c r="L35" s="1381"/>
      <c r="M35" s="1381"/>
      <c r="N35" s="1382"/>
      <c r="O35" s="1434"/>
      <c r="P35" s="1381"/>
      <c r="Q35" s="1381"/>
    </row>
    <row r="36" spans="1:17" x14ac:dyDescent="0.3">
      <c r="A36" s="130"/>
      <c r="B36" s="1396" t="s">
        <v>721</v>
      </c>
      <c r="C36" s="1227" t="str">
        <f>IF(Heating_Fuel_Used="","",IF(Heating_Fuel_Used="Electricity","Electricity",IF(ISERROR(FIND("Gas",Heating_Fuel_Used)),"Oil","Gas")))</f>
        <v>Oil</v>
      </c>
      <c r="D36" s="130"/>
      <c r="E36" s="130"/>
      <c r="F36" s="1381"/>
      <c r="G36" s="1381"/>
      <c r="H36" s="1381"/>
      <c r="I36" s="1381"/>
      <c r="J36" s="1381"/>
      <c r="K36" s="1381"/>
      <c r="L36" s="1381"/>
      <c r="M36" s="1381"/>
      <c r="N36" s="1382"/>
      <c r="O36" s="1434"/>
      <c r="P36" s="1381"/>
      <c r="Q36" s="1381"/>
    </row>
    <row r="37" spans="1:17" x14ac:dyDescent="0.3">
      <c r="A37" s="130"/>
      <c r="B37" s="1397" t="s">
        <v>1096</v>
      </c>
      <c r="C37" s="1440" t="s">
        <v>361</v>
      </c>
      <c r="D37" s="130"/>
      <c r="E37" s="130"/>
      <c r="F37" s="1381"/>
      <c r="G37" s="1381"/>
      <c r="H37" s="1381"/>
      <c r="I37" s="1381"/>
      <c r="J37" s="1381"/>
      <c r="K37" s="1381"/>
      <c r="L37" s="1381"/>
      <c r="M37" s="1381"/>
      <c r="N37" s="1382"/>
      <c r="O37" s="1434"/>
      <c r="P37" s="1381"/>
      <c r="Q37" s="1381"/>
    </row>
    <row r="38" spans="1:17" x14ac:dyDescent="0.3">
      <c r="A38" s="130"/>
      <c r="B38" s="1397" t="s">
        <v>720</v>
      </c>
      <c r="C38" s="1441"/>
      <c r="D38" s="130"/>
      <c r="E38" s="130"/>
      <c r="F38" s="1381"/>
      <c r="G38" s="1381"/>
      <c r="H38" s="1381"/>
      <c r="I38" s="1381"/>
      <c r="J38" s="1381"/>
      <c r="K38" s="1381"/>
      <c r="L38" s="1381"/>
      <c r="M38" s="1381"/>
      <c r="N38" s="1382"/>
      <c r="O38" s="1434"/>
      <c r="P38" s="1381"/>
      <c r="Q38" s="1381"/>
    </row>
    <row r="39" spans="1:17" x14ac:dyDescent="0.3">
      <c r="A39" s="130"/>
      <c r="B39" s="1397" t="s">
        <v>418</v>
      </c>
      <c r="C39" s="1441"/>
      <c r="D39" s="130"/>
      <c r="E39" s="130"/>
      <c r="F39" s="1381"/>
      <c r="G39" s="1381"/>
      <c r="H39" s="1381"/>
      <c r="I39" s="1381"/>
      <c r="J39" s="1381"/>
      <c r="K39" s="1381"/>
      <c r="L39" s="1381"/>
      <c r="M39" s="1381"/>
      <c r="N39" s="1382"/>
      <c r="O39" s="1434"/>
      <c r="P39" s="1381"/>
      <c r="Q39" s="1381"/>
    </row>
    <row r="40" spans="1:17" x14ac:dyDescent="0.3">
      <c r="A40" s="130"/>
      <c r="B40" s="1398" t="s">
        <v>1111</v>
      </c>
      <c r="C40" s="1441"/>
      <c r="D40" s="130"/>
      <c r="E40" s="130"/>
      <c r="F40" s="1381"/>
      <c r="G40" s="1381"/>
      <c r="H40" s="1381"/>
      <c r="I40" s="1381"/>
      <c r="J40" s="1381"/>
      <c r="K40" s="1381"/>
      <c r="L40" s="1381"/>
      <c r="M40" s="1381"/>
      <c r="N40" s="1382"/>
      <c r="O40" s="1434"/>
      <c r="P40" s="1381"/>
      <c r="Q40" s="1381"/>
    </row>
    <row r="41" spans="1:17" x14ac:dyDescent="0.3">
      <c r="A41" s="130"/>
      <c r="B41" s="1399" t="s">
        <v>1097</v>
      </c>
      <c r="C41" s="1441"/>
      <c r="D41" s="130"/>
      <c r="E41" s="130"/>
      <c r="F41" s="1381"/>
      <c r="G41" s="1381"/>
      <c r="H41" s="1381"/>
      <c r="I41" s="1381"/>
      <c r="J41" s="1381"/>
      <c r="K41" s="1381"/>
      <c r="L41" s="1381"/>
      <c r="M41" s="1381"/>
      <c r="N41" s="1382"/>
      <c r="O41" s="1434"/>
      <c r="P41" s="1381"/>
      <c r="Q41" s="1381"/>
    </row>
    <row r="42" spans="1:17" x14ac:dyDescent="0.3">
      <c r="A42" s="130"/>
      <c r="B42" s="1399" t="str">
        <f>IF(C18="Yes", "Was this unit marketed and sold with attached barometric dampers?","Not used")</f>
        <v>Not used</v>
      </c>
      <c r="C42" s="1441"/>
      <c r="D42" s="130"/>
      <c r="E42" s="130"/>
      <c r="F42" s="1381"/>
      <c r="G42" s="1381"/>
      <c r="H42" s="1381"/>
      <c r="I42" s="1381"/>
      <c r="J42" s="1381"/>
      <c r="K42" s="1381"/>
      <c r="L42" s="1381"/>
      <c r="M42" s="1381"/>
      <c r="N42" s="1382"/>
      <c r="O42" s="1434"/>
      <c r="P42" s="1381"/>
      <c r="Q42" s="1381"/>
    </row>
    <row r="43" spans="1:17" x14ac:dyDescent="0.3">
      <c r="A43" s="130"/>
      <c r="B43" s="1399" t="s">
        <v>26</v>
      </c>
      <c r="C43" s="1441"/>
      <c r="D43" s="130"/>
      <c r="E43" s="130"/>
      <c r="F43" s="1381"/>
      <c r="G43" s="1381"/>
      <c r="H43" s="1381"/>
      <c r="I43" s="1381"/>
      <c r="J43" s="1381"/>
      <c r="K43" s="1381"/>
      <c r="L43" s="1381"/>
      <c r="M43" s="1381"/>
      <c r="N43" s="1382"/>
      <c r="O43" s="1434"/>
      <c r="P43" s="1381"/>
      <c r="Q43" s="1381"/>
    </row>
    <row r="44" spans="1:17" x14ac:dyDescent="0.3">
      <c r="A44" s="130"/>
      <c r="B44" s="1396" t="s">
        <v>1234</v>
      </c>
      <c r="C44" s="1441"/>
      <c r="D44" s="130"/>
      <c r="E44" s="130"/>
      <c r="F44" s="1381"/>
      <c r="G44" s="1381"/>
      <c r="H44" s="1381"/>
      <c r="I44" s="1381"/>
      <c r="J44" s="1381"/>
      <c r="K44" s="1381"/>
      <c r="L44" s="1381"/>
      <c r="M44" s="1381"/>
      <c r="N44" s="1382"/>
      <c r="O44" s="1434"/>
      <c r="P44" s="1381"/>
      <c r="Q44" s="1381"/>
    </row>
    <row r="45" spans="1:17" x14ac:dyDescent="0.3">
      <c r="A45" s="130"/>
      <c r="B45" s="1398" t="s">
        <v>723</v>
      </c>
      <c r="C45" s="1441"/>
      <c r="D45" s="130"/>
      <c r="E45" s="130"/>
      <c r="F45" s="1381"/>
      <c r="G45" s="1381"/>
      <c r="H45" s="1381"/>
      <c r="I45" s="1381"/>
      <c r="J45" s="1381"/>
      <c r="K45" s="1381"/>
      <c r="L45" s="1381"/>
      <c r="M45" s="1381"/>
      <c r="N45" s="1382"/>
      <c r="O45" s="1434"/>
      <c r="P45" s="1381"/>
      <c r="Q45" s="1381"/>
    </row>
    <row r="46" spans="1:17" x14ac:dyDescent="0.3">
      <c r="A46" s="130"/>
      <c r="B46" s="1399" t="s">
        <v>804</v>
      </c>
      <c r="C46" s="1441"/>
      <c r="D46" s="130"/>
      <c r="E46" s="130"/>
      <c r="F46" s="1381"/>
      <c r="G46" s="1381"/>
      <c r="H46" s="1381"/>
      <c r="I46" s="1381"/>
      <c r="J46" s="1381"/>
      <c r="K46" s="1381"/>
      <c r="L46" s="1381"/>
      <c r="M46" s="1381"/>
      <c r="N46" s="1382"/>
      <c r="O46" s="1434"/>
      <c r="P46" s="1381"/>
      <c r="Q46" s="1381"/>
    </row>
    <row r="47" spans="1:17" x14ac:dyDescent="0.3">
      <c r="A47" s="130"/>
      <c r="B47" s="1400" t="s">
        <v>195</v>
      </c>
      <c r="C47" s="409"/>
      <c r="D47" s="130"/>
      <c r="E47" s="130"/>
      <c r="F47" s="1381"/>
      <c r="G47" s="1381"/>
      <c r="H47" s="1381"/>
      <c r="I47" s="1381"/>
      <c r="J47" s="1381"/>
      <c r="K47" s="1381"/>
      <c r="L47" s="1381"/>
      <c r="M47" s="1381"/>
      <c r="N47" s="1382"/>
      <c r="O47" s="1434"/>
      <c r="P47" s="1381"/>
      <c r="Q47" s="1381"/>
    </row>
    <row r="48" spans="1:17" ht="17.25" thickBot="1" x14ac:dyDescent="0.35">
      <c r="A48" s="130"/>
      <c r="B48" s="1401" t="s">
        <v>207</v>
      </c>
      <c r="C48" s="466" t="str">
        <f>IF(Control_Type="","Fill in Control Type",IF(OR(Control_Type="Two-Stage Modulating",Control_Type="Step Modulating"),"Yes","No"))</f>
        <v>Fill in Control Type</v>
      </c>
      <c r="D48" s="130"/>
      <c r="E48" s="130"/>
      <c r="F48" s="1381"/>
      <c r="G48" s="1381"/>
      <c r="H48" s="1381"/>
      <c r="I48" s="1381"/>
      <c r="J48" s="1381"/>
      <c r="K48" s="1381"/>
      <c r="L48" s="1381"/>
      <c r="M48" s="1381"/>
      <c r="N48" s="1382"/>
      <c r="O48" s="1434"/>
      <c r="P48" s="1381"/>
      <c r="Q48" s="1381"/>
    </row>
    <row r="49" spans="1:17" x14ac:dyDescent="0.3">
      <c r="A49" s="130"/>
      <c r="B49" s="130"/>
      <c r="D49" s="130"/>
      <c r="E49" s="130"/>
      <c r="F49" s="130"/>
      <c r="G49" s="1435"/>
      <c r="H49" s="1202"/>
      <c r="I49" s="130"/>
      <c r="J49" s="130"/>
      <c r="K49" s="1381"/>
      <c r="L49" s="1381"/>
      <c r="M49" s="1381"/>
      <c r="N49" s="1382"/>
      <c r="O49" s="1434"/>
      <c r="P49" s="1381"/>
      <c r="Q49" s="1381"/>
    </row>
    <row r="50" spans="1:17" x14ac:dyDescent="0.3">
      <c r="A50" s="1325"/>
      <c r="B50" s="1325"/>
      <c r="C50" s="1211"/>
      <c r="D50" s="1325"/>
      <c r="E50" s="1325"/>
      <c r="F50" s="1325"/>
      <c r="G50" s="1325"/>
      <c r="H50" s="1325"/>
      <c r="I50" s="1325"/>
      <c r="J50" s="1325"/>
      <c r="K50" s="1434"/>
      <c r="L50" s="1434"/>
      <c r="M50" s="1434"/>
      <c r="N50" s="1434"/>
      <c r="O50" s="1434"/>
      <c r="P50" s="1381"/>
      <c r="Q50" s="1381"/>
    </row>
    <row r="51" spans="1:17" ht="15.6" customHeight="1" x14ac:dyDescent="0.3">
      <c r="A51" s="1381"/>
      <c r="B51" s="130"/>
      <c r="D51" s="130"/>
      <c r="E51" s="130"/>
      <c r="F51" s="130"/>
      <c r="G51" s="130"/>
      <c r="H51" s="130"/>
      <c r="I51" s="130"/>
      <c r="J51" s="130"/>
      <c r="K51" s="1381"/>
      <c r="L51" s="1381"/>
      <c r="M51" s="1381"/>
      <c r="N51" s="1381"/>
      <c r="O51" s="1381"/>
      <c r="P51" s="1381"/>
      <c r="Q51" s="1381"/>
    </row>
    <row r="52" spans="1:17" x14ac:dyDescent="0.3">
      <c r="A52" s="1381"/>
      <c r="B52" s="130"/>
      <c r="D52" s="130"/>
      <c r="E52" s="130"/>
      <c r="F52" s="130"/>
      <c r="G52" s="130"/>
      <c r="H52" s="130"/>
      <c r="I52" s="130"/>
      <c r="J52" s="130"/>
      <c r="K52" s="1381"/>
      <c r="L52" s="1381"/>
      <c r="M52" s="1381"/>
      <c r="N52" s="1381"/>
      <c r="O52" s="1381"/>
      <c r="P52" s="1381"/>
      <c r="Q52" s="1381"/>
    </row>
    <row r="53" spans="1:17" x14ac:dyDescent="0.3">
      <c r="A53" s="1381"/>
      <c r="B53" s="130"/>
      <c r="D53" s="130"/>
      <c r="E53" s="130"/>
      <c r="F53" s="130"/>
      <c r="G53" s="130"/>
      <c r="H53" s="130"/>
      <c r="I53" s="130"/>
      <c r="J53" s="130"/>
      <c r="K53" s="1381"/>
      <c r="L53" s="1381"/>
      <c r="M53" s="1381"/>
      <c r="N53" s="1381"/>
      <c r="O53" s="1381"/>
      <c r="P53" s="1381"/>
      <c r="Q53" s="1381"/>
    </row>
    <row r="54" spans="1:17" x14ac:dyDescent="0.3">
      <c r="A54" s="1381"/>
      <c r="B54" s="130"/>
      <c r="D54" s="130"/>
      <c r="E54" s="130"/>
      <c r="F54" s="130"/>
      <c r="G54" s="130"/>
      <c r="H54" s="130"/>
      <c r="I54" s="130"/>
      <c r="J54" s="130"/>
      <c r="K54" s="1381"/>
      <c r="L54" s="1381"/>
      <c r="M54" s="1381"/>
      <c r="N54" s="1381"/>
      <c r="O54" s="1381"/>
      <c r="P54" s="1381"/>
      <c r="Q54" s="1381"/>
    </row>
    <row r="55" spans="1:17" x14ac:dyDescent="0.3">
      <c r="A55" s="1381"/>
      <c r="B55" s="130"/>
      <c r="D55" s="130"/>
      <c r="E55" s="130"/>
      <c r="F55" s="130"/>
      <c r="G55" s="130"/>
      <c r="H55" s="130"/>
      <c r="I55" s="130"/>
      <c r="J55" s="130"/>
      <c r="K55" s="1381"/>
      <c r="L55" s="1381"/>
      <c r="M55" s="1381"/>
      <c r="N55" s="1381"/>
      <c r="O55" s="1381"/>
      <c r="P55" s="1381"/>
      <c r="Q55" s="1381"/>
    </row>
    <row r="56" spans="1:17" x14ac:dyDescent="0.3">
      <c r="A56" s="1381"/>
      <c r="B56" s="130"/>
      <c r="D56" s="130"/>
      <c r="E56" s="130"/>
      <c r="F56" s="130"/>
      <c r="G56" s="130"/>
      <c r="H56" s="130"/>
      <c r="I56" s="130"/>
      <c r="J56" s="130"/>
      <c r="K56" s="1381"/>
      <c r="L56" s="1381"/>
      <c r="M56" s="1381"/>
      <c r="N56" s="1381"/>
      <c r="O56" s="1381"/>
      <c r="P56" s="1381"/>
      <c r="Q56" s="1381"/>
    </row>
    <row r="57" spans="1:17" x14ac:dyDescent="0.3">
      <c r="A57" s="1381"/>
      <c r="B57" s="130"/>
      <c r="D57" s="130"/>
      <c r="E57" s="130"/>
      <c r="F57" s="130"/>
      <c r="G57" s="130"/>
      <c r="H57" s="130"/>
      <c r="I57" s="130"/>
      <c r="J57" s="130"/>
      <c r="K57" s="1381"/>
      <c r="L57" s="1381"/>
      <c r="M57" s="1381"/>
      <c r="N57" s="1381"/>
      <c r="O57" s="1381"/>
      <c r="P57" s="1381"/>
      <c r="Q57" s="1381"/>
    </row>
    <row r="58" spans="1:17" x14ac:dyDescent="0.3">
      <c r="A58" s="1381"/>
      <c r="B58" s="130"/>
      <c r="D58" s="130"/>
      <c r="E58" s="130"/>
      <c r="F58" s="130"/>
      <c r="G58" s="130"/>
      <c r="H58" s="130"/>
      <c r="I58" s="130"/>
      <c r="J58" s="130"/>
      <c r="K58" s="1381"/>
      <c r="L58" s="1381"/>
      <c r="M58" s="1381"/>
      <c r="N58" s="1381"/>
      <c r="O58" s="1381"/>
      <c r="P58" s="1381"/>
      <c r="Q58" s="1381"/>
    </row>
    <row r="59" spans="1:17" x14ac:dyDescent="0.3">
      <c r="A59" s="1381"/>
      <c r="B59" s="130"/>
      <c r="D59" s="130"/>
      <c r="E59" s="130"/>
      <c r="F59" s="130"/>
      <c r="G59" s="130"/>
      <c r="H59" s="130"/>
      <c r="I59" s="130"/>
      <c r="J59" s="130"/>
      <c r="K59" s="1381"/>
      <c r="L59" s="1381"/>
      <c r="M59" s="1381"/>
      <c r="N59" s="1381"/>
      <c r="O59" s="1381"/>
      <c r="P59" s="1381"/>
      <c r="Q59" s="1381"/>
    </row>
    <row r="60" spans="1:17" x14ac:dyDescent="0.3">
      <c r="A60" s="1381"/>
      <c r="B60" s="130"/>
      <c r="D60" s="130"/>
      <c r="E60" s="130"/>
      <c r="F60" s="130"/>
      <c r="G60" s="130"/>
      <c r="H60" s="130"/>
      <c r="I60" s="130"/>
      <c r="J60" s="130"/>
      <c r="K60" s="1381"/>
      <c r="L60" s="1381"/>
      <c r="M60" s="1381"/>
      <c r="N60" s="1381"/>
      <c r="O60" s="1381"/>
      <c r="P60" s="1381"/>
      <c r="Q60" s="1381"/>
    </row>
    <row r="61" spans="1:17" x14ac:dyDescent="0.3">
      <c r="A61" s="1381"/>
      <c r="B61" s="130"/>
    </row>
    <row r="62" spans="1:17" x14ac:dyDescent="0.3">
      <c r="A62" s="1381"/>
      <c r="B62" s="130"/>
    </row>
    <row r="63" spans="1:17" x14ac:dyDescent="0.3">
      <c r="A63" s="1381"/>
      <c r="B63" s="130"/>
    </row>
    <row r="64" spans="1:17" ht="17.25" customHeight="1" x14ac:dyDescent="0.3">
      <c r="A64" s="130"/>
      <c r="B64" s="130"/>
    </row>
    <row r="65" spans="1:1" ht="17.25" customHeight="1" x14ac:dyDescent="0.3"/>
    <row r="66" spans="1:1" x14ac:dyDescent="0.3">
      <c r="A66" s="1201"/>
    </row>
  </sheetData>
  <sheetProtection algorithmName="SHA-512" hashValue="BM46xSrUqsiMzbHzRYIw4PPaY68LhnWKojh0Bj48O0rXtyB7JCKMOItdofBU8duhkqgVWXYnWHOMyqulaF8Fdw==" saltValue="y0bq/BYeQ1Ex49le9k+b3A==" spinCount="100000" sheet="1" selectLockedCells="1"/>
  <mergeCells count="3">
    <mergeCell ref="K16:L18"/>
    <mergeCell ref="P17:Q19"/>
    <mergeCell ref="B2:C2"/>
  </mergeCells>
  <dataValidations count="1">
    <dataValidation showInputMessage="1" showErrorMessage="1" sqref="H49 C48 C36" xr:uid="{9A110C2C-A3C0-4181-ABD2-6EF1F72F74E7}"/>
  </dataValidations>
  <hyperlinks>
    <hyperlink ref="E4" location="Instructions!C33" display="Back to Instructions tab" xr:uid="{B5EFF055-255E-4592-AB1F-3E5263B876A7}"/>
  </hyperlinks>
  <printOptions horizontalCentered="1"/>
  <pageMargins left="0.25" right="0.25" top="0.75" bottom="0.25" header="0.3" footer="0.3"/>
  <pageSetup scale="58" orientation="landscape" r:id="rId1"/>
  <headerFooter>
    <oddHeader>&amp;F</oddHead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666C2697-E50E-4404-BCF2-8C3097C726A1}">
          <x14:formula1>
            <xm:f>'Drop-Downs and Tables'!$C$29:$C$36</xm:f>
          </x14:formula1>
          <xm:sqref>C37</xm:sqref>
        </x14:dataValidation>
        <x14:dataValidation type="list" allowBlank="1" showInputMessage="1" showErrorMessage="1" xr:uid="{49A7768D-4E8C-456B-BC25-C29B8545462C}">
          <x14:formula1>
            <xm:f>'Drop-Downs and Tables'!$B$18:$B$21</xm:f>
          </x14:formula1>
          <xm:sqref>C38</xm:sqref>
        </x14:dataValidation>
        <x14:dataValidation type="list" allowBlank="1" showInputMessage="1" showErrorMessage="1" xr:uid="{D4B52861-1855-4E65-8294-71D513AC78AC}">
          <x14:formula1>
            <xm:f>'Drop-Downs and Tables'!$B$92:$B$94</xm:f>
          </x14:formula1>
          <xm:sqref>C39 P15:Q15 P20:Q20 N23:O23 O16:O18 Q21 P22 O21 C42 Q28 C18:C21 C14 C16</xm:sqref>
        </x14:dataValidation>
        <x14:dataValidation type="list" allowBlank="1" showInputMessage="1" showErrorMessage="1" xr:uid="{A631ABB5-85DF-438D-A785-26DFD5BBE4C5}">
          <x14:formula1>
            <xm:f>'Drop-Downs and Tables'!$C$39:$C$44</xm:f>
          </x14:formula1>
          <xm:sqref>C41</xm:sqref>
        </x14:dataValidation>
        <x14:dataValidation type="list" allowBlank="1" showInputMessage="1" showErrorMessage="1" xr:uid="{4A0B29DC-0F34-48CE-965A-92960E5A75BF}">
          <x14:formula1>
            <xm:f>'Drop-Downs and Tables'!$B$53:$B$56</xm:f>
          </x14:formula1>
          <xm:sqref>C45</xm:sqref>
        </x14:dataValidation>
        <x14:dataValidation type="list" allowBlank="1" showInputMessage="1" showErrorMessage="1" xr:uid="{1DACF665-91F1-40EA-A1FA-CB4128BCF0EE}">
          <x14:formula1>
            <xm:f>'Drop-Downs and Tables'!$B$47:$B$50</xm:f>
          </x14:formula1>
          <xm:sqref>C46</xm:sqref>
        </x14:dataValidation>
        <x14:dataValidation type="list" showInputMessage="1" showErrorMessage="1" xr:uid="{3AA67D19-8ABA-4CF7-9FBE-EA8F0661B34C}">
          <x14:formula1>
            <xm:f>'Drop-Downs and Tables'!$B$81:$B$84</xm:f>
          </x14:formula1>
          <xm:sqref>C47</xm:sqref>
        </x14:dataValidation>
        <x14:dataValidation type="list" allowBlank="1" showInputMessage="1" showErrorMessage="1" xr:uid="{B0074F9B-A28E-4AF1-AC6E-6CDD1B2A37F4}">
          <x14:formula1>
            <xm:f>'Drop-Downs and Tables'!$C$92:$C$95</xm:f>
          </x14:formula1>
          <xm:sqref>C22</xm:sqref>
        </x14:dataValidation>
        <x14:dataValidation type="list" allowBlank="1" showInputMessage="1" showErrorMessage="1" xr:uid="{8B566989-04F8-47C4-BF2D-72138278F214}">
          <x14:formula1>
            <xm:f>'Drop-Downs and Tables'!$B$74:$B$77</xm:f>
          </x14:formula1>
          <xm:sqref>C43</xm:sqref>
        </x14:dataValidation>
        <x14:dataValidation type="list" allowBlank="1" showInputMessage="1" showErrorMessage="1" xr:uid="{268D09C4-40A1-4C2C-99D0-1F8576E6552E}">
          <x14:formula1>
            <xm:f>'Drop-Downs and Tables'!$B$39:$B$41</xm:f>
          </x14:formula1>
          <xm:sqref>C40</xm:sqref>
        </x14:dataValidation>
        <x14:dataValidation type="list" allowBlank="1" showInputMessage="1" showErrorMessage="1" xr:uid="{EA44FD92-C3F0-4C49-9CB1-C2135AB71BEC}">
          <x14:formula1>
            <xm:f>'Drop-Downs and Tables'!$C$59:$C$62</xm:f>
          </x14:formula1>
          <xm:sqref>C17</xm:sqref>
        </x14:dataValidation>
        <x14:dataValidation type="list" allowBlank="1" showInputMessage="1" showErrorMessage="1" xr:uid="{F29A8F7B-D732-4462-8BC7-D28E9C738B00}">
          <x14:formula1>
            <xm:f>'Drop-Downs and Tables'!$E$74:$E$78</xm:f>
          </x14:formula1>
          <xm:sqref>C15</xm:sqref>
        </x14:dataValidation>
        <x14:dataValidation type="list" allowBlank="1" showInputMessage="1" showErrorMessage="1" xr:uid="{96F59D88-E37C-473E-96C0-262B3419E340}">
          <x14:formula1>
            <xm:f>'Drop-Downs and Tables'!$C$74:$C$78</xm:f>
          </x14:formula1>
          <xm:sqref>C44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T92"/>
  <sheetViews>
    <sheetView showGridLines="0" zoomScale="80" zoomScaleNormal="80" workbookViewId="0">
      <selection activeCell="B32" sqref="B32"/>
    </sheetView>
  </sheetViews>
  <sheetFormatPr defaultColWidth="9.125" defaultRowHeight="16.5" x14ac:dyDescent="0.3"/>
  <cols>
    <col min="1" max="1" width="3.625" style="168" customWidth="1"/>
    <col min="2" max="2" width="31.375" style="168" customWidth="1"/>
    <col min="3" max="3" width="52.375" style="168" customWidth="1"/>
    <col min="4" max="4" width="20.125" style="168" customWidth="1"/>
    <col min="5" max="5" width="27.625" style="168" customWidth="1"/>
    <col min="6" max="6" width="51.25" style="168" customWidth="1"/>
    <col min="7" max="7" width="3.125" style="168" customWidth="1"/>
    <col min="8" max="8" width="9" style="168" customWidth="1"/>
    <col min="9" max="9" width="32.125" style="168" customWidth="1"/>
    <col min="10" max="10" width="34.25" style="168" customWidth="1"/>
    <col min="11" max="11" width="12.375" style="168" customWidth="1"/>
    <col min="12" max="12" width="3.625" style="168" customWidth="1"/>
    <col min="13" max="13" width="7.875" style="168" customWidth="1"/>
    <col min="14" max="14" width="22.625" style="168" customWidth="1"/>
    <col min="15" max="15" width="9.875" style="168" customWidth="1"/>
    <col min="16" max="17" width="17.375" style="168" customWidth="1"/>
    <col min="18" max="18" width="8.125" style="168" customWidth="1"/>
    <col min="19" max="19" width="9.375" style="168" customWidth="1"/>
    <col min="20" max="20" width="3.875" style="168" customWidth="1"/>
    <col min="21" max="16384" width="9.125" style="168"/>
  </cols>
  <sheetData>
    <row r="1" spans="2:20" ht="17.25" customHeight="1" thickBot="1" x14ac:dyDescent="0.35">
      <c r="T1" s="169"/>
    </row>
    <row r="2" spans="2:20" ht="18" thickBot="1" x14ac:dyDescent="0.35">
      <c r="B2" s="1562" t="s">
        <v>228</v>
      </c>
      <c r="C2" s="1563"/>
      <c r="T2" s="169"/>
    </row>
    <row r="3" spans="2:20" x14ac:dyDescent="0.3">
      <c r="B3" s="293" t="s">
        <v>229</v>
      </c>
      <c r="C3" s="294" t="str">
        <f>'Version Control'!C3</f>
        <v>Consumer Boiler</v>
      </c>
      <c r="T3" s="169"/>
    </row>
    <row r="4" spans="2:20" ht="18" x14ac:dyDescent="0.3">
      <c r="B4" s="295" t="s">
        <v>117</v>
      </c>
      <c r="C4" s="296" t="str">
        <f>'Version Control'!C4</f>
        <v>v2.1</v>
      </c>
      <c r="E4" s="1383" t="s">
        <v>124</v>
      </c>
      <c r="T4" s="169"/>
    </row>
    <row r="5" spans="2:20" x14ac:dyDescent="0.3">
      <c r="B5" s="295" t="s">
        <v>118</v>
      </c>
      <c r="C5" s="297">
        <f>'Version Control'!C5</f>
        <v>45407</v>
      </c>
      <c r="T5" s="169"/>
    </row>
    <row r="6" spans="2:20" x14ac:dyDescent="0.3">
      <c r="B6" s="298" t="s">
        <v>116</v>
      </c>
      <c r="C6" s="299" t="str">
        <f ca="1">MID(CELL("filename",A1), FIND("]", CELL("filename", A1))+ 1, 255)</f>
        <v>Instrumentation</v>
      </c>
      <c r="T6" s="169"/>
    </row>
    <row r="7" spans="2:20" x14ac:dyDescent="0.3">
      <c r="B7" s="300" t="s">
        <v>115</v>
      </c>
      <c r="C7" s="301" t="str">
        <f ca="1">'Version Control'!C7</f>
        <v>Consumer Boiler - v2.1.xlsx</v>
      </c>
      <c r="T7" s="169"/>
    </row>
    <row r="8" spans="2:20" ht="17.25" thickBot="1" x14ac:dyDescent="0.35">
      <c r="B8" s="302" t="s">
        <v>119</v>
      </c>
      <c r="C8" s="303" t="str">
        <f>'Version Control'!C8</f>
        <v>[MM/DD/YYYY]</v>
      </c>
      <c r="T8" s="169"/>
    </row>
    <row r="9" spans="2:20" ht="17.25" thickBot="1" x14ac:dyDescent="0.35">
      <c r="B9" s="1214"/>
      <c r="C9" s="1215"/>
      <c r="T9" s="169"/>
    </row>
    <row r="10" spans="2:20" ht="18" thickBot="1" x14ac:dyDescent="0.35">
      <c r="B10" s="1378" t="s">
        <v>1058</v>
      </c>
      <c r="C10" s="1222"/>
      <c r="E10" s="1379" t="s">
        <v>1089</v>
      </c>
      <c r="F10" s="1224"/>
      <c r="I10" s="1379" t="s">
        <v>1093</v>
      </c>
      <c r="J10" s="1224"/>
      <c r="T10" s="169"/>
    </row>
    <row r="11" spans="2:20" ht="22.5" customHeight="1" x14ac:dyDescent="0.3">
      <c r="B11" s="1216" t="s">
        <v>1059</v>
      </c>
      <c r="C11" s="1217" t="s">
        <v>1060</v>
      </c>
      <c r="E11" s="1216" t="s">
        <v>1059</v>
      </c>
      <c r="F11" s="1217" t="s">
        <v>1060</v>
      </c>
      <c r="I11" s="1216" t="s">
        <v>1059</v>
      </c>
      <c r="J11" s="1217" t="s">
        <v>1060</v>
      </c>
      <c r="T11" s="169"/>
    </row>
    <row r="12" spans="2:20" ht="99.6" customHeight="1" thickBot="1" x14ac:dyDescent="0.35">
      <c r="B12" s="1218" t="s">
        <v>1061</v>
      </c>
      <c r="C12" s="1219" t="s">
        <v>1077</v>
      </c>
      <c r="E12" s="1225" t="s">
        <v>1090</v>
      </c>
      <c r="F12" s="1445" t="s">
        <v>1092</v>
      </c>
      <c r="I12" s="1220" t="s">
        <v>1094</v>
      </c>
      <c r="J12" s="1221" t="s">
        <v>1095</v>
      </c>
      <c r="T12" s="169"/>
    </row>
    <row r="13" spans="2:20" ht="207.95" customHeight="1" thickBot="1" x14ac:dyDescent="0.35">
      <c r="B13" s="1218" t="s">
        <v>1062</v>
      </c>
      <c r="C13" s="1219" t="s">
        <v>1078</v>
      </c>
      <c r="E13" s="1220" t="s">
        <v>1091</v>
      </c>
      <c r="F13" s="1226" t="s">
        <v>1262</v>
      </c>
      <c r="T13" s="169"/>
    </row>
    <row r="14" spans="2:20" ht="115.5" x14ac:dyDescent="0.3">
      <c r="B14" s="1218" t="s">
        <v>1063</v>
      </c>
      <c r="C14" s="1219" t="s">
        <v>1079</v>
      </c>
      <c r="F14" s="1223"/>
      <c r="T14" s="169"/>
    </row>
    <row r="15" spans="2:20" ht="66" x14ac:dyDescent="0.3">
      <c r="B15" s="1218" t="s">
        <v>1064</v>
      </c>
      <c r="C15" s="1219" t="s">
        <v>1080</v>
      </c>
      <c r="T15" s="169"/>
    </row>
    <row r="16" spans="2:20" ht="96.95" customHeight="1" x14ac:dyDescent="0.3">
      <c r="B16" s="1218" t="s">
        <v>1065</v>
      </c>
      <c r="C16" s="1219" t="s">
        <v>1081</v>
      </c>
      <c r="T16" s="169"/>
    </row>
    <row r="17" spans="2:20" ht="66" x14ac:dyDescent="0.3">
      <c r="B17" s="1218" t="s">
        <v>1066</v>
      </c>
      <c r="C17" s="1219" t="s">
        <v>1082</v>
      </c>
      <c r="T17" s="169"/>
    </row>
    <row r="18" spans="2:20" ht="49.5" x14ac:dyDescent="0.3">
      <c r="B18" s="1218" t="s">
        <v>1067</v>
      </c>
      <c r="C18" s="1219" t="s">
        <v>1083</v>
      </c>
      <c r="T18" s="169"/>
    </row>
    <row r="19" spans="2:20" ht="49.5" x14ac:dyDescent="0.3">
      <c r="B19" s="1218" t="s">
        <v>1068</v>
      </c>
      <c r="C19" s="1219" t="s">
        <v>1084</v>
      </c>
      <c r="T19" s="169"/>
    </row>
    <row r="20" spans="2:20" ht="33" x14ac:dyDescent="0.3">
      <c r="B20" s="1218" t="s">
        <v>1069</v>
      </c>
      <c r="C20" s="1219" t="s">
        <v>1085</v>
      </c>
      <c r="T20" s="169"/>
    </row>
    <row r="21" spans="2:20" ht="33" x14ac:dyDescent="0.3">
      <c r="B21" s="1218" t="s">
        <v>1070</v>
      </c>
      <c r="C21" s="1219" t="s">
        <v>1087</v>
      </c>
      <c r="T21" s="169"/>
    </row>
    <row r="22" spans="2:20" ht="49.5" x14ac:dyDescent="0.3">
      <c r="B22" s="1218" t="s">
        <v>1071</v>
      </c>
      <c r="C22" s="1219" t="s">
        <v>1086</v>
      </c>
      <c r="T22" s="169"/>
    </row>
    <row r="23" spans="2:20" x14ac:dyDescent="0.3">
      <c r="B23" s="1218" t="s">
        <v>1072</v>
      </c>
      <c r="C23" s="1219" t="s">
        <v>1088</v>
      </c>
      <c r="T23" s="169"/>
    </row>
    <row r="24" spans="2:20" x14ac:dyDescent="0.3">
      <c r="B24" s="1218" t="s">
        <v>1073</v>
      </c>
      <c r="C24" s="1219" t="s">
        <v>1088</v>
      </c>
      <c r="T24" s="169"/>
    </row>
    <row r="25" spans="2:20" x14ac:dyDescent="0.3">
      <c r="B25" s="1218" t="s">
        <v>1074</v>
      </c>
      <c r="C25" s="1219" t="s">
        <v>1088</v>
      </c>
      <c r="T25" s="169"/>
    </row>
    <row r="26" spans="2:20" x14ac:dyDescent="0.3">
      <c r="B26" s="1218" t="s">
        <v>1075</v>
      </c>
      <c r="C26" s="1219" t="s">
        <v>1088</v>
      </c>
      <c r="T26" s="169"/>
    </row>
    <row r="27" spans="2:20" ht="17.25" thickBot="1" x14ac:dyDescent="0.35">
      <c r="B27" s="1220" t="s">
        <v>1076</v>
      </c>
      <c r="C27" s="1221" t="s">
        <v>1088</v>
      </c>
      <c r="T27" s="169"/>
    </row>
    <row r="28" spans="2:20" ht="17.25" thickBot="1" x14ac:dyDescent="0.35">
      <c r="T28" s="169"/>
    </row>
    <row r="29" spans="2:20" ht="18" thickBot="1" x14ac:dyDescent="0.35">
      <c r="B29" s="1356" t="s">
        <v>152</v>
      </c>
      <c r="C29" s="1357"/>
      <c r="D29" s="1357"/>
      <c r="E29" s="1357"/>
      <c r="F29" s="1357"/>
      <c r="G29" s="1357"/>
      <c r="H29" s="1357"/>
      <c r="I29" s="1357"/>
      <c r="J29" s="1357"/>
      <c r="K29" s="1357"/>
      <c r="L29" s="1357"/>
      <c r="M29" s="1357"/>
      <c r="N29" s="1357"/>
      <c r="O29" s="1357"/>
      <c r="P29" s="1357"/>
      <c r="Q29" s="1357"/>
      <c r="R29" s="1358"/>
      <c r="T29" s="169"/>
    </row>
    <row r="30" spans="2:20" ht="17.25" customHeight="1" x14ac:dyDescent="0.3">
      <c r="B30" s="1579" t="s">
        <v>404</v>
      </c>
      <c r="C30" s="1577" t="s">
        <v>153</v>
      </c>
      <c r="D30" s="1577" t="s">
        <v>154</v>
      </c>
      <c r="E30" s="1577" t="s">
        <v>155</v>
      </c>
      <c r="F30" s="1577" t="s">
        <v>156</v>
      </c>
      <c r="G30" s="1582" t="s">
        <v>14</v>
      </c>
      <c r="H30" s="1582"/>
      <c r="I30" s="1582"/>
      <c r="J30" s="1582"/>
      <c r="K30" s="1582"/>
      <c r="L30" s="1573" t="s">
        <v>834</v>
      </c>
      <c r="M30" s="1573"/>
      <c r="N30" s="1573"/>
      <c r="O30" s="1573" t="s">
        <v>835</v>
      </c>
      <c r="P30" s="1577" t="s">
        <v>15</v>
      </c>
      <c r="Q30" s="1577" t="s">
        <v>16</v>
      </c>
      <c r="R30" s="1575" t="s">
        <v>403</v>
      </c>
      <c r="T30" s="169"/>
    </row>
    <row r="31" spans="2:20" ht="57.95" customHeight="1" x14ac:dyDescent="0.3">
      <c r="B31" s="1580"/>
      <c r="C31" s="1578"/>
      <c r="D31" s="1578"/>
      <c r="E31" s="1578"/>
      <c r="F31" s="1578"/>
      <c r="G31" s="1581" t="s">
        <v>34</v>
      </c>
      <c r="H31" s="1581"/>
      <c r="I31" s="1446" t="s">
        <v>831</v>
      </c>
      <c r="J31" s="1446" t="s">
        <v>832</v>
      </c>
      <c r="K31" s="1446" t="s">
        <v>833</v>
      </c>
      <c r="L31" s="1574"/>
      <c r="M31" s="1574"/>
      <c r="N31" s="1574"/>
      <c r="O31" s="1574"/>
      <c r="P31" s="1578"/>
      <c r="Q31" s="1578"/>
      <c r="R31" s="1576"/>
      <c r="T31" s="169"/>
    </row>
    <row r="32" spans="2:20" x14ac:dyDescent="0.3">
      <c r="B32" s="164"/>
      <c r="C32" s="165"/>
      <c r="D32" s="165"/>
      <c r="E32" s="165"/>
      <c r="F32" s="165"/>
      <c r="G32" s="743" t="str">
        <f t="shared" ref="G32:G71" si="0">IF(OR($B32="",$B32="Smoke"),"","±")</f>
        <v/>
      </c>
      <c r="H32" s="740"/>
      <c r="I32" s="743" t="str">
        <f ca="1">IF($B32="","",
IF($B32="Other","N/A",
IF($B32="Smoke","ASTM-D-2156-80 (1980)",
OFFSET('Drop-Downs and Tables'!$E$246,MATCH($B32,'Drop-Downs and Tables'!$B$246:$B$265,0)-1,0))))</f>
        <v/>
      </c>
      <c r="J32" s="1447"/>
      <c r="K32" s="741"/>
      <c r="L32" s="743" t="str">
        <f t="shared" ref="L32:L71" si="1">IF(OR($B32="",$B32="Smoke",$B32="Other"),"","±")</f>
        <v/>
      </c>
      <c r="M32" s="743" t="str">
        <f ca="1">IF($B32="","",IF($B32="Other","N/A",IF($B32="Smoke","ASTM",OFFSET('Drop-Downs and Tables'!$D$246,MATCH($B32,'Drop-Downs and Tables'!$B$246:$B$265,0)-1,0))))</f>
        <v/>
      </c>
      <c r="N32" s="743" t="str">
        <f ca="1">IF($B32="","",
IF($B32="Other","N/A",
IF($B32="Smoke","ASTM-D-2156-80 (1980)",
OFFSET('Drop-Downs and Tables'!$E$246,MATCH($B32,'Drop-Downs and Tables'!$B$246:$B$265,0)-1,0))))</f>
        <v/>
      </c>
      <c r="O32" s="743" t="str">
        <f t="shared" ref="O32:O71" si="2">IF($B32="","",
IF($B32="Other","N/A",
IF($B32="Smoke","Yes",
IF(H32="","No",
IF(H32&gt;M32,"No","Yes")))))</f>
        <v/>
      </c>
      <c r="P32" s="465" t="s">
        <v>123</v>
      </c>
      <c r="Q32" s="465" t="s">
        <v>123</v>
      </c>
      <c r="R32" s="712" t="str">
        <f>IF(OR(P32="[MM/DD/YYYY]",Q32="[MM/DD/YYYY]",P32="",Q32=""),"",
IF(OR(ISTEXT(P32),ISTEXT(Q32)),"Yes",
IF(AND(P32&lt;Q32,P32&lt;='General Info &amp; Test Results'!$C$16,Q32&gt;='General Info &amp; Test Results'!$C$17),"Yes","No")))</f>
        <v/>
      </c>
      <c r="T32" s="169"/>
    </row>
    <row r="33" spans="2:20" x14ac:dyDescent="0.3">
      <c r="B33" s="164"/>
      <c r="C33" s="165"/>
      <c r="D33" s="165"/>
      <c r="E33" s="165"/>
      <c r="F33" s="165"/>
      <c r="G33" s="743" t="str">
        <f t="shared" si="0"/>
        <v/>
      </c>
      <c r="H33" s="473"/>
      <c r="I33" s="743" t="str">
        <f ca="1">IF($B33="","",
IF($B33="Other","N/A",
IF($B33="Smoke","ASTM-D-2156-80 (1980)",
OFFSET('Drop-Downs and Tables'!$E$246,MATCH($B33,'Drop-Downs and Tables'!$B$246:$B$265,0)-1,0))))</f>
        <v/>
      </c>
      <c r="J33" s="1448"/>
      <c r="K33" s="664"/>
      <c r="L33" s="743" t="str">
        <f t="shared" si="1"/>
        <v/>
      </c>
      <c r="M33" s="742" t="str">
        <f ca="1">IF($B33="","",IF($B33="Other","N/A",IF($B33="Smoke","ASTM-D-2156-80 (1980)",OFFSET('Drop-Downs and Tables'!$D$246,MATCH($B33,'Drop-Downs and Tables'!$B$246:$B$265,0)-1,0))))</f>
        <v/>
      </c>
      <c r="N33" s="743" t="str">
        <f ca="1">IF($B33="","",
IF($B33="Other","N/A",
IF($B33="Smoke","ASTM-D-2156-80 (1980)",
OFFSET('Drop-Downs and Tables'!$E$246,MATCH($B33,'Drop-Downs and Tables'!$B$246:$B$265,0)-1,0))))</f>
        <v/>
      </c>
      <c r="O33" s="743" t="str">
        <f t="shared" si="2"/>
        <v/>
      </c>
      <c r="P33" s="465" t="s">
        <v>123</v>
      </c>
      <c r="Q33" s="465" t="s">
        <v>123</v>
      </c>
      <c r="R33" s="712" t="str">
        <f>IF(OR(P33="[MM/DD/YYYY]",Q33="[MM/DD/YYYY]",P33="",Q33=""),"",
IF(OR(ISTEXT(P33),ISTEXT(Q33)),"Yes",
IF(AND(P33&lt;Q33,P33&lt;='General Info &amp; Test Results'!$C$16,Q33&gt;='General Info &amp; Test Results'!$C$17),"Yes","No")))</f>
        <v/>
      </c>
      <c r="T33" s="169"/>
    </row>
    <row r="34" spans="2:20" x14ac:dyDescent="0.3">
      <c r="B34" s="164"/>
      <c r="C34" s="165"/>
      <c r="D34" s="165"/>
      <c r="E34" s="165"/>
      <c r="F34" s="165"/>
      <c r="G34" s="743" t="str">
        <f t="shared" si="0"/>
        <v/>
      </c>
      <c r="H34" s="473"/>
      <c r="I34" s="743" t="str">
        <f ca="1">IF($B34="","",
IF($B34="Other","N/A",
IF($B34="Smoke","ASTM-D-2156-80 (1980)",
OFFSET('Drop-Downs and Tables'!$E$246,MATCH($B34,'Drop-Downs and Tables'!$B$246:$B$265,0)-1,0))))</f>
        <v/>
      </c>
      <c r="J34" s="1448"/>
      <c r="K34" s="664"/>
      <c r="L34" s="743" t="str">
        <f t="shared" si="1"/>
        <v/>
      </c>
      <c r="M34" s="742" t="str">
        <f ca="1">IF($B34="","",IF($B34="Other","N/A",IF($B34="Smoke","ASTM-D-2156-80 (1980)",OFFSET('Drop-Downs and Tables'!$D$246,MATCH($B34,'Drop-Downs and Tables'!$B$246:$B$265,0)-1,0))))</f>
        <v/>
      </c>
      <c r="N34" s="743" t="str">
        <f ca="1">IF($B34="","",
IF($B34="Other","N/A",
IF($B34="Smoke","ASTM-D-2156-80 (1980)",
OFFSET('Drop-Downs and Tables'!$E$246,MATCH($B34,'Drop-Downs and Tables'!$B$246:$B$265,0)-1,0))))</f>
        <v/>
      </c>
      <c r="O34" s="743" t="str">
        <f t="shared" si="2"/>
        <v/>
      </c>
      <c r="P34" s="465" t="s">
        <v>123</v>
      </c>
      <c r="Q34" s="465" t="s">
        <v>123</v>
      </c>
      <c r="R34" s="712" t="str">
        <f>IF(OR(P34="[MM/DD/YYYY]",Q34="[MM/DD/YYYY]",P34="",Q34=""),"",
IF(OR(ISTEXT(P34),ISTEXT(Q34)),"Yes",
IF(AND(P34&lt;Q34,P34&lt;='General Info &amp; Test Results'!$C$16,Q34&gt;='General Info &amp; Test Results'!$C$17),"Yes","No")))</f>
        <v/>
      </c>
      <c r="T34" s="169"/>
    </row>
    <row r="35" spans="2:20" x14ac:dyDescent="0.3">
      <c r="B35" s="164"/>
      <c r="C35" s="165"/>
      <c r="D35" s="165"/>
      <c r="E35" s="165"/>
      <c r="F35" s="165"/>
      <c r="G35" s="743" t="str">
        <f t="shared" si="0"/>
        <v/>
      </c>
      <c r="H35" s="473"/>
      <c r="I35" s="743" t="str">
        <f ca="1">IF($B35="","",
IF($B35="Other","N/A",
IF($B35="Smoke","ASTM-D-2156-80 (1980)",
OFFSET('Drop-Downs and Tables'!$E$246,MATCH($B35,'Drop-Downs and Tables'!$B$246:$B$265,0)-1,0))))</f>
        <v/>
      </c>
      <c r="J35" s="1448"/>
      <c r="K35" s="664"/>
      <c r="L35" s="743" t="str">
        <f t="shared" si="1"/>
        <v/>
      </c>
      <c r="M35" s="742" t="str">
        <f ca="1">IF($B35="","",IF($B35="Other","N/A",IF($B35="Smoke","ASTM-D-2156-80 (1980)",OFFSET('Drop-Downs and Tables'!$D$246,MATCH($B35,'Drop-Downs and Tables'!$B$246:$B$265,0)-1,0))))</f>
        <v/>
      </c>
      <c r="N35" s="743" t="str">
        <f ca="1">IF($B35="","",
IF($B35="Other","N/A",
IF($B35="Smoke","ASTM-D-2156-80 (1980)",
OFFSET('Drop-Downs and Tables'!$E$246,MATCH($B35,'Drop-Downs and Tables'!$B$246:$B$265,0)-1,0))))</f>
        <v/>
      </c>
      <c r="O35" s="743" t="str">
        <f t="shared" si="2"/>
        <v/>
      </c>
      <c r="P35" s="465" t="s">
        <v>123</v>
      </c>
      <c r="Q35" s="465" t="s">
        <v>123</v>
      </c>
      <c r="R35" s="712" t="str">
        <f>IF(OR(P35="[MM/DD/YYYY]",Q35="[MM/DD/YYYY]",P35="",Q35=""),"",
IF(OR(ISTEXT(P35),ISTEXT(Q35)),"Yes",
IF(AND(P35&lt;Q35,P35&lt;='General Info &amp; Test Results'!$C$16,Q35&gt;='General Info &amp; Test Results'!$C$17),"Yes","No")))</f>
        <v/>
      </c>
      <c r="T35" s="169"/>
    </row>
    <row r="36" spans="2:20" x14ac:dyDescent="0.3">
      <c r="B36" s="164"/>
      <c r="C36" s="165"/>
      <c r="D36" s="165"/>
      <c r="E36" s="165"/>
      <c r="F36" s="165"/>
      <c r="G36" s="743" t="str">
        <f t="shared" si="0"/>
        <v/>
      </c>
      <c r="H36" s="473"/>
      <c r="I36" s="743" t="str">
        <f ca="1">IF($B36="","",
IF($B36="Other","N/A",
IF($B36="Smoke","ASTM-D-2156-80 (1980)",
OFFSET('Drop-Downs and Tables'!$E$246,MATCH($B36,'Drop-Downs and Tables'!$B$246:$B$265,0)-1,0))))</f>
        <v/>
      </c>
      <c r="J36" s="1448"/>
      <c r="K36" s="664"/>
      <c r="L36" s="743" t="str">
        <f t="shared" si="1"/>
        <v/>
      </c>
      <c r="M36" s="742" t="str">
        <f ca="1">IF($B36="","",IF($B36="Other","N/A",IF($B36="Smoke","ASTM-D-2156-80 (1980)",OFFSET('Drop-Downs and Tables'!$D$246,MATCH($B36,'Drop-Downs and Tables'!$B$246:$B$265,0)-1,0))))</f>
        <v/>
      </c>
      <c r="N36" s="743" t="str">
        <f ca="1">IF($B36="","",
IF($B36="Other","N/A",
IF($B36="Smoke","ASTM-D-2156-80 (1980)",
OFFSET('Drop-Downs and Tables'!$E$246,MATCH($B36,'Drop-Downs and Tables'!$B$246:$B$265,0)-1,0))))</f>
        <v/>
      </c>
      <c r="O36" s="743" t="str">
        <f t="shared" si="2"/>
        <v/>
      </c>
      <c r="P36" s="465" t="s">
        <v>123</v>
      </c>
      <c r="Q36" s="465" t="s">
        <v>123</v>
      </c>
      <c r="R36" s="712" t="str">
        <f>IF(OR(P36="[MM/DD/YYYY]",Q36="[MM/DD/YYYY]",P36="",Q36=""),"",
IF(OR(ISTEXT(P36),ISTEXT(Q36)),"Yes",
IF(AND(P36&lt;Q36,P36&lt;='General Info &amp; Test Results'!$C$16,Q36&gt;='General Info &amp; Test Results'!$C$17),"Yes","No")))</f>
        <v/>
      </c>
      <c r="T36" s="169"/>
    </row>
    <row r="37" spans="2:20" x14ac:dyDescent="0.3">
      <c r="B37" s="164"/>
      <c r="C37" s="165"/>
      <c r="D37" s="165"/>
      <c r="E37" s="165"/>
      <c r="F37" s="165"/>
      <c r="G37" s="743" t="str">
        <f t="shared" si="0"/>
        <v/>
      </c>
      <c r="H37" s="473"/>
      <c r="I37" s="743" t="str">
        <f ca="1">IF($B37="","",
IF($B37="Other","N/A",
IF($B37="Smoke","ASTM-D-2156-80 (1980)",
OFFSET('Drop-Downs and Tables'!$E$246,MATCH($B37,'Drop-Downs and Tables'!$B$246:$B$265,0)-1,0))))</f>
        <v/>
      </c>
      <c r="J37" s="1448"/>
      <c r="K37" s="664"/>
      <c r="L37" s="743" t="str">
        <f t="shared" si="1"/>
        <v/>
      </c>
      <c r="M37" s="742" t="str">
        <f ca="1">IF($B37="","",IF($B37="Other","N/A",IF($B37="Smoke","ASTM-D-2156-80 (1980)",OFFSET('Drop-Downs and Tables'!$D$246,MATCH($B37,'Drop-Downs and Tables'!$B$246:$B$265,0)-1,0))))</f>
        <v/>
      </c>
      <c r="N37" s="743" t="str">
        <f ca="1">IF($B37="","",
IF($B37="Other","N/A",
IF($B37="Smoke","ASTM-D-2156-80 (1980)",
OFFSET('Drop-Downs and Tables'!$E$246,MATCH($B37,'Drop-Downs and Tables'!$B$246:$B$265,0)-1,0))))</f>
        <v/>
      </c>
      <c r="O37" s="743" t="str">
        <f t="shared" si="2"/>
        <v/>
      </c>
      <c r="P37" s="465" t="s">
        <v>123</v>
      </c>
      <c r="Q37" s="465" t="s">
        <v>123</v>
      </c>
      <c r="R37" s="712" t="str">
        <f>IF(OR(P37="[MM/DD/YYYY]",Q37="[MM/DD/YYYY]",P37="",Q37=""),"",
IF(OR(ISTEXT(P37),ISTEXT(Q37)),"Yes",
IF(AND(P37&lt;Q37,P37&lt;='General Info &amp; Test Results'!$C$16,Q37&gt;='General Info &amp; Test Results'!$C$17),"Yes","No")))</f>
        <v/>
      </c>
      <c r="T37" s="169"/>
    </row>
    <row r="38" spans="2:20" x14ac:dyDescent="0.3">
      <c r="B38" s="164"/>
      <c r="C38" s="165"/>
      <c r="D38" s="165"/>
      <c r="E38" s="165"/>
      <c r="F38" s="165"/>
      <c r="G38" s="743" t="str">
        <f t="shared" si="0"/>
        <v/>
      </c>
      <c r="H38" s="473"/>
      <c r="I38" s="743" t="str">
        <f ca="1">IF($B38="","",
IF($B38="Other","N/A",
IF($B38="Smoke","ASTM-D-2156-80 (1980)",
OFFSET('Drop-Downs and Tables'!$E$246,MATCH($B38,'Drop-Downs and Tables'!$B$246:$B$265,0)-1,0))))</f>
        <v/>
      </c>
      <c r="J38" s="1448"/>
      <c r="K38" s="664"/>
      <c r="L38" s="743" t="str">
        <f t="shared" si="1"/>
        <v/>
      </c>
      <c r="M38" s="742" t="str">
        <f ca="1">IF($B38="","",IF($B38="Other","N/A",IF($B38="Smoke","ASTM-D-2156-80 (1980)",OFFSET('Drop-Downs and Tables'!$D$246,MATCH($B38,'Drop-Downs and Tables'!$B$246:$B$265,0)-1,0))))</f>
        <v/>
      </c>
      <c r="N38" s="743" t="str">
        <f ca="1">IF($B38="","",
IF($B38="Other","N/A",
IF($B38="Smoke","ASTM-D-2156-80 (1980)",
OFFSET('Drop-Downs and Tables'!$E$246,MATCH($B38,'Drop-Downs and Tables'!$B$246:$B$265,0)-1,0))))</f>
        <v/>
      </c>
      <c r="O38" s="743" t="str">
        <f t="shared" si="2"/>
        <v/>
      </c>
      <c r="P38" s="465" t="s">
        <v>123</v>
      </c>
      <c r="Q38" s="465" t="s">
        <v>123</v>
      </c>
      <c r="R38" s="712" t="str">
        <f>IF(OR(P38="[MM/DD/YYYY]",Q38="[MM/DD/YYYY]",P38="",Q38=""),"",
IF(OR(ISTEXT(P38),ISTEXT(Q38)),"Yes",
IF(AND(P38&lt;Q38,P38&lt;='General Info &amp; Test Results'!$C$16,Q38&gt;='General Info &amp; Test Results'!$C$17),"Yes","No")))</f>
        <v/>
      </c>
      <c r="T38" s="169"/>
    </row>
    <row r="39" spans="2:20" x14ac:dyDescent="0.3">
      <c r="B39" s="164"/>
      <c r="C39" s="165"/>
      <c r="D39" s="165"/>
      <c r="E39" s="165"/>
      <c r="F39" s="165"/>
      <c r="G39" s="743" t="str">
        <f t="shared" si="0"/>
        <v/>
      </c>
      <c r="H39" s="473"/>
      <c r="I39" s="743" t="str">
        <f ca="1">IF($B39="","",
IF($B39="Other","N/A",
IF($B39="Smoke","ASTM-D-2156-80 (1980)",
OFFSET('Drop-Downs and Tables'!$E$246,MATCH($B39,'Drop-Downs and Tables'!$B$246:$B$265,0)-1,0))))</f>
        <v/>
      </c>
      <c r="J39" s="1448"/>
      <c r="K39" s="664"/>
      <c r="L39" s="743" t="str">
        <f t="shared" si="1"/>
        <v/>
      </c>
      <c r="M39" s="742" t="str">
        <f ca="1">IF($B39="","",IF($B39="Other","N/A",IF($B39="Smoke","ASTM-D-2156-80 (1980)",OFFSET('Drop-Downs and Tables'!$D$246,MATCH($B39,'Drop-Downs and Tables'!$B$246:$B$265,0)-1,0))))</f>
        <v/>
      </c>
      <c r="N39" s="743" t="str">
        <f ca="1">IF($B39="","",
IF($B39="Other","N/A",
IF($B39="Smoke","ASTM-D-2156-80 (1980)",
OFFSET('Drop-Downs and Tables'!$E$246,MATCH($B39,'Drop-Downs and Tables'!$B$246:$B$265,0)-1,0))))</f>
        <v/>
      </c>
      <c r="O39" s="743" t="str">
        <f t="shared" si="2"/>
        <v/>
      </c>
      <c r="P39" s="465" t="s">
        <v>123</v>
      </c>
      <c r="Q39" s="465" t="s">
        <v>123</v>
      </c>
      <c r="R39" s="712" t="str">
        <f>IF(OR(P39="[MM/DD/YYYY]",Q39="[MM/DD/YYYY]",P39="",Q39=""),"",
IF(OR(ISTEXT(P39),ISTEXT(Q39)),"Yes",
IF(AND(P39&lt;Q39,P39&lt;='General Info &amp; Test Results'!$C$16,Q39&gt;='General Info &amp; Test Results'!$C$17),"Yes","No")))</f>
        <v/>
      </c>
      <c r="T39" s="169"/>
    </row>
    <row r="40" spans="2:20" x14ac:dyDescent="0.3">
      <c r="B40" s="164"/>
      <c r="C40" s="165"/>
      <c r="D40" s="165"/>
      <c r="E40" s="165"/>
      <c r="F40" s="165"/>
      <c r="G40" s="743" t="str">
        <f t="shared" si="0"/>
        <v/>
      </c>
      <c r="H40" s="473"/>
      <c r="I40" s="743" t="str">
        <f ca="1">IF($B40="","",
IF($B40="Other","N/A",
IF($B40="Smoke","ASTM-D-2156-80 (1980)",
OFFSET('Drop-Downs and Tables'!$E$246,MATCH($B40,'Drop-Downs and Tables'!$B$246:$B$265,0)-1,0))))</f>
        <v/>
      </c>
      <c r="J40" s="1448"/>
      <c r="K40" s="664"/>
      <c r="L40" s="743" t="str">
        <f t="shared" si="1"/>
        <v/>
      </c>
      <c r="M40" s="742" t="str">
        <f ca="1">IF($B40="","",IF($B40="Other","N/A",IF($B40="Smoke","ASTM-D-2156-80 (1980)",OFFSET('Drop-Downs and Tables'!$D$246,MATCH($B40,'Drop-Downs and Tables'!$B$246:$B$265,0)-1,0))))</f>
        <v/>
      </c>
      <c r="N40" s="743" t="str">
        <f ca="1">IF($B40="","",
IF($B40="Other","N/A",
IF($B40="Smoke","ASTM-D-2156-80 (1980)",
OFFSET('Drop-Downs and Tables'!$E$246,MATCH($B40,'Drop-Downs and Tables'!$B$246:$B$265,0)-1,0))))</f>
        <v/>
      </c>
      <c r="O40" s="743" t="str">
        <f t="shared" si="2"/>
        <v/>
      </c>
      <c r="P40" s="465" t="s">
        <v>123</v>
      </c>
      <c r="Q40" s="465" t="s">
        <v>123</v>
      </c>
      <c r="R40" s="712" t="str">
        <f>IF(OR(P40="[MM/DD/YYYY]",Q40="[MM/DD/YYYY]",P40="",Q40=""),"",
IF(OR(ISTEXT(P40),ISTEXT(Q40)),"Yes",
IF(AND(P40&lt;Q40,P40&lt;='General Info &amp; Test Results'!$C$16,Q40&gt;='General Info &amp; Test Results'!$C$17),"Yes","No")))</f>
        <v/>
      </c>
      <c r="T40" s="169"/>
    </row>
    <row r="41" spans="2:20" x14ac:dyDescent="0.3">
      <c r="B41" s="164"/>
      <c r="C41" s="165"/>
      <c r="D41" s="165"/>
      <c r="E41" s="165"/>
      <c r="F41" s="165"/>
      <c r="G41" s="743" t="str">
        <f t="shared" si="0"/>
        <v/>
      </c>
      <c r="H41" s="473"/>
      <c r="I41" s="743" t="str">
        <f ca="1">IF($B41="","",
IF($B41="Other","N/A",
IF($B41="Smoke","ASTM-D-2156-80 (1980)",
OFFSET('Drop-Downs and Tables'!$E$246,MATCH($B41,'Drop-Downs and Tables'!$B$246:$B$265,0)-1,0))))</f>
        <v/>
      </c>
      <c r="J41" s="1448"/>
      <c r="K41" s="664"/>
      <c r="L41" s="743" t="str">
        <f t="shared" si="1"/>
        <v/>
      </c>
      <c r="M41" s="742" t="str">
        <f ca="1">IF($B41="","",IF($B41="Other","N/A",IF($B41="Smoke","ASTM-D-2156-80 (1980)",OFFSET('Drop-Downs and Tables'!$D$246,MATCH($B41,'Drop-Downs and Tables'!$B$246:$B$265,0)-1,0))))</f>
        <v/>
      </c>
      <c r="N41" s="743" t="str">
        <f ca="1">IF($B41="","",
IF($B41="Other","N/A",
IF($B41="Smoke","ASTM-D-2156-80 (1980)",
OFFSET('Drop-Downs and Tables'!$E$246,MATCH($B41,'Drop-Downs and Tables'!$B$246:$B$265,0)-1,0))))</f>
        <v/>
      </c>
      <c r="O41" s="743" t="str">
        <f t="shared" si="2"/>
        <v/>
      </c>
      <c r="P41" s="465" t="s">
        <v>123</v>
      </c>
      <c r="Q41" s="465" t="s">
        <v>123</v>
      </c>
      <c r="R41" s="712" t="str">
        <f>IF(OR(P41="[MM/DD/YYYY]",Q41="[MM/DD/YYYY]",P41="",Q41=""),"",
IF(OR(ISTEXT(P41),ISTEXT(Q41)),"Yes",
IF(AND(P41&lt;Q41,P41&lt;='General Info &amp; Test Results'!$C$16,Q41&gt;='General Info &amp; Test Results'!$C$17),"Yes","No")))</f>
        <v/>
      </c>
      <c r="T41" s="169"/>
    </row>
    <row r="42" spans="2:20" x14ac:dyDescent="0.3">
      <c r="B42" s="164"/>
      <c r="C42" s="165"/>
      <c r="D42" s="165"/>
      <c r="E42" s="165"/>
      <c r="F42" s="165"/>
      <c r="G42" s="743" t="str">
        <f t="shared" si="0"/>
        <v/>
      </c>
      <c r="H42" s="473"/>
      <c r="I42" s="743" t="str">
        <f ca="1">IF($B42="","",
IF($B42="Other","N/A",
IF($B42="Smoke","ASTM-D-2156-80 (1980)",
OFFSET('Drop-Downs and Tables'!$E$246,MATCH($B42,'Drop-Downs and Tables'!$B$246:$B$265,0)-1,0))))</f>
        <v/>
      </c>
      <c r="J42" s="1448"/>
      <c r="K42" s="664"/>
      <c r="L42" s="743" t="str">
        <f t="shared" si="1"/>
        <v/>
      </c>
      <c r="M42" s="742" t="str">
        <f ca="1">IF($B42="","",IF($B42="Other","N/A",IF($B42="Smoke","ASTM-D-2156-80 (1980)",OFFSET('Drop-Downs and Tables'!$D$246,MATCH($B42,'Drop-Downs and Tables'!$B$246:$B$265,0)-1,0))))</f>
        <v/>
      </c>
      <c r="N42" s="743" t="str">
        <f ca="1">IF($B42="","",
IF($B42="Other","N/A",
IF($B42="Smoke","ASTM-D-2156-80 (1980)",
OFFSET('Drop-Downs and Tables'!$E$246,MATCH($B42,'Drop-Downs and Tables'!$B$246:$B$265,0)-1,0))))</f>
        <v/>
      </c>
      <c r="O42" s="743" t="str">
        <f t="shared" si="2"/>
        <v/>
      </c>
      <c r="P42" s="465" t="s">
        <v>123</v>
      </c>
      <c r="Q42" s="465" t="s">
        <v>123</v>
      </c>
      <c r="R42" s="712" t="str">
        <f>IF(OR(P42="[MM/DD/YYYY]",Q42="[MM/DD/YYYY]",P42="",Q42=""),"",
IF(OR(ISTEXT(P42),ISTEXT(Q42)),"Yes",
IF(AND(P42&lt;Q42,P42&lt;='General Info &amp; Test Results'!$C$16,Q42&gt;='General Info &amp; Test Results'!$C$17),"Yes","No")))</f>
        <v/>
      </c>
      <c r="T42" s="169"/>
    </row>
    <row r="43" spans="2:20" x14ac:dyDescent="0.3">
      <c r="B43" s="164"/>
      <c r="C43" s="165"/>
      <c r="D43" s="165"/>
      <c r="E43" s="165"/>
      <c r="F43" s="165"/>
      <c r="G43" s="743" t="str">
        <f t="shared" si="0"/>
        <v/>
      </c>
      <c r="H43" s="473"/>
      <c r="I43" s="743" t="str">
        <f ca="1">IF($B43="","",
IF($B43="Other","N/A",
IF($B43="Smoke","ASTM-D-2156-80 (1980)",
OFFSET('Drop-Downs and Tables'!$E$246,MATCH($B43,'Drop-Downs and Tables'!$B$246:$B$265,0)-1,0))))</f>
        <v/>
      </c>
      <c r="J43" s="1448"/>
      <c r="K43" s="664"/>
      <c r="L43" s="743" t="str">
        <f t="shared" si="1"/>
        <v/>
      </c>
      <c r="M43" s="742" t="str">
        <f ca="1">IF($B43="","",IF($B43="Other","N/A",IF($B43="Smoke","ASTM-D-2156-80 (1980)",OFFSET('Drop-Downs and Tables'!$D$246,MATCH($B43,'Drop-Downs and Tables'!$B$246:$B$265,0)-1,0))))</f>
        <v/>
      </c>
      <c r="N43" s="743" t="str">
        <f ca="1">IF($B43="","",
IF($B43="Other","N/A",
IF($B43="Smoke","ASTM-D-2156-80 (1980)",
OFFSET('Drop-Downs and Tables'!$E$246,MATCH($B43,'Drop-Downs and Tables'!$B$246:$B$265,0)-1,0))))</f>
        <v/>
      </c>
      <c r="O43" s="743" t="str">
        <f t="shared" si="2"/>
        <v/>
      </c>
      <c r="P43" s="465" t="s">
        <v>123</v>
      </c>
      <c r="Q43" s="465" t="s">
        <v>123</v>
      </c>
      <c r="R43" s="712" t="str">
        <f>IF(OR(P43="[MM/DD/YYYY]",Q43="[MM/DD/YYYY]",P43="",Q43=""),"",
IF(OR(ISTEXT(P43),ISTEXT(Q43)),"Yes",
IF(AND(P43&lt;Q43,P43&lt;='General Info &amp; Test Results'!$C$16,Q43&gt;='General Info &amp; Test Results'!$C$17),"Yes","No")))</f>
        <v/>
      </c>
      <c r="T43" s="169"/>
    </row>
    <row r="44" spans="2:20" x14ac:dyDescent="0.3">
      <c r="B44" s="164"/>
      <c r="C44" s="165"/>
      <c r="D44" s="165"/>
      <c r="E44" s="165"/>
      <c r="F44" s="165"/>
      <c r="G44" s="743" t="str">
        <f t="shared" si="0"/>
        <v/>
      </c>
      <c r="H44" s="473"/>
      <c r="I44" s="743" t="str">
        <f ca="1">IF($B44="","",
IF($B44="Other","N/A",
IF($B44="Smoke","ASTM-D-2156-80 (1980)",
OFFSET('Drop-Downs and Tables'!$E$246,MATCH($B44,'Drop-Downs and Tables'!$B$246:$B$265,0)-1,0))))</f>
        <v/>
      </c>
      <c r="J44" s="1448"/>
      <c r="K44" s="664"/>
      <c r="L44" s="743" t="str">
        <f t="shared" si="1"/>
        <v/>
      </c>
      <c r="M44" s="742" t="str">
        <f ca="1">IF($B44="","",IF($B44="Other","N/A",IF($B44="Smoke","ASTM-D-2156-80 (1980)",OFFSET('Drop-Downs and Tables'!$D$246,MATCH($B44,'Drop-Downs and Tables'!$B$246:$B$265,0)-1,0))))</f>
        <v/>
      </c>
      <c r="N44" s="743" t="str">
        <f ca="1">IF($B44="","",
IF($B44="Other","N/A",
IF($B44="Smoke","ASTM-D-2156-80 (1980)",
OFFSET('Drop-Downs and Tables'!$E$246,MATCH($B44,'Drop-Downs and Tables'!$B$246:$B$265,0)-1,0))))</f>
        <v/>
      </c>
      <c r="O44" s="743" t="str">
        <f t="shared" si="2"/>
        <v/>
      </c>
      <c r="P44" s="465" t="s">
        <v>123</v>
      </c>
      <c r="Q44" s="465" t="s">
        <v>123</v>
      </c>
      <c r="R44" s="712" t="str">
        <f>IF(OR(P44="[MM/DD/YYYY]",Q44="[MM/DD/YYYY]",P44="",Q44=""),"",
IF(OR(ISTEXT(P44),ISTEXT(Q44)),"Yes",
IF(AND(P44&lt;Q44,P44&lt;='General Info &amp; Test Results'!$C$16,Q44&gt;='General Info &amp; Test Results'!$C$17),"Yes","No")))</f>
        <v/>
      </c>
      <c r="T44" s="169"/>
    </row>
    <row r="45" spans="2:20" x14ac:dyDescent="0.3">
      <c r="B45" s="164"/>
      <c r="C45" s="165"/>
      <c r="D45" s="165"/>
      <c r="E45" s="165"/>
      <c r="F45" s="165"/>
      <c r="G45" s="743" t="str">
        <f t="shared" si="0"/>
        <v/>
      </c>
      <c r="H45" s="473"/>
      <c r="I45" s="743" t="str">
        <f ca="1">IF($B45="","",
IF($B45="Other","N/A",
IF($B45="Smoke","ASTM-D-2156-80 (1980)",
OFFSET('Drop-Downs and Tables'!$E$246,MATCH($B45,'Drop-Downs and Tables'!$B$246:$B$265,0)-1,0))))</f>
        <v/>
      </c>
      <c r="J45" s="1448"/>
      <c r="K45" s="664"/>
      <c r="L45" s="743" t="str">
        <f t="shared" si="1"/>
        <v/>
      </c>
      <c r="M45" s="742" t="str">
        <f ca="1">IF($B45="","",IF($B45="Other","N/A",IF($B45="Smoke","ASTM-D-2156-80 (1980)",OFFSET('Drop-Downs and Tables'!$D$246,MATCH($B45,'Drop-Downs and Tables'!$B$246:$B$265,0)-1,0))))</f>
        <v/>
      </c>
      <c r="N45" s="743" t="str">
        <f ca="1">IF($B45="","",
IF($B45="Other","N/A",
IF($B45="Smoke","ASTM-D-2156-80 (1980)",
OFFSET('Drop-Downs and Tables'!$E$246,MATCH($B45,'Drop-Downs and Tables'!$B$246:$B$265,0)-1,0))))</f>
        <v/>
      </c>
      <c r="O45" s="743" t="str">
        <f t="shared" si="2"/>
        <v/>
      </c>
      <c r="P45" s="465" t="s">
        <v>123</v>
      </c>
      <c r="Q45" s="465" t="s">
        <v>123</v>
      </c>
      <c r="R45" s="712" t="str">
        <f>IF(OR(P45="[MM/DD/YYYY]",Q45="[MM/DD/YYYY]",P45="",Q45=""),"",
IF(OR(ISTEXT(P45),ISTEXT(Q45)),"Yes",
IF(AND(P45&lt;Q45,P45&lt;='General Info &amp; Test Results'!$C$16,Q45&gt;='General Info &amp; Test Results'!$C$17),"Yes","No")))</f>
        <v/>
      </c>
      <c r="T45" s="169"/>
    </row>
    <row r="46" spans="2:20" x14ac:dyDescent="0.3">
      <c r="B46" s="164"/>
      <c r="C46" s="165"/>
      <c r="D46" s="165"/>
      <c r="E46" s="165"/>
      <c r="F46" s="165"/>
      <c r="G46" s="743" t="str">
        <f t="shared" si="0"/>
        <v/>
      </c>
      <c r="H46" s="473"/>
      <c r="I46" s="743" t="str">
        <f ca="1">IF($B46="","",
IF($B46="Other","N/A",
IF($B46="Smoke","ASTM-D-2156-80 (1980)",
OFFSET('Drop-Downs and Tables'!$E$246,MATCH($B46,'Drop-Downs and Tables'!$B$246:$B$265,0)-1,0))))</f>
        <v/>
      </c>
      <c r="J46" s="1448"/>
      <c r="K46" s="664"/>
      <c r="L46" s="743" t="str">
        <f t="shared" si="1"/>
        <v/>
      </c>
      <c r="M46" s="742" t="str">
        <f ca="1">IF($B46="","",IF($B46="Other","N/A",IF($B46="Smoke","ASTM-D-2156-80 (1980)",OFFSET('Drop-Downs and Tables'!$D$246,MATCH($B46,'Drop-Downs and Tables'!$B$246:$B$265,0)-1,0))))</f>
        <v/>
      </c>
      <c r="N46" s="743" t="str">
        <f ca="1">IF($B46="","",
IF($B46="Other","N/A",
IF($B46="Smoke","ASTM-D-2156-80 (1980)",
OFFSET('Drop-Downs and Tables'!$E$246,MATCH($B46,'Drop-Downs and Tables'!$B$246:$B$265,0)-1,0))))</f>
        <v/>
      </c>
      <c r="O46" s="743" t="str">
        <f t="shared" si="2"/>
        <v/>
      </c>
      <c r="P46" s="465" t="s">
        <v>123</v>
      </c>
      <c r="Q46" s="465" t="s">
        <v>123</v>
      </c>
      <c r="R46" s="712" t="str">
        <f>IF(OR(P46="[MM/DD/YYYY]",Q46="[MM/DD/YYYY]",P46="",Q46=""),"",
IF(OR(ISTEXT(P46),ISTEXT(Q46)),"Yes",
IF(AND(P46&lt;Q46,P46&lt;='General Info &amp; Test Results'!$C$16,Q46&gt;='General Info &amp; Test Results'!$C$17),"Yes","No")))</f>
        <v/>
      </c>
      <c r="T46" s="169"/>
    </row>
    <row r="47" spans="2:20" x14ac:dyDescent="0.3">
      <c r="B47" s="164"/>
      <c r="C47" s="165"/>
      <c r="D47" s="165"/>
      <c r="E47" s="165"/>
      <c r="F47" s="165"/>
      <c r="G47" s="743" t="str">
        <f t="shared" si="0"/>
        <v/>
      </c>
      <c r="H47" s="473"/>
      <c r="I47" s="743" t="str">
        <f ca="1">IF($B47="","",
IF($B47="Other","N/A",
IF($B47="Smoke","ASTM-D-2156-80 (1980)",
OFFSET('Drop-Downs and Tables'!$E$246,MATCH($B47,'Drop-Downs and Tables'!$B$246:$B$265,0)-1,0))))</f>
        <v/>
      </c>
      <c r="J47" s="1448"/>
      <c r="K47" s="664"/>
      <c r="L47" s="743" t="str">
        <f t="shared" si="1"/>
        <v/>
      </c>
      <c r="M47" s="742" t="str">
        <f ca="1">IF($B47="","",IF($B47="Other","N/A",IF($B47="Smoke","ASTM-D-2156-80 (1980)",OFFSET('Drop-Downs and Tables'!$D$246,MATCH($B47,'Drop-Downs and Tables'!$B$246:$B$265,0)-1,0))))</f>
        <v/>
      </c>
      <c r="N47" s="743" t="str">
        <f ca="1">IF($B47="","",
IF($B47="Other","N/A",
IF($B47="Smoke","ASTM-D-2156-80 (1980)",
OFFSET('Drop-Downs and Tables'!$E$246,MATCH($B47,'Drop-Downs and Tables'!$B$246:$B$265,0)-1,0))))</f>
        <v/>
      </c>
      <c r="O47" s="743" t="str">
        <f t="shared" si="2"/>
        <v/>
      </c>
      <c r="P47" s="465" t="s">
        <v>123</v>
      </c>
      <c r="Q47" s="465" t="s">
        <v>123</v>
      </c>
      <c r="R47" s="712" t="str">
        <f>IF(OR(P47="[MM/DD/YYYY]",Q47="[MM/DD/YYYY]",P47="",Q47=""),"",
IF(OR(ISTEXT(P47),ISTEXT(Q47)),"Yes",
IF(AND(P47&lt;Q47,P47&lt;='General Info &amp; Test Results'!$C$16,Q47&gt;='General Info &amp; Test Results'!$C$17),"Yes","No")))</f>
        <v/>
      </c>
      <c r="T47" s="169"/>
    </row>
    <row r="48" spans="2:20" x14ac:dyDescent="0.3">
      <c r="B48" s="164"/>
      <c r="C48" s="165"/>
      <c r="D48" s="165"/>
      <c r="E48" s="165"/>
      <c r="F48" s="165"/>
      <c r="G48" s="743" t="str">
        <f t="shared" si="0"/>
        <v/>
      </c>
      <c r="H48" s="473"/>
      <c r="I48" s="743" t="str">
        <f ca="1">IF($B48="","",
IF($B48="Other","N/A",
IF($B48="Smoke","ASTM-D-2156-80 (1980)",
OFFSET('Drop-Downs and Tables'!$E$246,MATCH($B48,'Drop-Downs and Tables'!$B$246:$B$265,0)-1,0))))</f>
        <v/>
      </c>
      <c r="J48" s="1448"/>
      <c r="K48" s="664"/>
      <c r="L48" s="743" t="str">
        <f t="shared" si="1"/>
        <v/>
      </c>
      <c r="M48" s="742" t="str">
        <f ca="1">IF($B48="","",IF($B48="Other","N/A",IF($B48="Smoke","ASTM-D-2156-80 (1980)",OFFSET('Drop-Downs and Tables'!$D$246,MATCH($B48,'Drop-Downs and Tables'!$B$246:$B$265,0)-1,0))))</f>
        <v/>
      </c>
      <c r="N48" s="743" t="str">
        <f ca="1">IF($B48="","",
IF($B48="Other","N/A",
IF($B48="Smoke","ASTM-D-2156-80 (1980)",
OFFSET('Drop-Downs and Tables'!$E$246,MATCH($B48,'Drop-Downs and Tables'!$B$246:$B$265,0)-1,0))))</f>
        <v/>
      </c>
      <c r="O48" s="743" t="str">
        <f t="shared" si="2"/>
        <v/>
      </c>
      <c r="P48" s="465" t="s">
        <v>123</v>
      </c>
      <c r="Q48" s="465" t="s">
        <v>123</v>
      </c>
      <c r="R48" s="712" t="str">
        <f>IF(OR(P48="[MM/DD/YYYY]",Q48="[MM/DD/YYYY]",P48="",Q48=""),"",
IF(OR(ISTEXT(P48),ISTEXT(Q48)),"Yes",
IF(AND(P48&lt;Q48,P48&lt;='General Info &amp; Test Results'!$C$16,Q48&gt;='General Info &amp; Test Results'!$C$17),"Yes","No")))</f>
        <v/>
      </c>
      <c r="T48" s="169"/>
    </row>
    <row r="49" spans="2:20" x14ac:dyDescent="0.3">
      <c r="B49" s="164"/>
      <c r="C49" s="165"/>
      <c r="D49" s="165"/>
      <c r="E49" s="165"/>
      <c r="F49" s="165"/>
      <c r="G49" s="743" t="str">
        <f t="shared" si="0"/>
        <v/>
      </c>
      <c r="H49" s="473"/>
      <c r="I49" s="743" t="str">
        <f ca="1">IF($B49="","",
IF($B49="Other","N/A",
IF($B49="Smoke","ASTM-D-2156-80 (1980)",
OFFSET('Drop-Downs and Tables'!$E$246,MATCH($B49,'Drop-Downs and Tables'!$B$246:$B$265,0)-1,0))))</f>
        <v/>
      </c>
      <c r="J49" s="1448"/>
      <c r="K49" s="664"/>
      <c r="L49" s="743" t="str">
        <f t="shared" si="1"/>
        <v/>
      </c>
      <c r="M49" s="742" t="str">
        <f ca="1">IF($B49="","",IF($B49="Other","N/A",IF($B49="Smoke","ASTM-D-2156-80 (1980)",OFFSET('Drop-Downs and Tables'!$D$246,MATCH($B49,'Drop-Downs and Tables'!$B$246:$B$265,0)-1,0))))</f>
        <v/>
      </c>
      <c r="N49" s="743" t="str">
        <f ca="1">IF($B49="","",
IF($B49="Other","N/A",
IF($B49="Smoke","ASTM-D-2156-80 (1980)",
OFFSET('Drop-Downs and Tables'!$E$246,MATCH($B49,'Drop-Downs and Tables'!$B$246:$B$265,0)-1,0))))</f>
        <v/>
      </c>
      <c r="O49" s="743" t="str">
        <f t="shared" si="2"/>
        <v/>
      </c>
      <c r="P49" s="465" t="s">
        <v>123</v>
      </c>
      <c r="Q49" s="465" t="s">
        <v>123</v>
      </c>
      <c r="R49" s="712" t="str">
        <f>IF(OR(P49="[MM/DD/YYYY]",Q49="[MM/DD/YYYY]",P49="",Q49=""),"",
IF(OR(ISTEXT(P49),ISTEXT(Q49)),"Yes",
IF(AND(P49&lt;Q49,P49&lt;='General Info &amp; Test Results'!$C$16,Q49&gt;='General Info &amp; Test Results'!$C$17),"Yes","No")))</f>
        <v/>
      </c>
      <c r="S49" s="168" t="str">
        <f>IF(OR(P49="[MM/DD/YYYY]",Q49="[MM/DD/YYYY]",P49="",Q49=""),"",
IF(OR(ISTEXT(P49),ISTEXT(Q49)),"Yes",
IF(AND(P49&lt;Q49,P49&lt;='General Info &amp; Test Results'!$C$16,Q49&gt;='General Info &amp; Test Results'!$C$17),"Yes","No")))</f>
        <v/>
      </c>
      <c r="T49" s="169"/>
    </row>
    <row r="50" spans="2:20" x14ac:dyDescent="0.3">
      <c r="B50" s="164"/>
      <c r="C50" s="165"/>
      <c r="D50" s="165"/>
      <c r="E50" s="165"/>
      <c r="F50" s="165"/>
      <c r="G50" s="743" t="str">
        <f t="shared" si="0"/>
        <v/>
      </c>
      <c r="H50" s="473"/>
      <c r="I50" s="743" t="str">
        <f ca="1">IF($B50="","",
IF($B50="Other","N/A",
IF($B50="Smoke","ASTM-D-2156-80 (1980)",
OFFSET('Drop-Downs and Tables'!$E$246,MATCH($B50,'Drop-Downs and Tables'!$B$246:$B$265,0)-1,0))))</f>
        <v/>
      </c>
      <c r="J50" s="1448"/>
      <c r="K50" s="664"/>
      <c r="L50" s="743" t="str">
        <f t="shared" si="1"/>
        <v/>
      </c>
      <c r="M50" s="742" t="str">
        <f ca="1">IF($B50="","",IF($B50="Other","N/A",IF($B50="Smoke","ASTM-D-2156-80 (1980)",OFFSET('Drop-Downs and Tables'!$D$246,MATCH($B50,'Drop-Downs and Tables'!$B$246:$B$265,0)-1,0))))</f>
        <v/>
      </c>
      <c r="N50" s="743" t="str">
        <f ca="1">IF($B50="","",
IF($B50="Other","N/A",
IF($B50="Smoke","ASTM-D-2156-80 (1980)",
OFFSET('Drop-Downs and Tables'!$E$246,MATCH($B50,'Drop-Downs and Tables'!$B$246:$B$265,0)-1,0))))</f>
        <v/>
      </c>
      <c r="O50" s="743" t="str">
        <f t="shared" si="2"/>
        <v/>
      </c>
      <c r="P50" s="465" t="s">
        <v>123</v>
      </c>
      <c r="Q50" s="465" t="s">
        <v>123</v>
      </c>
      <c r="R50" s="712" t="str">
        <f>IF(OR(P50="[MM/DD/YYYY]",Q50="[MM/DD/YYYY]",P50="",Q50=""),"",
IF(OR(ISTEXT(P50),ISTEXT(Q50)),"Yes",
IF(AND(P50&lt;Q50,P50&lt;='General Info &amp; Test Results'!$C$16,Q50&gt;='General Info &amp; Test Results'!$C$17),"Yes","No")))</f>
        <v/>
      </c>
      <c r="S50" s="168" t="str">
        <f>IF(OR(P50="[MM/DD/YYYY]",Q50="[MM/DD/YYYY]",P50="",Q50=""),"",
IF(OR(ISTEXT(P50),ISTEXT(Q50)),"Yes",
IF(AND(P50&lt;Q50,P50&lt;='General Info &amp; Test Results'!$C$16,Q50&gt;='General Info &amp; Test Results'!$C$17),"Yes","No")))</f>
        <v/>
      </c>
      <c r="T50" s="169"/>
    </row>
    <row r="51" spans="2:20" x14ac:dyDescent="0.3">
      <c r="B51" s="164"/>
      <c r="C51" s="662"/>
      <c r="D51" s="662"/>
      <c r="E51" s="662"/>
      <c r="F51" s="662"/>
      <c r="G51" s="743" t="str">
        <f t="shared" si="0"/>
        <v/>
      </c>
      <c r="H51" s="663"/>
      <c r="I51" s="743" t="str">
        <f ca="1">IF($B51="","",
IF($B51="Other","N/A",
IF($B51="Smoke","ASTM-D-2156-80 (1980)",
OFFSET('Drop-Downs and Tables'!$E$246,MATCH($B51,'Drop-Downs and Tables'!$B$246:$B$265,0)-1,0))))</f>
        <v/>
      </c>
      <c r="J51" s="1449"/>
      <c r="K51" s="665"/>
      <c r="L51" s="743" t="str">
        <f t="shared" si="1"/>
        <v/>
      </c>
      <c r="M51" s="742" t="str">
        <f ca="1">IF($B51="","",IF($B51="Other","N/A",IF($B51="Smoke","ASTM-D-2156-80 (1980)",OFFSET('Drop-Downs and Tables'!$D$246,MATCH($B51,'Drop-Downs and Tables'!$B$246:$B$265,0)-1,0))))</f>
        <v/>
      </c>
      <c r="N51" s="743" t="str">
        <f ca="1">IF($B51="","",
IF($B51="Other","N/A",
IF($B51="Smoke","ASTM-D-2156-80 (1980)",
OFFSET('Drop-Downs and Tables'!$E$246,MATCH($B51,'Drop-Downs and Tables'!$B$246:$B$265,0)-1,0))))</f>
        <v/>
      </c>
      <c r="O51" s="743" t="str">
        <f t="shared" si="2"/>
        <v/>
      </c>
      <c r="P51" s="465" t="s">
        <v>123</v>
      </c>
      <c r="Q51" s="465" t="s">
        <v>123</v>
      </c>
      <c r="R51" s="712" t="str">
        <f>IF(OR(P51="[MM/DD/YYYY]",Q51="[MM/DD/YYYY]",P51="",Q51=""),"",
IF(OR(ISTEXT(P51),ISTEXT(Q51)),"Yes",
IF(AND(P51&lt;Q51,P51&lt;='General Info &amp; Test Results'!$C$16,Q51&gt;='General Info &amp; Test Results'!$C$17),"Yes","No")))</f>
        <v/>
      </c>
      <c r="T51" s="169"/>
    </row>
    <row r="52" spans="2:20" x14ac:dyDescent="0.3">
      <c r="B52" s="164"/>
      <c r="C52" s="662"/>
      <c r="D52" s="662"/>
      <c r="E52" s="662"/>
      <c r="F52" s="662"/>
      <c r="G52" s="743" t="str">
        <f t="shared" si="0"/>
        <v/>
      </c>
      <c r="H52" s="663"/>
      <c r="I52" s="743" t="str">
        <f ca="1">IF($B52="","",
IF($B52="Other","N/A",
IF($B52="Smoke","ASTM-D-2156-80 (1980)",
OFFSET('Drop-Downs and Tables'!$E$246,MATCH($B52,'Drop-Downs and Tables'!$B$246:$B$265,0)-1,0))))</f>
        <v/>
      </c>
      <c r="J52" s="1449"/>
      <c r="K52" s="665"/>
      <c r="L52" s="743" t="str">
        <f t="shared" si="1"/>
        <v/>
      </c>
      <c r="M52" s="742" t="str">
        <f ca="1">IF($B52="","",IF($B52="Other","N/A",IF($B52="Smoke","ASTM-D-2156-80 (1980)",OFFSET('Drop-Downs and Tables'!$D$246,MATCH($B52,'Drop-Downs and Tables'!$B$246:$B$265,0)-1,0))))</f>
        <v/>
      </c>
      <c r="N52" s="743" t="str">
        <f ca="1">IF($B52="","",
IF($B52="Other","N/A",
IF($B52="Smoke","ASTM-D-2156-80 (1980)",
OFFSET('Drop-Downs and Tables'!$E$246,MATCH($B52,'Drop-Downs and Tables'!$B$246:$B$265,0)-1,0))))</f>
        <v/>
      </c>
      <c r="O52" s="743" t="str">
        <f t="shared" si="2"/>
        <v/>
      </c>
      <c r="P52" s="465" t="s">
        <v>123</v>
      </c>
      <c r="Q52" s="465" t="s">
        <v>123</v>
      </c>
      <c r="R52" s="712" t="str">
        <f>IF(OR(P52="[MM/DD/YYYY]",Q52="[MM/DD/YYYY]",P52="",Q52=""),"",
IF(OR(ISTEXT(P52),ISTEXT(Q52)),"Yes",
IF(AND(P52&lt;Q52,P52&lt;='General Info &amp; Test Results'!$C$16,Q52&gt;='General Info &amp; Test Results'!$C$17),"Yes","No")))</f>
        <v/>
      </c>
      <c r="T52" s="169"/>
    </row>
    <row r="53" spans="2:20" x14ac:dyDescent="0.3">
      <c r="B53" s="164"/>
      <c r="C53" s="662"/>
      <c r="D53" s="662"/>
      <c r="E53" s="662"/>
      <c r="F53" s="662"/>
      <c r="G53" s="743" t="str">
        <f t="shared" si="0"/>
        <v/>
      </c>
      <c r="H53" s="663"/>
      <c r="I53" s="743" t="str">
        <f ca="1">IF($B53="","",
IF($B53="Other","N/A",
IF($B53="Smoke","ASTM-D-2156-80 (1980)",
OFFSET('Drop-Downs and Tables'!$E$246,MATCH($B53,'Drop-Downs and Tables'!$B$246:$B$265,0)-1,0))))</f>
        <v/>
      </c>
      <c r="J53" s="1449"/>
      <c r="K53" s="665"/>
      <c r="L53" s="743" t="str">
        <f t="shared" si="1"/>
        <v/>
      </c>
      <c r="M53" s="742" t="str">
        <f ca="1">IF($B53="","",IF($B53="Other","N/A",IF($B53="Smoke","ASTM-D-2156-80 (1980)",OFFSET('Drop-Downs and Tables'!$D$246,MATCH($B53,'Drop-Downs and Tables'!$B$246:$B$265,0)-1,0))))</f>
        <v/>
      </c>
      <c r="N53" s="743" t="str">
        <f ca="1">IF($B53="","",
IF($B53="Other","N/A",
IF($B53="Smoke","ASTM-D-2156-80 (1980)",
OFFSET('Drop-Downs and Tables'!$E$246,MATCH($B53,'Drop-Downs and Tables'!$B$246:$B$265,0)-1,0))))</f>
        <v/>
      </c>
      <c r="O53" s="743" t="str">
        <f t="shared" si="2"/>
        <v/>
      </c>
      <c r="P53" s="465" t="s">
        <v>123</v>
      </c>
      <c r="Q53" s="465" t="s">
        <v>123</v>
      </c>
      <c r="R53" s="712" t="str">
        <f>IF(OR(P53="[MM/DD/YYYY]",Q53="[MM/DD/YYYY]",P53="",Q53=""),"",
IF(OR(ISTEXT(P53),ISTEXT(Q53)),"Yes",
IF(AND(P53&lt;Q53,P53&lt;='General Info &amp; Test Results'!$C$16,Q53&gt;='General Info &amp; Test Results'!$C$17),"Yes","No")))</f>
        <v/>
      </c>
      <c r="T53" s="169"/>
    </row>
    <row r="54" spans="2:20" x14ac:dyDescent="0.3">
      <c r="B54" s="164"/>
      <c r="C54" s="662"/>
      <c r="D54" s="662"/>
      <c r="E54" s="662"/>
      <c r="F54" s="662"/>
      <c r="G54" s="743" t="str">
        <f t="shared" si="0"/>
        <v/>
      </c>
      <c r="H54" s="663"/>
      <c r="I54" s="743" t="str">
        <f ca="1">IF($B54="","",
IF($B54="Other","N/A",
IF($B54="Smoke","ASTM-D-2156-80 (1980)",
OFFSET('Drop-Downs and Tables'!$E$246,MATCH($B54,'Drop-Downs and Tables'!$B$246:$B$265,0)-1,0))))</f>
        <v/>
      </c>
      <c r="J54" s="1449"/>
      <c r="K54" s="665"/>
      <c r="L54" s="743" t="str">
        <f t="shared" si="1"/>
        <v/>
      </c>
      <c r="M54" s="742" t="str">
        <f ca="1">IF($B54="","",IF($B54="Other","N/A",IF($B54="Smoke","ASTM-D-2156-80 (1980)",OFFSET('Drop-Downs and Tables'!$D$246,MATCH($B54,'Drop-Downs and Tables'!$B$246:$B$265,0)-1,0))))</f>
        <v/>
      </c>
      <c r="N54" s="743" t="str">
        <f ca="1">IF($B54="","",
IF($B54="Other","N/A",
IF($B54="Smoke","ASTM-D-2156-80 (1980)",
OFFSET('Drop-Downs and Tables'!$E$246,MATCH($B54,'Drop-Downs and Tables'!$B$246:$B$265,0)-1,0))))</f>
        <v/>
      </c>
      <c r="O54" s="743" t="str">
        <f t="shared" si="2"/>
        <v/>
      </c>
      <c r="P54" s="465" t="s">
        <v>123</v>
      </c>
      <c r="Q54" s="465" t="s">
        <v>123</v>
      </c>
      <c r="R54" s="712" t="str">
        <f>IF(OR(P54="[MM/DD/YYYY]",Q54="[MM/DD/YYYY]",P54="",Q54=""),"",
IF(OR(ISTEXT(P54),ISTEXT(Q54)),"Yes",
IF(AND(P54&lt;Q54,P54&lt;='General Info &amp; Test Results'!$C$16,Q54&gt;='General Info &amp; Test Results'!$C$17),"Yes","No")))</f>
        <v/>
      </c>
      <c r="T54" s="169"/>
    </row>
    <row r="55" spans="2:20" x14ac:dyDescent="0.3">
      <c r="B55" s="164"/>
      <c r="C55" s="662"/>
      <c r="D55" s="662"/>
      <c r="E55" s="662"/>
      <c r="F55" s="662"/>
      <c r="G55" s="743" t="str">
        <f t="shared" si="0"/>
        <v/>
      </c>
      <c r="H55" s="663"/>
      <c r="I55" s="743" t="str">
        <f ca="1">IF($B55="","",
IF($B55="Other","N/A",
IF($B55="Smoke","ASTM-D-2156-80 (1980)",
OFFSET('Drop-Downs and Tables'!$E$246,MATCH($B55,'Drop-Downs and Tables'!$B$246:$B$265,0)-1,0))))</f>
        <v/>
      </c>
      <c r="J55" s="1449"/>
      <c r="K55" s="665"/>
      <c r="L55" s="743" t="str">
        <f t="shared" si="1"/>
        <v/>
      </c>
      <c r="M55" s="742" t="str">
        <f ca="1">IF($B55="","",IF($B55="Other","N/A",IF($B55="Smoke","ASTM-D-2156-80 (1980)",OFFSET('Drop-Downs and Tables'!$D$246,MATCH($B55,'Drop-Downs and Tables'!$B$246:$B$265,0)-1,0))))</f>
        <v/>
      </c>
      <c r="N55" s="743" t="str">
        <f ca="1">IF($B55="","",
IF($B55="Other","N/A",
IF($B55="Smoke","ASTM-D-2156-80 (1980)",
OFFSET('Drop-Downs and Tables'!$E$246,MATCH($B55,'Drop-Downs and Tables'!$B$246:$B$265,0)-1,0))))</f>
        <v/>
      </c>
      <c r="O55" s="743" t="str">
        <f t="shared" si="2"/>
        <v/>
      </c>
      <c r="P55" s="465" t="s">
        <v>123</v>
      </c>
      <c r="Q55" s="465" t="s">
        <v>123</v>
      </c>
      <c r="R55" s="712" t="str">
        <f>IF(OR(P55="[MM/DD/YYYY]",Q55="[MM/DD/YYYY]",P55="",Q55=""),"",
IF(OR(ISTEXT(P55),ISTEXT(Q55)),"Yes",
IF(AND(P55&lt;Q55,P55&lt;='General Info &amp; Test Results'!$C$16,Q55&gt;='General Info &amp; Test Results'!$C$17),"Yes","No")))</f>
        <v/>
      </c>
      <c r="T55" s="169"/>
    </row>
    <row r="56" spans="2:20" x14ac:dyDescent="0.3">
      <c r="B56" s="164"/>
      <c r="C56" s="662"/>
      <c r="D56" s="662"/>
      <c r="E56" s="662"/>
      <c r="F56" s="662"/>
      <c r="G56" s="743" t="str">
        <f t="shared" si="0"/>
        <v/>
      </c>
      <c r="H56" s="663"/>
      <c r="I56" s="743" t="str">
        <f ca="1">IF($B56="","",
IF($B56="Other","N/A",
IF($B56="Smoke","ASTM-D-2156-80 (1980)",
OFFSET('Drop-Downs and Tables'!$E$246,MATCH($B56,'Drop-Downs and Tables'!$B$246:$B$265,0)-1,0))))</f>
        <v/>
      </c>
      <c r="J56" s="1449"/>
      <c r="K56" s="665"/>
      <c r="L56" s="743" t="str">
        <f t="shared" si="1"/>
        <v/>
      </c>
      <c r="M56" s="742" t="str">
        <f ca="1">IF($B56="","",IF($B56="Other","N/A",IF($B56="Smoke","ASTM-D-2156-80 (1980)",OFFSET('Drop-Downs and Tables'!$D$246,MATCH($B56,'Drop-Downs and Tables'!$B$246:$B$265,0)-1,0))))</f>
        <v/>
      </c>
      <c r="N56" s="743" t="str">
        <f ca="1">IF($B56="","",
IF($B56="Other","N/A",
IF($B56="Smoke","ASTM-D-2156-80 (1980)",
OFFSET('Drop-Downs and Tables'!$E$246,MATCH($B56,'Drop-Downs and Tables'!$B$246:$B$265,0)-1,0))))</f>
        <v/>
      </c>
      <c r="O56" s="743" t="str">
        <f t="shared" si="2"/>
        <v/>
      </c>
      <c r="P56" s="465" t="s">
        <v>123</v>
      </c>
      <c r="Q56" s="465" t="s">
        <v>123</v>
      </c>
      <c r="R56" s="712" t="str">
        <f>IF(OR(P56="[MM/DD/YYYY]",Q56="[MM/DD/YYYY]",P56="",Q56=""),"",
IF(OR(ISTEXT(P56),ISTEXT(Q56)),"Yes",
IF(AND(P56&lt;Q56,P56&lt;='General Info &amp; Test Results'!$C$16,Q56&gt;='General Info &amp; Test Results'!$C$17),"Yes","No")))</f>
        <v/>
      </c>
      <c r="T56" s="169"/>
    </row>
    <row r="57" spans="2:20" x14ac:dyDescent="0.3">
      <c r="B57" s="164"/>
      <c r="C57" s="662"/>
      <c r="D57" s="662"/>
      <c r="E57" s="662"/>
      <c r="F57" s="662"/>
      <c r="G57" s="743" t="str">
        <f t="shared" si="0"/>
        <v/>
      </c>
      <c r="H57" s="663"/>
      <c r="I57" s="743" t="str">
        <f ca="1">IF($B57="","",
IF($B57="Other","N/A",
IF($B57="Smoke","ASTM-D-2156-80 (1980)",
OFFSET('Drop-Downs and Tables'!$E$246,MATCH($B57,'Drop-Downs and Tables'!$B$246:$B$265,0)-1,0))))</f>
        <v/>
      </c>
      <c r="J57" s="1449"/>
      <c r="K57" s="665"/>
      <c r="L57" s="743" t="str">
        <f t="shared" si="1"/>
        <v/>
      </c>
      <c r="M57" s="742" t="str">
        <f ca="1">IF($B57="","",IF($B57="Other","N/A",IF($B57="Smoke","ASTM-D-2156-80 (1980)",OFFSET('Drop-Downs and Tables'!$D$246,MATCH($B57,'Drop-Downs and Tables'!$B$246:$B$265,0)-1,0))))</f>
        <v/>
      </c>
      <c r="N57" s="743" t="str">
        <f ca="1">IF($B57="","",
IF($B57="Other","N/A",
IF($B57="Smoke","ASTM-D-2156-80 (1980)",
OFFSET('Drop-Downs and Tables'!$E$246,MATCH($B57,'Drop-Downs and Tables'!$B$246:$B$265,0)-1,0))))</f>
        <v/>
      </c>
      <c r="O57" s="743" t="str">
        <f t="shared" si="2"/>
        <v/>
      </c>
      <c r="P57" s="465" t="s">
        <v>123</v>
      </c>
      <c r="Q57" s="465" t="s">
        <v>123</v>
      </c>
      <c r="R57" s="712" t="str">
        <f>IF(OR(P57="[MM/DD/YYYY]",Q57="[MM/DD/YYYY]",P57="",Q57=""),"",
IF(OR(ISTEXT(P57),ISTEXT(Q57)),"Yes",
IF(AND(P57&lt;Q57,P57&lt;='General Info &amp; Test Results'!$C$16,Q57&gt;='General Info &amp; Test Results'!$C$17),"Yes","No")))</f>
        <v/>
      </c>
      <c r="T57" s="169"/>
    </row>
    <row r="58" spans="2:20" x14ac:dyDescent="0.3">
      <c r="B58" s="164"/>
      <c r="C58" s="662"/>
      <c r="D58" s="662"/>
      <c r="E58" s="662"/>
      <c r="F58" s="662"/>
      <c r="G58" s="743" t="str">
        <f t="shared" si="0"/>
        <v/>
      </c>
      <c r="H58" s="663"/>
      <c r="I58" s="743" t="str">
        <f ca="1">IF($B58="","",
IF($B58="Other","N/A",
IF($B58="Smoke","ASTM-D-2156-80 (1980)",
OFFSET('Drop-Downs and Tables'!$E$246,MATCH($B58,'Drop-Downs and Tables'!$B$246:$B$265,0)-1,0))))</f>
        <v/>
      </c>
      <c r="J58" s="1449"/>
      <c r="K58" s="665"/>
      <c r="L58" s="743" t="str">
        <f t="shared" si="1"/>
        <v/>
      </c>
      <c r="M58" s="742" t="str">
        <f ca="1">IF($B58="","",IF($B58="Other","N/A",IF($B58="Smoke","ASTM-D-2156-80 (1980)",OFFSET('Drop-Downs and Tables'!$D$246,MATCH($B58,'Drop-Downs and Tables'!$B$246:$B$265,0)-1,0))))</f>
        <v/>
      </c>
      <c r="N58" s="743" t="str">
        <f ca="1">IF($B58="","",
IF($B58="Other","N/A",
IF($B58="Smoke","ASTM-D-2156-80 (1980)",
OFFSET('Drop-Downs and Tables'!$E$246,MATCH($B58,'Drop-Downs and Tables'!$B$246:$B$265,0)-1,0))))</f>
        <v/>
      </c>
      <c r="O58" s="743" t="str">
        <f t="shared" si="2"/>
        <v/>
      </c>
      <c r="P58" s="465" t="s">
        <v>123</v>
      </c>
      <c r="Q58" s="465" t="s">
        <v>123</v>
      </c>
      <c r="R58" s="712" t="str">
        <f>IF(OR(P58="[MM/DD/YYYY]",Q58="[MM/DD/YYYY]",P58="",Q58=""),"",
IF(OR(ISTEXT(P58),ISTEXT(Q58)),"Yes",
IF(AND(P58&lt;Q58,P58&lt;='General Info &amp; Test Results'!$C$16,Q58&gt;='General Info &amp; Test Results'!$C$17),"Yes","No")))</f>
        <v/>
      </c>
      <c r="T58" s="169"/>
    </row>
    <row r="59" spans="2:20" x14ac:dyDescent="0.3">
      <c r="B59" s="164"/>
      <c r="C59" s="662"/>
      <c r="D59" s="662"/>
      <c r="E59" s="662"/>
      <c r="F59" s="662"/>
      <c r="G59" s="743" t="str">
        <f t="shared" si="0"/>
        <v/>
      </c>
      <c r="H59" s="663"/>
      <c r="I59" s="743" t="str">
        <f ca="1">IF($B59="","",
IF($B59="Other","N/A",
IF($B59="Smoke","ASTM-D-2156-80 (1980)",
OFFSET('Drop-Downs and Tables'!$E$246,MATCH($B59,'Drop-Downs and Tables'!$B$246:$B$265,0)-1,0))))</f>
        <v/>
      </c>
      <c r="J59" s="1449"/>
      <c r="K59" s="665"/>
      <c r="L59" s="743" t="str">
        <f t="shared" si="1"/>
        <v/>
      </c>
      <c r="M59" s="742" t="str">
        <f ca="1">IF($B59="","",IF($B59="Other","N/A",IF($B59="Smoke","ASTM-D-2156-80 (1980)",OFFSET('Drop-Downs and Tables'!$D$246,MATCH($B59,'Drop-Downs and Tables'!$B$246:$B$265,0)-1,0))))</f>
        <v/>
      </c>
      <c r="N59" s="743" t="str">
        <f ca="1">IF($B59="","",
IF($B59="Other","N/A",
IF($B59="Smoke","ASTM-D-2156-80 (1980)",
OFFSET('Drop-Downs and Tables'!$E$246,MATCH($B59,'Drop-Downs and Tables'!$B$246:$B$265,0)-1,0))))</f>
        <v/>
      </c>
      <c r="O59" s="743" t="str">
        <f t="shared" si="2"/>
        <v/>
      </c>
      <c r="P59" s="465" t="s">
        <v>123</v>
      </c>
      <c r="Q59" s="465" t="s">
        <v>123</v>
      </c>
      <c r="R59" s="712" t="str">
        <f>IF(OR(P59="[MM/DD/YYYY]",Q59="[MM/DD/YYYY]",P59="",Q59=""),"",
IF(OR(ISTEXT(P59),ISTEXT(Q59)),"Yes",
IF(AND(P59&lt;Q59,P59&lt;='General Info &amp; Test Results'!$C$16,Q59&gt;='General Info &amp; Test Results'!$C$17),"Yes","No")))</f>
        <v/>
      </c>
      <c r="T59" s="169"/>
    </row>
    <row r="60" spans="2:20" x14ac:dyDescent="0.3">
      <c r="B60" s="164"/>
      <c r="C60" s="662"/>
      <c r="D60" s="662"/>
      <c r="E60" s="662"/>
      <c r="F60" s="662"/>
      <c r="G60" s="743" t="str">
        <f t="shared" si="0"/>
        <v/>
      </c>
      <c r="H60" s="663"/>
      <c r="I60" s="743" t="str">
        <f ca="1">IF($B60="","",
IF($B60="Other","N/A",
IF($B60="Smoke","ASTM-D-2156-80 (1980)",
OFFSET('Drop-Downs and Tables'!$E$246,MATCH($B60,'Drop-Downs and Tables'!$B$246:$B$265,0)-1,0))))</f>
        <v/>
      </c>
      <c r="J60" s="1449"/>
      <c r="K60" s="665"/>
      <c r="L60" s="743" t="str">
        <f t="shared" si="1"/>
        <v/>
      </c>
      <c r="M60" s="742" t="str">
        <f ca="1">IF($B60="","",IF($B60="Other","N/A",IF($B60="Smoke","ASTM-D-2156-80 (1980)",OFFSET('Drop-Downs and Tables'!$D$246,MATCH($B60,'Drop-Downs and Tables'!$B$246:$B$265,0)-1,0))))</f>
        <v/>
      </c>
      <c r="N60" s="743" t="str">
        <f ca="1">IF($B60="","",
IF($B60="Other","N/A",
IF($B60="Smoke","ASTM-D-2156-80 (1980)",
OFFSET('Drop-Downs and Tables'!$E$246,MATCH($B60,'Drop-Downs and Tables'!$B$246:$B$265,0)-1,0))))</f>
        <v/>
      </c>
      <c r="O60" s="743" t="str">
        <f t="shared" si="2"/>
        <v/>
      </c>
      <c r="P60" s="465" t="s">
        <v>123</v>
      </c>
      <c r="Q60" s="465" t="s">
        <v>123</v>
      </c>
      <c r="R60" s="712" t="str">
        <f>IF(OR(P60="[MM/DD/YYYY]",Q60="[MM/DD/YYYY]",P60="",Q60=""),"",
IF(OR(ISTEXT(P60),ISTEXT(Q60)),"Yes",
IF(AND(P60&lt;Q60,P60&lt;='General Info &amp; Test Results'!$C$16,Q60&gt;='General Info &amp; Test Results'!$C$17),"Yes","No")))</f>
        <v/>
      </c>
      <c r="T60" s="169"/>
    </row>
    <row r="61" spans="2:20" x14ac:dyDescent="0.3">
      <c r="B61" s="164"/>
      <c r="C61" s="662"/>
      <c r="D61" s="662"/>
      <c r="E61" s="662"/>
      <c r="F61" s="662"/>
      <c r="G61" s="743" t="str">
        <f t="shared" si="0"/>
        <v/>
      </c>
      <c r="H61" s="663"/>
      <c r="I61" s="743" t="str">
        <f ca="1">IF($B61="","",
IF($B61="Other","N/A",
IF($B61="Smoke","ASTM-D-2156-80 (1980)",
OFFSET('Drop-Downs and Tables'!$E$246,MATCH($B61,'Drop-Downs and Tables'!$B$246:$B$265,0)-1,0))))</f>
        <v/>
      </c>
      <c r="J61" s="1449"/>
      <c r="K61" s="665"/>
      <c r="L61" s="743" t="str">
        <f t="shared" si="1"/>
        <v/>
      </c>
      <c r="M61" s="742" t="str">
        <f ca="1">IF($B61="","",IF($B61="Other","N/A",IF($B61="Smoke","ASTM-D-2156-80 (1980)",OFFSET('Drop-Downs and Tables'!$D$246,MATCH($B61,'Drop-Downs and Tables'!$B$246:$B$265,0)-1,0))))</f>
        <v/>
      </c>
      <c r="N61" s="743" t="str">
        <f ca="1">IF($B61="","",
IF($B61="Other","N/A",
IF($B61="Smoke","ASTM-D-2156-80 (1980)",
OFFSET('Drop-Downs and Tables'!$E$246,MATCH($B61,'Drop-Downs and Tables'!$B$246:$B$265,0)-1,0))))</f>
        <v/>
      </c>
      <c r="O61" s="743" t="str">
        <f t="shared" si="2"/>
        <v/>
      </c>
      <c r="P61" s="465" t="s">
        <v>123</v>
      </c>
      <c r="Q61" s="465" t="s">
        <v>123</v>
      </c>
      <c r="R61" s="712" t="str">
        <f>IF(OR(P61="[MM/DD/YYYY]",Q61="[MM/DD/YYYY]",P61="",Q61=""),"",
IF(OR(ISTEXT(P61),ISTEXT(Q61)),"Yes",
IF(AND(P61&lt;Q61,P61&lt;='General Info &amp; Test Results'!$C$16,Q61&gt;='General Info &amp; Test Results'!$C$17),"Yes","No")))</f>
        <v/>
      </c>
      <c r="T61" s="169"/>
    </row>
    <row r="62" spans="2:20" x14ac:dyDescent="0.3">
      <c r="B62" s="164"/>
      <c r="C62" s="662"/>
      <c r="D62" s="662"/>
      <c r="E62" s="662"/>
      <c r="F62" s="662"/>
      <c r="G62" s="743" t="str">
        <f t="shared" si="0"/>
        <v/>
      </c>
      <c r="H62" s="663"/>
      <c r="I62" s="743" t="str">
        <f ca="1">IF($B62="","",
IF($B62="Other","N/A",
IF($B62="Smoke","ASTM-D-2156-80 (1980)",
OFFSET('Drop-Downs and Tables'!$E$246,MATCH($B62,'Drop-Downs and Tables'!$B$246:$B$265,0)-1,0))))</f>
        <v/>
      </c>
      <c r="J62" s="1449"/>
      <c r="K62" s="665"/>
      <c r="L62" s="743" t="str">
        <f t="shared" si="1"/>
        <v/>
      </c>
      <c r="M62" s="742" t="str">
        <f ca="1">IF($B62="","",IF($B62="Other","N/A",IF($B62="Smoke","ASTM-D-2156-80 (1980)",OFFSET('Drop-Downs and Tables'!$D$246,MATCH($B62,'Drop-Downs and Tables'!$B$246:$B$265,0)-1,0))))</f>
        <v/>
      </c>
      <c r="N62" s="743" t="str">
        <f ca="1">IF($B62="","",
IF($B62="Other","N/A",
IF($B62="Smoke","ASTM-D-2156-80 (1980)",
OFFSET('Drop-Downs and Tables'!$E$246,MATCH($B62,'Drop-Downs and Tables'!$B$246:$B$265,0)-1,0))))</f>
        <v/>
      </c>
      <c r="O62" s="743" t="str">
        <f t="shared" si="2"/>
        <v/>
      </c>
      <c r="P62" s="465" t="s">
        <v>123</v>
      </c>
      <c r="Q62" s="465" t="s">
        <v>123</v>
      </c>
      <c r="R62" s="712" t="str">
        <f>IF(OR(P62="[MM/DD/YYYY]",Q62="[MM/DD/YYYY]",P62="",Q62=""),"",
IF(OR(ISTEXT(P62),ISTEXT(Q62)),"Yes",
IF(AND(P62&lt;Q62,P62&lt;='General Info &amp; Test Results'!$C$16,Q62&gt;='General Info &amp; Test Results'!$C$17),"Yes","No")))</f>
        <v/>
      </c>
      <c r="T62" s="169"/>
    </row>
    <row r="63" spans="2:20" x14ac:dyDescent="0.3">
      <c r="B63" s="164"/>
      <c r="C63" s="662"/>
      <c r="D63" s="662"/>
      <c r="E63" s="662"/>
      <c r="F63" s="662"/>
      <c r="G63" s="743" t="str">
        <f t="shared" si="0"/>
        <v/>
      </c>
      <c r="H63" s="663"/>
      <c r="I63" s="743" t="str">
        <f ca="1">IF($B63="","",
IF($B63="Other","N/A",
IF($B63="Smoke","ASTM-D-2156-80 (1980)",
OFFSET('Drop-Downs and Tables'!$E$246,MATCH($B63,'Drop-Downs and Tables'!$B$246:$B$265,0)-1,0))))</f>
        <v/>
      </c>
      <c r="J63" s="1449"/>
      <c r="K63" s="665"/>
      <c r="L63" s="743" t="str">
        <f t="shared" si="1"/>
        <v/>
      </c>
      <c r="M63" s="742" t="str">
        <f ca="1">IF($B63="","",IF($B63="Other","N/A",IF($B63="Smoke","ASTM-D-2156-80 (1980)",OFFSET('Drop-Downs and Tables'!$D$246,MATCH($B63,'Drop-Downs and Tables'!$B$246:$B$265,0)-1,0))))</f>
        <v/>
      </c>
      <c r="N63" s="743" t="str">
        <f ca="1">IF($B63="","",
IF($B63="Other","N/A",
IF($B63="Smoke","ASTM-D-2156-80 (1980)",
OFFSET('Drop-Downs and Tables'!$E$246,MATCH($B63,'Drop-Downs and Tables'!$B$246:$B$265,0)-1,0))))</f>
        <v/>
      </c>
      <c r="O63" s="743" t="str">
        <f t="shared" si="2"/>
        <v/>
      </c>
      <c r="P63" s="465" t="s">
        <v>123</v>
      </c>
      <c r="Q63" s="465" t="s">
        <v>123</v>
      </c>
      <c r="R63" s="712" t="str">
        <f>IF(OR(P63="[MM/DD/YYYY]",Q63="[MM/DD/YYYY]",P63="",Q63=""),"",
IF(OR(ISTEXT(P63),ISTEXT(Q63)),"Yes",
IF(AND(P63&lt;Q63,P63&lt;='General Info &amp; Test Results'!$C$16,Q63&gt;='General Info &amp; Test Results'!$C$17),"Yes","No")))</f>
        <v/>
      </c>
      <c r="T63" s="169"/>
    </row>
    <row r="64" spans="2:20" x14ac:dyDescent="0.3">
      <c r="B64" s="164"/>
      <c r="C64" s="662"/>
      <c r="D64" s="662"/>
      <c r="E64" s="662"/>
      <c r="F64" s="662"/>
      <c r="G64" s="743" t="str">
        <f t="shared" si="0"/>
        <v/>
      </c>
      <c r="H64" s="663"/>
      <c r="I64" s="743" t="str">
        <f ca="1">IF($B64="","",
IF($B64="Other","N/A",
IF($B64="Smoke","ASTM-D-2156-80 (1980)",
OFFSET('Drop-Downs and Tables'!$E$246,MATCH($B64,'Drop-Downs and Tables'!$B$246:$B$265,0)-1,0))))</f>
        <v/>
      </c>
      <c r="J64" s="1449"/>
      <c r="K64" s="665"/>
      <c r="L64" s="743" t="str">
        <f t="shared" si="1"/>
        <v/>
      </c>
      <c r="M64" s="742" t="str">
        <f ca="1">IF($B64="","",IF($B64="Other","N/A",IF($B64="Smoke","ASTM-D-2156-80 (1980)",OFFSET('Drop-Downs and Tables'!$D$246,MATCH($B64,'Drop-Downs and Tables'!$B$246:$B$265,0)-1,0))))</f>
        <v/>
      </c>
      <c r="N64" s="743" t="str">
        <f ca="1">IF($B64="","",
IF($B64="Other","N/A",
IF($B64="Smoke","ASTM-D-2156-80 (1980)",
OFFSET('Drop-Downs and Tables'!$E$246,MATCH($B64,'Drop-Downs and Tables'!$B$246:$B$265,0)-1,0))))</f>
        <v/>
      </c>
      <c r="O64" s="743" t="str">
        <f t="shared" si="2"/>
        <v/>
      </c>
      <c r="P64" s="465" t="s">
        <v>123</v>
      </c>
      <c r="Q64" s="465" t="s">
        <v>123</v>
      </c>
      <c r="R64" s="712" t="str">
        <f>IF(OR(P64="[MM/DD/YYYY]",Q64="[MM/DD/YYYY]",P64="",Q64=""),"",
IF(OR(ISTEXT(P64),ISTEXT(Q64)),"Yes",
IF(AND(P64&lt;Q64,P64&lt;='General Info &amp; Test Results'!$C$16,Q64&gt;='General Info &amp; Test Results'!$C$17),"Yes","No")))</f>
        <v/>
      </c>
      <c r="T64" s="169"/>
    </row>
    <row r="65" spans="1:20" x14ac:dyDescent="0.3">
      <c r="B65" s="164"/>
      <c r="C65" s="662"/>
      <c r="D65" s="662"/>
      <c r="E65" s="662"/>
      <c r="F65" s="662"/>
      <c r="G65" s="743" t="str">
        <f t="shared" si="0"/>
        <v/>
      </c>
      <c r="H65" s="663"/>
      <c r="I65" s="743" t="str">
        <f ca="1">IF($B65="","",
IF($B65="Other","N/A",
IF($B65="Smoke","ASTM-D-2156-80 (1980)",
OFFSET('Drop-Downs and Tables'!$E$246,MATCH($B65,'Drop-Downs and Tables'!$B$246:$B$265,0)-1,0))))</f>
        <v/>
      </c>
      <c r="J65" s="1449"/>
      <c r="K65" s="665"/>
      <c r="L65" s="743" t="str">
        <f t="shared" si="1"/>
        <v/>
      </c>
      <c r="M65" s="742" t="str">
        <f ca="1">IF($B65="","",IF($B65="Other","N/A",IF($B65="Smoke","ASTM-D-2156-80 (1980)",OFFSET('Drop-Downs and Tables'!$D$246,MATCH($B65,'Drop-Downs and Tables'!$B$246:$B$265,0)-1,0))))</f>
        <v/>
      </c>
      <c r="N65" s="743" t="str">
        <f ca="1">IF($B65="","",
IF($B65="Other","N/A",
IF($B65="Smoke","ASTM-D-2156-80 (1980)",
OFFSET('Drop-Downs and Tables'!$E$246,MATCH($B65,'Drop-Downs and Tables'!$B$246:$B$265,0)-1,0))))</f>
        <v/>
      </c>
      <c r="O65" s="743" t="str">
        <f t="shared" si="2"/>
        <v/>
      </c>
      <c r="P65" s="465" t="s">
        <v>123</v>
      </c>
      <c r="Q65" s="465" t="s">
        <v>123</v>
      </c>
      <c r="R65" s="712" t="str">
        <f>IF(OR(P65="[MM/DD/YYYY]",Q65="[MM/DD/YYYY]",P65="",Q65=""),"",
IF(OR(ISTEXT(P65),ISTEXT(Q65)),"Yes",
IF(AND(P65&lt;Q65,P65&lt;='General Info &amp; Test Results'!$C$16,Q65&gt;='General Info &amp; Test Results'!$C$17),"Yes","No")))</f>
        <v/>
      </c>
      <c r="T65" s="169"/>
    </row>
    <row r="66" spans="1:20" x14ac:dyDescent="0.3">
      <c r="B66" s="164"/>
      <c r="C66" s="662"/>
      <c r="D66" s="662"/>
      <c r="E66" s="662"/>
      <c r="F66" s="662"/>
      <c r="G66" s="743" t="str">
        <f t="shared" si="0"/>
        <v/>
      </c>
      <c r="H66" s="663"/>
      <c r="I66" s="743" t="str">
        <f ca="1">IF($B66="","",
IF($B66="Other","N/A",
IF($B66="Smoke","ASTM-D-2156-80 (1980)",
OFFSET('Drop-Downs and Tables'!$E$246,MATCH($B66,'Drop-Downs and Tables'!$B$246:$B$265,0)-1,0))))</f>
        <v/>
      </c>
      <c r="J66" s="1449"/>
      <c r="K66" s="665"/>
      <c r="L66" s="743" t="str">
        <f t="shared" si="1"/>
        <v/>
      </c>
      <c r="M66" s="742" t="str">
        <f ca="1">IF($B66="","",IF($B66="Other","N/A",IF($B66="Smoke","ASTM-D-2156-80 (1980)",OFFSET('Drop-Downs and Tables'!$D$246,MATCH($B66,'Drop-Downs and Tables'!$B$246:$B$265,0)-1,0))))</f>
        <v/>
      </c>
      <c r="N66" s="743" t="str">
        <f ca="1">IF($B66="","",
IF($B66="Other","N/A",
IF($B66="Smoke","ASTM-D-2156-80 (1980)",
OFFSET('Drop-Downs and Tables'!$E$246,MATCH($B66,'Drop-Downs and Tables'!$B$246:$B$265,0)-1,0))))</f>
        <v/>
      </c>
      <c r="O66" s="743" t="str">
        <f t="shared" si="2"/>
        <v/>
      </c>
      <c r="P66" s="465" t="s">
        <v>123</v>
      </c>
      <c r="Q66" s="465" t="s">
        <v>123</v>
      </c>
      <c r="R66" s="712" t="str">
        <f>IF(OR(P66="[MM/DD/YYYY]",Q66="[MM/DD/YYYY]",P66="",Q66=""),"",
IF(OR(ISTEXT(P66),ISTEXT(Q66)),"Yes",
IF(AND(P66&lt;Q66,P66&lt;='General Info &amp; Test Results'!$C$16,Q66&gt;='General Info &amp; Test Results'!$C$17),"Yes","No")))</f>
        <v/>
      </c>
      <c r="T66" s="169"/>
    </row>
    <row r="67" spans="1:20" x14ac:dyDescent="0.3">
      <c r="B67" s="164"/>
      <c r="C67" s="662"/>
      <c r="D67" s="662"/>
      <c r="E67" s="662"/>
      <c r="F67" s="662"/>
      <c r="G67" s="743" t="str">
        <f t="shared" si="0"/>
        <v/>
      </c>
      <c r="H67" s="663"/>
      <c r="I67" s="743" t="str">
        <f ca="1">IF($B67="","",
IF($B67="Other","N/A",
IF($B67="Smoke","ASTM-D-2156-80 (1980)",
OFFSET('Drop-Downs and Tables'!$E$246,MATCH($B67,'Drop-Downs and Tables'!$B$246:$B$265,0)-1,0))))</f>
        <v/>
      </c>
      <c r="J67" s="1449"/>
      <c r="K67" s="665"/>
      <c r="L67" s="743" t="str">
        <f t="shared" si="1"/>
        <v/>
      </c>
      <c r="M67" s="742" t="str">
        <f ca="1">IF($B67="","",IF($B67="Other","N/A",IF($B67="Smoke","ASTM-D-2156-80 (1980)",OFFSET('Drop-Downs and Tables'!$D$246,MATCH($B67,'Drop-Downs and Tables'!$B$246:$B$265,0)-1,0))))</f>
        <v/>
      </c>
      <c r="N67" s="743" t="str">
        <f ca="1">IF($B67="","",
IF($B67="Other","N/A",
IF($B67="Smoke","ASTM-D-2156-80 (1980)",
OFFSET('Drop-Downs and Tables'!$E$246,MATCH($B67,'Drop-Downs and Tables'!$B$246:$B$265,0)-1,0))))</f>
        <v/>
      </c>
      <c r="O67" s="743" t="str">
        <f t="shared" si="2"/>
        <v/>
      </c>
      <c r="P67" s="465" t="s">
        <v>123</v>
      </c>
      <c r="Q67" s="465" t="s">
        <v>123</v>
      </c>
      <c r="R67" s="712" t="str">
        <f>IF(OR(P67="[MM/DD/YYYY]",Q67="[MM/DD/YYYY]",P67="",Q67=""),"",
IF(OR(ISTEXT(P67),ISTEXT(Q67)),"Yes",
IF(AND(P67&lt;Q67,P67&lt;='General Info &amp; Test Results'!$C$16,Q67&gt;='General Info &amp; Test Results'!$C$17),"Yes","No")))</f>
        <v/>
      </c>
      <c r="T67" s="169"/>
    </row>
    <row r="68" spans="1:20" x14ac:dyDescent="0.3">
      <c r="B68" s="164"/>
      <c r="C68" s="662"/>
      <c r="D68" s="662"/>
      <c r="E68" s="662"/>
      <c r="F68" s="662"/>
      <c r="G68" s="743" t="str">
        <f t="shared" si="0"/>
        <v/>
      </c>
      <c r="H68" s="663"/>
      <c r="I68" s="743" t="str">
        <f ca="1">IF($B68="","",
IF($B68="Other","N/A",
IF($B68="Smoke","ASTM-D-2156-80 (1980)",
OFFSET('Drop-Downs and Tables'!$E$246,MATCH($B68,'Drop-Downs and Tables'!$B$246:$B$265,0)-1,0))))</f>
        <v/>
      </c>
      <c r="J68" s="1449"/>
      <c r="K68" s="665"/>
      <c r="L68" s="743" t="str">
        <f t="shared" si="1"/>
        <v/>
      </c>
      <c r="M68" s="742" t="str">
        <f ca="1">IF($B68="","",IF($B68="Other","N/A",IF($B68="Smoke","ASTM-D-2156-80 (1980)",OFFSET('Drop-Downs and Tables'!$D$246,MATCH($B68,'Drop-Downs and Tables'!$B$246:$B$265,0)-1,0))))</f>
        <v/>
      </c>
      <c r="N68" s="743" t="str">
        <f ca="1">IF($B68="","",
IF($B68="Other","N/A",
IF($B68="Smoke","ASTM-D-2156-80 (1980)",
OFFSET('Drop-Downs and Tables'!$E$246,MATCH($B68,'Drop-Downs and Tables'!$B$246:$B$265,0)-1,0))))</f>
        <v/>
      </c>
      <c r="O68" s="743" t="str">
        <f t="shared" si="2"/>
        <v/>
      </c>
      <c r="P68" s="465" t="s">
        <v>123</v>
      </c>
      <c r="Q68" s="465" t="s">
        <v>123</v>
      </c>
      <c r="R68" s="712" t="str">
        <f>IF(OR(P68="[MM/DD/YYYY]",Q68="[MM/DD/YYYY]",P68="",Q68=""),"",
IF(OR(ISTEXT(P68),ISTEXT(Q68)),"Yes",
IF(AND(P68&lt;Q68,P68&lt;='General Info &amp; Test Results'!$C$16,Q68&gt;='General Info &amp; Test Results'!$C$17),"Yes","No")))</f>
        <v/>
      </c>
      <c r="T68" s="169"/>
    </row>
    <row r="69" spans="1:20" x14ac:dyDescent="0.3">
      <c r="B69" s="164"/>
      <c r="C69" s="662"/>
      <c r="D69" s="662"/>
      <c r="E69" s="662"/>
      <c r="F69" s="662"/>
      <c r="G69" s="743" t="str">
        <f t="shared" si="0"/>
        <v/>
      </c>
      <c r="H69" s="663"/>
      <c r="I69" s="743" t="str">
        <f ca="1">IF($B69="","",
IF($B69="Other","N/A",
IF($B69="Smoke","ASTM-D-2156-80 (1980)",
OFFSET('Drop-Downs and Tables'!$E$246,MATCH($B69,'Drop-Downs and Tables'!$B$246:$B$265,0)-1,0))))</f>
        <v/>
      </c>
      <c r="J69" s="1449"/>
      <c r="K69" s="665"/>
      <c r="L69" s="743" t="str">
        <f t="shared" si="1"/>
        <v/>
      </c>
      <c r="M69" s="742" t="str">
        <f ca="1">IF($B69="","",IF($B69="Other","N/A",IF($B69="Smoke","ASTM-D-2156-80 (1980)",OFFSET('Drop-Downs and Tables'!$D$246,MATCH($B69,'Drop-Downs and Tables'!$B$246:$B$265,0)-1,0))))</f>
        <v/>
      </c>
      <c r="N69" s="743" t="str">
        <f ca="1">IF($B69="","",
IF($B69="Other","N/A",
IF($B69="Smoke","ASTM-D-2156-80 (1980)",
OFFSET('Drop-Downs and Tables'!$E$246,MATCH($B69,'Drop-Downs and Tables'!$B$246:$B$265,0)-1,0))))</f>
        <v/>
      </c>
      <c r="O69" s="743" t="str">
        <f t="shared" si="2"/>
        <v/>
      </c>
      <c r="P69" s="465" t="s">
        <v>123</v>
      </c>
      <c r="Q69" s="465" t="s">
        <v>123</v>
      </c>
      <c r="R69" s="712" t="str">
        <f>IF(OR(P69="[MM/DD/YYYY]",Q69="[MM/DD/YYYY]",P69="",Q69=""),"",
IF(OR(ISTEXT(P69),ISTEXT(Q69)),"Yes",
IF(AND(P69&lt;Q69,P69&lt;='General Info &amp; Test Results'!$C$16,Q69&gt;='General Info &amp; Test Results'!$C$17),"Yes","No")))</f>
        <v/>
      </c>
      <c r="T69" s="169"/>
    </row>
    <row r="70" spans="1:20" x14ac:dyDescent="0.3">
      <c r="B70" s="164"/>
      <c r="C70" s="662"/>
      <c r="D70" s="662"/>
      <c r="E70" s="662"/>
      <c r="F70" s="662"/>
      <c r="G70" s="743" t="str">
        <f t="shared" si="0"/>
        <v/>
      </c>
      <c r="H70" s="663"/>
      <c r="I70" s="743" t="str">
        <f ca="1">IF($B70="","",
IF($B70="Other","N/A",
IF($B70="Smoke","ASTM-D-2156-80 (1980)",
OFFSET('Drop-Downs and Tables'!$E$246,MATCH($B70,'Drop-Downs and Tables'!$B$246:$B$265,0)-1,0))))</f>
        <v/>
      </c>
      <c r="J70" s="1449"/>
      <c r="K70" s="665"/>
      <c r="L70" s="743" t="str">
        <f t="shared" si="1"/>
        <v/>
      </c>
      <c r="M70" s="742" t="str">
        <f ca="1">IF($B70="","",IF($B70="Other","N/A",IF($B70="Smoke","ASTM-D-2156-80 (1980)",OFFSET('Drop-Downs and Tables'!$D$246,MATCH($B70,'Drop-Downs and Tables'!$B$246:$B$265,0)-1,0))))</f>
        <v/>
      </c>
      <c r="N70" s="743" t="str">
        <f ca="1">IF($B70="","",
IF($B70="Other","N/A",
IF($B70="Smoke","ASTM-D-2156-80 (1980)",
OFFSET('Drop-Downs and Tables'!$E$246,MATCH($B70,'Drop-Downs and Tables'!$B$246:$B$265,0)-1,0))))</f>
        <v/>
      </c>
      <c r="O70" s="743" t="str">
        <f t="shared" si="2"/>
        <v/>
      </c>
      <c r="P70" s="465" t="s">
        <v>123</v>
      </c>
      <c r="Q70" s="465" t="s">
        <v>123</v>
      </c>
      <c r="R70" s="712" t="str">
        <f>IF(OR(P70="[MM/DD/YYYY]",Q70="[MM/DD/YYYY]",P70="",Q70=""),"",
IF(OR(ISTEXT(P70),ISTEXT(Q70)),"Yes",
IF(AND(P70&lt;Q70,P70&lt;='General Info &amp; Test Results'!$C$16,Q70&gt;='General Info &amp; Test Results'!$C$17),"Yes","No")))</f>
        <v/>
      </c>
      <c r="T70" s="169"/>
    </row>
    <row r="71" spans="1:20" ht="17.25" thickBot="1" x14ac:dyDescent="0.35">
      <c r="B71" s="166"/>
      <c r="C71" s="167"/>
      <c r="D71" s="167"/>
      <c r="E71" s="167"/>
      <c r="F71" s="167"/>
      <c r="G71" s="744" t="str">
        <f t="shared" si="0"/>
        <v/>
      </c>
      <c r="H71" s="474"/>
      <c r="I71" s="744" t="str">
        <f ca="1">IF($B71="","",
IF($B71="Other","N/A",
IF($B71="Smoke","ASTM-D-2156-80 (1980)",
OFFSET('Drop-Downs and Tables'!$E$246,MATCH($B71,'Drop-Downs and Tables'!$B$246:$B$265,0)-1,0))))</f>
        <v/>
      </c>
      <c r="J71" s="1450"/>
      <c r="K71" s="666"/>
      <c r="L71" s="744" t="str">
        <f t="shared" si="1"/>
        <v/>
      </c>
      <c r="M71" s="745" t="str">
        <f ca="1">IF($B71="","",IF($B71="Other","N/A",IF($B71="Smoke","ASTM-D-2156-80 (1980)",OFFSET('Drop-Downs and Tables'!$D$246,MATCH($B71,'Drop-Downs and Tables'!$B$246:$B$265,0)-1,0))))</f>
        <v/>
      </c>
      <c r="N71" s="744" t="str">
        <f ca="1">IF($B71="","",
IF($B71="Other","N/A",
IF($B71="Smoke","ASTM-D-2156-80 (1980)",
OFFSET('Drop-Downs and Tables'!$E$246,MATCH($B71,'Drop-Downs and Tables'!$B$246:$B$265,0)-1,0))))</f>
        <v/>
      </c>
      <c r="O71" s="744" t="str">
        <f t="shared" si="2"/>
        <v/>
      </c>
      <c r="P71" s="472" t="s">
        <v>123</v>
      </c>
      <c r="Q71" s="472" t="s">
        <v>123</v>
      </c>
      <c r="R71" s="713" t="str">
        <f>IF(OR(P71="[MM/DD/YYYY]",Q71="[MM/DD/YYYY]",P71="",Q71=""),"",
IF(OR(ISTEXT(P71),ISTEXT(Q71)),"Yes",
IF(AND(P71&lt;Q71,P71&lt;='General Info &amp; Test Results'!$C$16,Q71&gt;='General Info &amp; Test Results'!$C$17),"Yes","No")))</f>
        <v/>
      </c>
      <c r="S71" s="168" t="str">
        <f>IF(OR(P71="[MM/DD/YYYY]",Q71="[MM/DD/YYYY]",P71="",Q71=""),"",
IF(OR(ISTEXT(P71),ISTEXT(Q71)),"Yes",
IF(AND(P71&lt;Q71,P71&lt;='General Info &amp; Test Results'!$C$16,Q71&gt;='General Info &amp; Test Results'!$C$17),"Yes","No")))</f>
        <v/>
      </c>
      <c r="T71" s="169"/>
    </row>
    <row r="72" spans="1:20" ht="17.25" thickBot="1" x14ac:dyDescent="0.35">
      <c r="Q72" s="464"/>
      <c r="T72" s="169"/>
    </row>
    <row r="73" spans="1:20" ht="18" thickBot="1" x14ac:dyDescent="0.35">
      <c r="B73" s="1356" t="s">
        <v>1041</v>
      </c>
      <c r="C73" s="1357"/>
      <c r="D73" s="1357"/>
      <c r="E73" s="1357"/>
      <c r="F73" s="1357"/>
      <c r="G73" s="1357"/>
      <c r="H73" s="1357"/>
      <c r="I73" s="1357"/>
      <c r="J73" s="1357"/>
      <c r="K73" s="1357"/>
      <c r="L73" s="1357"/>
      <c r="M73" s="1357"/>
      <c r="N73" s="1357"/>
      <c r="O73" s="1357"/>
      <c r="P73" s="1357"/>
      <c r="Q73" s="1357"/>
      <c r="R73" s="1358"/>
      <c r="T73" s="169"/>
    </row>
    <row r="74" spans="1:20" x14ac:dyDescent="0.3">
      <c r="B74" s="1564"/>
      <c r="C74" s="1565"/>
      <c r="D74" s="1565"/>
      <c r="E74" s="1565"/>
      <c r="F74" s="1565"/>
      <c r="G74" s="1565"/>
      <c r="H74" s="1565"/>
      <c r="I74" s="1565"/>
      <c r="J74" s="1565"/>
      <c r="K74" s="1565"/>
      <c r="L74" s="1565"/>
      <c r="M74" s="1565"/>
      <c r="N74" s="1565"/>
      <c r="O74" s="1565"/>
      <c r="P74" s="1565"/>
      <c r="Q74" s="1565"/>
      <c r="R74" s="1566"/>
      <c r="T74" s="169"/>
    </row>
    <row r="75" spans="1:20" x14ac:dyDescent="0.3">
      <c r="B75" s="1567"/>
      <c r="C75" s="1568"/>
      <c r="D75" s="1568"/>
      <c r="E75" s="1568"/>
      <c r="F75" s="1568"/>
      <c r="G75" s="1568"/>
      <c r="H75" s="1568"/>
      <c r="I75" s="1568"/>
      <c r="J75" s="1568"/>
      <c r="K75" s="1568"/>
      <c r="L75" s="1568"/>
      <c r="M75" s="1568"/>
      <c r="N75" s="1568"/>
      <c r="O75" s="1568"/>
      <c r="P75" s="1568"/>
      <c r="Q75" s="1568"/>
      <c r="R75" s="1569"/>
      <c r="T75" s="169"/>
    </row>
    <row r="76" spans="1:20" x14ac:dyDescent="0.3">
      <c r="B76" s="1567"/>
      <c r="C76" s="1568"/>
      <c r="D76" s="1568"/>
      <c r="E76" s="1568"/>
      <c r="F76" s="1568"/>
      <c r="G76" s="1568"/>
      <c r="H76" s="1568"/>
      <c r="I76" s="1568"/>
      <c r="J76" s="1568"/>
      <c r="K76" s="1568"/>
      <c r="L76" s="1568"/>
      <c r="M76" s="1568"/>
      <c r="N76" s="1568"/>
      <c r="O76" s="1568"/>
      <c r="P76" s="1568"/>
      <c r="Q76" s="1568"/>
      <c r="R76" s="1569"/>
      <c r="T76" s="169"/>
    </row>
    <row r="77" spans="1:20" ht="17.25" thickBot="1" x14ac:dyDescent="0.35">
      <c r="B77" s="1570"/>
      <c r="C77" s="1571"/>
      <c r="D77" s="1571"/>
      <c r="E77" s="1571"/>
      <c r="F77" s="1571"/>
      <c r="G77" s="1571"/>
      <c r="H77" s="1571"/>
      <c r="I77" s="1571"/>
      <c r="J77" s="1571"/>
      <c r="K77" s="1571"/>
      <c r="L77" s="1571"/>
      <c r="M77" s="1571"/>
      <c r="N77" s="1571"/>
      <c r="O77" s="1571"/>
      <c r="P77" s="1571"/>
      <c r="Q77" s="1571"/>
      <c r="R77" s="1572"/>
      <c r="T77" s="169"/>
    </row>
    <row r="78" spans="1:20" ht="17.25" thickBot="1" x14ac:dyDescent="0.35">
      <c r="Q78" s="464"/>
      <c r="T78" s="169"/>
    </row>
    <row r="79" spans="1:20" ht="18" thickBot="1" x14ac:dyDescent="0.35">
      <c r="A79" s="130"/>
      <c r="B79" s="1356" t="s">
        <v>158</v>
      </c>
      <c r="C79" s="1357"/>
      <c r="D79" s="1357"/>
      <c r="E79" s="1357"/>
      <c r="F79" s="1357"/>
      <c r="G79" s="1357"/>
      <c r="H79" s="1357"/>
      <c r="I79" s="1357"/>
      <c r="J79" s="1357"/>
      <c r="K79" s="1357"/>
      <c r="L79" s="1357"/>
      <c r="M79" s="1357"/>
      <c r="N79" s="1357"/>
      <c r="O79" s="1357"/>
      <c r="P79" s="1357"/>
      <c r="Q79" s="1357"/>
      <c r="R79" s="1358"/>
      <c r="T79" s="169"/>
    </row>
    <row r="80" spans="1:20" x14ac:dyDescent="0.3">
      <c r="A80" s="130"/>
      <c r="B80" s="1564"/>
      <c r="C80" s="1565"/>
      <c r="D80" s="1565"/>
      <c r="E80" s="1565"/>
      <c r="F80" s="1565"/>
      <c r="G80" s="1565"/>
      <c r="H80" s="1565"/>
      <c r="I80" s="1565"/>
      <c r="J80" s="1565"/>
      <c r="K80" s="1565"/>
      <c r="L80" s="1565"/>
      <c r="M80" s="1565"/>
      <c r="N80" s="1565"/>
      <c r="O80" s="1565"/>
      <c r="P80" s="1565"/>
      <c r="Q80" s="1565"/>
      <c r="R80" s="1566"/>
      <c r="T80" s="169"/>
    </row>
    <row r="81" spans="1:20" x14ac:dyDescent="0.3">
      <c r="A81" s="130"/>
      <c r="B81" s="1567"/>
      <c r="C81" s="1568"/>
      <c r="D81" s="1568"/>
      <c r="E81" s="1568"/>
      <c r="F81" s="1568"/>
      <c r="G81" s="1568"/>
      <c r="H81" s="1568"/>
      <c r="I81" s="1568"/>
      <c r="J81" s="1568"/>
      <c r="K81" s="1568"/>
      <c r="L81" s="1568"/>
      <c r="M81" s="1568"/>
      <c r="N81" s="1568"/>
      <c r="O81" s="1568"/>
      <c r="P81" s="1568"/>
      <c r="Q81" s="1568"/>
      <c r="R81" s="1569"/>
      <c r="T81" s="169"/>
    </row>
    <row r="82" spans="1:20" x14ac:dyDescent="0.3">
      <c r="A82" s="130"/>
      <c r="B82" s="1567"/>
      <c r="C82" s="1568"/>
      <c r="D82" s="1568"/>
      <c r="E82" s="1568"/>
      <c r="F82" s="1568"/>
      <c r="G82" s="1568"/>
      <c r="H82" s="1568"/>
      <c r="I82" s="1568"/>
      <c r="J82" s="1568"/>
      <c r="K82" s="1568"/>
      <c r="L82" s="1568"/>
      <c r="M82" s="1568"/>
      <c r="N82" s="1568"/>
      <c r="O82" s="1568"/>
      <c r="P82" s="1568"/>
      <c r="Q82" s="1568"/>
      <c r="R82" s="1569"/>
      <c r="T82" s="169"/>
    </row>
    <row r="83" spans="1:20" ht="17.25" thickBot="1" x14ac:dyDescent="0.35">
      <c r="A83" s="130"/>
      <c r="B83" s="1570"/>
      <c r="C83" s="1571"/>
      <c r="D83" s="1571"/>
      <c r="E83" s="1571"/>
      <c r="F83" s="1571"/>
      <c r="G83" s="1571"/>
      <c r="H83" s="1571"/>
      <c r="I83" s="1571"/>
      <c r="J83" s="1571"/>
      <c r="K83" s="1571"/>
      <c r="L83" s="1571"/>
      <c r="M83" s="1571"/>
      <c r="N83" s="1571"/>
      <c r="O83" s="1571"/>
      <c r="P83" s="1571"/>
      <c r="Q83" s="1571"/>
      <c r="R83" s="1572"/>
      <c r="T83" s="169"/>
    </row>
    <row r="84" spans="1:20" ht="17.25" thickBot="1" x14ac:dyDescent="0.35">
      <c r="A84" s="130"/>
      <c r="B84" s="130"/>
      <c r="C84" s="130"/>
      <c r="D84" s="130"/>
      <c r="E84" s="130"/>
      <c r="F84" s="130"/>
      <c r="G84" s="130"/>
      <c r="H84" s="130"/>
      <c r="I84" s="130"/>
      <c r="J84" s="130"/>
      <c r="K84" s="130"/>
      <c r="L84" s="130"/>
      <c r="M84" s="130"/>
      <c r="N84" s="130"/>
      <c r="O84" s="130"/>
      <c r="P84" s="130"/>
      <c r="Q84" s="156"/>
      <c r="T84" s="169"/>
    </row>
    <row r="85" spans="1:20" ht="18" thickBot="1" x14ac:dyDescent="0.35">
      <c r="A85" s="130"/>
      <c r="B85" s="1356" t="s">
        <v>157</v>
      </c>
      <c r="C85" s="1357"/>
      <c r="D85" s="1357"/>
      <c r="E85" s="1357"/>
      <c r="F85" s="1357"/>
      <c r="G85" s="1357"/>
      <c r="H85" s="1357"/>
      <c r="I85" s="1357"/>
      <c r="J85" s="1357"/>
      <c r="K85" s="1357"/>
      <c r="L85" s="1357"/>
      <c r="M85" s="1357"/>
      <c r="N85" s="1357"/>
      <c r="O85" s="1357"/>
      <c r="P85" s="1357"/>
      <c r="Q85" s="1357"/>
      <c r="R85" s="1358"/>
      <c r="T85" s="169"/>
    </row>
    <row r="86" spans="1:20" x14ac:dyDescent="0.3">
      <c r="A86" s="130"/>
      <c r="B86" s="1564"/>
      <c r="C86" s="1565"/>
      <c r="D86" s="1565"/>
      <c r="E86" s="1565"/>
      <c r="F86" s="1565"/>
      <c r="G86" s="1565"/>
      <c r="H86" s="1565"/>
      <c r="I86" s="1565"/>
      <c r="J86" s="1565"/>
      <c r="K86" s="1565"/>
      <c r="L86" s="1565"/>
      <c r="M86" s="1565"/>
      <c r="N86" s="1565"/>
      <c r="O86" s="1565"/>
      <c r="P86" s="1565"/>
      <c r="Q86" s="1565"/>
      <c r="R86" s="1566"/>
      <c r="T86" s="169"/>
    </row>
    <row r="87" spans="1:20" x14ac:dyDescent="0.3">
      <c r="A87" s="130"/>
      <c r="B87" s="1567"/>
      <c r="C87" s="1568"/>
      <c r="D87" s="1568"/>
      <c r="E87" s="1568"/>
      <c r="F87" s="1568"/>
      <c r="G87" s="1568"/>
      <c r="H87" s="1568"/>
      <c r="I87" s="1568"/>
      <c r="J87" s="1568"/>
      <c r="K87" s="1568"/>
      <c r="L87" s="1568"/>
      <c r="M87" s="1568"/>
      <c r="N87" s="1568"/>
      <c r="O87" s="1568"/>
      <c r="P87" s="1568"/>
      <c r="Q87" s="1568"/>
      <c r="R87" s="1569"/>
      <c r="T87" s="169"/>
    </row>
    <row r="88" spans="1:20" x14ac:dyDescent="0.3">
      <c r="A88" s="130"/>
      <c r="B88" s="1567"/>
      <c r="C88" s="1568"/>
      <c r="D88" s="1568"/>
      <c r="E88" s="1568"/>
      <c r="F88" s="1568"/>
      <c r="G88" s="1568"/>
      <c r="H88" s="1568"/>
      <c r="I88" s="1568"/>
      <c r="J88" s="1568"/>
      <c r="K88" s="1568"/>
      <c r="L88" s="1568"/>
      <c r="M88" s="1568"/>
      <c r="N88" s="1568"/>
      <c r="O88" s="1568"/>
      <c r="P88" s="1568"/>
      <c r="Q88" s="1568"/>
      <c r="R88" s="1569"/>
      <c r="T88" s="169"/>
    </row>
    <row r="89" spans="1:20" x14ac:dyDescent="0.3">
      <c r="A89" s="130"/>
      <c r="B89" s="1567"/>
      <c r="C89" s="1568"/>
      <c r="D89" s="1568"/>
      <c r="E89" s="1568"/>
      <c r="F89" s="1568"/>
      <c r="G89" s="1568"/>
      <c r="H89" s="1568"/>
      <c r="I89" s="1568"/>
      <c r="J89" s="1568"/>
      <c r="K89" s="1568"/>
      <c r="L89" s="1568"/>
      <c r="M89" s="1568"/>
      <c r="N89" s="1568"/>
      <c r="O89" s="1568"/>
      <c r="P89" s="1568"/>
      <c r="Q89" s="1568"/>
      <c r="R89" s="1569"/>
      <c r="T89" s="169"/>
    </row>
    <row r="90" spans="1:20" ht="17.25" thickBot="1" x14ac:dyDescent="0.35">
      <c r="A90" s="130"/>
      <c r="B90" s="1570"/>
      <c r="C90" s="1571"/>
      <c r="D90" s="1571"/>
      <c r="E90" s="1571"/>
      <c r="F90" s="1571"/>
      <c r="G90" s="1571"/>
      <c r="H90" s="1571"/>
      <c r="I90" s="1571"/>
      <c r="J90" s="1571"/>
      <c r="K90" s="1571"/>
      <c r="L90" s="1571"/>
      <c r="M90" s="1571"/>
      <c r="N90" s="1571"/>
      <c r="O90" s="1571"/>
      <c r="P90" s="1571"/>
      <c r="Q90" s="1571"/>
      <c r="R90" s="1572"/>
      <c r="T90" s="169"/>
    </row>
    <row r="91" spans="1:20" x14ac:dyDescent="0.3">
      <c r="A91" s="130"/>
      <c r="B91" s="130"/>
      <c r="C91" s="130"/>
      <c r="D91" s="130"/>
      <c r="E91" s="130"/>
      <c r="F91" s="130"/>
      <c r="G91" s="130"/>
      <c r="H91" s="130"/>
      <c r="I91" s="130"/>
      <c r="J91" s="130"/>
      <c r="K91" s="130"/>
      <c r="L91" s="130"/>
      <c r="M91" s="130"/>
      <c r="N91" s="130"/>
      <c r="O91" s="130"/>
      <c r="P91" s="130"/>
      <c r="Q91" s="130"/>
      <c r="T91" s="169"/>
    </row>
    <row r="92" spans="1:20" x14ac:dyDescent="0.3">
      <c r="A92" s="169"/>
      <c r="B92" s="169"/>
      <c r="C92" s="169"/>
      <c r="D92" s="169"/>
      <c r="E92" s="169"/>
      <c r="F92" s="169"/>
      <c r="G92" s="169"/>
      <c r="H92" s="169"/>
      <c r="I92" s="169"/>
      <c r="J92" s="169"/>
      <c r="K92" s="169"/>
      <c r="L92" s="169"/>
      <c r="M92" s="169"/>
      <c r="N92" s="169"/>
      <c r="O92" s="169"/>
      <c r="P92" s="169"/>
      <c r="Q92" s="169"/>
      <c r="R92" s="169"/>
      <c r="S92" s="169"/>
      <c r="T92" s="169"/>
    </row>
  </sheetData>
  <sheetProtection algorithmName="SHA-512" hashValue="czc/lcHdrCH6iGw01lySfQ/sJ+jseiW9qYXb2433LDAzGva92sP6gJgRd3V9xrWgn9xte5hOeCYL1b0vX3eisA==" saltValue="bAnvYOre2Z6cjHdL416WIw==" spinCount="100000" sheet="1" selectLockedCells="1"/>
  <protectedRanges>
    <protectedRange sqref="B32:R71" name="Range1"/>
  </protectedRanges>
  <mergeCells count="16">
    <mergeCell ref="B86:R90"/>
    <mergeCell ref="B80:R83"/>
    <mergeCell ref="B74:R77"/>
    <mergeCell ref="O30:O31"/>
    <mergeCell ref="B2:C2"/>
    <mergeCell ref="R30:R31"/>
    <mergeCell ref="Q30:Q31"/>
    <mergeCell ref="P30:P31"/>
    <mergeCell ref="B30:B31"/>
    <mergeCell ref="C30:C31"/>
    <mergeCell ref="D30:D31"/>
    <mergeCell ref="E30:E31"/>
    <mergeCell ref="F30:F31"/>
    <mergeCell ref="G31:H31"/>
    <mergeCell ref="G30:K30"/>
    <mergeCell ref="L30:N31"/>
  </mergeCells>
  <phoneticPr fontId="28" type="noConversion"/>
  <conditionalFormatting sqref="I32:I71">
    <cfRule type="expression" dxfId="3" priority="3">
      <formula>$B32="Other"</formula>
    </cfRule>
  </conditionalFormatting>
  <conditionalFormatting sqref="J32:J71">
    <cfRule type="expression" dxfId="2" priority="2">
      <formula>$B32&lt;&gt;"Other"</formula>
    </cfRule>
  </conditionalFormatting>
  <hyperlinks>
    <hyperlink ref="E4" location="Instructions!C33" display="Back to Instructions tab" xr:uid="{00000000-0004-0000-05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BFDD20-CBC2-4DCE-8B2D-692240692262}">
          <x14:formula1>
            <xm:f>'Drop-Downs and Tables'!$B$246:$B$265</xm:f>
          </x14:formula1>
          <xm:sqref>B32:B71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X101"/>
  <sheetViews>
    <sheetView showGridLines="0" zoomScale="80" zoomScaleNormal="80" workbookViewId="0">
      <selection activeCell="D15" sqref="D15"/>
    </sheetView>
  </sheetViews>
  <sheetFormatPr defaultColWidth="9" defaultRowHeight="16.5" x14ac:dyDescent="0.3"/>
  <cols>
    <col min="1" max="1" width="3.625" style="130" customWidth="1"/>
    <col min="2" max="2" width="43.125" style="130" customWidth="1"/>
    <col min="3" max="4" width="30.125" style="130" customWidth="1"/>
    <col min="5" max="5" width="23" style="130" customWidth="1"/>
    <col min="6" max="7" width="12.375" style="130" customWidth="1"/>
    <col min="8" max="8" width="18.125" style="130" customWidth="1"/>
    <col min="9" max="16" width="12.375" style="130" customWidth="1"/>
    <col min="17" max="17" width="3.875" style="130" customWidth="1"/>
    <col min="18" max="16384" width="9" style="130"/>
  </cols>
  <sheetData>
    <row r="1" spans="2:24" ht="17.25" thickBot="1" x14ac:dyDescent="0.35">
      <c r="Q1" s="152"/>
    </row>
    <row r="2" spans="2:24" ht="18" thickBot="1" x14ac:dyDescent="0.35">
      <c r="B2" s="1537" t="s">
        <v>228</v>
      </c>
      <c r="C2" s="1538"/>
      <c r="D2" s="231"/>
      <c r="E2" s="231"/>
      <c r="Q2" s="152"/>
    </row>
    <row r="3" spans="2:24" x14ac:dyDescent="0.3">
      <c r="B3" s="237" t="s">
        <v>229</v>
      </c>
      <c r="C3" s="222" t="str">
        <f>'Version Control'!C3</f>
        <v>Consumer Boiler</v>
      </c>
      <c r="D3" s="235"/>
      <c r="E3" s="235"/>
      <c r="Q3" s="152"/>
    </row>
    <row r="4" spans="2:24" ht="18" x14ac:dyDescent="0.3">
      <c r="B4" s="238" t="s">
        <v>117</v>
      </c>
      <c r="C4" s="224" t="str">
        <f>'Version Control'!C4</f>
        <v>v2.1</v>
      </c>
      <c r="D4" s="171"/>
      <c r="E4" s="76" t="s">
        <v>124</v>
      </c>
      <c r="Q4" s="152"/>
    </row>
    <row r="5" spans="2:24" x14ac:dyDescent="0.3">
      <c r="B5" s="238" t="s">
        <v>118</v>
      </c>
      <c r="C5" s="225">
        <f>'Version Control'!C5</f>
        <v>45407</v>
      </c>
      <c r="D5" s="171"/>
      <c r="E5" s="171"/>
      <c r="Q5" s="152"/>
    </row>
    <row r="6" spans="2:24" x14ac:dyDescent="0.3">
      <c r="B6" s="239" t="s">
        <v>116</v>
      </c>
      <c r="C6" s="227" t="str">
        <f ca="1">MID(CELL("filename",A1), FIND("]", CELL("filename", A1))+ 1, 255)</f>
        <v>Test Conditions</v>
      </c>
      <c r="D6" s="171"/>
      <c r="E6" s="171"/>
      <c r="Q6" s="152"/>
    </row>
    <row r="7" spans="2:24" x14ac:dyDescent="0.3">
      <c r="B7" s="228" t="s">
        <v>115</v>
      </c>
      <c r="C7" s="214" t="str">
        <f ca="1">'Version Control'!C7</f>
        <v>Consumer Boiler - v2.1.xlsx</v>
      </c>
      <c r="D7" s="171"/>
      <c r="E7" s="171"/>
      <c r="Q7" s="152"/>
    </row>
    <row r="8" spans="2:24" ht="17.25" thickBot="1" x14ac:dyDescent="0.35">
      <c r="B8" s="240" t="s">
        <v>119</v>
      </c>
      <c r="C8" s="230" t="str">
        <f>'Version Control'!C8</f>
        <v>[MM/DD/YYYY]</v>
      </c>
      <c r="D8" s="156"/>
      <c r="E8" s="156"/>
      <c r="Q8" s="152"/>
    </row>
    <row r="9" spans="2:24" x14ac:dyDescent="0.3">
      <c r="B9" s="153"/>
      <c r="F9" s="129"/>
      <c r="G9" s="129"/>
      <c r="H9" s="129"/>
      <c r="I9" s="129"/>
      <c r="J9" s="129"/>
      <c r="K9" s="129"/>
      <c r="L9" s="129"/>
      <c r="M9" s="129"/>
      <c r="N9" s="129"/>
      <c r="O9" s="129"/>
      <c r="P9" s="129"/>
      <c r="Q9" s="154"/>
      <c r="R9" s="155"/>
      <c r="S9" s="155"/>
      <c r="T9" s="155"/>
    </row>
    <row r="10" spans="2:24" ht="17.25" thickBot="1" x14ac:dyDescent="0.35">
      <c r="B10" s="153"/>
      <c r="F10" s="129"/>
      <c r="G10" s="129"/>
      <c r="H10" s="129"/>
      <c r="I10" s="129"/>
      <c r="J10" s="129"/>
      <c r="K10" s="129"/>
      <c r="L10" s="129"/>
      <c r="M10" s="129"/>
      <c r="N10" s="129"/>
      <c r="O10" s="129"/>
      <c r="P10" s="129"/>
      <c r="Q10" s="154"/>
      <c r="R10" s="155"/>
      <c r="S10" s="155"/>
      <c r="T10" s="155"/>
    </row>
    <row r="11" spans="2:24" ht="18" thickBot="1" x14ac:dyDescent="0.35">
      <c r="B11" s="476" t="s">
        <v>548</v>
      </c>
      <c r="C11" s="477"/>
      <c r="D11" s="477"/>
      <c r="E11" s="477"/>
      <c r="F11" s="477"/>
      <c r="G11" s="477"/>
      <c r="H11" s="478"/>
      <c r="I11" s="129"/>
      <c r="J11" s="129"/>
      <c r="K11" s="129"/>
      <c r="L11" s="129"/>
      <c r="M11" s="129"/>
      <c r="N11" s="129"/>
      <c r="O11" s="129"/>
      <c r="P11" s="129"/>
      <c r="Q11" s="152"/>
    </row>
    <row r="12" spans="2:24" ht="100.5" customHeight="1" x14ac:dyDescent="0.3">
      <c r="B12" s="1608" t="s">
        <v>1263</v>
      </c>
      <c r="C12" s="1609"/>
      <c r="D12" s="1609"/>
      <c r="E12" s="1609"/>
      <c r="F12" s="1609"/>
      <c r="G12" s="1609"/>
      <c r="H12" s="1610"/>
      <c r="I12" s="129"/>
      <c r="J12" s="129"/>
      <c r="K12" s="129"/>
      <c r="L12" s="129"/>
      <c r="M12" s="129"/>
      <c r="N12" s="129"/>
      <c r="O12" s="129"/>
      <c r="P12" s="129"/>
      <c r="Q12" s="152"/>
    </row>
    <row r="13" spans="2:24" ht="17.25" x14ac:dyDescent="0.35">
      <c r="B13" s="1605" t="s">
        <v>52</v>
      </c>
      <c r="C13" s="1604"/>
      <c r="D13" s="1604" t="s">
        <v>870</v>
      </c>
      <c r="E13" s="1632" t="s">
        <v>838</v>
      </c>
      <c r="F13" s="1632"/>
      <c r="G13" s="1604" t="s">
        <v>35</v>
      </c>
      <c r="H13" s="1603" t="s">
        <v>837</v>
      </c>
      <c r="I13" s="129"/>
      <c r="J13" s="129"/>
      <c r="K13" s="129"/>
      <c r="L13" s="129"/>
      <c r="M13" s="129"/>
      <c r="N13" s="129"/>
      <c r="O13" s="129"/>
      <c r="P13" s="129"/>
      <c r="Q13" s="152"/>
    </row>
    <row r="14" spans="2:24" ht="17.25" x14ac:dyDescent="0.35">
      <c r="B14" s="1605"/>
      <c r="C14" s="1604"/>
      <c r="D14" s="1604"/>
      <c r="E14" s="937" t="s">
        <v>256</v>
      </c>
      <c r="F14" s="937" t="s">
        <v>257</v>
      </c>
      <c r="G14" s="1604"/>
      <c r="H14" s="1603"/>
      <c r="I14" s="129"/>
      <c r="J14" s="129"/>
      <c r="K14" s="129"/>
      <c r="L14" s="129"/>
      <c r="M14" s="129"/>
      <c r="N14" s="129"/>
      <c r="O14" s="129"/>
      <c r="P14" s="129"/>
      <c r="Q14" s="152"/>
      <c r="R14" s="1002"/>
      <c r="S14" s="1002"/>
      <c r="T14" s="1002"/>
      <c r="U14" s="936"/>
      <c r="V14" s="936"/>
      <c r="W14" s="1002"/>
      <c r="X14" s="1003"/>
    </row>
    <row r="15" spans="2:24" ht="17.25" x14ac:dyDescent="0.35">
      <c r="B15" s="1630" t="s">
        <v>886</v>
      </c>
      <c r="C15" s="1631"/>
      <c r="D15" s="1179"/>
      <c r="E15" s="96" t="str">
        <f>IF('Sys. # &amp; Product Characteristic'!Energy_Source&lt;&gt;"Gas","N/A",
INDEX('Drop-Downs and Tables'!$E$102:$E$105,MATCH('Sys. # &amp; Product Characteristic'!Heating_Fuel_Used,'Drop-Downs and Tables'!$B$102:$B$105,0)))</f>
        <v>N/A</v>
      </c>
      <c r="F15" s="938" t="str">
        <f>IF('Sys. # &amp; Product Characteristic'!Energy_Source&lt;&gt;"Gas","N/A",
INDEX('Drop-Downs and Tables'!$F$102:$F$105,MATCH('Sys. # &amp; Product Characteristic'!Heating_Fuel_Used,'Drop-Downs and Tables'!$B$102:$B$105,0)))</f>
        <v>N/A</v>
      </c>
      <c r="G15" s="1126" t="s">
        <v>887</v>
      </c>
      <c r="H15" s="1007" t="str">
        <f>IF('Sys. # &amp; Product Characteristic'!Heating_Fuel_Used="","Select Fuel Type",
IF('Sys. # &amp; Product Characteristic'!Energy_Source&lt;&gt;"Gas","N/A",
IF(AND(D15&gt;=E15,D15&lt;=F15),"Yes","No")))</f>
        <v>N/A</v>
      </c>
      <c r="I15" s="129"/>
      <c r="J15" s="129"/>
      <c r="K15" s="129"/>
      <c r="L15" s="129"/>
      <c r="M15" s="129"/>
      <c r="N15" s="129"/>
      <c r="O15" s="129"/>
      <c r="P15" s="129"/>
      <c r="Q15" s="152"/>
      <c r="R15" s="1002"/>
      <c r="S15" s="1002"/>
      <c r="T15" s="1002"/>
      <c r="U15" s="936"/>
      <c r="V15" s="936"/>
      <c r="W15" s="1002"/>
      <c r="X15" s="1003"/>
    </row>
    <row r="16" spans="2:24" ht="17.25" x14ac:dyDescent="0.35">
      <c r="B16" s="1598" t="str">
        <f>"Test Pressure Range - Reduced Test" &amp; IF('Sys. # &amp; Product Characteristic'!C48="No"," - NOT REQUIRED FOR THIS TEST","")</f>
        <v>Test Pressure Range - Reduced Test</v>
      </c>
      <c r="C16" s="1599"/>
      <c r="D16" s="1180"/>
      <c r="E16" s="96" t="str">
        <f>IF(OR('Sys. # &amp; Product Characteristic'!Energy_Source&lt;&gt;"Gas",'Sys. # &amp; Product Characteristic'!Reduced_Test?="No"),"N/A",
INDEX('Drop-Downs and Tables'!$E$102:$E$105,MATCH('Sys. # &amp; Product Characteristic'!Heating_Fuel_Used,'Drop-Downs and Tables'!$B$102:$B$105,0)))</f>
        <v>N/A</v>
      </c>
      <c r="F16" s="938" t="str">
        <f>IF(OR('Sys. # &amp; Product Characteristic'!Energy_Source&lt;&gt;"Gas",'Sys. # &amp; Product Characteristic'!Reduced_Test?="No"),"N/A",
INDEX('Drop-Downs and Tables'!$F$102:$F$105,MATCH('Sys. # &amp; Product Characteristic'!Heating_Fuel_Used,'Drop-Downs and Tables'!$B$102:$B$105,0)))</f>
        <v>N/A</v>
      </c>
      <c r="G16" s="1128" t="s">
        <v>887</v>
      </c>
      <c r="H16" s="1007" t="str">
        <f>IF('Sys. # &amp; Product Characteristic'!Heating_Fuel_Used="","Select Fuel Type",
IF(OR('Sys. # &amp; Product Characteristic'!Energy_Source&lt;&gt;"Gas",'Sys. # &amp; Product Characteristic'!Reduced_Test?="No"),"N/A",
IF(AND(D16&gt;=E16,D16&lt;=F16),"Yes","No")))</f>
        <v>N/A</v>
      </c>
      <c r="I16" s="129"/>
      <c r="J16" s="129"/>
      <c r="K16" s="129"/>
      <c r="L16" s="129"/>
      <c r="M16" s="129"/>
      <c r="N16" s="129"/>
      <c r="O16" s="129"/>
      <c r="P16" s="129"/>
      <c r="Q16" s="152"/>
      <c r="R16" s="1002"/>
      <c r="S16" s="1002"/>
      <c r="T16" s="1002"/>
      <c r="U16" s="936"/>
      <c r="V16" s="936"/>
      <c r="W16" s="1002"/>
      <c r="X16" s="1003"/>
    </row>
    <row r="17" spans="2:17" ht="18" x14ac:dyDescent="0.3">
      <c r="B17" s="1594" t="s">
        <v>884</v>
      </c>
      <c r="C17" s="1595"/>
      <c r="D17" s="1181"/>
      <c r="E17" s="1001" t="str">
        <f>IF('Sys. # &amp; Product Characteristic'!Energy_Source&lt;&gt;"Gas","N/A",
INDEX('Drop-Downs and Tables'!$C$102:$C$105,MATCH('Sys. # &amp; Product Characteristic'!Heating_Fuel_Used,'Drop-Downs and Tables'!$B$102:$B$105,0))*0.95)</f>
        <v>N/A</v>
      </c>
      <c r="F17" s="1001" t="str">
        <f>IF('Sys. # &amp; Product Characteristic'!Energy_Source&lt;&gt;"Gas","N/A",
INDEX('Drop-Downs and Tables'!$C$102:$C$105,MATCH('Sys. # &amp; Product Characteristic'!Heating_Fuel_Used,'Drop-Downs and Tables'!$B$102:$B$105,0))*1.05)</f>
        <v>N/A</v>
      </c>
      <c r="G17" s="1129" t="s">
        <v>883</v>
      </c>
      <c r="H17" s="1007" t="str">
        <f>IF('Sys. # &amp; Product Characteristic'!Heating_Fuel_Used="","Select Fuel Type",
IF('Sys. # &amp; Product Characteristic'!Energy_Source&lt;&gt;"Gas","N/A",
IF(AND(D17&gt;=E17,D17&lt;=F17),"Yes","No")))</f>
        <v>N/A</v>
      </c>
      <c r="I17" s="129"/>
      <c r="J17" s="129"/>
      <c r="K17" s="129"/>
      <c r="L17" s="129"/>
      <c r="M17" s="129"/>
      <c r="N17" s="129"/>
      <c r="O17" s="129"/>
      <c r="P17" s="129"/>
      <c r="Q17" s="152"/>
    </row>
    <row r="18" spans="2:17" ht="17.25" thickBot="1" x14ac:dyDescent="0.35">
      <c r="B18" s="1596" t="s">
        <v>885</v>
      </c>
      <c r="C18" s="1597"/>
      <c r="D18" s="1182"/>
      <c r="E18" s="1606" t="str">
        <f>IF('Sys. # &amp; Product Characteristic'!Energy_Source&lt;&gt;"Gas","N/A",
INDEX('Drop-Downs and Tables'!D102:D105,MATCH('Sys. # &amp; Product Characteristic'!Heating_Fuel_Used,'Drop-Downs and Tables'!B102:B105,0)))</f>
        <v>N/A</v>
      </c>
      <c r="F18" s="1607"/>
      <c r="G18" s="1127" t="s">
        <v>175</v>
      </c>
      <c r="H18" s="1156"/>
      <c r="I18" s="129"/>
      <c r="J18" s="129"/>
      <c r="K18" s="129"/>
      <c r="L18" s="129"/>
      <c r="M18" s="129"/>
      <c r="N18" s="129"/>
      <c r="O18" s="129"/>
      <c r="P18" s="129"/>
      <c r="Q18" s="152"/>
    </row>
    <row r="19" spans="2:17" ht="17.25" thickBot="1" x14ac:dyDescent="0.35">
      <c r="B19" s="458"/>
      <c r="C19" s="1004"/>
      <c r="D19" s="1005"/>
      <c r="E19" s="254"/>
      <c r="F19" s="485"/>
      <c r="G19" s="485"/>
      <c r="H19" s="954"/>
      <c r="I19" s="129"/>
      <c r="J19" s="129"/>
      <c r="K19" s="129"/>
      <c r="L19" s="129"/>
      <c r="M19" s="129"/>
      <c r="N19" s="129"/>
      <c r="O19" s="129"/>
      <c r="P19" s="129"/>
      <c r="Q19" s="152"/>
    </row>
    <row r="20" spans="2:17" ht="122.25" customHeight="1" x14ac:dyDescent="0.3">
      <c r="B20" s="1611" t="s">
        <v>1264</v>
      </c>
      <c r="C20" s="1612"/>
      <c r="D20" s="1612"/>
      <c r="E20" s="1612"/>
      <c r="F20" s="1612"/>
      <c r="G20" s="1612"/>
      <c r="H20" s="1613"/>
      <c r="I20" s="129"/>
      <c r="J20" s="129"/>
      <c r="K20" s="129"/>
      <c r="L20" s="129"/>
      <c r="M20" s="129"/>
      <c r="N20" s="129"/>
      <c r="O20" s="129"/>
      <c r="P20" s="129"/>
      <c r="Q20" s="152"/>
    </row>
    <row r="21" spans="2:17" ht="128.1" customHeight="1" x14ac:dyDescent="0.3">
      <c r="B21" s="1625" t="s">
        <v>1265</v>
      </c>
      <c r="C21" s="1626"/>
      <c r="D21" s="1626"/>
      <c r="E21" s="1626"/>
      <c r="F21" s="1626"/>
      <c r="G21" s="1626"/>
      <c r="H21" s="1627"/>
      <c r="I21" s="129"/>
      <c r="J21" s="129"/>
      <c r="K21" s="129"/>
      <c r="L21" s="129"/>
      <c r="M21" s="129"/>
      <c r="N21" s="129"/>
      <c r="O21" s="129"/>
      <c r="P21" s="129"/>
      <c r="Q21" s="152"/>
    </row>
    <row r="22" spans="2:17" ht="104.25" customHeight="1" x14ac:dyDescent="0.3">
      <c r="B22" s="1625" t="s">
        <v>1266</v>
      </c>
      <c r="C22" s="1628"/>
      <c r="D22" s="1628"/>
      <c r="E22" s="1628"/>
      <c r="F22" s="1628"/>
      <c r="G22" s="1628"/>
      <c r="H22" s="1629"/>
      <c r="I22" s="129"/>
      <c r="J22" s="129"/>
      <c r="K22" s="129"/>
      <c r="L22" s="129"/>
      <c r="M22" s="129"/>
      <c r="N22" s="129"/>
      <c r="O22" s="129"/>
      <c r="P22" s="129"/>
      <c r="Q22" s="152"/>
    </row>
    <row r="23" spans="2:17" x14ac:dyDescent="0.3">
      <c r="B23" s="458"/>
      <c r="C23" s="1004"/>
      <c r="D23" s="1005"/>
      <c r="E23" s="254"/>
      <c r="F23" s="485"/>
      <c r="G23" s="485"/>
      <c r="H23" s="954"/>
      <c r="I23" s="129"/>
      <c r="J23" s="129"/>
      <c r="K23" s="129"/>
      <c r="L23" s="129"/>
      <c r="M23" s="129"/>
      <c r="N23" s="129"/>
      <c r="O23" s="129"/>
      <c r="P23" s="129"/>
      <c r="Q23" s="152"/>
    </row>
    <row r="24" spans="2:17" ht="17.25" x14ac:dyDescent="0.3">
      <c r="B24" s="1008"/>
      <c r="C24" s="1006" t="s">
        <v>159</v>
      </c>
      <c r="D24" s="1006" t="s">
        <v>126</v>
      </c>
      <c r="E24" s="254"/>
      <c r="F24" s="485"/>
      <c r="G24" s="485"/>
      <c r="H24" s="954"/>
      <c r="I24" s="129"/>
      <c r="J24" s="129"/>
      <c r="K24" s="129"/>
      <c r="L24" s="129"/>
      <c r="M24" s="129"/>
      <c r="N24" s="129"/>
      <c r="O24" s="129"/>
      <c r="P24" s="129"/>
      <c r="Q24" s="152"/>
    </row>
    <row r="25" spans="2:17" x14ac:dyDescent="0.3">
      <c r="B25" s="252" t="s">
        <v>173</v>
      </c>
      <c r="C25" s="96" t="str">
        <f>IF('General Info &amp; Test Results'!Nameplate_Maximum_Input="","",'General Info &amp; Test Results'!Nameplate_Maximum_Input)</f>
        <v/>
      </c>
      <c r="D25" s="118" t="str">
        <f>IF('General Info &amp; Test Results'!Nameplate_Reduced_Input="","",'General Info &amp; Test Results'!Nameplate_Reduced_Input)</f>
        <v/>
      </c>
      <c r="E25" s="254"/>
      <c r="F25" s="485"/>
      <c r="G25" s="485"/>
      <c r="H25" s="954"/>
      <c r="I25" s="129"/>
      <c r="J25" s="129"/>
      <c r="K25" s="129"/>
      <c r="L25" s="129"/>
      <c r="M25" s="129"/>
      <c r="N25" s="129"/>
      <c r="O25" s="129"/>
      <c r="P25" s="129"/>
      <c r="Q25" s="152"/>
    </row>
    <row r="26" spans="2:17" x14ac:dyDescent="0.3">
      <c r="B26" s="252" t="s">
        <v>174</v>
      </c>
      <c r="C26" s="1179"/>
      <c r="D26" s="1183"/>
      <c r="E26" s="254"/>
      <c r="F26" s="485"/>
      <c r="G26" s="485"/>
      <c r="H26" s="954"/>
      <c r="I26" s="129"/>
      <c r="J26" s="129"/>
      <c r="K26" s="129"/>
      <c r="L26" s="129"/>
      <c r="M26" s="129"/>
      <c r="N26" s="129"/>
      <c r="O26" s="129"/>
      <c r="P26" s="129"/>
      <c r="Q26" s="152"/>
    </row>
    <row r="27" spans="2:17" x14ac:dyDescent="0.3">
      <c r="B27" s="252" t="s">
        <v>85</v>
      </c>
      <c r="C27" s="479" t="str">
        <f>IF(Measured_Rate_Max_Test="","",IF(ABS(Nameplate_Rate_Max_Test-Measured_Rate_Max_Test)/Nameplate_Rate_Max_Test&lt;=0.02,"Yes","No"))</f>
        <v/>
      </c>
      <c r="D27" s="479" t="str">
        <f>IF(Measured_Rate_Reduced_Test="","",IF(ABS(Nameplate_Rate_Reduced_Test-Measured_Rate_Reduced_Test)/Nameplate_Rate_Reduced_Test&lt;=0.02,"Yes","No"))</f>
        <v/>
      </c>
      <c r="E27" s="254"/>
      <c r="F27" s="485"/>
      <c r="G27" s="485"/>
      <c r="H27" s="954"/>
      <c r="I27" s="129"/>
      <c r="J27" s="129"/>
      <c r="K27" s="129"/>
      <c r="L27" s="129"/>
      <c r="M27" s="129"/>
      <c r="N27" s="129"/>
      <c r="O27" s="129"/>
      <c r="P27" s="129"/>
      <c r="Q27" s="152"/>
    </row>
    <row r="28" spans="2:17" x14ac:dyDescent="0.3">
      <c r="B28" s="252" t="str">
        <f>IF(ISERROR(FIND("Oil",'Sys. # &amp; Product Characteristic'!Heating_Fuel_Used)),"Not Used","Manufacturer Recommended CO2 Reading")</f>
        <v>Manufacturer Recommended CO2 Reading</v>
      </c>
      <c r="C28" s="98"/>
      <c r="D28" s="98"/>
      <c r="E28" s="254"/>
      <c r="F28" s="485"/>
      <c r="G28" s="485"/>
      <c r="H28" s="954"/>
      <c r="I28" s="129"/>
      <c r="J28" s="129"/>
      <c r="K28" s="129"/>
      <c r="L28" s="129"/>
      <c r="M28" s="129"/>
      <c r="N28" s="129"/>
      <c r="O28" s="129"/>
      <c r="P28" s="129"/>
      <c r="Q28" s="152"/>
    </row>
    <row r="29" spans="2:17" x14ac:dyDescent="0.3">
      <c r="B29" s="252" t="str">
        <f>IF(B28="Not Used","Not Used","Tested CO2 Reading")</f>
        <v>Tested CO2 Reading</v>
      </c>
      <c r="C29" s="98"/>
      <c r="D29" s="107"/>
      <c r="E29" s="254"/>
      <c r="F29" s="485"/>
      <c r="G29" s="485"/>
      <c r="H29" s="954"/>
      <c r="I29" s="129"/>
      <c r="J29" s="129"/>
      <c r="K29" s="129"/>
      <c r="L29" s="129"/>
      <c r="M29" s="129"/>
      <c r="N29" s="129"/>
      <c r="O29" s="129"/>
      <c r="P29" s="129"/>
      <c r="Q29" s="152"/>
    </row>
    <row r="30" spans="2:17" ht="17.25" thickBot="1" x14ac:dyDescent="0.35">
      <c r="B30" s="267" t="str">
        <f>IF(B28="Not Used","Not Used","Smoke in flue does not exceed No. 1 Smoke?")</f>
        <v>Smoke in flue does not exceed No. 1 Smoke?</v>
      </c>
      <c r="C30" s="481"/>
      <c r="D30" s="481"/>
      <c r="E30" s="1009"/>
      <c r="F30" s="968"/>
      <c r="G30" s="968"/>
      <c r="H30" s="969"/>
      <c r="I30" s="129"/>
      <c r="J30" s="129"/>
      <c r="K30" s="129"/>
      <c r="L30" s="129"/>
      <c r="M30" s="129"/>
      <c r="N30" s="129"/>
      <c r="O30" s="129"/>
      <c r="P30" s="129"/>
      <c r="Q30" s="152"/>
    </row>
    <row r="31" spans="2:17" x14ac:dyDescent="0.3">
      <c r="B31" s="254"/>
      <c r="C31" s="255"/>
      <c r="D31" s="256"/>
      <c r="E31" s="254"/>
      <c r="F31" s="129"/>
      <c r="G31" s="129"/>
      <c r="H31" s="129"/>
      <c r="I31" s="129"/>
      <c r="J31" s="129"/>
      <c r="K31" s="129"/>
      <c r="L31" s="129"/>
      <c r="M31" s="129"/>
      <c r="N31" s="129"/>
      <c r="O31" s="129"/>
      <c r="P31" s="129"/>
      <c r="Q31" s="152"/>
    </row>
    <row r="32" spans="2:17" ht="17.25" thickBot="1" x14ac:dyDescent="0.35">
      <c r="B32" s="254"/>
      <c r="C32" s="255"/>
      <c r="D32" s="256"/>
      <c r="E32" s="254"/>
      <c r="F32" s="129"/>
      <c r="G32" s="129"/>
      <c r="H32" s="129"/>
      <c r="I32" s="129"/>
      <c r="J32" s="129"/>
      <c r="K32" s="129"/>
      <c r="L32" s="129"/>
      <c r="M32" s="129"/>
      <c r="N32" s="129"/>
      <c r="O32" s="129"/>
      <c r="P32" s="129"/>
      <c r="Q32" s="152"/>
    </row>
    <row r="33" spans="2:19" ht="18" thickBot="1" x14ac:dyDescent="0.35">
      <c r="B33" s="257" t="s">
        <v>549</v>
      </c>
      <c r="C33" s="259"/>
      <c r="D33" s="259"/>
      <c r="E33" s="259"/>
      <c r="F33" s="259"/>
      <c r="G33" s="259"/>
      <c r="H33" s="258"/>
      <c r="I33" s="129"/>
      <c r="J33" s="129"/>
      <c r="K33" s="129"/>
      <c r="L33" s="129"/>
      <c r="M33" s="129"/>
      <c r="N33" s="129"/>
      <c r="O33" s="129"/>
      <c r="P33" s="129"/>
      <c r="Q33" s="152"/>
    </row>
    <row r="34" spans="2:19" ht="54" customHeight="1" x14ac:dyDescent="0.3">
      <c r="B34" s="1600" t="s">
        <v>1098</v>
      </c>
      <c r="C34" s="1601"/>
      <c r="D34" s="1601"/>
      <c r="E34" s="1601"/>
      <c r="F34" s="1601"/>
      <c r="G34" s="1601"/>
      <c r="H34" s="1602"/>
      <c r="I34" s="129"/>
      <c r="J34" s="129"/>
      <c r="K34" s="129"/>
      <c r="L34" s="129"/>
      <c r="M34" s="129"/>
      <c r="N34" s="129"/>
      <c r="O34" s="129"/>
      <c r="P34" s="129"/>
      <c r="Q34" s="152"/>
    </row>
    <row r="35" spans="2:19" ht="17.25" x14ac:dyDescent="0.35">
      <c r="B35" s="556"/>
      <c r="C35" s="557"/>
      <c r="D35" s="253" t="s">
        <v>34</v>
      </c>
      <c r="E35" s="1018" t="s">
        <v>136</v>
      </c>
      <c r="F35" s="485"/>
      <c r="G35" s="485"/>
      <c r="H35" s="954"/>
      <c r="I35" s="129"/>
      <c r="J35" s="129"/>
      <c r="K35" s="129"/>
      <c r="L35" s="129"/>
      <c r="M35" s="129"/>
      <c r="N35" s="129"/>
      <c r="O35" s="129"/>
      <c r="P35" s="129"/>
      <c r="Q35" s="152"/>
    </row>
    <row r="36" spans="2:19" x14ac:dyDescent="0.3">
      <c r="B36" s="1592" t="s">
        <v>576</v>
      </c>
      <c r="C36" s="1593"/>
      <c r="D36" s="97" t="str">
        <f>IF(Nameplate_Voltage="","",Nameplate_Voltage)</f>
        <v/>
      </c>
      <c r="E36" s="1017" t="s">
        <v>575</v>
      </c>
      <c r="F36" s="485"/>
      <c r="G36" s="485"/>
      <c r="H36" s="954"/>
      <c r="I36" s="129"/>
      <c r="J36" s="129"/>
      <c r="K36" s="129"/>
      <c r="L36" s="129"/>
      <c r="M36" s="129"/>
      <c r="N36" s="129"/>
      <c r="O36" s="129"/>
      <c r="P36" s="129"/>
      <c r="Q36" s="152"/>
    </row>
    <row r="37" spans="2:19" x14ac:dyDescent="0.3">
      <c r="B37" s="1590" t="s">
        <v>577</v>
      </c>
      <c r="C37" s="1591"/>
      <c r="D37" s="1184"/>
      <c r="E37" s="1017" t="s">
        <v>575</v>
      </c>
      <c r="F37" s="485"/>
      <c r="G37" s="485"/>
      <c r="H37" s="954"/>
      <c r="I37" s="129"/>
      <c r="J37" s="129"/>
      <c r="K37" s="129"/>
      <c r="L37" s="129"/>
      <c r="M37" s="129"/>
      <c r="N37" s="129"/>
      <c r="O37" s="129"/>
      <c r="P37" s="129"/>
      <c r="Q37" s="152"/>
    </row>
    <row r="38" spans="2:19" x14ac:dyDescent="0.3">
      <c r="B38" s="1588" t="s">
        <v>578</v>
      </c>
      <c r="C38" s="1589"/>
      <c r="D38" s="1184"/>
      <c r="E38" s="1017" t="s">
        <v>575</v>
      </c>
      <c r="F38" s="485"/>
      <c r="G38" s="485"/>
      <c r="H38" s="954"/>
      <c r="I38" s="129"/>
      <c r="J38" s="129"/>
      <c r="K38" s="129"/>
      <c r="L38" s="129"/>
      <c r="M38" s="129"/>
      <c r="N38" s="129"/>
      <c r="O38" s="129"/>
      <c r="P38" s="129"/>
      <c r="Q38" s="152"/>
    </row>
    <row r="39" spans="2:19" ht="17.25" thickBot="1" x14ac:dyDescent="0.35">
      <c r="B39" s="1586" t="s">
        <v>85</v>
      </c>
      <c r="C39" s="1587"/>
      <c r="D39" s="475" t="str">
        <f>IF(Nameplate_Voltage="","No",IF(OR(D37="",D38=""),"",IF(AND(ABS(D36-D37)/D36&lt;=0.01,ABS(D36-D38)/D36&lt;=0.01),"Yes","No")))</f>
        <v>No</v>
      </c>
      <c r="E39" s="991" t="s">
        <v>175</v>
      </c>
      <c r="F39" s="968"/>
      <c r="G39" s="968"/>
      <c r="H39" s="969"/>
      <c r="I39" s="129"/>
      <c r="J39" s="129"/>
      <c r="K39" s="129"/>
      <c r="L39" s="129"/>
      <c r="M39" s="129"/>
      <c r="N39" s="129"/>
      <c r="O39" s="129"/>
      <c r="P39" s="129"/>
      <c r="Q39" s="152"/>
    </row>
    <row r="40" spans="2:19" x14ac:dyDescent="0.3">
      <c r="B40" s="254"/>
      <c r="C40" s="435"/>
      <c r="D40" s="256"/>
      <c r="E40" s="254"/>
      <c r="F40" s="129"/>
      <c r="G40" s="129"/>
      <c r="H40" s="129"/>
      <c r="I40" s="129"/>
      <c r="J40" s="129"/>
      <c r="K40" s="129"/>
      <c r="L40" s="129"/>
      <c r="M40" s="129"/>
      <c r="N40" s="129"/>
      <c r="O40" s="129"/>
      <c r="P40" s="129"/>
      <c r="Q40" s="152"/>
    </row>
    <row r="41" spans="2:19" s="129" customFormat="1" ht="17.25" thickBot="1" x14ac:dyDescent="0.35">
      <c r="B41" s="254"/>
      <c r="C41" s="255"/>
      <c r="D41" s="255"/>
      <c r="E41" s="255"/>
      <c r="Q41" s="152"/>
    </row>
    <row r="42" spans="2:19" s="129" customFormat="1" ht="18" thickBot="1" x14ac:dyDescent="0.35">
      <c r="B42" s="257" t="s">
        <v>550</v>
      </c>
      <c r="C42" s="259"/>
      <c r="D42" s="259"/>
      <c r="E42" s="259"/>
      <c r="F42" s="259"/>
      <c r="G42" s="259"/>
      <c r="H42" s="258"/>
      <c r="Q42" s="152"/>
    </row>
    <row r="43" spans="2:19" s="129" customFormat="1" ht="55.5" customHeight="1" x14ac:dyDescent="0.3">
      <c r="B43" s="1639" t="s">
        <v>1099</v>
      </c>
      <c r="C43" s="1640"/>
      <c r="D43" s="1640"/>
      <c r="E43" s="1640"/>
      <c r="F43" s="1640"/>
      <c r="G43" s="1640"/>
      <c r="H43" s="1641"/>
      <c r="Q43" s="152"/>
      <c r="S43" s="485"/>
    </row>
    <row r="44" spans="2:19" s="129" customFormat="1" ht="17.25" x14ac:dyDescent="0.35">
      <c r="B44" s="1020" t="s">
        <v>52</v>
      </c>
      <c r="C44" s="1006" t="s">
        <v>159</v>
      </c>
      <c r="D44" s="1021" t="s">
        <v>35</v>
      </c>
      <c r="E44" s="1021" t="s">
        <v>33</v>
      </c>
      <c r="F44" s="485"/>
      <c r="G44" s="485"/>
      <c r="H44" s="954"/>
      <c r="Q44" s="152"/>
    </row>
    <row r="45" spans="2:19" s="129" customFormat="1" x14ac:dyDescent="0.3">
      <c r="B45" s="252" t="s">
        <v>215</v>
      </c>
      <c r="C45" s="184"/>
      <c r="D45" s="265" t="s">
        <v>175</v>
      </c>
      <c r="E45" s="897" t="s">
        <v>175</v>
      </c>
      <c r="F45" s="485"/>
      <c r="G45" s="485"/>
      <c r="H45" s="954"/>
      <c r="Q45" s="152"/>
    </row>
    <row r="46" spans="2:19" s="129" customFormat="1" ht="18" x14ac:dyDescent="0.3">
      <c r="B46" s="266" t="s">
        <v>1025</v>
      </c>
      <c r="C46" s="1116" t="str">
        <f>IF(OR('Jacket Loss'!$D$42="",'Jacket Loss'!$D$42=0),"",'Jacket Loss'!$D$42)</f>
        <v/>
      </c>
      <c r="D46" s="265" t="s">
        <v>211</v>
      </c>
      <c r="E46" s="897" t="s">
        <v>483</v>
      </c>
      <c r="F46" s="485"/>
      <c r="G46" s="485"/>
      <c r="H46" s="954"/>
      <c r="Q46" s="152"/>
    </row>
    <row r="47" spans="2:19" s="129" customFormat="1" ht="18.75" thickBot="1" x14ac:dyDescent="0.35">
      <c r="B47" s="267" t="s">
        <v>212</v>
      </c>
      <c r="C47" s="1120" t="str">
        <f>IF(C45="Default Value",1,IF(C45="Optional Test",C46,""))</f>
        <v/>
      </c>
      <c r="D47" s="1121" t="s">
        <v>211</v>
      </c>
      <c r="E47" s="1122" t="s">
        <v>574</v>
      </c>
      <c r="F47" s="968"/>
      <c r="G47" s="968"/>
      <c r="H47" s="969"/>
      <c r="Q47" s="152"/>
    </row>
    <row r="48" spans="2:19" customFormat="1" x14ac:dyDescent="0.3">
      <c r="B48" s="260"/>
      <c r="C48" s="260"/>
      <c r="D48" s="260"/>
      <c r="E48" s="260"/>
      <c r="Q48" s="152"/>
    </row>
    <row r="49" spans="2:17" customFormat="1" ht="17.25" thickBot="1" x14ac:dyDescent="0.35">
      <c r="B49" s="260"/>
      <c r="C49" s="260"/>
      <c r="D49" s="260"/>
      <c r="E49" s="260"/>
      <c r="Q49" s="152"/>
    </row>
    <row r="50" spans="2:17" customFormat="1" ht="18" thickBot="1" x14ac:dyDescent="0.35">
      <c r="B50" s="257" t="s">
        <v>551</v>
      </c>
      <c r="C50" s="259"/>
      <c r="D50" s="259"/>
      <c r="E50" s="259"/>
      <c r="F50" s="259"/>
      <c r="G50" s="259"/>
      <c r="H50" s="258"/>
      <c r="Q50" s="152"/>
    </row>
    <row r="51" spans="2:17" customFormat="1" ht="18" thickBot="1" x14ac:dyDescent="0.35">
      <c r="B51" s="998"/>
      <c r="C51" s="997"/>
      <c r="D51" s="997"/>
      <c r="E51" s="997"/>
      <c r="F51" s="515"/>
      <c r="G51" s="515"/>
      <c r="H51" s="1010"/>
      <c r="Q51" s="152"/>
    </row>
    <row r="52" spans="2:17" customFormat="1" ht="17.25" x14ac:dyDescent="0.3">
      <c r="B52" s="1633" t="s">
        <v>1273</v>
      </c>
      <c r="C52" s="1634"/>
      <c r="D52" s="1634"/>
      <c r="E52" s="1634"/>
      <c r="F52" s="1634"/>
      <c r="G52" s="1634"/>
      <c r="H52" s="1635"/>
      <c r="Q52" s="152"/>
    </row>
    <row r="53" spans="2:17" customFormat="1" ht="33.75" customHeight="1" x14ac:dyDescent="0.3">
      <c r="B53" s="1583" t="s">
        <v>1100</v>
      </c>
      <c r="C53" s="1584"/>
      <c r="D53" s="1584"/>
      <c r="E53" s="1584"/>
      <c r="F53" s="1584"/>
      <c r="G53" s="1584"/>
      <c r="H53" s="1585"/>
      <c r="Q53" s="152"/>
    </row>
    <row r="54" spans="2:17" customFormat="1" ht="240" customHeight="1" x14ac:dyDescent="0.3">
      <c r="B54" s="1583" t="s">
        <v>1101</v>
      </c>
      <c r="C54" s="1584"/>
      <c r="D54" s="1584"/>
      <c r="E54" s="1584"/>
      <c r="F54" s="1584"/>
      <c r="G54" s="1584"/>
      <c r="H54" s="1585"/>
      <c r="Q54" s="152"/>
    </row>
    <row r="55" spans="2:17" customFormat="1" ht="37.5" customHeight="1" thickBot="1" x14ac:dyDescent="0.35">
      <c r="B55" s="1636" t="s">
        <v>1274</v>
      </c>
      <c r="C55" s="1637"/>
      <c r="D55" s="1637"/>
      <c r="E55" s="1637"/>
      <c r="F55" s="1637"/>
      <c r="G55" s="1637"/>
      <c r="H55" s="1638"/>
      <c r="Q55" s="152"/>
    </row>
    <row r="56" spans="2:17" customFormat="1" ht="18" thickBot="1" x14ac:dyDescent="0.35">
      <c r="B56" s="998"/>
      <c r="C56" s="997"/>
      <c r="D56" s="997"/>
      <c r="E56" s="997"/>
      <c r="F56" s="515"/>
      <c r="G56" s="515"/>
      <c r="H56" s="1010"/>
      <c r="Q56" s="152"/>
    </row>
    <row r="57" spans="2:17" customFormat="1" ht="51.75" customHeight="1" x14ac:dyDescent="0.3">
      <c r="B57" s="1633" t="s">
        <v>1267</v>
      </c>
      <c r="C57" s="1634"/>
      <c r="D57" s="1634"/>
      <c r="E57" s="1634"/>
      <c r="F57" s="1634"/>
      <c r="G57" s="1634"/>
      <c r="H57" s="1635"/>
      <c r="Q57" s="152"/>
    </row>
    <row r="58" spans="2:17" customFormat="1" ht="52.5" customHeight="1" x14ac:dyDescent="0.3">
      <c r="B58" s="1583" t="s">
        <v>1268</v>
      </c>
      <c r="C58" s="1584"/>
      <c r="D58" s="1584"/>
      <c r="E58" s="1584"/>
      <c r="F58" s="1584"/>
      <c r="G58" s="1584"/>
      <c r="H58" s="1585"/>
      <c r="Q58" s="152"/>
    </row>
    <row r="59" spans="2:17" customFormat="1" ht="50.25" customHeight="1" x14ac:dyDescent="0.3">
      <c r="B59" s="1583" t="s">
        <v>1269</v>
      </c>
      <c r="C59" s="1584"/>
      <c r="D59" s="1584"/>
      <c r="E59" s="1584"/>
      <c r="F59" s="1584"/>
      <c r="G59" s="1584"/>
      <c r="H59" s="1585"/>
      <c r="Q59" s="152"/>
    </row>
    <row r="60" spans="2:17" customFormat="1" ht="51.75" customHeight="1" x14ac:dyDescent="0.3">
      <c r="B60" s="1583" t="s">
        <v>1270</v>
      </c>
      <c r="C60" s="1584"/>
      <c r="D60" s="1584"/>
      <c r="E60" s="1584"/>
      <c r="F60" s="1584"/>
      <c r="G60" s="1584"/>
      <c r="H60" s="1585"/>
      <c r="Q60" s="152"/>
    </row>
    <row r="61" spans="2:17" customFormat="1" ht="111.95" customHeight="1" x14ac:dyDescent="0.3">
      <c r="B61" s="1583" t="s">
        <v>1271</v>
      </c>
      <c r="C61" s="1584"/>
      <c r="D61" s="1584"/>
      <c r="E61" s="1584"/>
      <c r="F61" s="1584"/>
      <c r="G61" s="1584"/>
      <c r="H61" s="1585"/>
      <c r="Q61" s="152"/>
    </row>
    <row r="62" spans="2:17" customFormat="1" ht="35.25" customHeight="1" x14ac:dyDescent="0.3">
      <c r="B62" s="1583" t="s">
        <v>1102</v>
      </c>
      <c r="C62" s="1584"/>
      <c r="D62" s="1584"/>
      <c r="E62" s="1584"/>
      <c r="F62" s="1584"/>
      <c r="G62" s="1584"/>
      <c r="H62" s="1585"/>
      <c r="Q62" s="152"/>
    </row>
    <row r="63" spans="2:17" customFormat="1" ht="119.25" customHeight="1" thickBot="1" x14ac:dyDescent="0.35">
      <c r="B63" s="1636" t="s">
        <v>1272</v>
      </c>
      <c r="C63" s="1637"/>
      <c r="D63" s="1637"/>
      <c r="E63" s="1637"/>
      <c r="F63" s="1637"/>
      <c r="G63" s="1637"/>
      <c r="H63" s="1638"/>
      <c r="Q63" s="152"/>
    </row>
    <row r="64" spans="2:17" customFormat="1" ht="18" thickBot="1" x14ac:dyDescent="0.35">
      <c r="B64" s="998"/>
      <c r="C64" s="997"/>
      <c r="D64" s="997"/>
      <c r="E64" s="997"/>
      <c r="F64" s="515"/>
      <c r="G64" s="515"/>
      <c r="H64" s="1010"/>
      <c r="Q64" s="152"/>
    </row>
    <row r="65" spans="2:17" customFormat="1" ht="35.25" customHeight="1" x14ac:dyDescent="0.3">
      <c r="B65" s="1645" t="s">
        <v>888</v>
      </c>
      <c r="C65" s="1646"/>
      <c r="D65" s="1185"/>
      <c r="E65" s="1647" t="str">
        <f>IF(D65="","Fill Drop-Down",
IF(AND(D65="No",D67="Yes"),"This should be Yes. Airflow was observed during the procedure from Appendix EE, Section 7.8.1",
IF(D65="No","Procedure from Appendix N, Section 7.10.1 must be used.","Move to the next Drop-Down, D_P is calculated.")))</f>
        <v>Fill Drop-Down</v>
      </c>
      <c r="F65" s="1647"/>
      <c r="G65" s="1647"/>
      <c r="H65" s="1648"/>
      <c r="Q65" s="152"/>
    </row>
    <row r="66" spans="2:17" customFormat="1" ht="51.75" customHeight="1" x14ac:dyDescent="0.3">
      <c r="B66" s="1621" t="s">
        <v>890</v>
      </c>
      <c r="C66" s="1622"/>
      <c r="D66" s="1183"/>
      <c r="E66" s="1649" t="str">
        <f>IF(AND(D65="No",D67&lt;&gt;"Yes"),"N/A",
IF(D66="","Fill Drop-Down",
IF(D66="No","Constants from Table 6 are used","Calculations based on ASHRAE 103-1993, Section 8.8.2 are used, D_F=D_P")))</f>
        <v>Fill Drop-Down</v>
      </c>
      <c r="F66" s="1649"/>
      <c r="G66" s="1649"/>
      <c r="H66" s="1650"/>
      <c r="Q66" s="152"/>
    </row>
    <row r="67" spans="2:17" customFormat="1" ht="34.5" customHeight="1" x14ac:dyDescent="0.3">
      <c r="B67" s="1623" t="s">
        <v>1275</v>
      </c>
      <c r="C67" s="1624"/>
      <c r="D67" s="1183"/>
      <c r="E67" s="1651" t="str">
        <f>IF(D65="Yes","N/A",
IF(D67="","Fill Drop-Down",
IF(D67="No","Minimum draft factors can be used","Procedures from ASHRAE 103-1993, Sections 8.8.2 and 8.8.3 must be used")))</f>
        <v>Fill Drop-Down</v>
      </c>
      <c r="F67" s="1651"/>
      <c r="G67" s="1651"/>
      <c r="H67" s="1652"/>
      <c r="Q67" s="152"/>
    </row>
    <row r="68" spans="2:17" customFormat="1" ht="17.25" x14ac:dyDescent="0.3">
      <c r="B68" s="998"/>
      <c r="C68" s="997"/>
      <c r="D68" s="997"/>
      <c r="E68" s="997"/>
      <c r="F68" s="515"/>
      <c r="G68" s="515"/>
      <c r="H68" s="1010"/>
      <c r="Q68" s="152"/>
    </row>
    <row r="69" spans="2:17" customFormat="1" ht="17.25" x14ac:dyDescent="0.3">
      <c r="B69" s="1656" t="s">
        <v>52</v>
      </c>
      <c r="C69" s="1657"/>
      <c r="D69" s="1655" t="s">
        <v>34</v>
      </c>
      <c r="E69" s="1655"/>
      <c r="F69" s="1658" t="s">
        <v>33</v>
      </c>
      <c r="G69" s="515"/>
      <c r="H69" s="1010"/>
      <c r="Q69" s="152"/>
    </row>
    <row r="70" spans="2:17" customFormat="1" ht="17.25" x14ac:dyDescent="0.3">
      <c r="B70" s="1656"/>
      <c r="C70" s="1657"/>
      <c r="D70" s="1006" t="s">
        <v>159</v>
      </c>
      <c r="E70" s="1006" t="s">
        <v>126</v>
      </c>
      <c r="F70" s="1658"/>
      <c r="G70" s="515"/>
      <c r="H70" s="1010"/>
      <c r="Q70" s="152"/>
    </row>
    <row r="71" spans="2:17" customFormat="1" ht="18" x14ac:dyDescent="0.3">
      <c r="B71" s="1617" t="s">
        <v>220</v>
      </c>
      <c r="C71" s="1618"/>
      <c r="D71" s="1346" t="str">
        <f>IF(AND('Sys. # &amp; Product Characteristic'!Flue_Gas = "Non-Condensing",'Sys. # &amp; Product Characteristic'!Control_Type = "Single Stage"), IFERROR( ' Non-Con, Non-Mod Calculations'!D.F, ""),
IF(AND('Sys. # &amp; Product Characteristic'!Flue_Gas = "Condensing",'Sys. # &amp; Product Characteristic'!Control_Type = "Single Stage"), IFERROR( 'Con, Non-Mod Calculations'!D.F, ""),
IF(AND('Sys. # &amp; Product Characteristic'!Flue_Gas = "Non-Condensing",'Sys. # &amp; Product Characteristic'!Control_Type &lt;&gt; "Single Stage"), IFERROR('Non-Con, Mod Calculations'!D.F_Max, ""),
IF(AND('Sys. # &amp; Product Characteristic'!Flue_Gas = "Condensing",'Sys. # &amp; Product Characteristic'!Control_Type &lt;&gt; "Single Stage"), IFERROR('Con, Mod Calculations'!D.F_Max, ""), ""))))</f>
        <v/>
      </c>
      <c r="E71" s="1347" t="str" cm="1">
        <f t="array" ref="E71">IF('Sys. # &amp; Product Characteristic'!Reduced_Test?="No","N/A",IF(AND('Sys. # &amp; Product Characteristic'!Flue_Gas="Non-Condensing",'Sys. # &amp; Product Characteristic'!Control_Type&lt;&gt;"Single Stage"),IFERROR('Non-Con, Mod Calculations'!D.F_Reduced,""),
IF(AND('Sys. # &amp; Product Characteristic'!Flue_Gas="Condensing",'Sys. # &amp; Product Characteristic'!Control_Type&lt;&gt;"Single Stage"),IFERROR('Con, Mod Calculations'!D.F_Reduced,""),"")))</f>
        <v/>
      </c>
      <c r="F71" s="550" t="s">
        <v>573</v>
      </c>
      <c r="G71" s="515"/>
      <c r="H71" s="1010"/>
      <c r="Q71" s="152"/>
    </row>
    <row r="72" spans="2:17" customFormat="1" ht="18" x14ac:dyDescent="0.3">
      <c r="B72" s="1653" t="s">
        <v>73</v>
      </c>
      <c r="C72" s="1654"/>
      <c r="D72" s="1347" t="str">
        <f>IF(AND('Sys. # &amp; Product Characteristic'!Flue_Gas = "Non-Condensing",'Sys. # &amp; Product Characteristic'!Control_Type = "Single Stage"), IFERROR(' Non-Con, Non-Mod Calculations'!D.S_2, ""),
IF(AND('Sys. # &amp; Product Characteristic'!Flue_Gas = "Condensing",'Sys. # &amp; Product Characteristic'!Control_Type = "Single Stage"), IFERROR('Con, Non-Mod Calculations'!D.S, ""),
IF(AND('Sys. # &amp; Product Characteristic'!Flue_Gas = "Non-Condensing", 'Sys. # &amp; Product Characteristic'!Control_Type &lt;&gt; "Single Stage"), IFERROR('Non-Con, Mod Calculations'!D.S, ""),
IF(AND('Sys. # &amp; Product Characteristic'!Flue_Gas = "Condensing", 'Sys. # &amp; Product Characteristic'!Control_Type &lt;&gt; "Single Stage"), IFERROR('Con, Mod Calculations'!D.S_Max, ""), ""))))</f>
        <v/>
      </c>
      <c r="E72" s="1347" t="str">
        <f>IF('Sys. # &amp; Product Characteristic'!Reduced_Test?="No","N/A",IF(AND('Sys. # &amp; Product Characteristic'!Flue_Gas="Non-Condensing",'Sys. # &amp; Product Characteristic'!Control_Type&lt;&gt;"Single Stage"),IFERROR('Non-Con, Mod Calculations'!D.S_Reduced,""),
IF(AND('Sys. # &amp; Product Characteristic'!Flue_Gas="Condensing",'Sys. # &amp; Product Characteristic'!Control_Type&lt;&gt;"Single Stage"),IFERROR('Con, Mod Calculations'!D.S_Reduced,""),"")))</f>
        <v/>
      </c>
      <c r="F72" s="550" t="s">
        <v>889</v>
      </c>
      <c r="G72" s="515"/>
      <c r="H72" s="1010"/>
      <c r="Q72" s="152"/>
    </row>
    <row r="73" spans="2:17" customFormat="1" ht="18.75" thickBot="1" x14ac:dyDescent="0.35">
      <c r="B73" s="1619" t="s">
        <v>219</v>
      </c>
      <c r="C73" s="1620"/>
      <c r="D73" s="1348" t="str">
        <f>IF(AND('Sys. # &amp; Product Characteristic'!Flue_Gas = "Non-Condensing",'Sys. # &amp; Product Characteristic'!Control_Type = "Single Stage"), IFERROR(' Non-Con, Non-Mod Calculations'!D.P, ""),
IF(AND('Sys. # &amp; Product Characteristic'!Flue_Gas = "Condensing",'Sys. # &amp; Product Characteristic'!Control_Type = "Single Stage"), IFERROR('Con, Non-Mod Calculations'!D.P, ""),
IF(AND('Sys. # &amp; Product Characteristic'!Flue_Gas = "Non-Condensing",'Sys. # &amp; Product Characteristic'!Control_Type &lt;&gt; "Single Stage"), IFERROR('Non-Con, Mod Calculations'!D.P_Max, ""),
IF(AND('Sys. # &amp; Product Characteristic'!Flue_Gas = "Condensing",'Sys. # &amp; Product Characteristic'!Control_Type &lt;&gt; "Single Stage"), IFERROR('Con, Mod Calculations'!D.P_Max, ""), ""))))</f>
        <v/>
      </c>
      <c r="E73" s="1348" t="str">
        <f>IF('Sys. # &amp; Product Characteristic'!Reduced_Test?="No","N/A",IF(AND('Sys. # &amp; Product Characteristic'!Flue_Gas="Non-Condensing",'Sys. # &amp; Product Characteristic'!Control_Type&lt;&gt;"Single Stage"),IFERROR('Non-Con, Mod Calculations'!D.P_Reduced,""),
IF(AND('Sys. # &amp; Product Characteristic'!Flue_Gas="Condensing",'Sys. # &amp; Product Characteristic'!Control_Type&lt;&gt;"Single Stage"),IFERROR('Con, Mod Calculations'!D.P_Reduced,""),"")))</f>
        <v/>
      </c>
      <c r="F73" s="1016" t="s">
        <v>572</v>
      </c>
      <c r="G73" s="1011"/>
      <c r="H73" s="1012"/>
      <c r="Q73" s="152"/>
    </row>
    <row r="74" spans="2:17" customFormat="1" ht="18" thickBot="1" x14ac:dyDescent="0.35">
      <c r="B74" s="257" t="s">
        <v>891</v>
      </c>
      <c r="C74" s="259"/>
      <c r="D74" s="259"/>
      <c r="E74" s="259"/>
      <c r="F74" s="259"/>
      <c r="G74" s="259"/>
      <c r="H74" s="258"/>
      <c r="Q74" s="152"/>
    </row>
    <row r="75" spans="2:17" customFormat="1" x14ac:dyDescent="0.3">
      <c r="B75" s="260"/>
      <c r="C75" s="260"/>
      <c r="D75" s="260"/>
      <c r="E75" s="260"/>
      <c r="Q75" s="152"/>
    </row>
    <row r="76" spans="2:17" customFormat="1" ht="17.25" thickBot="1" x14ac:dyDescent="0.35">
      <c r="B76" s="260"/>
      <c r="C76" s="260"/>
      <c r="D76" s="260"/>
      <c r="E76" s="260"/>
      <c r="Q76" s="152"/>
    </row>
    <row r="77" spans="2:17" customFormat="1" ht="19.5" thickBot="1" x14ac:dyDescent="0.35">
      <c r="B77" s="482" t="s">
        <v>892</v>
      </c>
      <c r="C77" s="483"/>
      <c r="D77" s="483"/>
      <c r="E77" s="484"/>
      <c r="Q77" s="152"/>
    </row>
    <row r="78" spans="2:17" customFormat="1" ht="18" thickBot="1" x14ac:dyDescent="0.35">
      <c r="B78" s="1614" t="s">
        <v>1103</v>
      </c>
      <c r="C78" s="1615"/>
      <c r="D78" s="1615"/>
      <c r="E78" s="1616"/>
      <c r="Q78" s="152"/>
    </row>
    <row r="79" spans="2:17" customFormat="1" ht="153" customHeight="1" thickBot="1" x14ac:dyDescent="0.35">
      <c r="B79" s="1642" t="s">
        <v>1104</v>
      </c>
      <c r="C79" s="1643"/>
      <c r="D79" s="1643"/>
      <c r="E79" s="1644"/>
      <c r="Q79" s="152"/>
    </row>
    <row r="80" spans="2:17" customFormat="1" ht="18" thickBot="1" x14ac:dyDescent="0.35">
      <c r="B80" s="1642"/>
      <c r="C80" s="1643"/>
      <c r="D80" s="1643"/>
      <c r="E80" s="1644"/>
      <c r="Q80" s="152"/>
    </row>
    <row r="81" spans="2:20" customFormat="1" ht="17.25" x14ac:dyDescent="0.35">
      <c r="B81" s="700" t="s">
        <v>52</v>
      </c>
      <c r="C81" s="269" t="s">
        <v>34</v>
      </c>
      <c r="D81" s="261" t="s">
        <v>136</v>
      </c>
      <c r="E81" s="262" t="s">
        <v>33</v>
      </c>
      <c r="Q81" s="152"/>
    </row>
    <row r="82" spans="2:20" customFormat="1" ht="18" x14ac:dyDescent="0.3">
      <c r="B82" s="714" t="s">
        <v>556</v>
      </c>
      <c r="C82" s="1168"/>
      <c r="D82" s="718" t="s">
        <v>563</v>
      </c>
      <c r="E82" s="719" t="s">
        <v>564</v>
      </c>
      <c r="Q82" s="152"/>
    </row>
    <row r="83" spans="2:20" customFormat="1" ht="18" x14ac:dyDescent="0.3">
      <c r="B83" s="716" t="s">
        <v>557</v>
      </c>
      <c r="C83" s="1168"/>
      <c r="D83" s="720" t="s">
        <v>563</v>
      </c>
      <c r="E83" s="721" t="s">
        <v>565</v>
      </c>
      <c r="Q83" s="152"/>
    </row>
    <row r="84" spans="2:20" customFormat="1" ht="33" x14ac:dyDescent="0.3">
      <c r="B84" s="717" t="s">
        <v>558</v>
      </c>
      <c r="C84" s="1168"/>
      <c r="D84" s="722" t="s">
        <v>555</v>
      </c>
      <c r="E84" s="723" t="s">
        <v>554</v>
      </c>
      <c r="Q84" s="152"/>
      <c r="T84" s="515"/>
    </row>
    <row r="85" spans="2:20" customFormat="1" ht="33" x14ac:dyDescent="0.3">
      <c r="B85" s="716" t="s">
        <v>559</v>
      </c>
      <c r="C85" s="1168"/>
      <c r="D85" s="724" t="s">
        <v>563</v>
      </c>
      <c r="E85" s="721" t="s">
        <v>566</v>
      </c>
      <c r="Q85" s="152"/>
    </row>
    <row r="86" spans="2:20" customFormat="1" ht="33" x14ac:dyDescent="0.3">
      <c r="B86" s="717" t="s">
        <v>560</v>
      </c>
      <c r="C86" s="1168"/>
      <c r="D86" s="720" t="s">
        <v>563</v>
      </c>
      <c r="E86" s="721" t="s">
        <v>567</v>
      </c>
      <c r="Q86" s="152"/>
    </row>
    <row r="87" spans="2:20" customFormat="1" ht="18" x14ac:dyDescent="0.3">
      <c r="B87" s="716" t="s">
        <v>561</v>
      </c>
      <c r="C87" s="1168"/>
      <c r="D87" s="725" t="s">
        <v>36</v>
      </c>
      <c r="E87" s="721" t="s">
        <v>568</v>
      </c>
      <c r="Q87" s="152"/>
    </row>
    <row r="88" spans="2:20" customFormat="1" ht="18" x14ac:dyDescent="0.3">
      <c r="B88" s="717" t="s">
        <v>562</v>
      </c>
      <c r="C88" s="1168"/>
      <c r="D88" s="725" t="s">
        <v>36</v>
      </c>
      <c r="E88" s="721" t="s">
        <v>569</v>
      </c>
      <c r="Q88" s="152"/>
    </row>
    <row r="89" spans="2:20" customFormat="1" ht="18" x14ac:dyDescent="0.3">
      <c r="B89" s="716" t="s">
        <v>582</v>
      </c>
      <c r="C89" s="514" t="str">
        <f>IF(OR(t.s="",t.d=""),"",t.s+t.d)</f>
        <v/>
      </c>
      <c r="D89" s="726" t="s">
        <v>36</v>
      </c>
      <c r="E89" s="721" t="s">
        <v>583</v>
      </c>
      <c r="Q89" s="152"/>
    </row>
    <row r="90" spans="2:20" customFormat="1" ht="33" x14ac:dyDescent="0.3">
      <c r="B90" s="716" t="s">
        <v>581</v>
      </c>
      <c r="C90" s="514" t="str">
        <f>IF(OR(Omega="",A.OD="",A.OL=""),"",A.OD*COS(Omega)+A.OL)</f>
        <v/>
      </c>
      <c r="D90" s="720" t="s">
        <v>36</v>
      </c>
      <c r="E90" s="721" t="s">
        <v>579</v>
      </c>
      <c r="Q90" s="152"/>
    </row>
    <row r="91" spans="2:20" customFormat="1" ht="18.75" thickBot="1" x14ac:dyDescent="0.35">
      <c r="B91" s="715"/>
      <c r="C91" s="701" t="str">
        <f>IFERROR((A.O/A.S)*SQRT(5/(5*(A.O/A.S)^2+2.6*(1-(A.O/A.S))^1.58)),"")</f>
        <v/>
      </c>
      <c r="D91" s="727" t="s">
        <v>36</v>
      </c>
      <c r="E91" s="728" t="s">
        <v>580</v>
      </c>
      <c r="Q91" s="152"/>
    </row>
    <row r="92" spans="2:20" s="129" customFormat="1" x14ac:dyDescent="0.3">
      <c r="B92" s="156"/>
      <c r="Q92" s="152"/>
    </row>
    <row r="93" spans="2:20" s="129" customFormat="1" ht="17.25" thickBot="1" x14ac:dyDescent="0.35">
      <c r="B93" s="156"/>
      <c r="Q93" s="152"/>
    </row>
    <row r="94" spans="2:20" s="129" customFormat="1" ht="18" thickBot="1" x14ac:dyDescent="0.35">
      <c r="B94" s="257" t="str">
        <f>"Power Burner Motor Efficiency" &amp; IF('Sys. # &amp; Product Characteristic'!Burner_Type="Power",""," - NOT USED FOR THIS TEST")</f>
        <v>Power Burner Motor Efficiency - NOT USED FOR THIS TEST</v>
      </c>
      <c r="C94" s="259"/>
      <c r="D94" s="259"/>
      <c r="E94" s="258"/>
      <c r="Q94" s="152"/>
    </row>
    <row r="95" spans="2:20" s="129" customFormat="1" ht="17.25" x14ac:dyDescent="0.35">
      <c r="B95" s="544" t="s">
        <v>52</v>
      </c>
      <c r="C95" s="269" t="s">
        <v>34</v>
      </c>
      <c r="D95" s="261" t="s">
        <v>35</v>
      </c>
      <c r="E95" s="262" t="s">
        <v>33</v>
      </c>
      <c r="Q95" s="152"/>
    </row>
    <row r="96" spans="2:20" s="129" customFormat="1" ht="18" x14ac:dyDescent="0.3">
      <c r="B96" s="252" t="s">
        <v>754</v>
      </c>
      <c r="C96" s="107"/>
      <c r="D96" s="264" t="s">
        <v>273</v>
      </c>
      <c r="E96" s="554" t="s">
        <v>756</v>
      </c>
      <c r="Q96" s="152"/>
    </row>
    <row r="97" spans="1:17" s="129" customFormat="1" ht="30.95" customHeight="1" thickBot="1" x14ac:dyDescent="0.35">
      <c r="B97" s="774" t="s">
        <v>755</v>
      </c>
      <c r="C97" s="768">
        <f>IF('Sys. # &amp; Product Characteristic'!Burner_Type&lt;&gt;"Power",0,IF(Nameplate_Power_Burner_Motor_Efficiency="",50,Nameplate_Power_Burner_Motor_Efficiency))</f>
        <v>0</v>
      </c>
      <c r="D97" s="268" t="s">
        <v>273</v>
      </c>
      <c r="E97" s="555" t="s">
        <v>756</v>
      </c>
      <c r="Q97" s="152"/>
    </row>
    <row r="98" spans="1:17" s="129" customFormat="1" x14ac:dyDescent="0.3">
      <c r="B98" s="156"/>
      <c r="Q98" s="152"/>
    </row>
    <row r="99" spans="1:17" s="129" customFormat="1" x14ac:dyDescent="0.3">
      <c r="B99" s="156"/>
      <c r="Q99" s="152"/>
    </row>
    <row r="100" spans="1:17" s="129" customFormat="1" x14ac:dyDescent="0.3">
      <c r="B100" s="156"/>
      <c r="Q100" s="152"/>
    </row>
    <row r="101" spans="1:17" x14ac:dyDescent="0.3">
      <c r="A101" s="152"/>
      <c r="B101" s="152"/>
      <c r="C101" s="152"/>
      <c r="D101" s="152"/>
      <c r="E101" s="152"/>
      <c r="F101" s="152"/>
      <c r="G101" s="152"/>
      <c r="H101" s="152"/>
      <c r="I101" s="152"/>
      <c r="J101" s="152"/>
      <c r="K101" s="152"/>
      <c r="L101" s="152"/>
      <c r="M101" s="152"/>
      <c r="N101" s="152"/>
      <c r="O101" s="152"/>
      <c r="P101" s="152"/>
      <c r="Q101" s="152"/>
    </row>
  </sheetData>
  <sheetProtection algorithmName="SHA-512" hashValue="Z454EFdtvdT9uZbJ6BNQDcu7w/l7UCEe/5PphCoel52RNW9W3wSj/dTyLBiZAzPlbio2TC5pIRvngKHmInQAbQ==" saltValue="fyXCMhmEyi3P7f828tHbmA==" spinCount="100000" sheet="1" selectLockedCells="1"/>
  <mergeCells count="47">
    <mergeCell ref="B43:H43"/>
    <mergeCell ref="B79:E79"/>
    <mergeCell ref="B80:E80"/>
    <mergeCell ref="B63:H63"/>
    <mergeCell ref="B65:C65"/>
    <mergeCell ref="E65:H65"/>
    <mergeCell ref="E66:H66"/>
    <mergeCell ref="E67:H67"/>
    <mergeCell ref="B72:C72"/>
    <mergeCell ref="D69:E69"/>
    <mergeCell ref="B69:C70"/>
    <mergeCell ref="F69:F70"/>
    <mergeCell ref="B58:H58"/>
    <mergeCell ref="B59:H59"/>
    <mergeCell ref="B60:H60"/>
    <mergeCell ref="B61:H61"/>
    <mergeCell ref="B52:H52"/>
    <mergeCell ref="B53:H53"/>
    <mergeCell ref="B54:H54"/>
    <mergeCell ref="B55:H55"/>
    <mergeCell ref="B57:H57"/>
    <mergeCell ref="B21:H21"/>
    <mergeCell ref="B22:H22"/>
    <mergeCell ref="B15:C15"/>
    <mergeCell ref="E13:F13"/>
    <mergeCell ref="G13:G14"/>
    <mergeCell ref="B78:E78"/>
    <mergeCell ref="B71:C71"/>
    <mergeCell ref="B73:C73"/>
    <mergeCell ref="B66:C66"/>
    <mergeCell ref="B67:C67"/>
    <mergeCell ref="B62:H62"/>
    <mergeCell ref="B2:C2"/>
    <mergeCell ref="B39:C39"/>
    <mergeCell ref="B38:C38"/>
    <mergeCell ref="B37:C37"/>
    <mergeCell ref="B36:C36"/>
    <mergeCell ref="B17:C17"/>
    <mergeCell ref="B18:C18"/>
    <mergeCell ref="B16:C16"/>
    <mergeCell ref="B34:H34"/>
    <mergeCell ref="H13:H14"/>
    <mergeCell ref="D13:D14"/>
    <mergeCell ref="B13:C14"/>
    <mergeCell ref="E18:F18"/>
    <mergeCell ref="B12:H12"/>
    <mergeCell ref="B20:H20"/>
  </mergeCells>
  <phoneticPr fontId="28" type="noConversion"/>
  <dataValidations count="2">
    <dataValidation type="decimal" allowBlank="1" showInputMessage="1" showErrorMessage="1" sqref="D26 C28:D29" xr:uid="{DB167CF3-CEE5-4F80-B0F8-8448E2C773A0}">
      <formula1>-100000000000000000000</formula1>
      <formula2>100000000000000000000</formula2>
    </dataValidation>
    <dataValidation type="list" showInputMessage="1" showErrorMessage="1" sqref="C45" xr:uid="{361E19E7-33A0-49DF-9787-D9ACF41C443D}">
      <formula1>Jacket_Loss</formula1>
    </dataValidation>
  </dataValidations>
  <hyperlinks>
    <hyperlink ref="E4" location="Instructions!C33" display="Back to Instructions tab" xr:uid="{00000000-0004-0000-0600-000000000000}"/>
  </hyperlinks>
  <printOptions horizontalCentered="1"/>
  <pageMargins left="0.25" right="0.25" top="0.75" bottom="0.25" header="0.3" footer="0.3"/>
  <pageSetup scale="39" orientation="landscape" r:id="rId1"/>
  <headerFooter>
    <oddHeader>&amp;F</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A170472-F5ED-4536-8118-764E655A5355}">
          <x14:formula1>
            <xm:f>'Drop-Downs and Tables'!$B$92:$B$94</xm:f>
          </x14:formula1>
          <xm:sqref>C30:D30 D65:D67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0B926-8C81-4812-B1DB-537EB941AAC1}">
  <sheetPr codeName="Sheet4">
    <tabColor rgb="FF0070C0"/>
    <pageSetUpPr fitToPage="1"/>
  </sheetPr>
  <dimension ref="A1:T24"/>
  <sheetViews>
    <sheetView showGridLines="0" zoomScale="80" zoomScaleNormal="80" workbookViewId="0">
      <selection activeCell="C17" sqref="C17"/>
    </sheetView>
  </sheetViews>
  <sheetFormatPr defaultColWidth="9" defaultRowHeight="16.5" x14ac:dyDescent="0.3"/>
  <cols>
    <col min="1" max="1" width="3.625" style="130" customWidth="1"/>
    <col min="2" max="2" width="43.125" style="130" customWidth="1"/>
    <col min="3" max="4" width="30.125" style="130" customWidth="1"/>
    <col min="5" max="5" width="23" style="130" customWidth="1"/>
    <col min="6" max="7" width="12.375" style="130" customWidth="1"/>
    <col min="8" max="8" width="18.125" style="130" customWidth="1"/>
    <col min="9" max="16" width="12.375" style="130" customWidth="1"/>
    <col min="17" max="17" width="3.875" style="130" customWidth="1"/>
    <col min="18" max="16384" width="9" style="130"/>
  </cols>
  <sheetData>
    <row r="1" spans="2:20" ht="17.25" thickBot="1" x14ac:dyDescent="0.35">
      <c r="Q1" s="152"/>
    </row>
    <row r="2" spans="2:20" ht="18" thickBot="1" x14ac:dyDescent="0.35">
      <c r="B2" s="1562" t="s">
        <v>228</v>
      </c>
      <c r="C2" s="1563"/>
      <c r="D2" s="231"/>
      <c r="E2" s="231"/>
      <c r="Q2" s="152"/>
    </row>
    <row r="3" spans="2:20" x14ac:dyDescent="0.3">
      <c r="B3" s="293" t="s">
        <v>229</v>
      </c>
      <c r="C3" s="1451" t="str">
        <f>'Version Control'!C3</f>
        <v>Consumer Boiler</v>
      </c>
      <c r="D3" s="235"/>
      <c r="E3" s="235"/>
      <c r="Q3" s="152"/>
    </row>
    <row r="4" spans="2:20" ht="18" x14ac:dyDescent="0.3">
      <c r="B4" s="295" t="s">
        <v>117</v>
      </c>
      <c r="C4" s="1452" t="str">
        <f>'Version Control'!C4</f>
        <v>v2.1</v>
      </c>
      <c r="D4" s="171"/>
      <c r="E4" s="1383" t="s">
        <v>124</v>
      </c>
      <c r="Q4" s="152"/>
    </row>
    <row r="5" spans="2:20" x14ac:dyDescent="0.3">
      <c r="B5" s="295" t="s">
        <v>118</v>
      </c>
      <c r="C5" s="1453">
        <f>'Version Control'!C5</f>
        <v>45407</v>
      </c>
      <c r="D5" s="171"/>
      <c r="E5" s="171"/>
      <c r="Q5" s="152"/>
    </row>
    <row r="6" spans="2:20" x14ac:dyDescent="0.3">
      <c r="B6" s="298" t="s">
        <v>116</v>
      </c>
      <c r="C6" s="1454" t="str">
        <f ca="1">MID(CELL("filename",A1), FIND("]", CELL("filename", A1))+ 1, 255)</f>
        <v>Standby &amp; Off Power</v>
      </c>
      <c r="D6" s="171"/>
      <c r="E6" s="171"/>
      <c r="Q6" s="152"/>
    </row>
    <row r="7" spans="2:20" x14ac:dyDescent="0.3">
      <c r="B7" s="300" t="s">
        <v>115</v>
      </c>
      <c r="C7" s="301" t="str">
        <f ca="1">'Version Control'!C7</f>
        <v>Consumer Boiler - v2.1.xlsx</v>
      </c>
      <c r="D7" s="171"/>
      <c r="E7" s="171"/>
      <c r="Q7" s="152"/>
    </row>
    <row r="8" spans="2:20" ht="17.25" thickBot="1" x14ac:dyDescent="0.35">
      <c r="B8" s="302" t="s">
        <v>119</v>
      </c>
      <c r="C8" s="1455" t="str">
        <f>'Version Control'!C8</f>
        <v>[MM/DD/YYYY]</v>
      </c>
      <c r="D8" s="156"/>
      <c r="E8" s="156"/>
      <c r="Q8" s="152"/>
    </row>
    <row r="9" spans="2:20" x14ac:dyDescent="0.3">
      <c r="B9" s="153"/>
      <c r="F9" s="129"/>
      <c r="G9" s="129"/>
      <c r="H9" s="129"/>
      <c r="I9" s="129"/>
      <c r="J9" s="129"/>
      <c r="K9" s="129"/>
      <c r="L9" s="129"/>
      <c r="M9" s="129"/>
      <c r="N9" s="129"/>
      <c r="O9" s="129"/>
      <c r="P9" s="129"/>
      <c r="Q9" s="154"/>
      <c r="R9" s="155"/>
      <c r="S9" s="155"/>
      <c r="T9" s="155"/>
    </row>
    <row r="10" spans="2:20" ht="17.25" thickBot="1" x14ac:dyDescent="0.35">
      <c r="B10" s="153"/>
      <c r="F10" s="129"/>
      <c r="G10" s="129"/>
      <c r="H10" s="129"/>
      <c r="I10" s="129"/>
      <c r="J10" s="129"/>
      <c r="K10" s="129"/>
      <c r="L10" s="129"/>
      <c r="M10" s="129"/>
      <c r="N10" s="129"/>
      <c r="O10" s="129"/>
      <c r="P10" s="129"/>
      <c r="Q10" s="154"/>
      <c r="R10" s="155"/>
      <c r="S10" s="155"/>
      <c r="T10" s="155"/>
    </row>
    <row r="11" spans="2:20" s="129" customFormat="1" ht="18" thickBot="1" x14ac:dyDescent="0.35">
      <c r="B11" s="257" t="s">
        <v>552</v>
      </c>
      <c r="C11" s="259"/>
      <c r="D11" s="259"/>
      <c r="E11" s="258"/>
      <c r="Q11" s="152"/>
    </row>
    <row r="12" spans="2:20" s="129" customFormat="1" ht="17.25" x14ac:dyDescent="0.3">
      <c r="B12" s="1659" t="s">
        <v>1105</v>
      </c>
      <c r="C12" s="1660"/>
      <c r="D12" s="1660"/>
      <c r="E12" s="1661"/>
      <c r="Q12" s="152"/>
    </row>
    <row r="13" spans="2:20" s="129" customFormat="1" ht="136.5" customHeight="1" x14ac:dyDescent="0.3">
      <c r="B13" s="1662" t="s">
        <v>1196</v>
      </c>
      <c r="C13" s="1663"/>
      <c r="D13" s="1663"/>
      <c r="E13" s="1664"/>
      <c r="Q13" s="152"/>
    </row>
    <row r="14" spans="2:20" s="129" customFormat="1" ht="169.35" customHeight="1" x14ac:dyDescent="0.3">
      <c r="B14" s="1662" t="s">
        <v>1195</v>
      </c>
      <c r="C14" s="1663"/>
      <c r="D14" s="1663"/>
      <c r="E14" s="1664"/>
      <c r="Q14" s="152"/>
    </row>
    <row r="15" spans="2:20" s="129" customFormat="1" ht="17.25" x14ac:dyDescent="0.3">
      <c r="B15" s="998"/>
      <c r="C15" s="997"/>
      <c r="D15" s="997"/>
      <c r="E15" s="999"/>
      <c r="Q15" s="152"/>
    </row>
    <row r="16" spans="2:20" s="129" customFormat="1" ht="17.25" x14ac:dyDescent="0.35">
      <c r="B16" s="1360" t="s">
        <v>52</v>
      </c>
      <c r="C16" s="1359" t="s">
        <v>34</v>
      </c>
      <c r="D16" s="1361" t="s">
        <v>35</v>
      </c>
      <c r="E16" s="1000" t="s">
        <v>33</v>
      </c>
      <c r="Q16" s="152"/>
    </row>
    <row r="17" spans="1:17" s="129" customFormat="1" ht="18" x14ac:dyDescent="0.3">
      <c r="B17" s="252" t="s">
        <v>788</v>
      </c>
      <c r="C17" s="1183"/>
      <c r="D17" s="265" t="s">
        <v>179</v>
      </c>
      <c r="E17" s="1261" t="s">
        <v>570</v>
      </c>
      <c r="Q17" s="152"/>
    </row>
    <row r="18" spans="1:17" s="129" customFormat="1" x14ac:dyDescent="0.3">
      <c r="B18" s="266" t="s">
        <v>85</v>
      </c>
      <c r="C18" s="1456" t="str">
        <f>IF(P.WSB="", "",
IF(AND('Sys. # &amp; Product Characteristic'!Energy_Source="Electricity",P.WSB&lt;=8), "Yes",
IF(AND('Sys. # &amp; Product Characteristic'!Energy_Source="Gas",'Sys. # &amp; Product Characteristic'!Heating_Medium="Water", P.WSB&lt;=9),"Yes",
IF(AND('Sys. # &amp; Product Characteristic'!Energy_Source="Gas",'Sys. # &amp; Product Characteristic'!Heating_Medium="Steam", P.WSB&lt;=8),"Yes",
IF(AND('Sys. # &amp; Product Characteristic'!Energy_Source="Oil",P.WSB&lt;=11),"Yes", "No")))))</f>
        <v/>
      </c>
      <c r="D18" s="1266" t="s">
        <v>175</v>
      </c>
      <c r="E18" s="1260" t="s">
        <v>175</v>
      </c>
      <c r="Q18" s="152"/>
    </row>
    <row r="19" spans="1:17" s="129" customFormat="1" ht="18" x14ac:dyDescent="0.3">
      <c r="B19" s="266" t="s">
        <v>789</v>
      </c>
      <c r="C19" s="1183"/>
      <c r="D19" s="1263" t="s">
        <v>179</v>
      </c>
      <c r="E19" s="1260" t="s">
        <v>571</v>
      </c>
      <c r="Q19" s="152"/>
    </row>
    <row r="20" spans="1:17" s="129" customFormat="1" ht="17.25" thickBot="1" x14ac:dyDescent="0.35">
      <c r="B20" s="1262" t="s">
        <v>85</v>
      </c>
      <c r="C20" s="1457" t="str">
        <f>IF(P.WOFF="", "",
IF(AND('Sys. # &amp; Product Characteristic'!Energy_Source="Electricity",P.WOFF&lt;=8), "Yes",
IF(AND('Sys. # &amp; Product Characteristic'!Energy_Source="Gas",'Sys. # &amp; Product Characteristic'!Heating_Medium="Water", P.WOFF&lt;=9),"Yes",
IF(AND('Sys. # &amp; Product Characteristic'!Energy_Source="Gas",'Sys. # &amp; Product Characteristic'!Heating_Medium="Steam", P.WOFF&lt;=8),"Yes",
IF(AND('Sys. # &amp; Product Characteristic'!Energy_Source="Oil",P.WOFF&lt;=11),"Yes", "No")))))</f>
        <v/>
      </c>
      <c r="D20" s="1265" t="s">
        <v>175</v>
      </c>
      <c r="E20" s="1264" t="s">
        <v>175</v>
      </c>
      <c r="Q20" s="152"/>
    </row>
    <row r="21" spans="1:17" s="129" customFormat="1" x14ac:dyDescent="0.3">
      <c r="B21" s="156"/>
      <c r="Q21" s="152"/>
    </row>
    <row r="22" spans="1:17" s="129" customFormat="1" x14ac:dyDescent="0.3">
      <c r="B22" s="156"/>
      <c r="Q22" s="152"/>
    </row>
    <row r="23" spans="1:17" s="129" customFormat="1" x14ac:dyDescent="0.3">
      <c r="B23" s="156"/>
      <c r="Q23" s="152"/>
    </row>
    <row r="24" spans="1:17" x14ac:dyDescent="0.3">
      <c r="A24" s="152"/>
      <c r="B24" s="152"/>
      <c r="C24" s="152"/>
      <c r="D24" s="152"/>
      <c r="E24" s="152"/>
      <c r="F24" s="152"/>
      <c r="G24" s="152"/>
      <c r="H24" s="152"/>
      <c r="I24" s="152"/>
      <c r="J24" s="152"/>
      <c r="K24" s="152"/>
      <c r="L24" s="152"/>
      <c r="M24" s="152"/>
      <c r="N24" s="152"/>
      <c r="O24" s="152"/>
      <c r="P24" s="152"/>
      <c r="Q24" s="152"/>
    </row>
  </sheetData>
  <sheetProtection algorithmName="SHA-512" hashValue="WkfS7LwgjEjU3zK2EPTXgLBWkCIuST5TuJlKPkKVsSL55hNfKGBeY9oiHrTtxLyAgjaMzW8ahUUa6qwICJSwNg==" saltValue="AeYXkUQGUznpccfliRKMqg==" spinCount="100000" sheet="1" selectLockedCells="1"/>
  <mergeCells count="4">
    <mergeCell ref="B12:E12"/>
    <mergeCell ref="B13:E13"/>
    <mergeCell ref="B14:E14"/>
    <mergeCell ref="B2:C2"/>
  </mergeCells>
  <hyperlinks>
    <hyperlink ref="E4" location="Instructions!C33" display="Back to Instructions tab" xr:uid="{110A4F84-5DC8-492A-BA65-34F76669C059}"/>
  </hyperlinks>
  <printOptions horizontalCentered="1"/>
  <pageMargins left="0.25" right="0.25" top="0.75" bottom="0.25" header="0.3" footer="0.3"/>
  <pageSetup scale="39" orientation="landscape" r:id="rId1"/>
  <headerFooter>
    <oddHeade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F1EA9-B4A7-495E-B7CA-5A2B5871E2E0}">
  <sheetPr codeName="Sheet2">
    <tabColor rgb="FF0070C0"/>
  </sheetPr>
  <dimension ref="A1:M153"/>
  <sheetViews>
    <sheetView zoomScale="80" zoomScaleNormal="80" workbookViewId="0">
      <selection activeCell="D27" sqref="D27"/>
    </sheetView>
  </sheetViews>
  <sheetFormatPr defaultColWidth="9" defaultRowHeight="16.5" x14ac:dyDescent="0.3"/>
  <cols>
    <col min="1" max="1" width="3" style="1053" customWidth="1"/>
    <col min="2" max="2" width="52.625" style="1053" customWidth="1"/>
    <col min="3" max="3" width="30.875" style="1053" customWidth="1"/>
    <col min="4" max="11" width="13.125" style="1053" customWidth="1"/>
    <col min="12" max="12" width="9" style="1053"/>
    <col min="13" max="13" width="3" style="1053" customWidth="1"/>
    <col min="14" max="16384" width="9" style="1053"/>
  </cols>
  <sheetData>
    <row r="1" spans="2:13" ht="17.25" thickBot="1" x14ac:dyDescent="0.35">
      <c r="M1" s="1119"/>
    </row>
    <row r="2" spans="2:13" ht="18" thickBot="1" x14ac:dyDescent="0.35">
      <c r="B2" s="1672" t="s">
        <v>228</v>
      </c>
      <c r="C2" s="1673"/>
      <c r="M2" s="1119"/>
    </row>
    <row r="3" spans="2:13" x14ac:dyDescent="0.3">
      <c r="B3" s="1072" t="s">
        <v>229</v>
      </c>
      <c r="C3" s="1073" t="str">
        <f>'Version Control'!C3</f>
        <v>Consumer Boiler</v>
      </c>
      <c r="M3" s="1119"/>
    </row>
    <row r="4" spans="2:13" ht="18" x14ac:dyDescent="0.3">
      <c r="B4" s="1074" t="s">
        <v>117</v>
      </c>
      <c r="C4" s="1075" t="str">
        <f>'Version Control'!C4</f>
        <v>v2.1</v>
      </c>
      <c r="E4" s="1076" t="s">
        <v>124</v>
      </c>
      <c r="M4" s="1119"/>
    </row>
    <row r="5" spans="2:13" x14ac:dyDescent="0.3">
      <c r="B5" s="1074" t="s">
        <v>118</v>
      </c>
      <c r="C5" s="1077">
        <f>'Version Control'!C5</f>
        <v>45407</v>
      </c>
      <c r="M5" s="1119"/>
    </row>
    <row r="6" spans="2:13" x14ac:dyDescent="0.3">
      <c r="B6" s="1078" t="s">
        <v>116</v>
      </c>
      <c r="C6" s="1079" t="str">
        <f ca="1">MID(CELL("filename",A1), FIND("]", CELL("filename", A1))+ 1, 255)</f>
        <v>Jacket Loss</v>
      </c>
      <c r="M6" s="1119"/>
    </row>
    <row r="7" spans="2:13" x14ac:dyDescent="0.3">
      <c r="B7" s="1080" t="s">
        <v>115</v>
      </c>
      <c r="C7" s="1081" t="str">
        <f ca="1">'Version Control'!C7</f>
        <v>Consumer Boiler - v2.1.xlsx</v>
      </c>
      <c r="M7" s="1119"/>
    </row>
    <row r="8" spans="2:13" ht="17.25" thickBot="1" x14ac:dyDescent="0.35">
      <c r="B8" s="1082" t="s">
        <v>119</v>
      </c>
      <c r="C8" s="1083" t="str">
        <f>'Version Control'!C8</f>
        <v>[MM/DD/YYYY]</v>
      </c>
      <c r="M8" s="1119"/>
    </row>
    <row r="9" spans="2:13" x14ac:dyDescent="0.3">
      <c r="M9" s="1119"/>
    </row>
    <row r="10" spans="2:13" ht="17.25" thickBot="1" x14ac:dyDescent="0.35">
      <c r="M10" s="1119"/>
    </row>
    <row r="11" spans="2:13" ht="18" thickBot="1" x14ac:dyDescent="0.4">
      <c r="B11" s="1095" t="s">
        <v>894</v>
      </c>
      <c r="C11" s="1096"/>
      <c r="D11" s="1096"/>
      <c r="E11" s="1096"/>
      <c r="F11" s="1096"/>
      <c r="G11" s="1096"/>
      <c r="H11" s="1096"/>
      <c r="I11" s="1096"/>
      <c r="J11" s="1096"/>
      <c r="K11" s="1097"/>
      <c r="M11" s="1119"/>
    </row>
    <row r="12" spans="2:13" ht="73.5" customHeight="1" x14ac:dyDescent="0.3">
      <c r="B12" s="1689" t="s">
        <v>1117</v>
      </c>
      <c r="C12" s="1690"/>
      <c r="D12" s="1690"/>
      <c r="E12" s="1690"/>
      <c r="F12" s="1690"/>
      <c r="G12" s="1690"/>
      <c r="H12" s="1690"/>
      <c r="I12" s="1690"/>
      <c r="J12" s="1690"/>
      <c r="K12" s="1691"/>
      <c r="M12" s="1119"/>
    </row>
    <row r="13" spans="2:13" x14ac:dyDescent="0.3">
      <c r="B13" s="1052"/>
      <c r="K13" s="1054"/>
      <c r="M13" s="1119"/>
    </row>
    <row r="14" spans="2:13" ht="53.25" customHeight="1" x14ac:dyDescent="0.3">
      <c r="B14" s="1674" t="s">
        <v>1116</v>
      </c>
      <c r="C14" s="1675"/>
      <c r="D14" s="1675"/>
      <c r="E14" s="1675"/>
      <c r="F14" s="1675"/>
      <c r="G14" s="1675"/>
      <c r="H14" s="1675"/>
      <c r="I14" s="1675"/>
      <c r="J14" s="1675"/>
      <c r="K14" s="1676"/>
      <c r="M14" s="1119"/>
    </row>
    <row r="15" spans="2:13" x14ac:dyDescent="0.3">
      <c r="B15" s="1098"/>
      <c r="C15" s="1094"/>
      <c r="D15" s="1094"/>
      <c r="E15" s="1094"/>
      <c r="F15" s="1094"/>
      <c r="G15" s="1094"/>
      <c r="H15" s="1094"/>
      <c r="I15" s="1094"/>
      <c r="J15" s="1094"/>
      <c r="K15" s="1099"/>
      <c r="M15" s="1119"/>
    </row>
    <row r="16" spans="2:13" ht="17.25" x14ac:dyDescent="0.3">
      <c r="B16" s="1686" t="s">
        <v>1115</v>
      </c>
      <c r="C16" s="1687"/>
      <c r="D16" s="1687"/>
      <c r="E16" s="1687"/>
      <c r="F16" s="1687"/>
      <c r="G16" s="1687"/>
      <c r="H16" s="1687"/>
      <c r="I16" s="1687"/>
      <c r="J16" s="1687"/>
      <c r="K16" s="1688"/>
      <c r="M16" s="1119"/>
    </row>
    <row r="17" spans="2:13" ht="162.6" customHeight="1" x14ac:dyDescent="0.3">
      <c r="B17" s="1683" t="s">
        <v>1276</v>
      </c>
      <c r="C17" s="1684"/>
      <c r="D17" s="1684"/>
      <c r="E17" s="1684"/>
      <c r="F17" s="1684"/>
      <c r="G17" s="1684"/>
      <c r="H17" s="1684"/>
      <c r="I17" s="1684"/>
      <c r="J17" s="1684"/>
      <c r="K17" s="1685"/>
      <c r="M17" s="1119"/>
    </row>
    <row r="18" spans="2:13" ht="393.6" customHeight="1" x14ac:dyDescent="0.3">
      <c r="B18" s="1677" t="s">
        <v>1277</v>
      </c>
      <c r="C18" s="1678"/>
      <c r="D18" s="1678"/>
      <c r="E18" s="1678"/>
      <c r="F18" s="1678"/>
      <c r="G18" s="1678"/>
      <c r="H18" s="1678"/>
      <c r="I18" s="1678"/>
      <c r="J18" s="1678"/>
      <c r="K18" s="1679"/>
      <c r="M18" s="1119"/>
    </row>
    <row r="19" spans="2:13" ht="232.5" customHeight="1" x14ac:dyDescent="0.3">
      <c r="B19" s="1680" t="s">
        <v>1018</v>
      </c>
      <c r="C19" s="1681"/>
      <c r="D19" s="1681"/>
      <c r="E19" s="1681"/>
      <c r="F19" s="1681"/>
      <c r="G19" s="1681"/>
      <c r="H19" s="1681"/>
      <c r="I19" s="1681"/>
      <c r="J19" s="1681"/>
      <c r="K19" s="1682"/>
      <c r="M19" s="1119"/>
    </row>
    <row r="20" spans="2:13" x14ac:dyDescent="0.3">
      <c r="B20" s="1052"/>
      <c r="K20" s="1054"/>
      <c r="M20" s="1119"/>
    </row>
    <row r="21" spans="2:13" ht="33" customHeight="1" x14ac:dyDescent="0.3">
      <c r="B21" s="1674" t="s">
        <v>1118</v>
      </c>
      <c r="C21" s="1675"/>
      <c r="D21" s="1675"/>
      <c r="E21" s="1675"/>
      <c r="F21" s="1675"/>
      <c r="G21" s="1675"/>
      <c r="H21" s="1675"/>
      <c r="I21" s="1675"/>
      <c r="J21" s="1675"/>
      <c r="K21" s="1676"/>
      <c r="M21" s="1119"/>
    </row>
    <row r="22" spans="2:13" ht="34.5" customHeight="1" x14ac:dyDescent="0.3">
      <c r="B22" s="1677" t="s">
        <v>1119</v>
      </c>
      <c r="C22" s="1678"/>
      <c r="D22" s="1678"/>
      <c r="E22" s="1678"/>
      <c r="F22" s="1678"/>
      <c r="G22" s="1678"/>
      <c r="H22" s="1678"/>
      <c r="I22" s="1678"/>
      <c r="J22" s="1678"/>
      <c r="K22" s="1679"/>
      <c r="M22" s="1119"/>
    </row>
    <row r="23" spans="2:13" x14ac:dyDescent="0.3">
      <c r="B23" s="1052"/>
      <c r="K23" s="1054"/>
      <c r="M23" s="1119"/>
    </row>
    <row r="24" spans="2:13" ht="36" customHeight="1" x14ac:dyDescent="0.3">
      <c r="B24" s="1674" t="s">
        <v>1120</v>
      </c>
      <c r="C24" s="1675"/>
      <c r="D24" s="1675"/>
      <c r="E24" s="1675"/>
      <c r="F24" s="1675"/>
      <c r="G24" s="1675"/>
      <c r="H24" s="1675"/>
      <c r="I24" s="1675"/>
      <c r="J24" s="1675"/>
      <c r="K24" s="1676"/>
      <c r="M24" s="1119"/>
    </row>
    <row r="25" spans="2:13" x14ac:dyDescent="0.3">
      <c r="B25" s="1052"/>
      <c r="K25" s="1054"/>
      <c r="M25" s="1119"/>
    </row>
    <row r="26" spans="2:13" ht="17.25" x14ac:dyDescent="0.3">
      <c r="B26" s="1100" t="s">
        <v>1016</v>
      </c>
      <c r="C26" s="1058" t="s">
        <v>33</v>
      </c>
      <c r="D26" s="1058" t="s">
        <v>34</v>
      </c>
      <c r="E26" s="1058" t="s">
        <v>136</v>
      </c>
      <c r="F26" s="1049"/>
      <c r="G26" s="1049"/>
      <c r="H26" s="1049"/>
      <c r="I26" s="1049"/>
      <c r="J26" s="1670"/>
      <c r="K26" s="1671"/>
      <c r="M26" s="1119"/>
    </row>
    <row r="27" spans="2:13" ht="18" x14ac:dyDescent="0.3">
      <c r="B27" s="1101" t="s">
        <v>1004</v>
      </c>
      <c r="C27" s="1069" t="s">
        <v>1014</v>
      </c>
      <c r="D27" s="1062"/>
      <c r="E27" s="1084" t="s">
        <v>1009</v>
      </c>
      <c r="F27" s="1056"/>
      <c r="G27" s="1056"/>
      <c r="H27" s="1056"/>
      <c r="I27" s="1056"/>
      <c r="K27" s="1054"/>
      <c r="M27" s="1119"/>
    </row>
    <row r="28" spans="2:13" ht="18" x14ac:dyDescent="0.3">
      <c r="B28" s="1102" t="s">
        <v>1005</v>
      </c>
      <c r="C28" s="1070" t="s">
        <v>1014</v>
      </c>
      <c r="D28" s="1055"/>
      <c r="E28" s="1085" t="s">
        <v>1009</v>
      </c>
      <c r="F28" s="1056"/>
      <c r="G28" s="1056"/>
      <c r="H28" s="1056"/>
      <c r="I28" s="1056"/>
      <c r="K28" s="1054"/>
      <c r="M28" s="1119"/>
    </row>
    <row r="29" spans="2:13" ht="18" x14ac:dyDescent="0.3">
      <c r="B29" s="1102" t="s">
        <v>1006</v>
      </c>
      <c r="C29" s="1070" t="s">
        <v>1014</v>
      </c>
      <c r="D29" s="1055"/>
      <c r="E29" s="1086" t="s">
        <v>1009</v>
      </c>
      <c r="F29" s="1056"/>
      <c r="G29" s="1056"/>
      <c r="H29" s="1056"/>
      <c r="I29" s="1056"/>
      <c r="K29" s="1054"/>
      <c r="M29" s="1119"/>
    </row>
    <row r="30" spans="2:13" ht="18" x14ac:dyDescent="0.3">
      <c r="B30" s="1057" t="s">
        <v>1007</v>
      </c>
      <c r="C30" s="1070" t="s">
        <v>1015</v>
      </c>
      <c r="D30" s="1055"/>
      <c r="E30" s="1087" t="s">
        <v>1009</v>
      </c>
      <c r="F30" s="1056"/>
      <c r="G30" s="1056"/>
      <c r="H30" s="1056"/>
      <c r="I30" s="1056"/>
      <c r="K30" s="1054"/>
      <c r="M30" s="1119"/>
    </row>
    <row r="31" spans="2:13" x14ac:dyDescent="0.3">
      <c r="B31" s="1102" t="s">
        <v>1019</v>
      </c>
      <c r="C31" s="1070" t="s">
        <v>175</v>
      </c>
      <c r="D31" s="1055"/>
      <c r="E31" s="1088" t="s">
        <v>175</v>
      </c>
      <c r="F31" s="1056"/>
      <c r="G31" s="1056"/>
      <c r="H31" s="1056"/>
      <c r="I31" s="1056"/>
      <c r="K31" s="1054"/>
      <c r="M31" s="1119"/>
    </row>
    <row r="32" spans="2:13" ht="18" x14ac:dyDescent="0.3">
      <c r="B32" s="1057" t="s">
        <v>1008</v>
      </c>
      <c r="C32" s="1070" t="s">
        <v>1017</v>
      </c>
      <c r="D32" s="1063" t="str">
        <f>IF(OR(D30="",D31=""),"",D30*D31)</f>
        <v/>
      </c>
      <c r="E32" s="1087" t="s">
        <v>1009</v>
      </c>
      <c r="F32" s="1056"/>
      <c r="G32" s="1056"/>
      <c r="H32" s="1056"/>
      <c r="I32" s="1056"/>
      <c r="K32" s="1054"/>
      <c r="M32" s="1119"/>
    </row>
    <row r="33" spans="2:13" x14ac:dyDescent="0.3">
      <c r="B33" s="1102"/>
      <c r="C33" s="1068"/>
      <c r="D33" s="1061"/>
      <c r="E33" s="1086"/>
      <c r="F33" s="1056"/>
      <c r="G33" s="1056"/>
      <c r="H33" s="1056"/>
      <c r="I33" s="1056"/>
      <c r="K33" s="1054"/>
      <c r="M33" s="1119"/>
    </row>
    <row r="34" spans="2:13" ht="18" x14ac:dyDescent="0.3">
      <c r="B34" s="1057" t="s">
        <v>53</v>
      </c>
      <c r="C34" s="1070" t="s">
        <v>1023</v>
      </c>
      <c r="D34" s="1055"/>
      <c r="E34" s="1087" t="s">
        <v>51</v>
      </c>
      <c r="F34" s="1056"/>
      <c r="G34" s="1056"/>
      <c r="H34" s="1056"/>
      <c r="I34" s="1056"/>
      <c r="K34" s="1054"/>
      <c r="M34" s="1119"/>
    </row>
    <row r="35" spans="2:13" x14ac:dyDescent="0.3">
      <c r="B35" s="1103"/>
      <c r="C35" s="1068"/>
      <c r="D35" s="1089"/>
      <c r="E35" s="1086"/>
      <c r="F35" s="1056"/>
      <c r="G35" s="1056"/>
      <c r="H35" s="1056"/>
      <c r="I35" s="1056"/>
      <c r="K35" s="1054"/>
      <c r="M35" s="1119"/>
    </row>
    <row r="36" spans="2:13" x14ac:dyDescent="0.3">
      <c r="B36" s="1103" t="s">
        <v>1010</v>
      </c>
      <c r="C36" s="1070" t="s">
        <v>175</v>
      </c>
      <c r="D36" s="1064" t="str">
        <f>IFERROR(($D$32+D27)*SUM($E$52:$E$151),"")</f>
        <v/>
      </c>
      <c r="E36" s="1087" t="s">
        <v>37</v>
      </c>
      <c r="F36" s="1056"/>
      <c r="G36" s="1056"/>
      <c r="H36" s="1056"/>
      <c r="I36" s="1056"/>
      <c r="K36" s="1054"/>
      <c r="M36" s="1119"/>
    </row>
    <row r="37" spans="2:13" x14ac:dyDescent="0.3">
      <c r="B37" s="1102" t="s">
        <v>1011</v>
      </c>
      <c r="C37" s="1070" t="s">
        <v>175</v>
      </c>
      <c r="D37" s="1064" t="str">
        <f>IFERROR(($D$32+D28)*SUM($H$52:$H$151),"")</f>
        <v/>
      </c>
      <c r="E37" s="1087" t="s">
        <v>37</v>
      </c>
      <c r="G37" s="1056"/>
      <c r="H37" s="1056"/>
      <c r="I37" s="1056"/>
      <c r="K37" s="1054"/>
      <c r="M37" s="1119"/>
    </row>
    <row r="38" spans="2:13" x14ac:dyDescent="0.3">
      <c r="B38" s="1102" t="s">
        <v>1012</v>
      </c>
      <c r="C38" s="1070" t="s">
        <v>175</v>
      </c>
      <c r="D38" s="1064" t="str">
        <f>IFERROR(($D$32+D29)*SUM($K$52:$K$151),"")</f>
        <v/>
      </c>
      <c r="E38" s="1086" t="s">
        <v>37</v>
      </c>
      <c r="F38" s="1056"/>
      <c r="G38" s="1056"/>
      <c r="H38" s="1056"/>
      <c r="I38" s="1056"/>
      <c r="K38" s="1054"/>
      <c r="M38" s="1119"/>
    </row>
    <row r="39" spans="2:13" x14ac:dyDescent="0.3">
      <c r="B39" s="1050"/>
      <c r="C39" s="1051"/>
      <c r="D39" s="1061"/>
      <c r="E39" s="1090"/>
      <c r="F39" s="1051"/>
      <c r="G39" s="1051"/>
      <c r="H39" s="1051"/>
      <c r="I39" s="1051"/>
      <c r="K39" s="1054"/>
      <c r="M39" s="1119"/>
    </row>
    <row r="40" spans="2:13" ht="18" x14ac:dyDescent="0.3">
      <c r="B40" s="1104" t="s">
        <v>1002</v>
      </c>
      <c r="C40" s="1114" t="s">
        <v>1013</v>
      </c>
      <c r="D40" s="1091" t="str">
        <f>IF(OR(D36="",D37="",D38=""),"",100*SUM($D$36:$D$38)/'Max Test'!$C$61)</f>
        <v/>
      </c>
      <c r="E40" s="1090" t="s">
        <v>211</v>
      </c>
      <c r="F40" s="1051"/>
      <c r="G40" s="1051"/>
      <c r="H40" s="1051"/>
      <c r="I40" s="1051"/>
      <c r="K40" s="1054"/>
      <c r="M40" s="1119"/>
    </row>
    <row r="41" spans="2:13" ht="18" x14ac:dyDescent="0.3">
      <c r="B41" s="1104" t="s">
        <v>1003</v>
      </c>
      <c r="C41" s="1114" t="s">
        <v>1013</v>
      </c>
      <c r="D41" s="1065"/>
      <c r="E41" s="1090" t="s">
        <v>211</v>
      </c>
      <c r="F41" s="1051"/>
      <c r="G41" s="1051"/>
      <c r="H41" s="1051"/>
      <c r="I41" s="1051"/>
      <c r="K41" s="1054"/>
      <c r="M41" s="1119"/>
    </row>
    <row r="42" spans="2:13" ht="18" x14ac:dyDescent="0.3">
      <c r="B42" s="1104" t="s">
        <v>1001</v>
      </c>
      <c r="C42" s="1115" t="s">
        <v>1013</v>
      </c>
      <c r="D42" s="1091" t="str">
        <f>IF(D41="",D40,D41)</f>
        <v/>
      </c>
      <c r="E42" s="1090" t="s">
        <v>211</v>
      </c>
      <c r="F42" s="1051"/>
      <c r="G42" s="1051"/>
      <c r="H42" s="1051"/>
      <c r="I42" s="1051"/>
      <c r="K42" s="1054"/>
      <c r="M42" s="1119"/>
    </row>
    <row r="43" spans="2:13" x14ac:dyDescent="0.3">
      <c r="B43" s="1117"/>
      <c r="C43" s="1118"/>
      <c r="D43" s="1113"/>
      <c r="E43" s="1066"/>
      <c r="F43" s="1051"/>
      <c r="G43" s="1051"/>
      <c r="H43" s="1051"/>
      <c r="I43" s="1051"/>
      <c r="K43" s="1054"/>
      <c r="M43" s="1119"/>
    </row>
    <row r="44" spans="2:13" x14ac:dyDescent="0.3">
      <c r="B44" s="1104" t="s">
        <v>1022</v>
      </c>
      <c r="C44" s="1114" t="s">
        <v>175</v>
      </c>
      <c r="D44" s="1091" t="str">
        <f>IF(AND($D$52="",$G$52="",$J$52=""),"",MIN($D$52:$D$151,$G$52:$G$151,$J$52:$J$151))</f>
        <v/>
      </c>
      <c r="E44" s="1090" t="s">
        <v>51</v>
      </c>
      <c r="F44" s="1051"/>
      <c r="G44" s="1051"/>
      <c r="H44" s="1051"/>
      <c r="I44" s="1051"/>
      <c r="K44" s="1054"/>
      <c r="M44" s="1119"/>
    </row>
    <row r="45" spans="2:13" x14ac:dyDescent="0.3">
      <c r="B45" s="1059" t="s">
        <v>1020</v>
      </c>
      <c r="C45" s="1114" t="s">
        <v>175</v>
      </c>
      <c r="D45" s="1091" t="str">
        <f>IF(AND($D$52="",$G$52="",$J$52=""),"",MAX($D$52:$D$151,$G$52:$G$151,$J$52:$J$151))</f>
        <v/>
      </c>
      <c r="E45" s="1090" t="s">
        <v>51</v>
      </c>
      <c r="F45" s="1051"/>
      <c r="G45" s="1051"/>
      <c r="H45" s="1051"/>
      <c r="I45" s="1051"/>
      <c r="K45" s="1054"/>
      <c r="M45" s="1119"/>
    </row>
    <row r="46" spans="2:13" x14ac:dyDescent="0.3">
      <c r="B46" s="1050" t="s">
        <v>1024</v>
      </c>
      <c r="C46" s="1070" t="s">
        <v>175</v>
      </c>
      <c r="D46" s="1091" t="str">
        <f>IFERROR(D45-D34,"")</f>
        <v/>
      </c>
      <c r="E46" s="1090" t="s">
        <v>51</v>
      </c>
      <c r="F46" s="1051"/>
      <c r="G46" s="1051"/>
      <c r="H46" s="1051"/>
      <c r="I46" s="1051"/>
      <c r="K46" s="1054"/>
      <c r="M46" s="1119"/>
    </row>
    <row r="47" spans="2:13" x14ac:dyDescent="0.3">
      <c r="B47" s="1104" t="s">
        <v>553</v>
      </c>
      <c r="C47" s="1070" t="s">
        <v>175</v>
      </c>
      <c r="D47" s="1091" t="str">
        <f>IF(D46="","",IF(D46&lt;=100,10,20))</f>
        <v/>
      </c>
      <c r="E47" s="1090" t="s">
        <v>51</v>
      </c>
      <c r="F47" s="1051"/>
      <c r="G47" s="1051"/>
      <c r="H47" s="1051"/>
      <c r="I47" s="1051"/>
      <c r="K47" s="1054"/>
      <c r="M47" s="1119"/>
    </row>
    <row r="48" spans="2:13" x14ac:dyDescent="0.3">
      <c r="B48" s="1105" t="s">
        <v>1021</v>
      </c>
      <c r="C48" s="1071" t="s">
        <v>175</v>
      </c>
      <c r="D48" s="1112" t="str">
        <f>IFERROR(IF(D45-D44&lt;=D47,"Yes","No"),"")</f>
        <v/>
      </c>
      <c r="E48" s="1067" t="s">
        <v>175</v>
      </c>
      <c r="F48" s="1051"/>
      <c r="G48" s="1051"/>
      <c r="H48" s="1051"/>
      <c r="I48" s="1051"/>
      <c r="K48" s="1054"/>
      <c r="M48" s="1119"/>
    </row>
    <row r="49" spans="2:13" x14ac:dyDescent="0.3">
      <c r="B49" s="1050"/>
      <c r="C49" s="1051"/>
      <c r="D49" s="1051"/>
      <c r="E49" s="1051"/>
      <c r="F49" s="1051"/>
      <c r="G49" s="1051"/>
      <c r="H49" s="1051"/>
      <c r="I49" s="1051"/>
      <c r="K49" s="1054"/>
      <c r="M49" s="1119"/>
    </row>
    <row r="50" spans="2:13" ht="17.25" x14ac:dyDescent="0.35">
      <c r="B50" s="1050"/>
      <c r="C50" s="1667" t="s">
        <v>895</v>
      </c>
      <c r="D50" s="1668"/>
      <c r="E50" s="1669"/>
      <c r="F50" s="1665" t="s">
        <v>999</v>
      </c>
      <c r="G50" s="1665"/>
      <c r="H50" s="1665"/>
      <c r="I50" s="1665" t="s">
        <v>1000</v>
      </c>
      <c r="J50" s="1665"/>
      <c r="K50" s="1666"/>
      <c r="M50" s="1119"/>
    </row>
    <row r="51" spans="2:13" ht="51.75" x14ac:dyDescent="0.3">
      <c r="B51" s="1050"/>
      <c r="C51" s="1058" t="s">
        <v>896</v>
      </c>
      <c r="D51" s="1058" t="s">
        <v>897</v>
      </c>
      <c r="E51" s="1058" t="s">
        <v>898</v>
      </c>
      <c r="F51" s="1058" t="s">
        <v>896</v>
      </c>
      <c r="G51" s="1058" t="s">
        <v>897</v>
      </c>
      <c r="H51" s="1058" t="s">
        <v>898</v>
      </c>
      <c r="I51" s="1058" t="s">
        <v>896</v>
      </c>
      <c r="J51" s="1058" t="s">
        <v>897</v>
      </c>
      <c r="K51" s="1106" t="s">
        <v>898</v>
      </c>
      <c r="M51" s="1119"/>
    </row>
    <row r="52" spans="2:13" x14ac:dyDescent="0.3">
      <c r="B52" s="1060" t="s">
        <v>899</v>
      </c>
      <c r="C52" s="1062"/>
      <c r="D52" s="1062"/>
      <c r="E52" s="1093">
        <f>C52*(D52-$D$34)</f>
        <v>0</v>
      </c>
      <c r="F52" s="1055"/>
      <c r="G52" s="1055"/>
      <c r="H52" s="1092">
        <f t="shared" ref="H52:H83" si="0">F52*(G52-$J$22)</f>
        <v>0</v>
      </c>
      <c r="I52" s="1055"/>
      <c r="J52" s="1055"/>
      <c r="K52" s="1107">
        <f t="shared" ref="K52:K83" si="1">I52*(J52-$J$22)</f>
        <v>0</v>
      </c>
      <c r="M52" s="1119"/>
    </row>
    <row r="53" spans="2:13" x14ac:dyDescent="0.3">
      <c r="B53" s="1060" t="s">
        <v>900</v>
      </c>
      <c r="C53" s="1055"/>
      <c r="D53" s="1055"/>
      <c r="E53" s="1092">
        <f t="shared" ref="E53:E84" si="2">C53*(D53-$J$22)</f>
        <v>0</v>
      </c>
      <c r="F53" s="1055"/>
      <c r="G53" s="1055"/>
      <c r="H53" s="1092">
        <f t="shared" si="0"/>
        <v>0</v>
      </c>
      <c r="I53" s="1055"/>
      <c r="J53" s="1055"/>
      <c r="K53" s="1107">
        <f t="shared" si="1"/>
        <v>0</v>
      </c>
      <c r="M53" s="1119"/>
    </row>
    <row r="54" spans="2:13" x14ac:dyDescent="0.3">
      <c r="B54" s="1060" t="s">
        <v>901</v>
      </c>
      <c r="C54" s="1055"/>
      <c r="D54" s="1055"/>
      <c r="E54" s="1092">
        <f t="shared" si="2"/>
        <v>0</v>
      </c>
      <c r="F54" s="1055"/>
      <c r="G54" s="1055"/>
      <c r="H54" s="1092">
        <f t="shared" si="0"/>
        <v>0</v>
      </c>
      <c r="I54" s="1055"/>
      <c r="J54" s="1055"/>
      <c r="K54" s="1107">
        <f t="shared" si="1"/>
        <v>0</v>
      </c>
      <c r="M54" s="1119"/>
    </row>
    <row r="55" spans="2:13" x14ac:dyDescent="0.3">
      <c r="B55" s="1060" t="s">
        <v>902</v>
      </c>
      <c r="C55" s="1055"/>
      <c r="D55" s="1055"/>
      <c r="E55" s="1092">
        <f t="shared" si="2"/>
        <v>0</v>
      </c>
      <c r="F55" s="1055"/>
      <c r="G55" s="1055"/>
      <c r="H55" s="1092">
        <f t="shared" si="0"/>
        <v>0</v>
      </c>
      <c r="I55" s="1055"/>
      <c r="J55" s="1055"/>
      <c r="K55" s="1107">
        <f t="shared" si="1"/>
        <v>0</v>
      </c>
      <c r="M55" s="1119"/>
    </row>
    <row r="56" spans="2:13" x14ac:dyDescent="0.3">
      <c r="B56" s="1060" t="s">
        <v>903</v>
      </c>
      <c r="C56" s="1055"/>
      <c r="D56" s="1055"/>
      <c r="E56" s="1092">
        <f t="shared" si="2"/>
        <v>0</v>
      </c>
      <c r="F56" s="1055"/>
      <c r="G56" s="1055"/>
      <c r="H56" s="1092">
        <f t="shared" si="0"/>
        <v>0</v>
      </c>
      <c r="I56" s="1055"/>
      <c r="J56" s="1055"/>
      <c r="K56" s="1107">
        <f t="shared" si="1"/>
        <v>0</v>
      </c>
      <c r="M56" s="1119"/>
    </row>
    <row r="57" spans="2:13" x14ac:dyDescent="0.3">
      <c r="B57" s="1060" t="s">
        <v>904</v>
      </c>
      <c r="C57" s="1055"/>
      <c r="D57" s="1055"/>
      <c r="E57" s="1092">
        <f t="shared" si="2"/>
        <v>0</v>
      </c>
      <c r="F57" s="1055"/>
      <c r="G57" s="1055"/>
      <c r="H57" s="1092">
        <f t="shared" si="0"/>
        <v>0</v>
      </c>
      <c r="I57" s="1055"/>
      <c r="J57" s="1055"/>
      <c r="K57" s="1107">
        <f t="shared" si="1"/>
        <v>0</v>
      </c>
      <c r="M57" s="1119"/>
    </row>
    <row r="58" spans="2:13" x14ac:dyDescent="0.3">
      <c r="B58" s="1060" t="s">
        <v>905</v>
      </c>
      <c r="C58" s="1055"/>
      <c r="D58" s="1055"/>
      <c r="E58" s="1092">
        <f t="shared" si="2"/>
        <v>0</v>
      </c>
      <c r="F58" s="1055"/>
      <c r="G58" s="1055"/>
      <c r="H58" s="1092">
        <f t="shared" si="0"/>
        <v>0</v>
      </c>
      <c r="I58" s="1055"/>
      <c r="J58" s="1055"/>
      <c r="K58" s="1107">
        <f t="shared" si="1"/>
        <v>0</v>
      </c>
      <c r="M58" s="1119"/>
    </row>
    <row r="59" spans="2:13" x14ac:dyDescent="0.3">
      <c r="B59" s="1060" t="s">
        <v>906</v>
      </c>
      <c r="C59" s="1055"/>
      <c r="D59" s="1055"/>
      <c r="E59" s="1092">
        <f t="shared" si="2"/>
        <v>0</v>
      </c>
      <c r="F59" s="1055"/>
      <c r="G59" s="1055"/>
      <c r="H59" s="1092">
        <f t="shared" si="0"/>
        <v>0</v>
      </c>
      <c r="I59" s="1055"/>
      <c r="J59" s="1055"/>
      <c r="K59" s="1107">
        <f t="shared" si="1"/>
        <v>0</v>
      </c>
      <c r="M59" s="1119"/>
    </row>
    <row r="60" spans="2:13" x14ac:dyDescent="0.3">
      <c r="B60" s="1060" t="s">
        <v>907</v>
      </c>
      <c r="C60" s="1055"/>
      <c r="D60" s="1055"/>
      <c r="E60" s="1092">
        <f t="shared" si="2"/>
        <v>0</v>
      </c>
      <c r="F60" s="1055"/>
      <c r="G60" s="1055"/>
      <c r="H60" s="1092">
        <f t="shared" si="0"/>
        <v>0</v>
      </c>
      <c r="I60" s="1055"/>
      <c r="J60" s="1055"/>
      <c r="K60" s="1107">
        <f t="shared" si="1"/>
        <v>0</v>
      </c>
      <c r="M60" s="1119"/>
    </row>
    <row r="61" spans="2:13" x14ac:dyDescent="0.3">
      <c r="B61" s="1060" t="s">
        <v>908</v>
      </c>
      <c r="C61" s="1055"/>
      <c r="D61" s="1055"/>
      <c r="E61" s="1092">
        <f t="shared" si="2"/>
        <v>0</v>
      </c>
      <c r="F61" s="1055"/>
      <c r="G61" s="1055"/>
      <c r="H61" s="1092">
        <f t="shared" si="0"/>
        <v>0</v>
      </c>
      <c r="I61" s="1055"/>
      <c r="J61" s="1055"/>
      <c r="K61" s="1107">
        <f t="shared" si="1"/>
        <v>0</v>
      </c>
      <c r="M61" s="1119"/>
    </row>
    <row r="62" spans="2:13" x14ac:dyDescent="0.3">
      <c r="B62" s="1060" t="s">
        <v>909</v>
      </c>
      <c r="C62" s="1055"/>
      <c r="D62" s="1055"/>
      <c r="E62" s="1092">
        <f t="shared" si="2"/>
        <v>0</v>
      </c>
      <c r="F62" s="1055"/>
      <c r="G62" s="1055"/>
      <c r="H62" s="1092">
        <f t="shared" si="0"/>
        <v>0</v>
      </c>
      <c r="I62" s="1055"/>
      <c r="J62" s="1055"/>
      <c r="K62" s="1107">
        <f t="shared" si="1"/>
        <v>0</v>
      </c>
      <c r="M62" s="1119"/>
    </row>
    <row r="63" spans="2:13" x14ac:dyDescent="0.3">
      <c r="B63" s="1060" t="s">
        <v>910</v>
      </c>
      <c r="C63" s="1055"/>
      <c r="D63" s="1055"/>
      <c r="E63" s="1092">
        <f t="shared" si="2"/>
        <v>0</v>
      </c>
      <c r="F63" s="1055"/>
      <c r="G63" s="1055"/>
      <c r="H63" s="1092">
        <f t="shared" si="0"/>
        <v>0</v>
      </c>
      <c r="I63" s="1055"/>
      <c r="J63" s="1055"/>
      <c r="K63" s="1107">
        <f t="shared" si="1"/>
        <v>0</v>
      </c>
      <c r="M63" s="1119"/>
    </row>
    <row r="64" spans="2:13" x14ac:dyDescent="0.3">
      <c r="B64" s="1060" t="s">
        <v>911</v>
      </c>
      <c r="C64" s="1055"/>
      <c r="D64" s="1055"/>
      <c r="E64" s="1092">
        <f t="shared" si="2"/>
        <v>0</v>
      </c>
      <c r="F64" s="1055"/>
      <c r="G64" s="1055"/>
      <c r="H64" s="1092">
        <f t="shared" si="0"/>
        <v>0</v>
      </c>
      <c r="I64" s="1055"/>
      <c r="J64" s="1055"/>
      <c r="K64" s="1107">
        <f t="shared" si="1"/>
        <v>0</v>
      </c>
      <c r="M64" s="1119"/>
    </row>
    <row r="65" spans="2:13" x14ac:dyDescent="0.3">
      <c r="B65" s="1060" t="s">
        <v>912</v>
      </c>
      <c r="C65" s="1055"/>
      <c r="D65" s="1055"/>
      <c r="E65" s="1092">
        <f t="shared" si="2"/>
        <v>0</v>
      </c>
      <c r="F65" s="1055"/>
      <c r="G65" s="1055"/>
      <c r="H65" s="1092">
        <f t="shared" si="0"/>
        <v>0</v>
      </c>
      <c r="I65" s="1055"/>
      <c r="J65" s="1055"/>
      <c r="K65" s="1107">
        <f t="shared" si="1"/>
        <v>0</v>
      </c>
      <c r="M65" s="1119"/>
    </row>
    <row r="66" spans="2:13" x14ac:dyDescent="0.3">
      <c r="B66" s="1060" t="s">
        <v>913</v>
      </c>
      <c r="C66" s="1055"/>
      <c r="D66" s="1055"/>
      <c r="E66" s="1092">
        <f t="shared" si="2"/>
        <v>0</v>
      </c>
      <c r="F66" s="1055"/>
      <c r="G66" s="1055"/>
      <c r="H66" s="1092">
        <f t="shared" si="0"/>
        <v>0</v>
      </c>
      <c r="I66" s="1055"/>
      <c r="J66" s="1055"/>
      <c r="K66" s="1107">
        <f t="shared" si="1"/>
        <v>0</v>
      </c>
      <c r="M66" s="1119"/>
    </row>
    <row r="67" spans="2:13" x14ac:dyDescent="0.3">
      <c r="B67" s="1060" t="s">
        <v>914</v>
      </c>
      <c r="C67" s="1055"/>
      <c r="D67" s="1055"/>
      <c r="E67" s="1092">
        <f t="shared" si="2"/>
        <v>0</v>
      </c>
      <c r="F67" s="1055"/>
      <c r="G67" s="1055"/>
      <c r="H67" s="1092">
        <f t="shared" si="0"/>
        <v>0</v>
      </c>
      <c r="I67" s="1055"/>
      <c r="J67" s="1055"/>
      <c r="K67" s="1107">
        <f t="shared" si="1"/>
        <v>0</v>
      </c>
      <c r="M67" s="1119"/>
    </row>
    <row r="68" spans="2:13" x14ac:dyDescent="0.3">
      <c r="B68" s="1060" t="s">
        <v>915</v>
      </c>
      <c r="C68" s="1055"/>
      <c r="D68" s="1055"/>
      <c r="E68" s="1092">
        <f t="shared" si="2"/>
        <v>0</v>
      </c>
      <c r="F68" s="1055"/>
      <c r="G68" s="1055"/>
      <c r="H68" s="1092">
        <f t="shared" si="0"/>
        <v>0</v>
      </c>
      <c r="I68" s="1055"/>
      <c r="J68" s="1055"/>
      <c r="K68" s="1107">
        <f t="shared" si="1"/>
        <v>0</v>
      </c>
      <c r="M68" s="1119"/>
    </row>
    <row r="69" spans="2:13" x14ac:dyDescent="0.3">
      <c r="B69" s="1060" t="s">
        <v>916</v>
      </c>
      <c r="C69" s="1055"/>
      <c r="D69" s="1055"/>
      <c r="E69" s="1092">
        <f t="shared" si="2"/>
        <v>0</v>
      </c>
      <c r="F69" s="1055"/>
      <c r="G69" s="1055"/>
      <c r="H69" s="1092">
        <f t="shared" si="0"/>
        <v>0</v>
      </c>
      <c r="I69" s="1055"/>
      <c r="J69" s="1055"/>
      <c r="K69" s="1107">
        <f t="shared" si="1"/>
        <v>0</v>
      </c>
      <c r="M69" s="1119"/>
    </row>
    <row r="70" spans="2:13" x14ac:dyDescent="0.3">
      <c r="B70" s="1060" t="s">
        <v>917</v>
      </c>
      <c r="C70" s="1055"/>
      <c r="D70" s="1055"/>
      <c r="E70" s="1092">
        <f t="shared" si="2"/>
        <v>0</v>
      </c>
      <c r="F70" s="1055"/>
      <c r="G70" s="1055"/>
      <c r="H70" s="1092">
        <f t="shared" si="0"/>
        <v>0</v>
      </c>
      <c r="I70" s="1055"/>
      <c r="J70" s="1055"/>
      <c r="K70" s="1107">
        <f t="shared" si="1"/>
        <v>0</v>
      </c>
      <c r="M70" s="1119"/>
    </row>
    <row r="71" spans="2:13" x14ac:dyDescent="0.3">
      <c r="B71" s="1060" t="s">
        <v>918</v>
      </c>
      <c r="C71" s="1055"/>
      <c r="D71" s="1055"/>
      <c r="E71" s="1092">
        <f t="shared" si="2"/>
        <v>0</v>
      </c>
      <c r="F71" s="1055"/>
      <c r="G71" s="1055"/>
      <c r="H71" s="1092">
        <f t="shared" si="0"/>
        <v>0</v>
      </c>
      <c r="I71" s="1055"/>
      <c r="J71" s="1055"/>
      <c r="K71" s="1107">
        <f t="shared" si="1"/>
        <v>0</v>
      </c>
      <c r="M71" s="1119"/>
    </row>
    <row r="72" spans="2:13" x14ac:dyDescent="0.3">
      <c r="B72" s="1060" t="s">
        <v>919</v>
      </c>
      <c r="C72" s="1055"/>
      <c r="D72" s="1055"/>
      <c r="E72" s="1092">
        <f t="shared" si="2"/>
        <v>0</v>
      </c>
      <c r="F72" s="1055"/>
      <c r="G72" s="1055"/>
      <c r="H72" s="1092">
        <f t="shared" si="0"/>
        <v>0</v>
      </c>
      <c r="I72" s="1055"/>
      <c r="J72" s="1055"/>
      <c r="K72" s="1107">
        <f t="shared" si="1"/>
        <v>0</v>
      </c>
      <c r="M72" s="1119"/>
    </row>
    <row r="73" spans="2:13" x14ac:dyDescent="0.3">
      <c r="B73" s="1060" t="s">
        <v>920</v>
      </c>
      <c r="C73" s="1055"/>
      <c r="D73" s="1055"/>
      <c r="E73" s="1092">
        <f t="shared" si="2"/>
        <v>0</v>
      </c>
      <c r="F73" s="1055"/>
      <c r="G73" s="1055"/>
      <c r="H73" s="1092">
        <f t="shared" si="0"/>
        <v>0</v>
      </c>
      <c r="I73" s="1055"/>
      <c r="J73" s="1055"/>
      <c r="K73" s="1107">
        <f t="shared" si="1"/>
        <v>0</v>
      </c>
      <c r="M73" s="1119"/>
    </row>
    <row r="74" spans="2:13" x14ac:dyDescent="0.3">
      <c r="B74" s="1060" t="s">
        <v>921</v>
      </c>
      <c r="C74" s="1055"/>
      <c r="D74" s="1055"/>
      <c r="E74" s="1092">
        <f t="shared" si="2"/>
        <v>0</v>
      </c>
      <c r="F74" s="1055"/>
      <c r="G74" s="1055"/>
      <c r="H74" s="1092">
        <f t="shared" si="0"/>
        <v>0</v>
      </c>
      <c r="I74" s="1055"/>
      <c r="J74" s="1055"/>
      <c r="K74" s="1107">
        <f t="shared" si="1"/>
        <v>0</v>
      </c>
      <c r="M74" s="1119"/>
    </row>
    <row r="75" spans="2:13" x14ac:dyDescent="0.3">
      <c r="B75" s="1060" t="s">
        <v>922</v>
      </c>
      <c r="C75" s="1055"/>
      <c r="D75" s="1055"/>
      <c r="E75" s="1092">
        <f t="shared" si="2"/>
        <v>0</v>
      </c>
      <c r="F75" s="1055"/>
      <c r="G75" s="1055"/>
      <c r="H75" s="1092">
        <f t="shared" si="0"/>
        <v>0</v>
      </c>
      <c r="I75" s="1055"/>
      <c r="J75" s="1055"/>
      <c r="K75" s="1107">
        <f t="shared" si="1"/>
        <v>0</v>
      </c>
      <c r="M75" s="1119"/>
    </row>
    <row r="76" spans="2:13" x14ac:dyDescent="0.3">
      <c r="B76" s="1060" t="s">
        <v>923</v>
      </c>
      <c r="C76" s="1055"/>
      <c r="D76" s="1055"/>
      <c r="E76" s="1092">
        <f t="shared" si="2"/>
        <v>0</v>
      </c>
      <c r="F76" s="1055"/>
      <c r="G76" s="1055"/>
      <c r="H76" s="1092">
        <f t="shared" si="0"/>
        <v>0</v>
      </c>
      <c r="I76" s="1055"/>
      <c r="J76" s="1055"/>
      <c r="K76" s="1107">
        <f t="shared" si="1"/>
        <v>0</v>
      </c>
      <c r="M76" s="1119"/>
    </row>
    <row r="77" spans="2:13" x14ac:dyDescent="0.3">
      <c r="B77" s="1060" t="s">
        <v>924</v>
      </c>
      <c r="C77" s="1055"/>
      <c r="D77" s="1055"/>
      <c r="E77" s="1092">
        <f t="shared" si="2"/>
        <v>0</v>
      </c>
      <c r="F77" s="1055"/>
      <c r="G77" s="1055"/>
      <c r="H77" s="1092">
        <f t="shared" si="0"/>
        <v>0</v>
      </c>
      <c r="I77" s="1055"/>
      <c r="J77" s="1055"/>
      <c r="K77" s="1107">
        <f t="shared" si="1"/>
        <v>0</v>
      </c>
      <c r="M77" s="1119"/>
    </row>
    <row r="78" spans="2:13" x14ac:dyDescent="0.3">
      <c r="B78" s="1060" t="s">
        <v>925</v>
      </c>
      <c r="C78" s="1055"/>
      <c r="D78" s="1055"/>
      <c r="E78" s="1092">
        <f t="shared" si="2"/>
        <v>0</v>
      </c>
      <c r="F78" s="1055"/>
      <c r="G78" s="1055"/>
      <c r="H78" s="1092">
        <f t="shared" si="0"/>
        <v>0</v>
      </c>
      <c r="I78" s="1055"/>
      <c r="J78" s="1055"/>
      <c r="K78" s="1107">
        <f t="shared" si="1"/>
        <v>0</v>
      </c>
      <c r="M78" s="1119"/>
    </row>
    <row r="79" spans="2:13" x14ac:dyDescent="0.3">
      <c r="B79" s="1060" t="s">
        <v>926</v>
      </c>
      <c r="C79" s="1055"/>
      <c r="D79" s="1055"/>
      <c r="E79" s="1092">
        <f t="shared" si="2"/>
        <v>0</v>
      </c>
      <c r="F79" s="1055"/>
      <c r="G79" s="1055"/>
      <c r="H79" s="1092">
        <f t="shared" si="0"/>
        <v>0</v>
      </c>
      <c r="I79" s="1055"/>
      <c r="J79" s="1055"/>
      <c r="K79" s="1107">
        <f t="shared" si="1"/>
        <v>0</v>
      </c>
      <c r="M79" s="1119"/>
    </row>
    <row r="80" spans="2:13" x14ac:dyDescent="0.3">
      <c r="B80" s="1060" t="s">
        <v>927</v>
      </c>
      <c r="C80" s="1055"/>
      <c r="D80" s="1055"/>
      <c r="E80" s="1092">
        <f t="shared" si="2"/>
        <v>0</v>
      </c>
      <c r="F80" s="1055"/>
      <c r="G80" s="1055"/>
      <c r="H80" s="1092">
        <f t="shared" si="0"/>
        <v>0</v>
      </c>
      <c r="I80" s="1055"/>
      <c r="J80" s="1055"/>
      <c r="K80" s="1107">
        <f t="shared" si="1"/>
        <v>0</v>
      </c>
      <c r="M80" s="1119"/>
    </row>
    <row r="81" spans="2:13" x14ac:dyDescent="0.3">
      <c r="B81" s="1060" t="s">
        <v>928</v>
      </c>
      <c r="C81" s="1055"/>
      <c r="D81" s="1055"/>
      <c r="E81" s="1092">
        <f t="shared" si="2"/>
        <v>0</v>
      </c>
      <c r="F81" s="1055"/>
      <c r="G81" s="1055"/>
      <c r="H81" s="1092">
        <f t="shared" si="0"/>
        <v>0</v>
      </c>
      <c r="I81" s="1055"/>
      <c r="J81" s="1055"/>
      <c r="K81" s="1107">
        <f t="shared" si="1"/>
        <v>0</v>
      </c>
      <c r="M81" s="1119"/>
    </row>
    <row r="82" spans="2:13" x14ac:dyDescent="0.3">
      <c r="B82" s="1060" t="s">
        <v>929</v>
      </c>
      <c r="C82" s="1055"/>
      <c r="D82" s="1055"/>
      <c r="E82" s="1092">
        <f t="shared" si="2"/>
        <v>0</v>
      </c>
      <c r="F82" s="1055"/>
      <c r="G82" s="1055"/>
      <c r="H82" s="1092">
        <f t="shared" si="0"/>
        <v>0</v>
      </c>
      <c r="I82" s="1055"/>
      <c r="J82" s="1055"/>
      <c r="K82" s="1107">
        <f t="shared" si="1"/>
        <v>0</v>
      </c>
      <c r="M82" s="1119"/>
    </row>
    <row r="83" spans="2:13" x14ac:dyDescent="0.3">
      <c r="B83" s="1060" t="s">
        <v>930</v>
      </c>
      <c r="C83" s="1055"/>
      <c r="D83" s="1055"/>
      <c r="E83" s="1092">
        <f t="shared" si="2"/>
        <v>0</v>
      </c>
      <c r="F83" s="1055"/>
      <c r="G83" s="1055"/>
      <c r="H83" s="1092">
        <f t="shared" si="0"/>
        <v>0</v>
      </c>
      <c r="I83" s="1055"/>
      <c r="J83" s="1055"/>
      <c r="K83" s="1107">
        <f t="shared" si="1"/>
        <v>0</v>
      </c>
      <c r="M83" s="1119"/>
    </row>
    <row r="84" spans="2:13" x14ac:dyDescent="0.3">
      <c r="B84" s="1060" t="s">
        <v>931</v>
      </c>
      <c r="C84" s="1055"/>
      <c r="D84" s="1055"/>
      <c r="E84" s="1092">
        <f t="shared" si="2"/>
        <v>0</v>
      </c>
      <c r="F84" s="1055"/>
      <c r="G84" s="1055"/>
      <c r="H84" s="1092">
        <f t="shared" ref="H84:H115" si="3">F84*(G84-$J$22)</f>
        <v>0</v>
      </c>
      <c r="I84" s="1055"/>
      <c r="J84" s="1055"/>
      <c r="K84" s="1107">
        <f t="shared" ref="K84:K115" si="4">I84*(J84-$J$22)</f>
        <v>0</v>
      </c>
      <c r="M84" s="1119"/>
    </row>
    <row r="85" spans="2:13" x14ac:dyDescent="0.3">
      <c r="B85" s="1060" t="s">
        <v>932</v>
      </c>
      <c r="C85" s="1055"/>
      <c r="D85" s="1055"/>
      <c r="E85" s="1092">
        <f t="shared" ref="E85:E116" si="5">C85*(D85-$J$22)</f>
        <v>0</v>
      </c>
      <c r="F85" s="1055"/>
      <c r="G85" s="1055"/>
      <c r="H85" s="1092">
        <f t="shared" si="3"/>
        <v>0</v>
      </c>
      <c r="I85" s="1055"/>
      <c r="J85" s="1055"/>
      <c r="K85" s="1107">
        <f t="shared" si="4"/>
        <v>0</v>
      </c>
      <c r="M85" s="1119"/>
    </row>
    <row r="86" spans="2:13" x14ac:dyDescent="0.3">
      <c r="B86" s="1060" t="s">
        <v>933</v>
      </c>
      <c r="C86" s="1055"/>
      <c r="D86" s="1055"/>
      <c r="E86" s="1092">
        <f t="shared" si="5"/>
        <v>0</v>
      </c>
      <c r="F86" s="1055"/>
      <c r="G86" s="1055"/>
      <c r="H86" s="1092">
        <f t="shared" si="3"/>
        <v>0</v>
      </c>
      <c r="I86" s="1055"/>
      <c r="J86" s="1055"/>
      <c r="K86" s="1107">
        <f t="shared" si="4"/>
        <v>0</v>
      </c>
      <c r="M86" s="1119"/>
    </row>
    <row r="87" spans="2:13" x14ac:dyDescent="0.3">
      <c r="B87" s="1060" t="s">
        <v>934</v>
      </c>
      <c r="C87" s="1055"/>
      <c r="D87" s="1055"/>
      <c r="E87" s="1092">
        <f t="shared" si="5"/>
        <v>0</v>
      </c>
      <c r="F87" s="1055"/>
      <c r="G87" s="1055"/>
      <c r="H87" s="1092">
        <f t="shared" si="3"/>
        <v>0</v>
      </c>
      <c r="I87" s="1055"/>
      <c r="J87" s="1055"/>
      <c r="K87" s="1107">
        <f t="shared" si="4"/>
        <v>0</v>
      </c>
      <c r="M87" s="1119"/>
    </row>
    <row r="88" spans="2:13" x14ac:dyDescent="0.3">
      <c r="B88" s="1060" t="s">
        <v>935</v>
      </c>
      <c r="C88" s="1055"/>
      <c r="D88" s="1055"/>
      <c r="E88" s="1092">
        <f t="shared" si="5"/>
        <v>0</v>
      </c>
      <c r="F88" s="1055"/>
      <c r="G88" s="1055"/>
      <c r="H88" s="1092">
        <f t="shared" si="3"/>
        <v>0</v>
      </c>
      <c r="I88" s="1055"/>
      <c r="J88" s="1055"/>
      <c r="K88" s="1107">
        <f t="shared" si="4"/>
        <v>0</v>
      </c>
      <c r="M88" s="1119"/>
    </row>
    <row r="89" spans="2:13" x14ac:dyDescent="0.3">
      <c r="B89" s="1060" t="s">
        <v>936</v>
      </c>
      <c r="C89" s="1055"/>
      <c r="D89" s="1055"/>
      <c r="E89" s="1092">
        <f t="shared" si="5"/>
        <v>0</v>
      </c>
      <c r="F89" s="1055"/>
      <c r="G89" s="1055"/>
      <c r="H89" s="1092">
        <f t="shared" si="3"/>
        <v>0</v>
      </c>
      <c r="I89" s="1055"/>
      <c r="J89" s="1055"/>
      <c r="K89" s="1107">
        <f t="shared" si="4"/>
        <v>0</v>
      </c>
      <c r="M89" s="1119"/>
    </row>
    <row r="90" spans="2:13" x14ac:dyDescent="0.3">
      <c r="B90" s="1060" t="s">
        <v>937</v>
      </c>
      <c r="C90" s="1055"/>
      <c r="D90" s="1055"/>
      <c r="E90" s="1092">
        <f t="shared" si="5"/>
        <v>0</v>
      </c>
      <c r="F90" s="1055"/>
      <c r="G90" s="1055"/>
      <c r="H90" s="1092">
        <f t="shared" si="3"/>
        <v>0</v>
      </c>
      <c r="I90" s="1055"/>
      <c r="J90" s="1055"/>
      <c r="K90" s="1107">
        <f t="shared" si="4"/>
        <v>0</v>
      </c>
      <c r="M90" s="1119"/>
    </row>
    <row r="91" spans="2:13" x14ac:dyDescent="0.3">
      <c r="B91" s="1060" t="s">
        <v>938</v>
      </c>
      <c r="C91" s="1055"/>
      <c r="D91" s="1055"/>
      <c r="E91" s="1092">
        <f t="shared" si="5"/>
        <v>0</v>
      </c>
      <c r="F91" s="1055"/>
      <c r="G91" s="1055"/>
      <c r="H91" s="1092">
        <f t="shared" si="3"/>
        <v>0</v>
      </c>
      <c r="I91" s="1055"/>
      <c r="J91" s="1055"/>
      <c r="K91" s="1107">
        <f t="shared" si="4"/>
        <v>0</v>
      </c>
      <c r="M91" s="1119"/>
    </row>
    <row r="92" spans="2:13" x14ac:dyDescent="0.3">
      <c r="B92" s="1060" t="s">
        <v>939</v>
      </c>
      <c r="C92" s="1055"/>
      <c r="D92" s="1055"/>
      <c r="E92" s="1092">
        <f t="shared" si="5"/>
        <v>0</v>
      </c>
      <c r="F92" s="1055"/>
      <c r="G92" s="1055"/>
      <c r="H92" s="1092">
        <f t="shared" si="3"/>
        <v>0</v>
      </c>
      <c r="I92" s="1055"/>
      <c r="J92" s="1055"/>
      <c r="K92" s="1107">
        <f t="shared" si="4"/>
        <v>0</v>
      </c>
      <c r="M92" s="1119"/>
    </row>
    <row r="93" spans="2:13" x14ac:dyDescent="0.3">
      <c r="B93" s="1060" t="s">
        <v>940</v>
      </c>
      <c r="C93" s="1055"/>
      <c r="D93" s="1055"/>
      <c r="E93" s="1092">
        <f t="shared" si="5"/>
        <v>0</v>
      </c>
      <c r="F93" s="1055"/>
      <c r="G93" s="1055"/>
      <c r="H93" s="1092">
        <f t="shared" si="3"/>
        <v>0</v>
      </c>
      <c r="I93" s="1055"/>
      <c r="J93" s="1055"/>
      <c r="K93" s="1107">
        <f t="shared" si="4"/>
        <v>0</v>
      </c>
      <c r="M93" s="1119"/>
    </row>
    <row r="94" spans="2:13" x14ac:dyDescent="0.3">
      <c r="B94" s="1060" t="s">
        <v>941</v>
      </c>
      <c r="C94" s="1055"/>
      <c r="D94" s="1055"/>
      <c r="E94" s="1092">
        <f t="shared" si="5"/>
        <v>0</v>
      </c>
      <c r="F94" s="1055"/>
      <c r="G94" s="1055"/>
      <c r="H94" s="1092">
        <f t="shared" si="3"/>
        <v>0</v>
      </c>
      <c r="I94" s="1055"/>
      <c r="J94" s="1055"/>
      <c r="K94" s="1107">
        <f t="shared" si="4"/>
        <v>0</v>
      </c>
      <c r="M94" s="1119"/>
    </row>
    <row r="95" spans="2:13" x14ac:dyDescent="0.3">
      <c r="B95" s="1060" t="s">
        <v>942</v>
      </c>
      <c r="C95" s="1055"/>
      <c r="D95" s="1055"/>
      <c r="E95" s="1092">
        <f t="shared" si="5"/>
        <v>0</v>
      </c>
      <c r="F95" s="1055"/>
      <c r="G95" s="1055"/>
      <c r="H95" s="1092">
        <f t="shared" si="3"/>
        <v>0</v>
      </c>
      <c r="I95" s="1055"/>
      <c r="J95" s="1055"/>
      <c r="K95" s="1107">
        <f t="shared" si="4"/>
        <v>0</v>
      </c>
      <c r="M95" s="1119"/>
    </row>
    <row r="96" spans="2:13" x14ac:dyDescent="0.3">
      <c r="B96" s="1060" t="s">
        <v>943</v>
      </c>
      <c r="C96" s="1055"/>
      <c r="D96" s="1055"/>
      <c r="E96" s="1092">
        <f t="shared" si="5"/>
        <v>0</v>
      </c>
      <c r="F96" s="1055"/>
      <c r="G96" s="1055"/>
      <c r="H96" s="1092">
        <f t="shared" si="3"/>
        <v>0</v>
      </c>
      <c r="I96" s="1055"/>
      <c r="J96" s="1055"/>
      <c r="K96" s="1107">
        <f t="shared" si="4"/>
        <v>0</v>
      </c>
      <c r="M96" s="1119"/>
    </row>
    <row r="97" spans="2:13" x14ac:dyDescent="0.3">
      <c r="B97" s="1060" t="s">
        <v>944</v>
      </c>
      <c r="C97" s="1055"/>
      <c r="D97" s="1055"/>
      <c r="E97" s="1092">
        <f t="shared" si="5"/>
        <v>0</v>
      </c>
      <c r="F97" s="1055"/>
      <c r="G97" s="1055"/>
      <c r="H97" s="1092">
        <f t="shared" si="3"/>
        <v>0</v>
      </c>
      <c r="I97" s="1055"/>
      <c r="J97" s="1055"/>
      <c r="K97" s="1107">
        <f t="shared" si="4"/>
        <v>0</v>
      </c>
      <c r="M97" s="1119"/>
    </row>
    <row r="98" spans="2:13" x14ac:dyDescent="0.3">
      <c r="B98" s="1060" t="s">
        <v>945</v>
      </c>
      <c r="C98" s="1055"/>
      <c r="D98" s="1055"/>
      <c r="E98" s="1092">
        <f t="shared" si="5"/>
        <v>0</v>
      </c>
      <c r="F98" s="1055"/>
      <c r="G98" s="1055"/>
      <c r="H98" s="1092">
        <f t="shared" si="3"/>
        <v>0</v>
      </c>
      <c r="I98" s="1055"/>
      <c r="J98" s="1055"/>
      <c r="K98" s="1107">
        <f t="shared" si="4"/>
        <v>0</v>
      </c>
      <c r="M98" s="1119"/>
    </row>
    <row r="99" spans="2:13" x14ac:dyDescent="0.3">
      <c r="B99" s="1060" t="s">
        <v>946</v>
      </c>
      <c r="C99" s="1055"/>
      <c r="D99" s="1055"/>
      <c r="E99" s="1092">
        <f t="shared" si="5"/>
        <v>0</v>
      </c>
      <c r="F99" s="1055"/>
      <c r="G99" s="1055"/>
      <c r="H99" s="1092">
        <f t="shared" si="3"/>
        <v>0</v>
      </c>
      <c r="I99" s="1055"/>
      <c r="J99" s="1055"/>
      <c r="K99" s="1107">
        <f t="shared" si="4"/>
        <v>0</v>
      </c>
      <c r="M99" s="1119"/>
    </row>
    <row r="100" spans="2:13" x14ac:dyDescent="0.3">
      <c r="B100" s="1060" t="s">
        <v>947</v>
      </c>
      <c r="C100" s="1055"/>
      <c r="D100" s="1055"/>
      <c r="E100" s="1092">
        <f t="shared" si="5"/>
        <v>0</v>
      </c>
      <c r="F100" s="1055"/>
      <c r="G100" s="1055"/>
      <c r="H100" s="1092">
        <f t="shared" si="3"/>
        <v>0</v>
      </c>
      <c r="I100" s="1055"/>
      <c r="J100" s="1055"/>
      <c r="K100" s="1107">
        <f t="shared" si="4"/>
        <v>0</v>
      </c>
      <c r="M100" s="1119"/>
    </row>
    <row r="101" spans="2:13" x14ac:dyDescent="0.3">
      <c r="B101" s="1060" t="s">
        <v>948</v>
      </c>
      <c r="C101" s="1055"/>
      <c r="D101" s="1055"/>
      <c r="E101" s="1092">
        <f t="shared" si="5"/>
        <v>0</v>
      </c>
      <c r="F101" s="1055"/>
      <c r="G101" s="1055"/>
      <c r="H101" s="1092">
        <f t="shared" si="3"/>
        <v>0</v>
      </c>
      <c r="I101" s="1055"/>
      <c r="J101" s="1055"/>
      <c r="K101" s="1107">
        <f t="shared" si="4"/>
        <v>0</v>
      </c>
      <c r="M101" s="1119"/>
    </row>
    <row r="102" spans="2:13" x14ac:dyDescent="0.3">
      <c r="B102" s="1060" t="s">
        <v>949</v>
      </c>
      <c r="C102" s="1055"/>
      <c r="D102" s="1055"/>
      <c r="E102" s="1092">
        <f t="shared" si="5"/>
        <v>0</v>
      </c>
      <c r="F102" s="1055"/>
      <c r="G102" s="1055"/>
      <c r="H102" s="1092">
        <f t="shared" si="3"/>
        <v>0</v>
      </c>
      <c r="I102" s="1055"/>
      <c r="J102" s="1055"/>
      <c r="K102" s="1107">
        <f t="shared" si="4"/>
        <v>0</v>
      </c>
      <c r="M102" s="1119"/>
    </row>
    <row r="103" spans="2:13" x14ac:dyDescent="0.3">
      <c r="B103" s="1060" t="s">
        <v>950</v>
      </c>
      <c r="C103" s="1055"/>
      <c r="D103" s="1055"/>
      <c r="E103" s="1092">
        <f t="shared" si="5"/>
        <v>0</v>
      </c>
      <c r="F103" s="1055"/>
      <c r="G103" s="1055"/>
      <c r="H103" s="1092">
        <f t="shared" si="3"/>
        <v>0</v>
      </c>
      <c r="I103" s="1055"/>
      <c r="J103" s="1055"/>
      <c r="K103" s="1107">
        <f t="shared" si="4"/>
        <v>0</v>
      </c>
      <c r="M103" s="1119"/>
    </row>
    <row r="104" spans="2:13" x14ac:dyDescent="0.3">
      <c r="B104" s="1060" t="s">
        <v>951</v>
      </c>
      <c r="C104" s="1055"/>
      <c r="D104" s="1055"/>
      <c r="E104" s="1092">
        <f t="shared" si="5"/>
        <v>0</v>
      </c>
      <c r="F104" s="1055"/>
      <c r="G104" s="1055"/>
      <c r="H104" s="1092">
        <f t="shared" si="3"/>
        <v>0</v>
      </c>
      <c r="I104" s="1055"/>
      <c r="J104" s="1055"/>
      <c r="K104" s="1107">
        <f t="shared" si="4"/>
        <v>0</v>
      </c>
      <c r="M104" s="1119"/>
    </row>
    <row r="105" spans="2:13" x14ac:dyDescent="0.3">
      <c r="B105" s="1060" t="s">
        <v>952</v>
      </c>
      <c r="C105" s="1055"/>
      <c r="D105" s="1055"/>
      <c r="E105" s="1092">
        <f t="shared" si="5"/>
        <v>0</v>
      </c>
      <c r="F105" s="1055"/>
      <c r="G105" s="1055"/>
      <c r="H105" s="1092">
        <f t="shared" si="3"/>
        <v>0</v>
      </c>
      <c r="I105" s="1055"/>
      <c r="J105" s="1055"/>
      <c r="K105" s="1107">
        <f t="shared" si="4"/>
        <v>0</v>
      </c>
      <c r="M105" s="1119"/>
    </row>
    <row r="106" spans="2:13" x14ac:dyDescent="0.3">
      <c r="B106" s="1060" t="s">
        <v>953</v>
      </c>
      <c r="C106" s="1055"/>
      <c r="D106" s="1055"/>
      <c r="E106" s="1092">
        <f t="shared" si="5"/>
        <v>0</v>
      </c>
      <c r="F106" s="1055"/>
      <c r="G106" s="1055"/>
      <c r="H106" s="1092">
        <f t="shared" si="3"/>
        <v>0</v>
      </c>
      <c r="I106" s="1055"/>
      <c r="J106" s="1055"/>
      <c r="K106" s="1107">
        <f t="shared" si="4"/>
        <v>0</v>
      </c>
      <c r="M106" s="1119"/>
    </row>
    <row r="107" spans="2:13" x14ac:dyDescent="0.3">
      <c r="B107" s="1060" t="s">
        <v>954</v>
      </c>
      <c r="C107" s="1055"/>
      <c r="D107" s="1055"/>
      <c r="E107" s="1092">
        <f t="shared" si="5"/>
        <v>0</v>
      </c>
      <c r="F107" s="1055"/>
      <c r="G107" s="1055"/>
      <c r="H107" s="1092">
        <f t="shared" si="3"/>
        <v>0</v>
      </c>
      <c r="I107" s="1055"/>
      <c r="J107" s="1055"/>
      <c r="K107" s="1107">
        <f t="shared" si="4"/>
        <v>0</v>
      </c>
      <c r="M107" s="1119"/>
    </row>
    <row r="108" spans="2:13" x14ac:dyDescent="0.3">
      <c r="B108" s="1060" t="s">
        <v>955</v>
      </c>
      <c r="C108" s="1055"/>
      <c r="D108" s="1055"/>
      <c r="E108" s="1092">
        <f t="shared" si="5"/>
        <v>0</v>
      </c>
      <c r="F108" s="1055"/>
      <c r="G108" s="1055"/>
      <c r="H108" s="1092">
        <f t="shared" si="3"/>
        <v>0</v>
      </c>
      <c r="I108" s="1055"/>
      <c r="J108" s="1055"/>
      <c r="K108" s="1107">
        <f t="shared" si="4"/>
        <v>0</v>
      </c>
      <c r="M108" s="1119"/>
    </row>
    <row r="109" spans="2:13" x14ac:dyDescent="0.3">
      <c r="B109" s="1060" t="s">
        <v>956</v>
      </c>
      <c r="C109" s="1055"/>
      <c r="D109" s="1055"/>
      <c r="E109" s="1092">
        <f t="shared" si="5"/>
        <v>0</v>
      </c>
      <c r="F109" s="1055"/>
      <c r="G109" s="1055"/>
      <c r="H109" s="1092">
        <f t="shared" si="3"/>
        <v>0</v>
      </c>
      <c r="I109" s="1055"/>
      <c r="J109" s="1055"/>
      <c r="K109" s="1107">
        <f t="shared" si="4"/>
        <v>0</v>
      </c>
      <c r="M109" s="1119"/>
    </row>
    <row r="110" spans="2:13" x14ac:dyDescent="0.3">
      <c r="B110" s="1060" t="s">
        <v>957</v>
      </c>
      <c r="C110" s="1055"/>
      <c r="D110" s="1055"/>
      <c r="E110" s="1092">
        <f t="shared" si="5"/>
        <v>0</v>
      </c>
      <c r="F110" s="1055"/>
      <c r="G110" s="1055"/>
      <c r="H110" s="1092">
        <f t="shared" si="3"/>
        <v>0</v>
      </c>
      <c r="I110" s="1055"/>
      <c r="J110" s="1055"/>
      <c r="K110" s="1107">
        <f t="shared" si="4"/>
        <v>0</v>
      </c>
      <c r="M110" s="1119"/>
    </row>
    <row r="111" spans="2:13" x14ac:dyDescent="0.3">
      <c r="B111" s="1060" t="s">
        <v>958</v>
      </c>
      <c r="C111" s="1055"/>
      <c r="D111" s="1055"/>
      <c r="E111" s="1092">
        <f t="shared" si="5"/>
        <v>0</v>
      </c>
      <c r="F111" s="1055"/>
      <c r="G111" s="1055"/>
      <c r="H111" s="1092">
        <f t="shared" si="3"/>
        <v>0</v>
      </c>
      <c r="I111" s="1055"/>
      <c r="J111" s="1055"/>
      <c r="K111" s="1107">
        <f t="shared" si="4"/>
        <v>0</v>
      </c>
      <c r="M111" s="1119"/>
    </row>
    <row r="112" spans="2:13" x14ac:dyDescent="0.3">
      <c r="B112" s="1060" t="s">
        <v>959</v>
      </c>
      <c r="C112" s="1055"/>
      <c r="D112" s="1055"/>
      <c r="E112" s="1092">
        <f t="shared" si="5"/>
        <v>0</v>
      </c>
      <c r="F112" s="1055"/>
      <c r="G112" s="1055"/>
      <c r="H112" s="1092">
        <f t="shared" si="3"/>
        <v>0</v>
      </c>
      <c r="I112" s="1055"/>
      <c r="J112" s="1055"/>
      <c r="K112" s="1107">
        <f t="shared" si="4"/>
        <v>0</v>
      </c>
      <c r="M112" s="1119"/>
    </row>
    <row r="113" spans="2:13" x14ac:dyDescent="0.3">
      <c r="B113" s="1060" t="s">
        <v>960</v>
      </c>
      <c r="C113" s="1055"/>
      <c r="D113" s="1055"/>
      <c r="E113" s="1092">
        <f t="shared" si="5"/>
        <v>0</v>
      </c>
      <c r="F113" s="1055"/>
      <c r="G113" s="1055"/>
      <c r="H113" s="1092">
        <f t="shared" si="3"/>
        <v>0</v>
      </c>
      <c r="I113" s="1055"/>
      <c r="J113" s="1055"/>
      <c r="K113" s="1107">
        <f t="shared" si="4"/>
        <v>0</v>
      </c>
      <c r="M113" s="1119"/>
    </row>
    <row r="114" spans="2:13" x14ac:dyDescent="0.3">
      <c r="B114" s="1060" t="s">
        <v>961</v>
      </c>
      <c r="C114" s="1055"/>
      <c r="D114" s="1055"/>
      <c r="E114" s="1092">
        <f t="shared" si="5"/>
        <v>0</v>
      </c>
      <c r="F114" s="1055"/>
      <c r="G114" s="1055"/>
      <c r="H114" s="1092">
        <f t="shared" si="3"/>
        <v>0</v>
      </c>
      <c r="I114" s="1055"/>
      <c r="J114" s="1055"/>
      <c r="K114" s="1107">
        <f t="shared" si="4"/>
        <v>0</v>
      </c>
      <c r="M114" s="1119"/>
    </row>
    <row r="115" spans="2:13" x14ac:dyDescent="0.3">
      <c r="B115" s="1060" t="s">
        <v>962</v>
      </c>
      <c r="C115" s="1055"/>
      <c r="D115" s="1055"/>
      <c r="E115" s="1092">
        <f t="shared" si="5"/>
        <v>0</v>
      </c>
      <c r="F115" s="1055"/>
      <c r="G115" s="1055"/>
      <c r="H115" s="1092">
        <f t="shared" si="3"/>
        <v>0</v>
      </c>
      <c r="I115" s="1055"/>
      <c r="J115" s="1055"/>
      <c r="K115" s="1107">
        <f t="shared" si="4"/>
        <v>0</v>
      </c>
      <c r="M115" s="1119"/>
    </row>
    <row r="116" spans="2:13" x14ac:dyDescent="0.3">
      <c r="B116" s="1060" t="s">
        <v>963</v>
      </c>
      <c r="C116" s="1055"/>
      <c r="D116" s="1055"/>
      <c r="E116" s="1092">
        <f t="shared" si="5"/>
        <v>0</v>
      </c>
      <c r="F116" s="1055"/>
      <c r="G116" s="1055"/>
      <c r="H116" s="1092">
        <f t="shared" ref="H116:H147" si="6">F116*(G116-$J$22)</f>
        <v>0</v>
      </c>
      <c r="I116" s="1055"/>
      <c r="J116" s="1055"/>
      <c r="K116" s="1107">
        <f t="shared" ref="K116:K147" si="7">I116*(J116-$J$22)</f>
        <v>0</v>
      </c>
      <c r="M116" s="1119"/>
    </row>
    <row r="117" spans="2:13" x14ac:dyDescent="0.3">
      <c r="B117" s="1060" t="s">
        <v>964</v>
      </c>
      <c r="C117" s="1055"/>
      <c r="D117" s="1055"/>
      <c r="E117" s="1092">
        <f t="shared" ref="E117:E148" si="8">C117*(D117-$J$22)</f>
        <v>0</v>
      </c>
      <c r="F117" s="1055"/>
      <c r="G117" s="1055"/>
      <c r="H117" s="1092">
        <f t="shared" si="6"/>
        <v>0</v>
      </c>
      <c r="I117" s="1055"/>
      <c r="J117" s="1055"/>
      <c r="K117" s="1107">
        <f t="shared" si="7"/>
        <v>0</v>
      </c>
      <c r="M117" s="1119"/>
    </row>
    <row r="118" spans="2:13" x14ac:dyDescent="0.3">
      <c r="B118" s="1060" t="s">
        <v>965</v>
      </c>
      <c r="C118" s="1055"/>
      <c r="D118" s="1055"/>
      <c r="E118" s="1092">
        <f t="shared" si="8"/>
        <v>0</v>
      </c>
      <c r="F118" s="1055"/>
      <c r="G118" s="1055"/>
      <c r="H118" s="1092">
        <f t="shared" si="6"/>
        <v>0</v>
      </c>
      <c r="I118" s="1055"/>
      <c r="J118" s="1055"/>
      <c r="K118" s="1107">
        <f t="shared" si="7"/>
        <v>0</v>
      </c>
      <c r="M118" s="1119"/>
    </row>
    <row r="119" spans="2:13" x14ac:dyDescent="0.3">
      <c r="B119" s="1060" t="s">
        <v>966</v>
      </c>
      <c r="C119" s="1055"/>
      <c r="D119" s="1055"/>
      <c r="E119" s="1092">
        <f t="shared" si="8"/>
        <v>0</v>
      </c>
      <c r="F119" s="1055"/>
      <c r="G119" s="1055"/>
      <c r="H119" s="1092">
        <f t="shared" si="6"/>
        <v>0</v>
      </c>
      <c r="I119" s="1055"/>
      <c r="J119" s="1055"/>
      <c r="K119" s="1107">
        <f t="shared" si="7"/>
        <v>0</v>
      </c>
      <c r="M119" s="1119"/>
    </row>
    <row r="120" spans="2:13" x14ac:dyDescent="0.3">
      <c r="B120" s="1060" t="s">
        <v>967</v>
      </c>
      <c r="C120" s="1055"/>
      <c r="D120" s="1055"/>
      <c r="E120" s="1092">
        <f t="shared" si="8"/>
        <v>0</v>
      </c>
      <c r="F120" s="1055"/>
      <c r="G120" s="1055"/>
      <c r="H120" s="1092">
        <f t="shared" si="6"/>
        <v>0</v>
      </c>
      <c r="I120" s="1055"/>
      <c r="J120" s="1055"/>
      <c r="K120" s="1107">
        <f t="shared" si="7"/>
        <v>0</v>
      </c>
      <c r="M120" s="1119"/>
    </row>
    <row r="121" spans="2:13" x14ac:dyDescent="0.3">
      <c r="B121" s="1060" t="s">
        <v>968</v>
      </c>
      <c r="C121" s="1055"/>
      <c r="D121" s="1055"/>
      <c r="E121" s="1092">
        <f t="shared" si="8"/>
        <v>0</v>
      </c>
      <c r="F121" s="1055"/>
      <c r="G121" s="1055"/>
      <c r="H121" s="1092">
        <f t="shared" si="6"/>
        <v>0</v>
      </c>
      <c r="I121" s="1055"/>
      <c r="J121" s="1055"/>
      <c r="K121" s="1107">
        <f t="shared" si="7"/>
        <v>0</v>
      </c>
      <c r="M121" s="1119"/>
    </row>
    <row r="122" spans="2:13" x14ac:dyDescent="0.3">
      <c r="B122" s="1060" t="s">
        <v>969</v>
      </c>
      <c r="C122" s="1055"/>
      <c r="D122" s="1055"/>
      <c r="E122" s="1092">
        <f t="shared" si="8"/>
        <v>0</v>
      </c>
      <c r="F122" s="1055"/>
      <c r="G122" s="1055"/>
      <c r="H122" s="1092">
        <f t="shared" si="6"/>
        <v>0</v>
      </c>
      <c r="I122" s="1055"/>
      <c r="J122" s="1055"/>
      <c r="K122" s="1107">
        <f t="shared" si="7"/>
        <v>0</v>
      </c>
      <c r="M122" s="1119"/>
    </row>
    <row r="123" spans="2:13" x14ac:dyDescent="0.3">
      <c r="B123" s="1060" t="s">
        <v>970</v>
      </c>
      <c r="C123" s="1055"/>
      <c r="D123" s="1055"/>
      <c r="E123" s="1092">
        <f t="shared" si="8"/>
        <v>0</v>
      </c>
      <c r="F123" s="1055"/>
      <c r="G123" s="1055"/>
      <c r="H123" s="1092">
        <f t="shared" si="6"/>
        <v>0</v>
      </c>
      <c r="I123" s="1055"/>
      <c r="J123" s="1055"/>
      <c r="K123" s="1107">
        <f t="shared" si="7"/>
        <v>0</v>
      </c>
      <c r="M123" s="1119"/>
    </row>
    <row r="124" spans="2:13" x14ac:dyDescent="0.3">
      <c r="B124" s="1060" t="s">
        <v>971</v>
      </c>
      <c r="C124" s="1055"/>
      <c r="D124" s="1055"/>
      <c r="E124" s="1092">
        <f t="shared" si="8"/>
        <v>0</v>
      </c>
      <c r="F124" s="1055"/>
      <c r="G124" s="1055"/>
      <c r="H124" s="1092">
        <f t="shared" si="6"/>
        <v>0</v>
      </c>
      <c r="I124" s="1055"/>
      <c r="J124" s="1055"/>
      <c r="K124" s="1107">
        <f t="shared" si="7"/>
        <v>0</v>
      </c>
      <c r="M124" s="1119"/>
    </row>
    <row r="125" spans="2:13" x14ac:dyDescent="0.3">
      <c r="B125" s="1060" t="s">
        <v>972</v>
      </c>
      <c r="C125" s="1055"/>
      <c r="D125" s="1055"/>
      <c r="E125" s="1092">
        <f t="shared" si="8"/>
        <v>0</v>
      </c>
      <c r="F125" s="1055"/>
      <c r="G125" s="1055"/>
      <c r="H125" s="1092">
        <f t="shared" si="6"/>
        <v>0</v>
      </c>
      <c r="I125" s="1055"/>
      <c r="J125" s="1055"/>
      <c r="K125" s="1107">
        <f t="shared" si="7"/>
        <v>0</v>
      </c>
      <c r="M125" s="1119"/>
    </row>
    <row r="126" spans="2:13" x14ac:dyDescent="0.3">
      <c r="B126" s="1060" t="s">
        <v>973</v>
      </c>
      <c r="C126" s="1055"/>
      <c r="D126" s="1055"/>
      <c r="E126" s="1092">
        <f t="shared" si="8"/>
        <v>0</v>
      </c>
      <c r="F126" s="1055"/>
      <c r="G126" s="1055"/>
      <c r="H126" s="1092">
        <f t="shared" si="6"/>
        <v>0</v>
      </c>
      <c r="I126" s="1055"/>
      <c r="J126" s="1055"/>
      <c r="K126" s="1107">
        <f t="shared" si="7"/>
        <v>0</v>
      </c>
      <c r="M126" s="1119"/>
    </row>
    <row r="127" spans="2:13" x14ac:dyDescent="0.3">
      <c r="B127" s="1060" t="s">
        <v>974</v>
      </c>
      <c r="C127" s="1055"/>
      <c r="D127" s="1055"/>
      <c r="E127" s="1092">
        <f t="shared" si="8"/>
        <v>0</v>
      </c>
      <c r="F127" s="1055"/>
      <c r="G127" s="1055"/>
      <c r="H127" s="1092">
        <f t="shared" si="6"/>
        <v>0</v>
      </c>
      <c r="I127" s="1055"/>
      <c r="J127" s="1055"/>
      <c r="K127" s="1107">
        <f t="shared" si="7"/>
        <v>0</v>
      </c>
      <c r="M127" s="1119"/>
    </row>
    <row r="128" spans="2:13" x14ac:dyDescent="0.3">
      <c r="B128" s="1060" t="s">
        <v>975</v>
      </c>
      <c r="C128" s="1055"/>
      <c r="D128" s="1055"/>
      <c r="E128" s="1092">
        <f t="shared" si="8"/>
        <v>0</v>
      </c>
      <c r="F128" s="1055"/>
      <c r="G128" s="1055"/>
      <c r="H128" s="1092">
        <f t="shared" si="6"/>
        <v>0</v>
      </c>
      <c r="I128" s="1055"/>
      <c r="J128" s="1055"/>
      <c r="K128" s="1107">
        <f t="shared" si="7"/>
        <v>0</v>
      </c>
      <c r="M128" s="1119"/>
    </row>
    <row r="129" spans="2:13" x14ac:dyDescent="0.3">
      <c r="B129" s="1060" t="s">
        <v>976</v>
      </c>
      <c r="C129" s="1055"/>
      <c r="D129" s="1055"/>
      <c r="E129" s="1092">
        <f t="shared" si="8"/>
        <v>0</v>
      </c>
      <c r="F129" s="1055"/>
      <c r="G129" s="1055"/>
      <c r="H129" s="1092">
        <f t="shared" si="6"/>
        <v>0</v>
      </c>
      <c r="I129" s="1055"/>
      <c r="J129" s="1055"/>
      <c r="K129" s="1107">
        <f t="shared" si="7"/>
        <v>0</v>
      </c>
      <c r="M129" s="1119"/>
    </row>
    <row r="130" spans="2:13" x14ac:dyDescent="0.3">
      <c r="B130" s="1060" t="s">
        <v>977</v>
      </c>
      <c r="C130" s="1055"/>
      <c r="D130" s="1055"/>
      <c r="E130" s="1092">
        <f t="shared" si="8"/>
        <v>0</v>
      </c>
      <c r="F130" s="1055"/>
      <c r="G130" s="1055"/>
      <c r="H130" s="1092">
        <f t="shared" si="6"/>
        <v>0</v>
      </c>
      <c r="I130" s="1055"/>
      <c r="J130" s="1055"/>
      <c r="K130" s="1107">
        <f t="shared" si="7"/>
        <v>0</v>
      </c>
      <c r="M130" s="1119"/>
    </row>
    <row r="131" spans="2:13" x14ac:dyDescent="0.3">
      <c r="B131" s="1060" t="s">
        <v>978</v>
      </c>
      <c r="C131" s="1055"/>
      <c r="D131" s="1055"/>
      <c r="E131" s="1092">
        <f t="shared" si="8"/>
        <v>0</v>
      </c>
      <c r="F131" s="1055"/>
      <c r="G131" s="1055"/>
      <c r="H131" s="1092">
        <f t="shared" si="6"/>
        <v>0</v>
      </c>
      <c r="I131" s="1055"/>
      <c r="J131" s="1055"/>
      <c r="K131" s="1107">
        <f t="shared" si="7"/>
        <v>0</v>
      </c>
      <c r="M131" s="1119"/>
    </row>
    <row r="132" spans="2:13" x14ac:dyDescent="0.3">
      <c r="B132" s="1060" t="s">
        <v>979</v>
      </c>
      <c r="C132" s="1055"/>
      <c r="D132" s="1055"/>
      <c r="E132" s="1092">
        <f t="shared" si="8"/>
        <v>0</v>
      </c>
      <c r="F132" s="1055"/>
      <c r="G132" s="1055"/>
      <c r="H132" s="1092">
        <f t="shared" si="6"/>
        <v>0</v>
      </c>
      <c r="I132" s="1055"/>
      <c r="J132" s="1055"/>
      <c r="K132" s="1107">
        <f t="shared" si="7"/>
        <v>0</v>
      </c>
      <c r="M132" s="1119"/>
    </row>
    <row r="133" spans="2:13" x14ac:dyDescent="0.3">
      <c r="B133" s="1060" t="s">
        <v>980</v>
      </c>
      <c r="C133" s="1055"/>
      <c r="D133" s="1055"/>
      <c r="E133" s="1092">
        <f t="shared" si="8"/>
        <v>0</v>
      </c>
      <c r="F133" s="1055"/>
      <c r="G133" s="1055"/>
      <c r="H133" s="1092">
        <f t="shared" si="6"/>
        <v>0</v>
      </c>
      <c r="I133" s="1055"/>
      <c r="J133" s="1055"/>
      <c r="K133" s="1107">
        <f t="shared" si="7"/>
        <v>0</v>
      </c>
      <c r="M133" s="1119"/>
    </row>
    <row r="134" spans="2:13" x14ac:dyDescent="0.3">
      <c r="B134" s="1060" t="s">
        <v>981</v>
      </c>
      <c r="C134" s="1055"/>
      <c r="D134" s="1055"/>
      <c r="E134" s="1092">
        <f t="shared" si="8"/>
        <v>0</v>
      </c>
      <c r="F134" s="1055"/>
      <c r="G134" s="1055"/>
      <c r="H134" s="1092">
        <f t="shared" si="6"/>
        <v>0</v>
      </c>
      <c r="I134" s="1055"/>
      <c r="J134" s="1055"/>
      <c r="K134" s="1107">
        <f t="shared" si="7"/>
        <v>0</v>
      </c>
      <c r="M134" s="1119"/>
    </row>
    <row r="135" spans="2:13" x14ac:dyDescent="0.3">
      <c r="B135" s="1060" t="s">
        <v>982</v>
      </c>
      <c r="C135" s="1055"/>
      <c r="D135" s="1055"/>
      <c r="E135" s="1092">
        <f t="shared" si="8"/>
        <v>0</v>
      </c>
      <c r="F135" s="1055"/>
      <c r="G135" s="1055"/>
      <c r="H135" s="1092">
        <f t="shared" si="6"/>
        <v>0</v>
      </c>
      <c r="I135" s="1055"/>
      <c r="J135" s="1055"/>
      <c r="K135" s="1107">
        <f t="shared" si="7"/>
        <v>0</v>
      </c>
      <c r="M135" s="1119"/>
    </row>
    <row r="136" spans="2:13" x14ac:dyDescent="0.3">
      <c r="B136" s="1060" t="s">
        <v>983</v>
      </c>
      <c r="C136" s="1055"/>
      <c r="D136" s="1055"/>
      <c r="E136" s="1092">
        <f t="shared" si="8"/>
        <v>0</v>
      </c>
      <c r="F136" s="1055"/>
      <c r="G136" s="1055"/>
      <c r="H136" s="1092">
        <f t="shared" si="6"/>
        <v>0</v>
      </c>
      <c r="I136" s="1055"/>
      <c r="J136" s="1055"/>
      <c r="K136" s="1107">
        <f t="shared" si="7"/>
        <v>0</v>
      </c>
      <c r="M136" s="1119"/>
    </row>
    <row r="137" spans="2:13" x14ac:dyDescent="0.3">
      <c r="B137" s="1060" t="s">
        <v>984</v>
      </c>
      <c r="C137" s="1055"/>
      <c r="D137" s="1055"/>
      <c r="E137" s="1092">
        <f t="shared" si="8"/>
        <v>0</v>
      </c>
      <c r="F137" s="1055"/>
      <c r="G137" s="1055"/>
      <c r="H137" s="1092">
        <f t="shared" si="6"/>
        <v>0</v>
      </c>
      <c r="I137" s="1055"/>
      <c r="J137" s="1055"/>
      <c r="K137" s="1107">
        <f t="shared" si="7"/>
        <v>0</v>
      </c>
      <c r="M137" s="1119"/>
    </row>
    <row r="138" spans="2:13" x14ac:dyDescent="0.3">
      <c r="B138" s="1060" t="s">
        <v>985</v>
      </c>
      <c r="C138" s="1055"/>
      <c r="D138" s="1055"/>
      <c r="E138" s="1092">
        <f t="shared" si="8"/>
        <v>0</v>
      </c>
      <c r="F138" s="1055"/>
      <c r="G138" s="1055"/>
      <c r="H138" s="1092">
        <f t="shared" si="6"/>
        <v>0</v>
      </c>
      <c r="I138" s="1055"/>
      <c r="J138" s="1055"/>
      <c r="K138" s="1107">
        <f t="shared" si="7"/>
        <v>0</v>
      </c>
      <c r="M138" s="1119"/>
    </row>
    <row r="139" spans="2:13" x14ac:dyDescent="0.3">
      <c r="B139" s="1060" t="s">
        <v>986</v>
      </c>
      <c r="C139" s="1055"/>
      <c r="D139" s="1055"/>
      <c r="E139" s="1092">
        <f t="shared" si="8"/>
        <v>0</v>
      </c>
      <c r="F139" s="1055"/>
      <c r="G139" s="1055"/>
      <c r="H139" s="1092">
        <f t="shared" si="6"/>
        <v>0</v>
      </c>
      <c r="I139" s="1055"/>
      <c r="J139" s="1055"/>
      <c r="K139" s="1107">
        <f t="shared" si="7"/>
        <v>0</v>
      </c>
      <c r="M139" s="1119"/>
    </row>
    <row r="140" spans="2:13" x14ac:dyDescent="0.3">
      <c r="B140" s="1060" t="s">
        <v>987</v>
      </c>
      <c r="C140" s="1055"/>
      <c r="D140" s="1055"/>
      <c r="E140" s="1092">
        <f t="shared" si="8"/>
        <v>0</v>
      </c>
      <c r="F140" s="1055"/>
      <c r="G140" s="1055"/>
      <c r="H140" s="1092">
        <f t="shared" si="6"/>
        <v>0</v>
      </c>
      <c r="I140" s="1055"/>
      <c r="J140" s="1055"/>
      <c r="K140" s="1107">
        <f t="shared" si="7"/>
        <v>0</v>
      </c>
      <c r="M140" s="1119"/>
    </row>
    <row r="141" spans="2:13" x14ac:dyDescent="0.3">
      <c r="B141" s="1060" t="s">
        <v>988</v>
      </c>
      <c r="C141" s="1055"/>
      <c r="D141" s="1055"/>
      <c r="E141" s="1092">
        <f t="shared" si="8"/>
        <v>0</v>
      </c>
      <c r="F141" s="1055"/>
      <c r="G141" s="1055"/>
      <c r="H141" s="1092">
        <f t="shared" si="6"/>
        <v>0</v>
      </c>
      <c r="I141" s="1055"/>
      <c r="J141" s="1055"/>
      <c r="K141" s="1107">
        <f t="shared" si="7"/>
        <v>0</v>
      </c>
      <c r="M141" s="1119"/>
    </row>
    <row r="142" spans="2:13" x14ac:dyDescent="0.3">
      <c r="B142" s="1060" t="s">
        <v>989</v>
      </c>
      <c r="C142" s="1055"/>
      <c r="D142" s="1055"/>
      <c r="E142" s="1092">
        <f t="shared" si="8"/>
        <v>0</v>
      </c>
      <c r="F142" s="1055"/>
      <c r="G142" s="1055"/>
      <c r="H142" s="1092">
        <f t="shared" si="6"/>
        <v>0</v>
      </c>
      <c r="I142" s="1055"/>
      <c r="J142" s="1055"/>
      <c r="K142" s="1107">
        <f t="shared" si="7"/>
        <v>0</v>
      </c>
      <c r="M142" s="1119"/>
    </row>
    <row r="143" spans="2:13" x14ac:dyDescent="0.3">
      <c r="B143" s="1060" t="s">
        <v>990</v>
      </c>
      <c r="C143" s="1055"/>
      <c r="D143" s="1055"/>
      <c r="E143" s="1092">
        <f t="shared" si="8"/>
        <v>0</v>
      </c>
      <c r="F143" s="1055"/>
      <c r="G143" s="1055"/>
      <c r="H143" s="1092">
        <f t="shared" si="6"/>
        <v>0</v>
      </c>
      <c r="I143" s="1055"/>
      <c r="J143" s="1055"/>
      <c r="K143" s="1107">
        <f t="shared" si="7"/>
        <v>0</v>
      </c>
      <c r="M143" s="1119"/>
    </row>
    <row r="144" spans="2:13" x14ac:dyDescent="0.3">
      <c r="B144" s="1060" t="s">
        <v>991</v>
      </c>
      <c r="C144" s="1055"/>
      <c r="D144" s="1055"/>
      <c r="E144" s="1092">
        <f t="shared" si="8"/>
        <v>0</v>
      </c>
      <c r="F144" s="1055"/>
      <c r="G144" s="1055"/>
      <c r="H144" s="1092">
        <f t="shared" si="6"/>
        <v>0</v>
      </c>
      <c r="I144" s="1055"/>
      <c r="J144" s="1055"/>
      <c r="K144" s="1107">
        <f t="shared" si="7"/>
        <v>0</v>
      </c>
      <c r="M144" s="1119"/>
    </row>
    <row r="145" spans="1:13" x14ac:dyDescent="0.3">
      <c r="B145" s="1060" t="s">
        <v>992</v>
      </c>
      <c r="C145" s="1055"/>
      <c r="D145" s="1055"/>
      <c r="E145" s="1092">
        <f t="shared" si="8"/>
        <v>0</v>
      </c>
      <c r="F145" s="1055"/>
      <c r="G145" s="1055"/>
      <c r="H145" s="1092">
        <f t="shared" si="6"/>
        <v>0</v>
      </c>
      <c r="I145" s="1055"/>
      <c r="J145" s="1055"/>
      <c r="K145" s="1107">
        <f t="shared" si="7"/>
        <v>0</v>
      </c>
      <c r="M145" s="1119"/>
    </row>
    <row r="146" spans="1:13" x14ac:dyDescent="0.3">
      <c r="B146" s="1060" t="s">
        <v>993</v>
      </c>
      <c r="C146" s="1055"/>
      <c r="D146" s="1055"/>
      <c r="E146" s="1092">
        <f t="shared" si="8"/>
        <v>0</v>
      </c>
      <c r="F146" s="1055"/>
      <c r="G146" s="1055"/>
      <c r="H146" s="1092">
        <f t="shared" si="6"/>
        <v>0</v>
      </c>
      <c r="I146" s="1055"/>
      <c r="J146" s="1055"/>
      <c r="K146" s="1107">
        <f t="shared" si="7"/>
        <v>0</v>
      </c>
      <c r="M146" s="1119"/>
    </row>
    <row r="147" spans="1:13" x14ac:dyDescent="0.3">
      <c r="B147" s="1060" t="s">
        <v>994</v>
      </c>
      <c r="C147" s="1055"/>
      <c r="D147" s="1055"/>
      <c r="E147" s="1092">
        <f t="shared" si="8"/>
        <v>0</v>
      </c>
      <c r="F147" s="1055"/>
      <c r="G147" s="1055"/>
      <c r="H147" s="1092">
        <f t="shared" si="6"/>
        <v>0</v>
      </c>
      <c r="I147" s="1055"/>
      <c r="J147" s="1055"/>
      <c r="K147" s="1107">
        <f t="shared" si="7"/>
        <v>0</v>
      </c>
      <c r="M147" s="1119"/>
    </row>
    <row r="148" spans="1:13" x14ac:dyDescent="0.3">
      <c r="B148" s="1060" t="s">
        <v>995</v>
      </c>
      <c r="C148" s="1055"/>
      <c r="D148" s="1055"/>
      <c r="E148" s="1092">
        <f t="shared" si="8"/>
        <v>0</v>
      </c>
      <c r="F148" s="1055"/>
      <c r="G148" s="1055"/>
      <c r="H148" s="1092">
        <f>F148*(G148-$J$22)</f>
        <v>0</v>
      </c>
      <c r="I148" s="1055"/>
      <c r="J148" s="1055"/>
      <c r="K148" s="1107">
        <f>I148*(J148-$J$22)</f>
        <v>0</v>
      </c>
      <c r="M148" s="1119"/>
    </row>
    <row r="149" spans="1:13" x14ac:dyDescent="0.3">
      <c r="B149" s="1060" t="s">
        <v>996</v>
      </c>
      <c r="C149" s="1055"/>
      <c r="D149" s="1055"/>
      <c r="E149" s="1092">
        <f>C149*(D149-$J$22)</f>
        <v>0</v>
      </c>
      <c r="F149" s="1055"/>
      <c r="G149" s="1055"/>
      <c r="H149" s="1092">
        <f>F149*(G149-$J$22)</f>
        <v>0</v>
      </c>
      <c r="I149" s="1055"/>
      <c r="J149" s="1055"/>
      <c r="K149" s="1107">
        <f>I149*(J149-$J$22)</f>
        <v>0</v>
      </c>
      <c r="M149" s="1119"/>
    </row>
    <row r="150" spans="1:13" x14ac:dyDescent="0.3">
      <c r="B150" s="1060" t="s">
        <v>997</v>
      </c>
      <c r="C150" s="1055"/>
      <c r="D150" s="1055"/>
      <c r="E150" s="1092">
        <f>C150*(D150-$J$22)</f>
        <v>0</v>
      </c>
      <c r="F150" s="1055"/>
      <c r="G150" s="1055"/>
      <c r="H150" s="1092">
        <f>F150*(G150-$J$22)</f>
        <v>0</v>
      </c>
      <c r="I150" s="1055"/>
      <c r="J150" s="1055"/>
      <c r="K150" s="1107">
        <f>I150*(J150-$J$22)</f>
        <v>0</v>
      </c>
      <c r="M150" s="1119"/>
    </row>
    <row r="151" spans="1:13" ht="17.25" thickBot="1" x14ac:dyDescent="0.35">
      <c r="B151" s="1108" t="s">
        <v>998</v>
      </c>
      <c r="C151" s="1109"/>
      <c r="D151" s="1109"/>
      <c r="E151" s="1110">
        <f>C151*(D151-$J$22)</f>
        <v>0</v>
      </c>
      <c r="F151" s="1109"/>
      <c r="G151" s="1109"/>
      <c r="H151" s="1110">
        <f>F151*(G151-$J$22)</f>
        <v>0</v>
      </c>
      <c r="I151" s="1109"/>
      <c r="J151" s="1109"/>
      <c r="K151" s="1111">
        <f>I151*(J151-$J$22)</f>
        <v>0</v>
      </c>
      <c r="M151" s="1119"/>
    </row>
    <row r="152" spans="1:13" x14ac:dyDescent="0.3">
      <c r="M152" s="1119"/>
    </row>
    <row r="153" spans="1:13" x14ac:dyDescent="0.3">
      <c r="A153" s="1119"/>
      <c r="B153" s="1119"/>
      <c r="C153" s="1119"/>
      <c r="D153" s="1119"/>
      <c r="E153" s="1119"/>
      <c r="F153" s="1119"/>
      <c r="G153" s="1119"/>
      <c r="H153" s="1119"/>
      <c r="I153" s="1119"/>
      <c r="J153" s="1119"/>
      <c r="K153" s="1119"/>
      <c r="L153" s="1119"/>
      <c r="M153" s="1119"/>
    </row>
  </sheetData>
  <sheetProtection algorithmName="SHA-512" hashValue="bOx1AnBpHIBSTnR1RtTuV6+A1+uTFUKbVr+mQJwirUsEI440MLNVzuEbGjXoYxopjWm+mnOdpqVQT0zLFiATNA==" saltValue="60hByf0lR22kt8XLpAFIuQ==" spinCount="100000" sheet="1" selectLockedCells="1"/>
  <mergeCells count="14">
    <mergeCell ref="I50:K50"/>
    <mergeCell ref="C50:E50"/>
    <mergeCell ref="F50:H50"/>
    <mergeCell ref="J26:K26"/>
    <mergeCell ref="B2:C2"/>
    <mergeCell ref="B24:K24"/>
    <mergeCell ref="B22:K22"/>
    <mergeCell ref="B21:K21"/>
    <mergeCell ref="B19:K19"/>
    <mergeCell ref="B18:K18"/>
    <mergeCell ref="B17:K17"/>
    <mergeCell ref="B14:K14"/>
    <mergeCell ref="B16:K16"/>
    <mergeCell ref="B12:K12"/>
  </mergeCells>
  <hyperlinks>
    <hyperlink ref="E4" location="Instructions!C33" display="Back to Instructions tab" xr:uid="{BAD63103-B681-4904-879D-E8BBF1316985}"/>
  </hyperlink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70C0"/>
  </sheetPr>
  <dimension ref="A1:P332"/>
  <sheetViews>
    <sheetView showGridLines="0" zoomScale="80" zoomScaleNormal="80" workbookViewId="0">
      <selection activeCell="C13" sqref="C13"/>
    </sheetView>
  </sheetViews>
  <sheetFormatPr defaultColWidth="9" defaultRowHeight="16.5" x14ac:dyDescent="0.3"/>
  <cols>
    <col min="1" max="1" width="3.625" style="133" customWidth="1"/>
    <col min="2" max="2" width="77.625" style="142" customWidth="1"/>
    <col min="3" max="3" width="20.75" style="122" customWidth="1"/>
    <col min="4" max="11" width="13.125" style="141" customWidth="1"/>
    <col min="12" max="12" width="8.375" style="141" customWidth="1"/>
    <col min="13" max="13" width="3.125" style="133" customWidth="1"/>
    <col min="14" max="14" width="34.875" style="133" customWidth="1"/>
    <col min="15" max="15" width="9" style="133"/>
    <col min="16" max="16" width="11.875" style="133" customWidth="1"/>
    <col min="17" max="16384" width="9" style="133"/>
  </cols>
  <sheetData>
    <row r="1" spans="2:13" ht="17.25" customHeight="1" thickBot="1" x14ac:dyDescent="0.35">
      <c r="M1" s="139"/>
    </row>
    <row r="2" spans="2:13" ht="18" thickBot="1" x14ac:dyDescent="0.35">
      <c r="B2" s="1537" t="s">
        <v>228</v>
      </c>
      <c r="C2" s="1538"/>
      <c r="D2" s="231"/>
      <c r="F2" s="133"/>
      <c r="G2" s="133"/>
      <c r="H2" s="133"/>
      <c r="I2" s="133"/>
      <c r="J2" s="133"/>
      <c r="K2" s="133"/>
      <c r="L2" s="133"/>
      <c r="M2" s="139"/>
    </row>
    <row r="3" spans="2:13" ht="19.5" customHeight="1" x14ac:dyDescent="0.3">
      <c r="B3" s="221" t="s">
        <v>229</v>
      </c>
      <c r="C3" s="222" t="str">
        <f>'Version Control'!C3</f>
        <v>Consumer Boiler</v>
      </c>
      <c r="D3" s="236"/>
      <c r="F3" s="133"/>
      <c r="G3" s="133"/>
      <c r="H3" s="133"/>
      <c r="I3" s="133"/>
      <c r="J3" s="133"/>
      <c r="K3" s="133"/>
      <c r="L3" s="133"/>
      <c r="M3" s="139"/>
    </row>
    <row r="4" spans="2:13" ht="18" x14ac:dyDescent="0.3">
      <c r="B4" s="223" t="s">
        <v>117</v>
      </c>
      <c r="C4" s="224" t="str">
        <f>'Version Control'!C4</f>
        <v>v2.1</v>
      </c>
      <c r="D4" s="171"/>
      <c r="F4" s="76" t="s">
        <v>124</v>
      </c>
      <c r="G4" s="133"/>
      <c r="H4" s="133"/>
      <c r="I4" s="133"/>
      <c r="J4" s="133"/>
      <c r="K4" s="133"/>
      <c r="L4" s="133"/>
      <c r="M4" s="139"/>
    </row>
    <row r="5" spans="2:13" x14ac:dyDescent="0.3">
      <c r="B5" s="223" t="s">
        <v>118</v>
      </c>
      <c r="C5" s="225">
        <f>'Version Control'!C5</f>
        <v>45407</v>
      </c>
      <c r="D5" s="171"/>
      <c r="F5" s="133"/>
      <c r="G5" s="133"/>
      <c r="H5" s="133"/>
      <c r="I5" s="133"/>
      <c r="J5" s="133"/>
      <c r="K5" s="133"/>
      <c r="L5" s="133"/>
      <c r="M5" s="139"/>
    </row>
    <row r="6" spans="2:13" x14ac:dyDescent="0.3">
      <c r="B6" s="226" t="s">
        <v>116</v>
      </c>
      <c r="C6" s="227" t="str">
        <f ca="1">MID(CELL("filename",A1), FIND("]", CELL("filename", A1))+ 1, 255)</f>
        <v>Max Test</v>
      </c>
      <c r="D6" s="171"/>
      <c r="F6" s="133"/>
      <c r="G6" s="133"/>
      <c r="H6" s="133"/>
      <c r="I6" s="133"/>
      <c r="J6" s="133"/>
      <c r="K6" s="133"/>
      <c r="L6" s="133"/>
      <c r="M6" s="139"/>
    </row>
    <row r="7" spans="2:13" x14ac:dyDescent="0.3">
      <c r="B7" s="228" t="s">
        <v>115</v>
      </c>
      <c r="C7" s="1022" t="str">
        <f ca="1">'Version Control'!C7</f>
        <v>Consumer Boiler - v2.1.xlsx</v>
      </c>
      <c r="D7" s="171"/>
      <c r="F7" s="133"/>
      <c r="G7" s="133"/>
      <c r="H7" s="133"/>
      <c r="I7" s="133"/>
      <c r="J7" s="133"/>
      <c r="K7" s="133"/>
      <c r="L7" s="133"/>
      <c r="M7" s="139"/>
    </row>
    <row r="8" spans="2:13" ht="17.25" thickBot="1" x14ac:dyDescent="0.35">
      <c r="B8" s="229" t="s">
        <v>119</v>
      </c>
      <c r="C8" s="230" t="str">
        <f>'Version Control'!C8</f>
        <v>[MM/DD/YYYY]</v>
      </c>
      <c r="D8" s="156"/>
      <c r="F8" s="133"/>
      <c r="G8" s="133"/>
      <c r="H8" s="133"/>
      <c r="I8" s="133"/>
      <c r="J8" s="133"/>
      <c r="K8" s="133"/>
      <c r="L8" s="133"/>
      <c r="M8" s="139"/>
    </row>
    <row r="9" spans="2:13" ht="17.25" thickBot="1" x14ac:dyDescent="0.35">
      <c r="B9" s="1275"/>
      <c r="C9" s="1276"/>
      <c r="D9" s="156"/>
      <c r="F9" s="133"/>
      <c r="G9" s="133"/>
      <c r="H9" s="133"/>
      <c r="I9" s="133"/>
      <c r="J9" s="133"/>
      <c r="K9" s="133"/>
      <c r="L9" s="133"/>
      <c r="M9" s="139"/>
    </row>
    <row r="10" spans="2:13" ht="18" thickBot="1" x14ac:dyDescent="0.35">
      <c r="B10" s="273" t="str">
        <f>"Test Timing" &amp; IF('Sys. # &amp; Product Characteristic'!Heating_Fuel_Used="Electricity"," - NOT REQUIRED FOR THIS TEST","")</f>
        <v>Test Timing</v>
      </c>
      <c r="C10" s="274"/>
      <c r="D10" s="275"/>
      <c r="E10" s="889"/>
      <c r="F10" s="934"/>
      <c r="G10" s="934"/>
      <c r="H10" s="934"/>
      <c r="I10" s="934"/>
      <c r="J10" s="934"/>
      <c r="K10" s="935"/>
      <c r="L10" s="133"/>
      <c r="M10" s="139"/>
    </row>
    <row r="11" spans="2:13" ht="132.94999999999999" customHeight="1" x14ac:dyDescent="0.3">
      <c r="B11" s="1772" t="s">
        <v>1256</v>
      </c>
      <c r="C11" s="1773"/>
      <c r="D11" s="1773"/>
      <c r="E11" s="1773"/>
      <c r="F11" s="1773"/>
      <c r="G11" s="1773"/>
      <c r="H11" s="1773"/>
      <c r="I11" s="1773"/>
      <c r="J11" s="1773"/>
      <c r="K11" s="1774"/>
      <c r="L11" s="133"/>
      <c r="M11" s="139"/>
    </row>
    <row r="12" spans="2:13" ht="15.6" customHeight="1" x14ac:dyDescent="0.3">
      <c r="B12" s="1484" t="s">
        <v>1305</v>
      </c>
      <c r="C12" s="1779"/>
      <c r="D12" s="1779"/>
      <c r="E12" s="1779"/>
      <c r="F12" s="1779"/>
      <c r="G12" s="1779"/>
      <c r="H12" s="1779"/>
      <c r="I12" s="1779"/>
      <c r="J12" s="1779"/>
      <c r="K12" s="1780"/>
      <c r="L12" s="133"/>
      <c r="M12" s="139"/>
    </row>
    <row r="13" spans="2:13" ht="34.5" customHeight="1" x14ac:dyDescent="0.3">
      <c r="B13" s="1485" t="s">
        <v>1310</v>
      </c>
      <c r="C13" s="1498"/>
      <c r="D13" s="1787" t="s">
        <v>1314</v>
      </c>
      <c r="E13" s="1788"/>
      <c r="F13" s="1788"/>
      <c r="G13" s="1788"/>
      <c r="H13" s="1788"/>
      <c r="I13" s="1788"/>
      <c r="J13" s="1788"/>
      <c r="K13" s="1734"/>
      <c r="L13" s="133"/>
      <c r="M13" s="139"/>
    </row>
    <row r="14" spans="2:13" ht="17.25" x14ac:dyDescent="0.3">
      <c r="B14" s="1767" t="str">
        <f>"Steady-State Timing" &amp; IF('Sys. # &amp; Product Characteristic'!Heating_Fuel_Used="Electricity"," - NOT REQUIRED FOR THIS TEST","")</f>
        <v>Steady-State Timing</v>
      </c>
      <c r="C14" s="1768"/>
      <c r="D14" s="1768"/>
      <c r="E14" s="1768"/>
      <c r="F14" s="1768"/>
      <c r="G14" s="1768"/>
      <c r="H14" s="1768"/>
      <c r="I14" s="1768"/>
      <c r="J14" s="1768"/>
      <c r="K14" s="1769"/>
      <c r="L14" s="133"/>
      <c r="M14" s="139"/>
    </row>
    <row r="15" spans="2:13" ht="15.6" customHeight="1" x14ac:dyDescent="0.3">
      <c r="B15" s="1775" t="s">
        <v>52</v>
      </c>
      <c r="C15" s="1706" t="s">
        <v>1199</v>
      </c>
      <c r="D15" s="1778"/>
      <c r="E15" s="1707"/>
      <c r="F15" s="1776" t="s">
        <v>85</v>
      </c>
      <c r="G15" s="1290"/>
      <c r="H15" s="1289"/>
      <c r="I15" s="430"/>
      <c r="J15" s="430"/>
      <c r="K15" s="1291"/>
      <c r="L15" s="133"/>
      <c r="M15" s="320"/>
    </row>
    <row r="16" spans="2:13" ht="17.25" x14ac:dyDescent="0.3">
      <c r="B16" s="1705"/>
      <c r="C16" s="1483" t="s">
        <v>35</v>
      </c>
      <c r="D16" s="1471" t="s">
        <v>1200</v>
      </c>
      <c r="E16" s="1471" t="s">
        <v>1201</v>
      </c>
      <c r="F16" s="1777"/>
      <c r="G16" s="1290"/>
      <c r="H16" s="1289"/>
      <c r="I16" s="430"/>
      <c r="J16" s="430"/>
      <c r="K16" s="1291"/>
      <c r="L16" s="133"/>
      <c r="M16" s="320"/>
    </row>
    <row r="17" spans="2:13" x14ac:dyDescent="0.3">
      <c r="B17" s="1781" t="s">
        <v>1198</v>
      </c>
      <c r="C17" s="1481" t="s">
        <v>1302</v>
      </c>
      <c r="D17" s="1493"/>
      <c r="E17" s="1500"/>
      <c r="F17" s="1784" t="str">
        <f>IF(AND(C13="12 Hour Time", D20=E20, ((E17+E18/60+E19/3600)-(Steady_State_End+D18/60+D19/3600)&gt;=0.5), ((E17+E18/60+E19/3600)-(Steady_State_End+D18/60+D19/3600)&lt;=0.5014)), "Yes",
IF(AND(C13 = "12 Hour Time", D20&lt;&gt;E20,Steady_State_End=11, E17=12, (((E17)+E18/60+E19/3600)-((Steady_State_End)+D18/60+D19/3600)&gt;=0.5), (((E17)+E18/60+E19/3600)-((Steady_State_End)+D18/60+D19/3600)&lt;=0.5014)), "Yes",
IF(AND(C13 = "24 Hour Time", ((E17+E18/60+E19/3600)-(Steady_State_End+D18/60+D19/3600)&gt;=0.5), ((E17+E18/60+E19/3600)-((Steady_State_End)+D18/60+D19/3600)&lt;=0.5014)), "Yes",
IF(AND(C13 = "Second Count", ((E19-D19)&gt;= 1800),((E19-D19)&lt;= 1805)),"Yes", "No"))))</f>
        <v>No</v>
      </c>
      <c r="G17" s="1290"/>
      <c r="H17" s="1288"/>
      <c r="I17" s="430"/>
      <c r="J17" s="430"/>
      <c r="K17" s="1291"/>
      <c r="L17" s="133"/>
      <c r="M17" s="320"/>
    </row>
    <row r="18" spans="2:13" x14ac:dyDescent="0.3">
      <c r="B18" s="1782"/>
      <c r="C18" s="1481" t="s">
        <v>1303</v>
      </c>
      <c r="D18" s="1493"/>
      <c r="E18" s="1500"/>
      <c r="F18" s="1785"/>
      <c r="G18" s="1290"/>
      <c r="H18" s="1288"/>
      <c r="I18" s="430"/>
      <c r="J18" s="430"/>
      <c r="K18" s="1291"/>
      <c r="L18" s="133"/>
      <c r="M18" s="320"/>
    </row>
    <row r="19" spans="2:13" x14ac:dyDescent="0.3">
      <c r="B19" s="1782"/>
      <c r="C19" s="1482" t="s">
        <v>1304</v>
      </c>
      <c r="D19" s="1493"/>
      <c r="E19" s="1500"/>
      <c r="F19" s="1785"/>
      <c r="G19" s="1290"/>
      <c r="H19" s="1288"/>
      <c r="I19" s="430"/>
      <c r="J19" s="430"/>
      <c r="K19" s="1291"/>
      <c r="L19" s="133"/>
      <c r="M19" s="320"/>
    </row>
    <row r="20" spans="2:13" x14ac:dyDescent="0.3">
      <c r="B20" s="1783"/>
      <c r="C20" s="1486" t="s">
        <v>1311</v>
      </c>
      <c r="D20" s="1493"/>
      <c r="E20" s="1500"/>
      <c r="F20" s="1786"/>
      <c r="G20" s="1290"/>
      <c r="H20" s="1288"/>
      <c r="I20" s="430"/>
      <c r="J20" s="430"/>
      <c r="K20" s="1291"/>
      <c r="L20" s="133"/>
      <c r="M20" s="320"/>
    </row>
    <row r="21" spans="2:13" ht="115.5" customHeight="1" x14ac:dyDescent="0.3">
      <c r="B21" s="1716" t="s">
        <v>1281</v>
      </c>
      <c r="C21" s="1770"/>
      <c r="D21" s="1770"/>
      <c r="E21" s="1770"/>
      <c r="F21" s="1770"/>
      <c r="G21" s="1770"/>
      <c r="H21" s="1770"/>
      <c r="I21" s="1770"/>
      <c r="J21" s="1770"/>
      <c r="K21" s="1771"/>
      <c r="L21" s="133"/>
      <c r="M21" s="320"/>
    </row>
    <row r="22" spans="2:13" ht="18" customHeight="1" x14ac:dyDescent="0.3">
      <c r="B22" s="1490" t="s">
        <v>1305</v>
      </c>
      <c r="C22" s="1489"/>
      <c r="D22" s="1489"/>
      <c r="E22" s="1489"/>
      <c r="F22" s="1489"/>
      <c r="G22" s="1489"/>
      <c r="H22" s="1489"/>
      <c r="I22" s="1489"/>
      <c r="J22" s="1489"/>
      <c r="K22" s="1473"/>
      <c r="L22" s="133"/>
      <c r="M22" s="320"/>
    </row>
    <row r="23" spans="2:13" ht="32.450000000000003" customHeight="1" x14ac:dyDescent="0.3">
      <c r="B23" s="1495" t="s">
        <v>1310</v>
      </c>
      <c r="C23" s="1498"/>
      <c r="D23" s="1692" t="s">
        <v>1314</v>
      </c>
      <c r="E23" s="1789"/>
      <c r="F23" s="1789"/>
      <c r="G23" s="1789"/>
      <c r="H23" s="1789"/>
      <c r="I23" s="1789"/>
      <c r="J23" s="1789"/>
      <c r="K23" s="1720"/>
      <c r="L23" s="133"/>
      <c r="M23" s="320"/>
    </row>
    <row r="24" spans="2:13" ht="17.45" customHeight="1" x14ac:dyDescent="0.3">
      <c r="B24" s="1767" t="str">
        <f>"Steady-State Condensate Measurement Timing " &amp; IF(OR('Sys. # &amp; Product Characteristic'!Heating_Fuel_Used="Electricity",'Sys. # &amp; Product Characteristic'!Control_Type = "Single Stage")," - NOT REQUIRED FOR THIS TEST","")</f>
        <v xml:space="preserve">Steady-State Condensate Measurement Timing </v>
      </c>
      <c r="C24" s="1768"/>
      <c r="D24" s="1768"/>
      <c r="E24" s="1768"/>
      <c r="F24" s="1768"/>
      <c r="G24" s="1768"/>
      <c r="H24" s="1768"/>
      <c r="I24" s="1768"/>
      <c r="J24" s="1768"/>
      <c r="K24" s="1769"/>
      <c r="L24" s="133"/>
      <c r="M24" s="320"/>
    </row>
    <row r="25" spans="2:13" ht="17.45" customHeight="1" x14ac:dyDescent="0.3">
      <c r="B25" s="1775" t="s">
        <v>52</v>
      </c>
      <c r="C25" s="1706" t="s">
        <v>1199</v>
      </c>
      <c r="D25" s="1778"/>
      <c r="E25" s="1707"/>
      <c r="F25" s="1715" t="s">
        <v>85</v>
      </c>
      <c r="G25" s="430"/>
      <c r="H25" s="430"/>
      <c r="I25" s="1278"/>
      <c r="J25" s="1278"/>
      <c r="K25" s="1280"/>
      <c r="L25" s="133"/>
      <c r="M25" s="320"/>
    </row>
    <row r="26" spans="2:13" ht="19.5" customHeight="1" x14ac:dyDescent="0.3">
      <c r="B26" s="1705"/>
      <c r="C26" s="1279" t="s">
        <v>35</v>
      </c>
      <c r="D26" s="1279" t="s">
        <v>1200</v>
      </c>
      <c r="E26" s="1475" t="s">
        <v>1201</v>
      </c>
      <c r="F26" s="1708"/>
      <c r="G26" s="430"/>
      <c r="H26" s="430"/>
      <c r="I26" s="1278"/>
      <c r="J26" s="1278"/>
      <c r="K26" s="1280"/>
      <c r="L26" s="133"/>
      <c r="M26" s="320"/>
    </row>
    <row r="27" spans="2:13" ht="18" customHeight="1" x14ac:dyDescent="0.3">
      <c r="B27" s="1790" t="s">
        <v>1198</v>
      </c>
      <c r="C27" s="1481" t="s">
        <v>1302</v>
      </c>
      <c r="D27" s="1493"/>
      <c r="E27" s="1499"/>
      <c r="F27" s="1784" t="str">
        <f>IF(OR((((Steady_State_Condensate_End+D28/60+D29/3600)-(E17+E18/60+E19/3600))&lt;=(5/3600)),((D29-E19)&lt;=5)),
IF(AND(C23="12 Hour Time",D30=E30,((E27+E28/60+E29/3600)-(Steady_State_End+D28/60+D29/3600)&gt;=1799/3600),((E27+E28/60+E29/3600)-(Steady_State_End+D28/60+D29/3600)&lt;=1805/3600)),"Yes",
IF(AND(C23="12 Hour Time",D30&lt;&gt;E30,Steady_State_Condensate_End=11,E27=12*(((E27)+E28/60+E29/3600)-((Steady_State_End)+D28/60+D29/3600)&gt;=1799/3600),(((E27)+E28/60+E29/3600)-((Steady_State_End)+D28/60+D29/3600)&lt;=1805/3600)),"Yes",
IF(AND(C23="24 Hour Time",((E27+E28/60+E29/3600)-(Steady_State_End+D28/60+D29/3600)&gt;=1799/3600),((E27+E28/60+E29/3600)-((Steady_State_End)+D28/60+D29/3600)&lt;=1805/3600)),"Yes",
IF(AND(C23="Second Count",((E29-D29)&gt;=1799),((E29-D29)&lt;=1805)),"Yes","No")))),"No")</f>
        <v>No</v>
      </c>
      <c r="G27" s="430"/>
      <c r="H27" s="430"/>
      <c r="I27" s="1278"/>
      <c r="J27" s="1278"/>
      <c r="K27" s="1280"/>
      <c r="L27" s="133"/>
      <c r="M27" s="320"/>
    </row>
    <row r="28" spans="2:13" ht="18" customHeight="1" x14ac:dyDescent="0.3">
      <c r="B28" s="1791"/>
      <c r="C28" s="1481" t="s">
        <v>1303</v>
      </c>
      <c r="D28" s="1493"/>
      <c r="E28" s="1499"/>
      <c r="F28" s="1785"/>
      <c r="G28" s="430"/>
      <c r="H28" s="430"/>
      <c r="I28" s="1278"/>
      <c r="J28" s="1278"/>
      <c r="K28" s="1280"/>
      <c r="L28" s="133"/>
      <c r="M28" s="320"/>
    </row>
    <row r="29" spans="2:13" ht="18" customHeight="1" x14ac:dyDescent="0.3">
      <c r="B29" s="1791"/>
      <c r="C29" s="1482" t="s">
        <v>1304</v>
      </c>
      <c r="D29" s="1493"/>
      <c r="E29" s="1499"/>
      <c r="F29" s="1785"/>
      <c r="G29" s="430"/>
      <c r="H29" s="430"/>
      <c r="I29" s="1278"/>
      <c r="J29" s="1278"/>
      <c r="K29" s="1280"/>
      <c r="L29" s="133"/>
      <c r="M29" s="320"/>
    </row>
    <row r="30" spans="2:13" ht="18" customHeight="1" thickBot="1" x14ac:dyDescent="0.35">
      <c r="B30" s="1791"/>
      <c r="C30" s="1486" t="s">
        <v>1311</v>
      </c>
      <c r="D30" s="1493"/>
      <c r="E30" s="1500"/>
      <c r="F30" s="1792"/>
      <c r="G30" s="430"/>
      <c r="H30" s="430"/>
      <c r="I30" s="1278"/>
      <c r="J30" s="1278"/>
      <c r="K30" s="1280"/>
      <c r="L30" s="133"/>
      <c r="M30" s="320"/>
    </row>
    <row r="31" spans="2:13" ht="18" customHeight="1" thickBot="1" x14ac:dyDescent="0.35">
      <c r="B31" s="901"/>
      <c r="C31" s="1283"/>
      <c r="D31" s="1283"/>
      <c r="E31" s="1284"/>
      <c r="F31" s="1488"/>
      <c r="G31" s="917"/>
      <c r="H31" s="917"/>
      <c r="I31" s="1285"/>
      <c r="J31" s="1285"/>
      <c r="K31" s="1286"/>
      <c r="L31" s="133"/>
      <c r="M31" s="320"/>
    </row>
    <row r="32" spans="2:13" ht="192" customHeight="1" x14ac:dyDescent="0.3">
      <c r="B32" s="1802" t="s">
        <v>1282</v>
      </c>
      <c r="C32" s="1803"/>
      <c r="D32" s="1803"/>
      <c r="E32" s="1803"/>
      <c r="F32" s="1803"/>
      <c r="G32" s="1803"/>
      <c r="H32" s="1803"/>
      <c r="I32" s="1803"/>
      <c r="J32" s="1803"/>
      <c r="K32" s="1804"/>
      <c r="L32" s="133"/>
      <c r="M32" s="320"/>
    </row>
    <row r="33" spans="2:13" ht="45" customHeight="1" x14ac:dyDescent="0.3">
      <c r="B33" s="1716" t="s">
        <v>1257</v>
      </c>
      <c r="C33" s="1717"/>
      <c r="D33" s="1717"/>
      <c r="E33" s="1717"/>
      <c r="F33" s="1717"/>
      <c r="G33" s="1717"/>
      <c r="H33" s="1717"/>
      <c r="I33" s="1717"/>
      <c r="J33" s="1717"/>
      <c r="K33" s="1694"/>
      <c r="L33" s="133"/>
      <c r="M33" s="320"/>
    </row>
    <row r="34" spans="2:13" ht="16.5" customHeight="1" x14ac:dyDescent="0.3">
      <c r="B34" s="1490" t="s">
        <v>1305</v>
      </c>
      <c r="C34" s="1489"/>
      <c r="D34" s="1474"/>
      <c r="E34" s="1474"/>
      <c r="F34" s="1474"/>
      <c r="G34" s="1474"/>
      <c r="H34" s="1474"/>
      <c r="I34" s="1474"/>
      <c r="J34" s="1474"/>
      <c r="K34" s="1472"/>
      <c r="L34" s="133"/>
      <c r="M34" s="320"/>
    </row>
    <row r="35" spans="2:13" ht="33.950000000000003" customHeight="1" x14ac:dyDescent="0.3">
      <c r="B35" s="1495" t="s">
        <v>1310</v>
      </c>
      <c r="C35" s="1498"/>
      <c r="D35" s="1692" t="s">
        <v>1314</v>
      </c>
      <c r="E35" s="1693"/>
      <c r="F35" s="1693"/>
      <c r="G35" s="1693"/>
      <c r="H35" s="1693"/>
      <c r="I35" s="1693"/>
      <c r="J35" s="1693"/>
      <c r="K35" s="1694"/>
      <c r="L35" s="133"/>
      <c r="M35" s="320"/>
    </row>
    <row r="36" spans="2:13" ht="18" customHeight="1" x14ac:dyDescent="0.3">
      <c r="B36" s="1767" t="str">
        <f>"Cool-Down Test Timing " &amp; IF('Sys. # &amp; Product Characteristic'!Heating_Fuel_Used="Electricity"," - NOT REQUIRED FOR THIS TEST","")</f>
        <v xml:space="preserve">Cool-Down Test Timing </v>
      </c>
      <c r="C36" s="1768"/>
      <c r="D36" s="1768"/>
      <c r="E36" s="1768"/>
      <c r="F36" s="1768"/>
      <c r="G36" s="1768"/>
      <c r="H36" s="1768"/>
      <c r="I36" s="1768"/>
      <c r="J36" s="1768"/>
      <c r="K36" s="1769"/>
      <c r="L36" s="133"/>
      <c r="M36" s="320"/>
    </row>
    <row r="37" spans="2:13" ht="18" customHeight="1" x14ac:dyDescent="0.3">
      <c r="B37" s="1775" t="s">
        <v>52</v>
      </c>
      <c r="C37" s="1706" t="s">
        <v>1199</v>
      </c>
      <c r="D37" s="1778"/>
      <c r="E37" s="1707"/>
      <c r="F37" s="1715" t="s">
        <v>1202</v>
      </c>
      <c r="G37" s="1715" t="s">
        <v>1203</v>
      </c>
      <c r="H37" s="1292">
        <v>0.5</v>
      </c>
      <c r="I37" s="1293">
        <v>0.50001157407407404</v>
      </c>
      <c r="J37" s="1278"/>
      <c r="K37" s="1280"/>
      <c r="L37" s="133"/>
      <c r="M37" s="320"/>
    </row>
    <row r="38" spans="2:13" ht="27.95" customHeight="1" x14ac:dyDescent="0.3">
      <c r="B38" s="1705"/>
      <c r="C38" s="1279" t="s">
        <v>35</v>
      </c>
      <c r="D38" s="1279" t="s">
        <v>1200</v>
      </c>
      <c r="E38" s="1471" t="s">
        <v>1201</v>
      </c>
      <c r="F38" s="1708"/>
      <c r="G38" s="1708"/>
      <c r="H38" s="1292">
        <v>0.50001157407407404</v>
      </c>
      <c r="I38" s="1293">
        <v>0.53125</v>
      </c>
      <c r="J38" s="1278"/>
      <c r="K38" s="1280"/>
      <c r="L38" s="133"/>
      <c r="M38" s="320"/>
    </row>
    <row r="39" spans="2:13" ht="18" customHeight="1" x14ac:dyDescent="0.3">
      <c r="B39" s="1781" t="s">
        <v>1204</v>
      </c>
      <c r="C39" s="1481" t="s">
        <v>1302</v>
      </c>
      <c r="D39" s="1493"/>
      <c r="E39" s="1496"/>
      <c r="F39" s="1796" t="str">
        <f>IF(AND(C35 = "12 Hour Format", (((Cool_Down_End+D40/60+D41/3600)-(Steady_State_End+D18/60+D19/3600))=(1/3600))), "Yes",
IF(AND(C35 = "12 Hour Format", (((Cool_Down_End+D40/60+D41/3600)-(E27+E28/60+E29/3600))=(1/3600))), "Yes",
IF(AND(C35 = "24 Hour Format", (((Cool_Down_End+D40/60+D41/3600)-(Steady_State_End+D18/60+D19/3600))=(1/3600))), "Yes",
IF(AND(C35 = "24 Hour Format", (((Cool_Down_End+D40/60+D41/3600)-(E27+E28/60+E29/3600))=(1/3600))), "Yes", IF(AND(C35 = "Second Count", ((D41-E29)=1)), "Yes",
IF(AND(C35 = "Second Count", ((D41-E19)=1)), "Yes",
IF(AND(C35 = "Second Count", ((D41-E29) = 1)), "Yes", "No")))))))</f>
        <v>No</v>
      </c>
      <c r="G39" s="1794" t="str">
        <f>IF(AND(C35="12 Hour Time", D42=E42, ((E39+E40/60+E41/3600)-(Cool_Down_End+D40/60+D41/3600)&gt;=(2699/3600)), ((E39+E40/60+E41/3600)-(Cool_Down_End+D40/60+D41/3600)&lt;=(2705/3600))), "Yes",
IF(AND(C35 = "12 Hour Time", D20&lt;&gt;E20, (((E39+12)+E40/60+E41/3600)-((Cool_Down_End)+D40/60+D41/3600)&gt;=(2699/3600)), (((E39+12)+E40/60+E41/3600)-((Cool_Down_End)+D40/60+D41/3600)&lt;=(2705/3600))), "Yes",
IF(AND(C35 = "24 Hour Time", ((E39+E40/60+E41/3600)-(Cool_Down_End+D40/60+D41/3600)&gt;=(2699/3600)), ((E39+E40/60+E41/3600)-((Cool_Down_End)+D40/60+D41/3600)&lt;=(2705/3600))), "Yes",
IF(AND(C35 = "Second Count", ((E41-D41)&gt;= 2699),((E41-D41)&lt;= 2705)),"Yes", "No"))))</f>
        <v>No</v>
      </c>
      <c r="H39" s="1294">
        <f>H38-H37</f>
        <v>1.1574074074038876E-5</v>
      </c>
      <c r="I39" s="1295">
        <f>I38-I37</f>
        <v>3.1238425925925961E-2</v>
      </c>
      <c r="J39" s="1278"/>
      <c r="K39" s="1280"/>
      <c r="L39" s="133"/>
      <c r="M39" s="320"/>
    </row>
    <row r="40" spans="2:13" ht="18" customHeight="1" x14ac:dyDescent="0.3">
      <c r="B40" s="1782"/>
      <c r="C40" s="1481" t="s">
        <v>1303</v>
      </c>
      <c r="D40" s="1493"/>
      <c r="E40" s="1496"/>
      <c r="F40" s="1794"/>
      <c r="G40" s="1794"/>
      <c r="H40" s="1294"/>
      <c r="I40" s="1295"/>
      <c r="J40" s="1278"/>
      <c r="K40" s="1280"/>
      <c r="L40" s="133"/>
      <c r="M40" s="320"/>
    </row>
    <row r="41" spans="2:13" ht="18" customHeight="1" x14ac:dyDescent="0.3">
      <c r="B41" s="1782"/>
      <c r="C41" s="1482" t="s">
        <v>1304</v>
      </c>
      <c r="D41" s="1493"/>
      <c r="E41" s="1496"/>
      <c r="F41" s="1794"/>
      <c r="G41" s="1794"/>
      <c r="H41" s="1294"/>
      <c r="I41" s="1295"/>
      <c r="J41" s="1278"/>
      <c r="K41" s="1280"/>
      <c r="L41" s="133"/>
      <c r="M41" s="320"/>
    </row>
    <row r="42" spans="2:13" ht="18" customHeight="1" thickBot="1" x14ac:dyDescent="0.35">
      <c r="B42" s="1797"/>
      <c r="C42" s="1492" t="s">
        <v>1311</v>
      </c>
      <c r="D42" s="1494"/>
      <c r="E42" s="1497"/>
      <c r="F42" s="1795"/>
      <c r="G42" s="1795"/>
      <c r="H42" s="1294"/>
      <c r="I42" s="1295"/>
      <c r="J42" s="1278"/>
      <c r="K42" s="1280"/>
      <c r="L42" s="133"/>
      <c r="M42" s="320"/>
    </row>
    <row r="43" spans="2:13" ht="18" customHeight="1" thickBot="1" x14ac:dyDescent="0.35">
      <c r="B43" s="901"/>
      <c r="C43" s="1487"/>
      <c r="D43" s="1487"/>
      <c r="E43" s="1491"/>
      <c r="F43" s="1488"/>
      <c r="G43" s="1488"/>
      <c r="H43" s="917"/>
      <c r="I43" s="1285"/>
      <c r="J43" s="1285"/>
      <c r="K43" s="1286"/>
      <c r="L43" s="133"/>
      <c r="M43" s="320"/>
    </row>
    <row r="44" spans="2:13" ht="82.5" customHeight="1" x14ac:dyDescent="0.3">
      <c r="B44" s="1798" t="s">
        <v>1284</v>
      </c>
      <c r="C44" s="1799"/>
      <c r="D44" s="1799"/>
      <c r="E44" s="1799"/>
      <c r="F44" s="1799"/>
      <c r="G44" s="1799"/>
      <c r="H44" s="1799"/>
      <c r="I44" s="1799"/>
      <c r="J44" s="1799"/>
      <c r="K44" s="1800"/>
      <c r="L44" s="133"/>
      <c r="M44" s="320"/>
    </row>
    <row r="45" spans="2:13" ht="18.600000000000001" customHeight="1" x14ac:dyDescent="0.3">
      <c r="B45" s="1490" t="s">
        <v>1305</v>
      </c>
      <c r="C45" s="1489"/>
      <c r="D45" s="1474"/>
      <c r="E45" s="1474"/>
      <c r="F45" s="1474"/>
      <c r="G45" s="1474"/>
      <c r="H45" s="1474"/>
      <c r="I45" s="1474"/>
      <c r="J45" s="1474"/>
      <c r="K45" s="1472"/>
      <c r="L45" s="133"/>
      <c r="M45" s="320"/>
    </row>
    <row r="46" spans="2:13" ht="32.450000000000003" customHeight="1" x14ac:dyDescent="0.3">
      <c r="B46" s="1495" t="s">
        <v>1310</v>
      </c>
      <c r="C46" s="1498"/>
      <c r="D46" s="1692" t="s">
        <v>1314</v>
      </c>
      <c r="E46" s="1693"/>
      <c r="F46" s="1693"/>
      <c r="G46" s="1693"/>
      <c r="H46" s="1693"/>
      <c r="I46" s="1693"/>
      <c r="J46" s="1693"/>
      <c r="K46" s="1694"/>
      <c r="L46" s="133"/>
      <c r="M46" s="320"/>
    </row>
    <row r="47" spans="2:13" ht="18" customHeight="1" x14ac:dyDescent="0.3">
      <c r="B47" s="1767" t="str">
        <f>"Heat-Up Test Timing " &amp; IF('Sys. # &amp; Product Characteristic'!Heating_Fuel_Used="Electricity"," - NOT REQUIRED FOR THIS TEST","")</f>
        <v xml:space="preserve">Heat-Up Test Timing </v>
      </c>
      <c r="C47" s="1801"/>
      <c r="D47" s="1801"/>
      <c r="E47" s="1801"/>
      <c r="F47" s="1801"/>
      <c r="G47" s="1801"/>
      <c r="H47" s="1801"/>
      <c r="I47" s="1801"/>
      <c r="J47" s="1801"/>
      <c r="K47" s="1769"/>
      <c r="L47" s="133"/>
      <c r="M47" s="320"/>
    </row>
    <row r="48" spans="2:13" ht="18" customHeight="1" x14ac:dyDescent="0.3">
      <c r="B48" s="1775" t="s">
        <v>52</v>
      </c>
      <c r="C48" s="1706" t="s">
        <v>1199</v>
      </c>
      <c r="D48" s="1778"/>
      <c r="E48" s="1707"/>
      <c r="F48" s="1715" t="s">
        <v>1202</v>
      </c>
      <c r="G48" s="1715" t="s">
        <v>1203</v>
      </c>
      <c r="H48" s="1287">
        <v>0.5</v>
      </c>
      <c r="I48" s="1287">
        <v>0.5</v>
      </c>
      <c r="J48" s="1278"/>
      <c r="K48" s="1280"/>
      <c r="L48" s="133"/>
      <c r="M48" s="320"/>
    </row>
    <row r="49" spans="2:16" ht="29.1" customHeight="1" x14ac:dyDescent="0.3">
      <c r="B49" s="1705"/>
      <c r="C49" s="1279" t="s">
        <v>35</v>
      </c>
      <c r="D49" s="1279" t="s">
        <v>1200</v>
      </c>
      <c r="E49" s="1471" t="s">
        <v>1201</v>
      </c>
      <c r="F49" s="1708"/>
      <c r="G49" s="1708"/>
      <c r="H49" s="1287">
        <v>0.50312499999999993</v>
      </c>
      <c r="I49" s="1287">
        <v>0.50381944444444449</v>
      </c>
      <c r="J49" s="1278"/>
      <c r="K49" s="1280"/>
      <c r="L49" s="133"/>
      <c r="M49" s="320"/>
    </row>
    <row r="50" spans="2:16" ht="18" customHeight="1" x14ac:dyDescent="0.3">
      <c r="B50" s="1790" t="s">
        <v>1205</v>
      </c>
      <c r="C50" s="1481" t="s">
        <v>1302</v>
      </c>
      <c r="D50" s="1493"/>
      <c r="E50" s="1496"/>
      <c r="F50" s="1794" t="str">
        <f>IF(AND(C46="12 Hour Format",E20=D53,(((Heat_Up_End+D51/60+D52/3600)-(E17+E18/60+E19/3600))&gt;=(2940/3600)),(((Heat_Up_End+D51/60+D52/3600)-(E17+E18/60+E19/3600))&lt;=(3060/3600))),"Yes",
IF(AND(C46="12 Hour Format",D53&lt;&gt;E20,((((Heat_Up_End+12)+D51/60+D52/3600)-(E17+E18/60+E19/3600))&gt;=(2940/3600)),((((Heat_Up_End+12)+D51/60+D52/3600)-(E17+E18/60+E19/3600))&lt;=(3060/3600))),"Yes",
IF(AND(C46="12 Hour Format",E20=D53,(((Heat_Up_End+D51/60+D52/3600)-(E27+E28/60+E29/3600))&gt;=(2940/3600)),(((Heat_Up_End+D51/60+D52/3600)-(E27+E28/60+E29/3600))&lt;=(3060/3600))),"Yes",
IF(AND(C46="12 Hour Format",D53&lt;&gt;E20,((((Heat_Up_End+12)+D51/60+D52/3600)-(E27+E28/60+E29/3600))&gt;=(2940/3600)),((((Heat_Up_End+12)+D51/60+D52/3600)-(E27+E28/60+E29/3600))&lt;=(3060/3600))),"Yes",
IF(AND(C46="24 Hour Format",(((Heat_Up_End+D51/60+D52/3600)-(E17+E18/60+E19/3600))&gt;=(2940/3600)),(((Heat_Up_End+D51/60+D52/3600)-(E17+E18/60+E19/3600))&lt;=(3060/3600))),"Yes",
IF(AND(C46="24 Hour Format",(((Heat_Up_End+D51/60+D52/3600)-(E27+E28/60+E29/3600))&gt;=(2940/3600)),(((Heat_Up_End+D51/60+D52/3600)-(E27+E28/60+E29/3600))&lt;=(3060/3600))),"Yes",
IF(AND(C46="Second Count",((D53-E19)&gt;=2940),((D53-E19)&lt;=3060)),"Yes",
IF(AND(C46="Second Count",((D53-E29)&gt;=2940),((D53-E29)&lt;=3060)),"Yes","No"))))))))</f>
        <v>No</v>
      </c>
      <c r="G50" s="1794" t="str">
        <f>IF(AND(C46="12 Hour Time", D53=E53, ((E50+E51/60+E52/3600)-(Heat_Up_End+D51/60+D52/3600)&gt;=(329/3600)), ((E50+E51/60+E52/3600)-(Heat_Up_End+D51/60+D52/3600)&lt;=(335/3600))), "Yes",
IF(AND(C46 = "12 Hour Time", D31&lt;&gt;E31, (((E50+12)+E51/60+E52/3600)-((Heat_Up_End)+D51/60+D52/3600)&gt;=(329/3600)), (((E50+12)+E51/60+E52/3600)-((Heat_Up_End)+D51/60+D52/3600)&lt;=(335/3600))), "Yes",
IF(AND(C46 = "24 Hour Time", ((E50+E51/60+E52/3600)-(Heat_Up_End+D51/60+D52/3600)&gt;=(329/3600)), ((E50+E51/60+E52/3600)-((Heat_Up_End)+D51/60+D52/3600)&lt;=(335/3600))), "Yes",
IF(AND(C46 = "Second Count", ((E52-D52)&gt;= 329),((E52-D52)&lt;= 335)),"Yes", "No"))))</f>
        <v>No</v>
      </c>
      <c r="H50" s="1290">
        <f>H49-H48</f>
        <v>3.1249999999999334E-3</v>
      </c>
      <c r="I50" s="1290">
        <f>I49-I48</f>
        <v>3.8194444444444864E-3</v>
      </c>
      <c r="J50" s="1278"/>
      <c r="K50" s="1280"/>
      <c r="L50" s="133"/>
      <c r="M50" s="320"/>
    </row>
    <row r="51" spans="2:16" ht="18" customHeight="1" x14ac:dyDescent="0.3">
      <c r="B51" s="1791"/>
      <c r="C51" s="1481" t="s">
        <v>1303</v>
      </c>
      <c r="D51" s="1493"/>
      <c r="E51" s="1496"/>
      <c r="F51" s="1794"/>
      <c r="G51" s="1794"/>
      <c r="H51" s="1290"/>
      <c r="I51" s="1290"/>
      <c r="J51" s="1278"/>
      <c r="K51" s="1280"/>
      <c r="L51" s="133"/>
      <c r="M51" s="320"/>
    </row>
    <row r="52" spans="2:16" ht="18" customHeight="1" x14ac:dyDescent="0.3">
      <c r="B52" s="1791"/>
      <c r="C52" s="1482" t="s">
        <v>1304</v>
      </c>
      <c r="D52" s="1493"/>
      <c r="E52" s="1496"/>
      <c r="F52" s="1794"/>
      <c r="G52" s="1794"/>
      <c r="H52" s="1290"/>
      <c r="I52" s="1290"/>
      <c r="J52" s="1278"/>
      <c r="K52" s="1280"/>
      <c r="L52" s="133"/>
      <c r="M52" s="320"/>
    </row>
    <row r="53" spans="2:16" ht="18" customHeight="1" thickBot="1" x14ac:dyDescent="0.35">
      <c r="B53" s="1793"/>
      <c r="C53" s="1492" t="s">
        <v>1311</v>
      </c>
      <c r="D53" s="1494"/>
      <c r="E53" s="1497"/>
      <c r="F53" s="1795"/>
      <c r="G53" s="1795"/>
      <c r="H53" s="1296"/>
      <c r="I53" s="1296"/>
      <c r="J53" s="1281"/>
      <c r="K53" s="1282"/>
      <c r="L53" s="133"/>
      <c r="M53" s="320"/>
    </row>
    <row r="54" spans="2:16" x14ac:dyDescent="0.3">
      <c r="B54" s="435"/>
      <c r="C54" s="1277"/>
      <c r="D54" s="1277"/>
      <c r="E54" s="983"/>
      <c r="F54" s="942"/>
      <c r="G54" s="133"/>
      <c r="H54" s="133"/>
      <c r="I54" s="133"/>
      <c r="J54" s="133"/>
      <c r="K54" s="1297"/>
      <c r="L54" s="133"/>
      <c r="M54" s="320"/>
    </row>
    <row r="55" spans="2:16" ht="15.6" customHeight="1" thickBot="1" x14ac:dyDescent="0.35">
      <c r="M55" s="139"/>
    </row>
    <row r="56" spans="2:16" ht="18" thickBot="1" x14ac:dyDescent="0.35">
      <c r="B56" s="273" t="str">
        <f>"Steady-State Test" &amp; IF('Sys. # &amp; Product Characteristic'!Heating_Fuel_Used="Electricity"," - NOT REQUIRED FOR THIS TEST","")</f>
        <v>Steady-State Test</v>
      </c>
      <c r="C56" s="274"/>
      <c r="D56" s="275"/>
      <c r="E56" s="889"/>
      <c r="F56" s="934"/>
      <c r="G56" s="934"/>
      <c r="H56" s="934"/>
      <c r="I56" s="934"/>
      <c r="J56" s="934"/>
      <c r="K56" s="935"/>
      <c r="L56" s="133"/>
      <c r="M56" s="139"/>
    </row>
    <row r="57" spans="2:16" ht="47.45" customHeight="1" x14ac:dyDescent="0.3">
      <c r="B57" s="1729" t="s">
        <v>1121</v>
      </c>
      <c r="C57" s="1730"/>
      <c r="D57" s="1730"/>
      <c r="E57" s="1730"/>
      <c r="F57" s="1730"/>
      <c r="G57" s="1730"/>
      <c r="H57" s="1730"/>
      <c r="I57" s="1730"/>
      <c r="J57" s="1730"/>
      <c r="K57" s="1731"/>
      <c r="L57" s="133"/>
      <c r="M57" s="139"/>
    </row>
    <row r="58" spans="2:16" ht="17.25" x14ac:dyDescent="0.3">
      <c r="B58" s="907"/>
      <c r="C58" s="908"/>
      <c r="D58" s="908"/>
      <c r="E58" s="908"/>
      <c r="F58" s="430"/>
      <c r="G58" s="430"/>
      <c r="H58" s="430"/>
      <c r="I58" s="430"/>
      <c r="J58" s="430"/>
      <c r="K58" s="433"/>
      <c r="L58" s="133"/>
      <c r="M58" s="139"/>
    </row>
    <row r="59" spans="2:16" s="141" customFormat="1" ht="81.95" customHeight="1" x14ac:dyDescent="0.3">
      <c r="B59" s="1732" t="s">
        <v>1122</v>
      </c>
      <c r="C59" s="1733"/>
      <c r="D59" s="1733"/>
      <c r="E59" s="1733"/>
      <c r="F59" s="1733"/>
      <c r="G59" s="1733"/>
      <c r="H59" s="1733"/>
      <c r="I59" s="1733"/>
      <c r="J59" s="1733"/>
      <c r="K59" s="1734"/>
      <c r="M59" s="145"/>
    </row>
    <row r="60" spans="2:16" s="150" customFormat="1" ht="17.25" x14ac:dyDescent="0.35">
      <c r="B60" s="426" t="s">
        <v>52</v>
      </c>
      <c r="C60" s="427" t="s">
        <v>34</v>
      </c>
      <c r="D60" s="890" t="s">
        <v>35</v>
      </c>
      <c r="E60" s="428" t="s">
        <v>33</v>
      </c>
      <c r="F60" s="894"/>
      <c r="G60" s="894"/>
      <c r="H60" s="894"/>
      <c r="I60" s="894"/>
      <c r="J60" s="894"/>
      <c r="K60" s="922"/>
      <c r="M60" s="146"/>
    </row>
    <row r="61" spans="2:16" ht="18" thickBot="1" x14ac:dyDescent="0.4">
      <c r="B61" s="923" t="s">
        <v>383</v>
      </c>
      <c r="C61" s="918" t="str">
        <f>IF('General Info &amp; Test Results'!C29="","",'General Info &amp; Test Results'!C29)</f>
        <v/>
      </c>
      <c r="D61" s="718" t="str">
        <f>IF('General Info &amp; Test Results'!$C$46="Electricity","kW","Btu/h")</f>
        <v>Btu/h</v>
      </c>
      <c r="E61" s="933" t="s">
        <v>492</v>
      </c>
      <c r="F61" s="895" t="s">
        <v>399</v>
      </c>
      <c r="G61" s="893"/>
      <c r="H61" s="893"/>
      <c r="I61" s="893"/>
      <c r="J61" s="893"/>
      <c r="K61" s="910"/>
      <c r="M61" s="139"/>
    </row>
    <row r="62" spans="2:16" ht="18" thickBot="1" x14ac:dyDescent="0.4">
      <c r="B62" s="919"/>
      <c r="C62" s="1171"/>
      <c r="D62" s="920"/>
      <c r="E62" s="921"/>
      <c r="F62" s="928"/>
      <c r="G62" s="928"/>
      <c r="H62" s="928"/>
      <c r="I62" s="928"/>
      <c r="J62" s="928"/>
      <c r="K62" s="904"/>
      <c r="M62" s="139"/>
      <c r="P62" s="147"/>
    </row>
    <row r="63" spans="2:16" ht="67.5" customHeight="1" x14ac:dyDescent="0.35">
      <c r="B63" s="1726" t="s">
        <v>1123</v>
      </c>
      <c r="C63" s="1727"/>
      <c r="D63" s="1727"/>
      <c r="E63" s="1727"/>
      <c r="F63" s="1727"/>
      <c r="G63" s="1727"/>
      <c r="H63" s="1727"/>
      <c r="I63" s="1727"/>
      <c r="J63" s="1727"/>
      <c r="K63" s="1728"/>
      <c r="M63" s="139"/>
      <c r="P63" s="147"/>
    </row>
    <row r="64" spans="2:16" ht="17.25" x14ac:dyDescent="0.35">
      <c r="B64" s="426" t="s">
        <v>52</v>
      </c>
      <c r="C64" s="427" t="s">
        <v>34</v>
      </c>
      <c r="D64" s="428" t="s">
        <v>35</v>
      </c>
      <c r="E64" s="428" t="s">
        <v>33</v>
      </c>
      <c r="F64" s="893"/>
      <c r="G64" s="893"/>
      <c r="H64" s="893"/>
      <c r="I64" s="893"/>
      <c r="J64" s="893"/>
      <c r="K64" s="910"/>
      <c r="M64" s="139"/>
      <c r="P64" s="147"/>
    </row>
    <row r="65" spans="2:16" ht="33" x14ac:dyDescent="0.35">
      <c r="B65" s="424" t="s">
        <v>378</v>
      </c>
      <c r="C65" s="1183"/>
      <c r="D65" s="425" t="s">
        <v>57</v>
      </c>
      <c r="E65" s="896" t="s">
        <v>175</v>
      </c>
      <c r="F65" s="893"/>
      <c r="G65" s="893"/>
      <c r="H65" s="893"/>
      <c r="I65" s="893"/>
      <c r="J65" s="893"/>
      <c r="K65" s="910"/>
      <c r="M65" s="139"/>
      <c r="P65" s="147"/>
    </row>
    <row r="66" spans="2:16" ht="17.25" x14ac:dyDescent="0.35">
      <c r="B66" s="431" t="s">
        <v>379</v>
      </c>
      <c r="C66" s="1183"/>
      <c r="D66" s="425" t="s">
        <v>57</v>
      </c>
      <c r="E66" s="897" t="s">
        <v>96</v>
      </c>
      <c r="F66" s="893"/>
      <c r="G66" s="893"/>
      <c r="H66" s="893"/>
      <c r="I66" s="893"/>
      <c r="J66" s="893"/>
      <c r="K66" s="910"/>
      <c r="M66" s="139"/>
      <c r="P66" s="147"/>
    </row>
    <row r="67" spans="2:16" ht="17.25" x14ac:dyDescent="0.35">
      <c r="B67" s="436" t="s">
        <v>377</v>
      </c>
      <c r="C67" s="1183"/>
      <c r="D67" s="264" t="s">
        <v>175</v>
      </c>
      <c r="E67" s="897" t="s">
        <v>175</v>
      </c>
      <c r="F67" s="893"/>
      <c r="G67" s="893"/>
      <c r="H67" s="893"/>
      <c r="I67" s="893"/>
      <c r="J67" s="893"/>
      <c r="K67" s="910"/>
      <c r="M67" s="139"/>
      <c r="P67" s="147"/>
    </row>
    <row r="68" spans="2:16" ht="18" thickBot="1" x14ac:dyDescent="0.4">
      <c r="B68" s="924" t="s">
        <v>380</v>
      </c>
      <c r="C68" s="913" t="str">
        <f>IF(OR(C65="",C67=""),"",IF(AND(C67="No",BE=""),"Enter Boiler Pump Power",IF(C67="Yes",C65,C65+BE)))</f>
        <v/>
      </c>
      <c r="D68" s="914" t="s">
        <v>57</v>
      </c>
      <c r="E68" s="915" t="s">
        <v>95</v>
      </c>
      <c r="F68" s="893"/>
      <c r="G68" s="893"/>
      <c r="H68" s="893"/>
      <c r="I68" s="893"/>
      <c r="J68" s="893"/>
      <c r="K68" s="910"/>
      <c r="M68" s="139"/>
      <c r="P68" s="147"/>
    </row>
    <row r="69" spans="2:16" ht="18" thickBot="1" x14ac:dyDescent="0.4">
      <c r="B69" s="916"/>
      <c r="C69" s="917"/>
      <c r="D69" s="917"/>
      <c r="E69" s="917"/>
      <c r="F69" s="928"/>
      <c r="G69" s="928"/>
      <c r="H69" s="928"/>
      <c r="I69" s="928"/>
      <c r="J69" s="928"/>
      <c r="K69" s="904"/>
      <c r="M69" s="139"/>
      <c r="P69" s="147"/>
    </row>
    <row r="70" spans="2:16" ht="72" customHeight="1" x14ac:dyDescent="0.35">
      <c r="B70" s="1726" t="s">
        <v>1124</v>
      </c>
      <c r="C70" s="1727"/>
      <c r="D70" s="1727"/>
      <c r="E70" s="1727"/>
      <c r="F70" s="1727"/>
      <c r="G70" s="1727"/>
      <c r="H70" s="1727"/>
      <c r="I70" s="1727"/>
      <c r="J70" s="1727"/>
      <c r="K70" s="1728"/>
      <c r="M70" s="139"/>
      <c r="N70" s="147"/>
      <c r="O70" s="147"/>
      <c r="P70" s="147"/>
    </row>
    <row r="71" spans="2:16" ht="17.25" x14ac:dyDescent="0.35">
      <c r="B71" s="426" t="s">
        <v>52</v>
      </c>
      <c r="C71" s="427" t="s">
        <v>34</v>
      </c>
      <c r="D71" s="428" t="s">
        <v>35</v>
      </c>
      <c r="E71" s="428" t="s">
        <v>33</v>
      </c>
      <c r="F71" s="893"/>
      <c r="G71" s="893"/>
      <c r="H71" s="893"/>
      <c r="I71" s="893"/>
      <c r="J71" s="893"/>
      <c r="K71" s="910"/>
      <c r="M71" s="139"/>
      <c r="N71" s="147"/>
      <c r="O71" s="147"/>
      <c r="P71" s="147"/>
    </row>
    <row r="72" spans="2:16" ht="18" x14ac:dyDescent="0.35">
      <c r="B72" s="452" t="s">
        <v>244</v>
      </c>
      <c r="C72" s="1181"/>
      <c r="D72" s="263" t="s">
        <v>57</v>
      </c>
      <c r="E72" s="897" t="s">
        <v>678</v>
      </c>
      <c r="F72" s="893"/>
      <c r="G72" s="893"/>
      <c r="H72" s="893"/>
      <c r="I72" s="893"/>
      <c r="J72" s="893"/>
      <c r="K72" s="910"/>
      <c r="M72" s="139"/>
      <c r="N72" s="147"/>
      <c r="O72" s="147"/>
      <c r="P72" s="147"/>
    </row>
    <row r="73" spans="2:16" ht="18.75" thickBot="1" x14ac:dyDescent="0.4">
      <c r="B73" s="266" t="s">
        <v>245</v>
      </c>
      <c r="C73" s="1186"/>
      <c r="D73" s="931" t="s">
        <v>36</v>
      </c>
      <c r="E73" s="932" t="s">
        <v>679</v>
      </c>
      <c r="F73" s="893"/>
      <c r="G73" s="893"/>
      <c r="H73" s="893"/>
      <c r="I73" s="893"/>
      <c r="J73" s="893"/>
      <c r="K73" s="910"/>
      <c r="M73" s="139"/>
      <c r="N73" s="454"/>
      <c r="O73" s="147"/>
      <c r="P73" s="147"/>
    </row>
    <row r="74" spans="2:16" ht="18" thickBot="1" x14ac:dyDescent="0.4">
      <c r="B74" s="901"/>
      <c r="C74" s="902"/>
      <c r="D74" s="902"/>
      <c r="E74" s="903"/>
      <c r="F74" s="928"/>
      <c r="G74" s="928"/>
      <c r="H74" s="928"/>
      <c r="I74" s="928"/>
      <c r="J74" s="928"/>
      <c r="K74" s="904"/>
      <c r="M74" s="139"/>
      <c r="N74" s="147"/>
      <c r="O74" s="147"/>
      <c r="P74" s="147"/>
    </row>
    <row r="75" spans="2:16" ht="153" customHeight="1" x14ac:dyDescent="0.35">
      <c r="B75" s="1726" t="s">
        <v>1283</v>
      </c>
      <c r="C75" s="1727"/>
      <c r="D75" s="1727"/>
      <c r="E75" s="1727"/>
      <c r="F75" s="1727"/>
      <c r="G75" s="1727"/>
      <c r="H75" s="1727"/>
      <c r="I75" s="1727"/>
      <c r="J75" s="1727"/>
      <c r="K75" s="1728"/>
      <c r="M75" s="139"/>
      <c r="N75" s="147"/>
      <c r="O75" s="147"/>
      <c r="P75" s="147"/>
    </row>
    <row r="76" spans="2:16" ht="17.25" x14ac:dyDescent="0.35">
      <c r="B76" s="749"/>
      <c r="C76" s="747"/>
      <c r="D76" s="747"/>
      <c r="E76" s="747"/>
      <c r="F76" s="893"/>
      <c r="G76" s="893"/>
      <c r="H76" s="893"/>
      <c r="I76" s="893"/>
      <c r="J76" s="893"/>
      <c r="K76" s="910"/>
      <c r="M76" s="139"/>
      <c r="N76" s="147"/>
      <c r="O76" s="147"/>
      <c r="P76" s="147"/>
    </row>
    <row r="77" spans="2:16" ht="33.75" customHeight="1" x14ac:dyDescent="0.35">
      <c r="B77" s="1701" t="s">
        <v>1125</v>
      </c>
      <c r="C77" s="1702"/>
      <c r="D77" s="1702"/>
      <c r="E77" s="1702"/>
      <c r="F77" s="1702"/>
      <c r="G77" s="1702"/>
      <c r="H77" s="1702"/>
      <c r="I77" s="1702"/>
      <c r="J77" s="1702"/>
      <c r="K77" s="1703"/>
      <c r="M77" s="139"/>
      <c r="N77" s="147"/>
      <c r="O77" s="147"/>
      <c r="P77" s="147"/>
    </row>
    <row r="78" spans="2:16" ht="17.25" x14ac:dyDescent="0.35">
      <c r="B78" s="749"/>
      <c r="C78" s="747"/>
      <c r="D78" s="747"/>
      <c r="E78" s="747"/>
      <c r="F78" s="893"/>
      <c r="G78" s="893"/>
      <c r="H78" s="893"/>
      <c r="I78" s="893"/>
      <c r="J78" s="893"/>
      <c r="K78" s="910"/>
      <c r="M78" s="139"/>
      <c r="N78" s="147"/>
      <c r="O78" s="147"/>
      <c r="P78" s="147"/>
    </row>
    <row r="79" spans="2:16" ht="17.25" x14ac:dyDescent="0.35">
      <c r="B79" s="1709" t="str">
        <f>"Non-Condensing or Electric Hot Water Boilers" &amp; IF(OR('Sys. # &amp; Product Characteristic'!Heating_Fuel_Used="Electricity",'Sys. # &amp; Product Characteristic'!Flue_Gas="Non-Condensing"),""," - NOT REQUIRED FOR THIS TEST")</f>
        <v>Non-Condensing or Electric Hot Water Boilers - NOT REQUIRED FOR THIS TEST</v>
      </c>
      <c r="C79" s="1710"/>
      <c r="D79" s="1710"/>
      <c r="E79" s="1710"/>
      <c r="F79" s="1710"/>
      <c r="G79" s="1710"/>
      <c r="H79" s="1710"/>
      <c r="I79" s="893"/>
      <c r="J79" s="893"/>
      <c r="K79" s="910"/>
      <c r="M79" s="139"/>
      <c r="N79" s="147"/>
      <c r="O79" s="147"/>
      <c r="P79" s="147"/>
    </row>
    <row r="80" spans="2:16" ht="17.25" x14ac:dyDescent="0.35">
      <c r="B80" s="1704" t="s">
        <v>52</v>
      </c>
      <c r="C80" s="1706" t="s">
        <v>870</v>
      </c>
      <c r="D80" s="1707"/>
      <c r="E80" s="1632" t="s">
        <v>838</v>
      </c>
      <c r="F80" s="1632"/>
      <c r="G80" s="1604" t="s">
        <v>35</v>
      </c>
      <c r="H80" s="1708" t="s">
        <v>837</v>
      </c>
      <c r="I80" s="893"/>
      <c r="J80" s="893"/>
      <c r="K80" s="910"/>
      <c r="M80" s="139"/>
      <c r="N80" s="147"/>
      <c r="O80" s="147"/>
      <c r="P80" s="147"/>
    </row>
    <row r="81" spans="2:16" ht="17.25" x14ac:dyDescent="0.35">
      <c r="B81" s="1705"/>
      <c r="C81" s="746" t="s">
        <v>256</v>
      </c>
      <c r="D81" s="746" t="s">
        <v>257</v>
      </c>
      <c r="E81" s="937" t="s">
        <v>256</v>
      </c>
      <c r="F81" s="937" t="s">
        <v>257</v>
      </c>
      <c r="G81" s="1604"/>
      <c r="H81" s="1708"/>
      <c r="I81" s="893"/>
      <c r="J81" s="893"/>
      <c r="K81" s="910"/>
      <c r="M81" s="139"/>
      <c r="N81" s="147"/>
      <c r="O81" s="147"/>
      <c r="P81" s="147"/>
    </row>
    <row r="82" spans="2:16" ht="17.25" x14ac:dyDescent="0.35">
      <c r="B82" s="748" t="s">
        <v>836</v>
      </c>
      <c r="C82" s="966" t="str">
        <f>IF('Sys. # &amp; Product Characteristic'!Flue_Gas&lt;&gt;"Non-Condensing","N/A",MIN($H$124:$H$126))</f>
        <v>N/A</v>
      </c>
      <c r="D82" s="966" t="str">
        <f>IF('Sys. # &amp; Product Characteristic'!Flue_Gas&lt;&gt;"Non-Condensing","N/A",MAX($H$124:$H$126))</f>
        <v>N/A</v>
      </c>
      <c r="E82" s="118" t="str">
        <f>IF('Sys. # &amp; Product Characteristic'!Flue_Gas&lt;&gt;"Non-Condensing","N/A",120)</f>
        <v>N/A</v>
      </c>
      <c r="F82" s="918" t="str">
        <f>IF('Sys. # &amp; Product Characteristic'!Flue_Gas&lt;&gt;"Non-Condensing","N/A",124)</f>
        <v>N/A</v>
      </c>
      <c r="G82" s="905" t="s">
        <v>51</v>
      </c>
      <c r="H82" s="453" t="str">
        <f>IF('Sys. # &amp; Product Characteristic'!Flue_Gas&lt;&gt;"Non-Condensing","N/A",IF(AND(C82&gt;=E82,D82&lt;=F82,C82&lt;=D82),"Yes","No"))</f>
        <v>N/A</v>
      </c>
      <c r="I82" s="893"/>
      <c r="J82" s="893"/>
      <c r="K82" s="910"/>
      <c r="M82" s="139"/>
      <c r="N82" s="147"/>
      <c r="O82" s="147"/>
      <c r="P82" s="147"/>
    </row>
    <row r="83" spans="2:16" ht="17.25" x14ac:dyDescent="0.35">
      <c r="B83" s="750" t="s">
        <v>839</v>
      </c>
      <c r="C83" s="966" t="str">
        <f>IF('Sys. # &amp; Product Characteristic'!Flue_Gas&lt;&gt;"Non-Condensing","N/A",MIN($I$124:$I$126))</f>
        <v>N/A</v>
      </c>
      <c r="D83" s="966" t="str">
        <f>IF('Sys. # &amp; Product Characteristic'!Flue_Gas&lt;&gt;"Non-Condensing","N/A",MAX($I$124:$I$126))</f>
        <v>N/A</v>
      </c>
      <c r="E83" s="938" t="str">
        <f>IF('Sys. # &amp; Product Characteristic'!Flue_Gas&lt;&gt;"Non-Condensing","N/A",19)</f>
        <v>N/A</v>
      </c>
      <c r="F83" s="118" t="str">
        <f>IF('Sys. # &amp; Product Characteristic'!Flue_Gas&lt;&gt;"Non-Condensing","N/A",24)</f>
        <v>N/A</v>
      </c>
      <c r="G83" s="939" t="s">
        <v>51</v>
      </c>
      <c r="H83" s="453" t="str">
        <f>IF('Sys. # &amp; Product Characteristic'!Flue_Gas&lt;&gt;"Non-Condensing","N/A",IF(AND(C83&gt;=E83,D83&lt;=F83,C83&lt;=D83),"Yes","No"))</f>
        <v>N/A</v>
      </c>
      <c r="I83" s="893"/>
      <c r="J83" s="893"/>
      <c r="K83" s="910"/>
      <c r="M83" s="139"/>
      <c r="N83" s="147"/>
      <c r="O83" s="147"/>
      <c r="P83" s="147"/>
    </row>
    <row r="84" spans="2:16" ht="17.25" x14ac:dyDescent="0.35">
      <c r="B84" s="434"/>
      <c r="C84" s="435"/>
      <c r="D84" s="435"/>
      <c r="E84" s="891"/>
      <c r="F84" s="893"/>
      <c r="G84" s="893"/>
      <c r="H84" s="893"/>
      <c r="I84" s="893"/>
      <c r="J84" s="893"/>
      <c r="K84" s="910"/>
      <c r="M84" s="139"/>
      <c r="N84" s="147"/>
      <c r="O84" s="147"/>
      <c r="P84" s="147"/>
    </row>
    <row r="85" spans="2:16" ht="17.25" x14ac:dyDescent="0.35">
      <c r="B85" s="1709" t="str">
        <f>"Condensing Hot Water Boilers" &amp; IF('Sys. # &amp; Product Characteristic'!Flue_Gas="Condensing",""," - NOT REQUIRED FOR THIS TEST")</f>
        <v>Condensing Hot Water Boilers - NOT REQUIRED FOR THIS TEST</v>
      </c>
      <c r="C85" s="1710"/>
      <c r="D85" s="1710"/>
      <c r="E85" s="1710"/>
      <c r="F85" s="1710"/>
      <c r="G85" s="1710"/>
      <c r="H85" s="1710"/>
      <c r="I85" s="893"/>
      <c r="J85" s="893"/>
      <c r="K85" s="910"/>
      <c r="M85" s="139"/>
      <c r="N85" s="147"/>
      <c r="O85" s="147"/>
      <c r="P85" s="147"/>
    </row>
    <row r="86" spans="2:16" ht="17.25" x14ac:dyDescent="0.35">
      <c r="B86" s="1704" t="s">
        <v>52</v>
      </c>
      <c r="C86" s="1711" t="s">
        <v>870</v>
      </c>
      <c r="D86" s="1712"/>
      <c r="E86" s="1713" t="s">
        <v>838</v>
      </c>
      <c r="F86" s="1713"/>
      <c r="G86" s="1714" t="s">
        <v>35</v>
      </c>
      <c r="H86" s="1715" t="s">
        <v>837</v>
      </c>
      <c r="I86" s="893"/>
      <c r="J86" s="893"/>
      <c r="K86" s="910"/>
      <c r="M86" s="139"/>
      <c r="N86" s="147"/>
      <c r="O86" s="147"/>
      <c r="P86" s="147"/>
    </row>
    <row r="87" spans="2:16" ht="17.25" x14ac:dyDescent="0.35">
      <c r="B87" s="1705"/>
      <c r="C87" s="746" t="s">
        <v>256</v>
      </c>
      <c r="D87" s="746" t="s">
        <v>257</v>
      </c>
      <c r="E87" s="937" t="s">
        <v>256</v>
      </c>
      <c r="F87" s="937" t="s">
        <v>257</v>
      </c>
      <c r="G87" s="1604"/>
      <c r="H87" s="1708"/>
      <c r="I87" s="893"/>
      <c r="J87" s="893"/>
      <c r="K87" s="910"/>
      <c r="M87" s="139"/>
      <c r="N87" s="147"/>
      <c r="O87" s="147"/>
      <c r="P87" s="147"/>
    </row>
    <row r="88" spans="2:16" ht="17.25" x14ac:dyDescent="0.35">
      <c r="B88" s="748" t="s">
        <v>840</v>
      </c>
      <c r="C88" s="107"/>
      <c r="D88" s="107"/>
      <c r="E88" s="118" t="str">
        <f>IF('Sys. # &amp; Product Characteristic'!Flue_Gas&lt;&gt;"Condensing","N/A",120-10)</f>
        <v>N/A</v>
      </c>
      <c r="F88" s="118" t="str">
        <f>IF('Sys. # &amp; Product Characteristic'!Flue_Gas&lt;&gt;"Condensing","N/A",120+10)</f>
        <v>N/A</v>
      </c>
      <c r="G88" s="905" t="s">
        <v>51</v>
      </c>
      <c r="H88" s="453" t="str">
        <f>IF('Sys. # &amp; Product Characteristic'!Flue_Gas&lt;&gt;"Condensing","N/A",IF(AND(C88&gt;=E88,D88&lt;=F88,C88&lt;=D88),"Yes","No"))</f>
        <v>N/A</v>
      </c>
      <c r="I88" s="893"/>
      <c r="J88" s="893"/>
      <c r="K88" s="910"/>
      <c r="M88" s="139"/>
      <c r="N88" s="147"/>
      <c r="O88" s="147"/>
      <c r="P88" s="147"/>
    </row>
    <row r="89" spans="2:16" ht="17.25" x14ac:dyDescent="0.35">
      <c r="B89" s="752" t="s">
        <v>841</v>
      </c>
      <c r="C89" s="107"/>
      <c r="D89" s="107"/>
      <c r="E89" s="118" t="str">
        <f>IF('Sys. # &amp; Product Characteristic'!Flue_Gas&lt;&gt;"Condensing","N/A",120-5)</f>
        <v>N/A</v>
      </c>
      <c r="F89" s="118" t="str">
        <f>IF('Sys. # &amp; Product Characteristic'!Flue_Gas&lt;&gt;"Condensing","N/A",120+5)</f>
        <v>N/A</v>
      </c>
      <c r="G89" s="905" t="s">
        <v>51</v>
      </c>
      <c r="H89" s="453" t="str">
        <f>IF('Sys. # &amp; Product Characteristic'!Flue_Gas&lt;&gt;"Condensing","N/A",IF(AND(C89&gt;=E89,D89&lt;=F89,C89&lt;=D89),"Yes","No"))</f>
        <v>N/A</v>
      </c>
      <c r="I89" s="893"/>
      <c r="J89" s="893"/>
      <c r="K89" s="910"/>
      <c r="M89" s="139"/>
      <c r="N89" s="147"/>
      <c r="O89" s="147"/>
      <c r="P89" s="147"/>
    </row>
    <row r="90" spans="2:16" ht="17.25" x14ac:dyDescent="0.35">
      <c r="B90" s="751" t="s">
        <v>842</v>
      </c>
      <c r="C90" s="107"/>
      <c r="D90" s="107"/>
      <c r="E90" s="118" t="str">
        <f>IF('Sys. # &amp; Product Characteristic'!Flue_Gas&lt;&gt;"Condensing","N/A",120-2)</f>
        <v>N/A</v>
      </c>
      <c r="F90" s="918" t="str">
        <f>IF('Sys. # &amp; Product Characteristic'!Flue_Gas&lt;&gt;"Condensing","N/A",120+2)</f>
        <v>N/A</v>
      </c>
      <c r="G90" s="905" t="s">
        <v>51</v>
      </c>
      <c r="H90" s="453" t="str">
        <f>IF('Sys. # &amp; Product Characteristic'!Flue_Gas&lt;&gt;"Condensing","N/A",IF(AND(C90&gt;=E90,D90&lt;=F90,C90&lt;=D90),"Yes","No"))</f>
        <v>N/A</v>
      </c>
      <c r="I90" s="893"/>
      <c r="J90" s="893"/>
      <c r="K90" s="910"/>
      <c r="M90" s="139"/>
      <c r="N90" s="147"/>
      <c r="O90" s="147"/>
      <c r="P90" s="147"/>
    </row>
    <row r="91" spans="2:16" ht="17.25" x14ac:dyDescent="0.35">
      <c r="B91" s="750" t="s">
        <v>839</v>
      </c>
      <c r="C91" s="938" t="str">
        <f>IF('Sys. # &amp; Product Characteristic'!Flue_Gas&lt;&gt;"Condensing","N/A",MIN($I$124:$I$126))</f>
        <v>N/A</v>
      </c>
      <c r="D91" s="938" t="str">
        <f>IF('Sys. # &amp; Product Characteristic'!Flue_Gas&lt;&gt;"Condensing","N/A",MAX($I$124:$I$126))</f>
        <v>N/A</v>
      </c>
      <c r="E91" s="938" t="str">
        <f>IF('Sys. # &amp; Product Characteristic'!Flue_Gas&lt;&gt;"Condensing","N/A",19.5)</f>
        <v>N/A</v>
      </c>
      <c r="F91" s="118" t="str">
        <f>IF('Sys. # &amp; Product Characteristic'!Flue_Gas&lt;&gt;"Condensing","N/A",20.5)</f>
        <v>N/A</v>
      </c>
      <c r="G91" s="939" t="s">
        <v>51</v>
      </c>
      <c r="H91" s="453" t="str">
        <f>IF('Sys. # &amp; Product Characteristic'!Flue_Gas&lt;&gt;"Condensing","N/A",IF(AND(C91&gt;=E91,D91&lt;=F91,C91&lt;=D91),"Yes","No"))</f>
        <v>N/A</v>
      </c>
      <c r="I91" s="893"/>
      <c r="J91" s="893"/>
      <c r="K91" s="910"/>
      <c r="M91" s="139"/>
      <c r="N91" s="147"/>
      <c r="O91" s="147"/>
      <c r="P91" s="147"/>
    </row>
    <row r="92" spans="2:16" ht="17.25" x14ac:dyDescent="0.35">
      <c r="B92" s="434"/>
      <c r="C92" s="435"/>
      <c r="D92" s="435"/>
      <c r="E92" s="891"/>
      <c r="F92" s="893"/>
      <c r="G92" s="893"/>
      <c r="H92" s="893"/>
      <c r="I92" s="893"/>
      <c r="J92" s="893"/>
      <c r="K92" s="910"/>
      <c r="M92" s="139"/>
      <c r="N92" s="147"/>
      <c r="O92" s="147"/>
      <c r="P92" s="147"/>
    </row>
    <row r="93" spans="2:16" ht="17.25" x14ac:dyDescent="0.35">
      <c r="B93" s="1709" t="str">
        <f>"Steam Boilers" &amp; IF('Sys. # &amp; Product Characteristic'!Heating_Medium="Steam",""," - NOT REQUIRED FOR THIS TEST")</f>
        <v>Steam Boilers - NOT REQUIRED FOR THIS TEST</v>
      </c>
      <c r="C93" s="1710"/>
      <c r="D93" s="1710"/>
      <c r="E93" s="1710"/>
      <c r="F93" s="1710"/>
      <c r="G93" s="1710"/>
      <c r="H93" s="1710"/>
      <c r="I93" s="893"/>
      <c r="J93" s="893"/>
      <c r="K93" s="910"/>
      <c r="M93" s="139"/>
      <c r="N93" s="147"/>
      <c r="O93" s="147"/>
      <c r="P93" s="147"/>
    </row>
    <row r="94" spans="2:16" ht="17.25" x14ac:dyDescent="0.35">
      <c r="B94" s="1704" t="s">
        <v>52</v>
      </c>
      <c r="C94" s="1711" t="s">
        <v>870</v>
      </c>
      <c r="D94" s="1712"/>
      <c r="E94" s="1713" t="s">
        <v>838</v>
      </c>
      <c r="F94" s="1713"/>
      <c r="G94" s="1714" t="s">
        <v>35</v>
      </c>
      <c r="H94" s="1715" t="s">
        <v>837</v>
      </c>
      <c r="I94" s="893"/>
      <c r="J94" s="893"/>
      <c r="K94" s="910"/>
      <c r="M94" s="139"/>
      <c r="N94" s="147"/>
      <c r="O94" s="147"/>
      <c r="P94" s="147"/>
    </row>
    <row r="95" spans="2:16" ht="17.25" x14ac:dyDescent="0.35">
      <c r="B95" s="1705"/>
      <c r="C95" s="746" t="s">
        <v>256</v>
      </c>
      <c r="D95" s="746" t="s">
        <v>257</v>
      </c>
      <c r="E95" s="937" t="s">
        <v>256</v>
      </c>
      <c r="F95" s="937" t="s">
        <v>257</v>
      </c>
      <c r="G95" s="1604"/>
      <c r="H95" s="1708"/>
      <c r="I95" s="893"/>
      <c r="J95" s="893"/>
      <c r="K95" s="910"/>
      <c r="M95" s="139"/>
      <c r="N95" s="147"/>
      <c r="O95" s="147"/>
      <c r="P95" s="147"/>
    </row>
    <row r="96" spans="2:16" ht="18" thickBot="1" x14ac:dyDescent="0.4">
      <c r="B96" s="963" t="s">
        <v>738</v>
      </c>
      <c r="C96" s="183"/>
      <c r="D96" s="183"/>
      <c r="E96" s="918" t="str">
        <f>IF('Sys. # &amp; Product Characteristic'!Heating_Medium&lt;&gt;"Steam","",0)</f>
        <v/>
      </c>
      <c r="F96" s="918" t="str">
        <f>IF('Sys. # &amp; Product Characteristic'!Heating_Medium&lt;&gt;"Steam","",2)</f>
        <v/>
      </c>
      <c r="G96" s="964" t="s">
        <v>843</v>
      </c>
      <c r="H96" s="900" t="str">
        <f>IF('Sys. # &amp; Product Characteristic'!Heating_Medium&lt;&gt;"Steam","N/A",IF(AND(C96&gt;=E96,D96&lt;=F96,C96&lt;=D96),"Yes","No"))</f>
        <v>N/A</v>
      </c>
      <c r="I96" s="893"/>
      <c r="J96" s="893"/>
      <c r="K96" s="910"/>
      <c r="M96" s="139"/>
      <c r="N96" s="147"/>
      <c r="O96" s="147"/>
      <c r="P96" s="147"/>
    </row>
    <row r="97" spans="2:16" ht="18" thickBot="1" x14ac:dyDescent="0.4">
      <c r="B97" s="901"/>
      <c r="C97" s="902"/>
      <c r="D97" s="902"/>
      <c r="E97" s="903"/>
      <c r="F97" s="928"/>
      <c r="G97" s="928"/>
      <c r="H97" s="928"/>
      <c r="I97" s="928"/>
      <c r="J97" s="928"/>
      <c r="K97" s="904"/>
      <c r="M97" s="139"/>
      <c r="N97" s="147"/>
      <c r="O97" s="147"/>
      <c r="P97" s="147"/>
    </row>
    <row r="98" spans="2:16" ht="17.25" x14ac:dyDescent="0.35">
      <c r="B98" s="1721" t="s">
        <v>1126</v>
      </c>
      <c r="C98" s="1722"/>
      <c r="D98" s="1722"/>
      <c r="E98" s="1722"/>
      <c r="F98" s="1722"/>
      <c r="G98" s="1722"/>
      <c r="H98" s="1722"/>
      <c r="I98" s="1722"/>
      <c r="J98" s="1722"/>
      <c r="K98" s="1723"/>
      <c r="M98" s="139"/>
      <c r="N98" s="147"/>
      <c r="O98" s="147"/>
      <c r="P98" s="147"/>
    </row>
    <row r="99" spans="2:16" ht="151.5" customHeight="1" x14ac:dyDescent="0.35">
      <c r="B99" s="1718" t="s">
        <v>1278</v>
      </c>
      <c r="C99" s="1719"/>
      <c r="D99" s="1719"/>
      <c r="E99" s="1719"/>
      <c r="F99" s="1719"/>
      <c r="G99" s="1719"/>
      <c r="H99" s="1719"/>
      <c r="I99" s="1719"/>
      <c r="J99" s="1719"/>
      <c r="K99" s="1720"/>
      <c r="M99" s="139"/>
      <c r="N99" s="147"/>
      <c r="O99" s="147"/>
      <c r="P99" s="147"/>
    </row>
    <row r="100" spans="2:16" ht="69" customHeight="1" x14ac:dyDescent="0.35">
      <c r="B100" s="1716" t="s">
        <v>1127</v>
      </c>
      <c r="C100" s="1717"/>
      <c r="D100" s="1717"/>
      <c r="E100" s="1717"/>
      <c r="F100" s="1717"/>
      <c r="G100" s="1717"/>
      <c r="H100" s="1717"/>
      <c r="I100" s="1717"/>
      <c r="J100" s="1717"/>
      <c r="K100" s="1694"/>
      <c r="M100" s="139"/>
      <c r="N100" s="147"/>
      <c r="O100" s="147"/>
      <c r="P100" s="147"/>
    </row>
    <row r="101" spans="2:16" ht="17.25" x14ac:dyDescent="0.35">
      <c r="B101" s="434"/>
      <c r="C101" s="435"/>
      <c r="D101" s="435"/>
      <c r="E101" s="891"/>
      <c r="F101" s="893"/>
      <c r="G101" s="893"/>
      <c r="H101" s="893"/>
      <c r="I101" s="893"/>
      <c r="J101" s="940"/>
      <c r="K101" s="1032"/>
      <c r="M101" s="139"/>
      <c r="N101" s="147"/>
      <c r="O101" s="147"/>
      <c r="P101" s="147"/>
    </row>
    <row r="102" spans="2:16" ht="17.25" x14ac:dyDescent="0.35">
      <c r="B102" s="1724" t="s">
        <v>1128</v>
      </c>
      <c r="C102" s="1725"/>
      <c r="D102" s="1725"/>
      <c r="E102" s="1725"/>
      <c r="F102" s="1725"/>
      <c r="G102" s="1725"/>
      <c r="H102" s="1725"/>
      <c r="I102" s="1725"/>
      <c r="J102" s="893"/>
      <c r="K102" s="910"/>
      <c r="M102" s="139"/>
      <c r="N102" s="147"/>
      <c r="O102" s="147"/>
      <c r="P102" s="147"/>
    </row>
    <row r="103" spans="2:16" ht="132.94999999999999" customHeight="1" x14ac:dyDescent="0.35">
      <c r="B103" s="1718" t="s">
        <v>1129</v>
      </c>
      <c r="C103" s="1719"/>
      <c r="D103" s="1719"/>
      <c r="E103" s="1719"/>
      <c r="F103" s="1719"/>
      <c r="G103" s="1719"/>
      <c r="H103" s="1719"/>
      <c r="I103" s="1719"/>
      <c r="J103" s="1719"/>
      <c r="K103" s="1720"/>
      <c r="M103" s="139"/>
      <c r="N103" s="147"/>
      <c r="O103" s="147"/>
      <c r="P103" s="147"/>
    </row>
    <row r="104" spans="2:16" ht="17.25" x14ac:dyDescent="0.35">
      <c r="B104" s="1741" t="s">
        <v>1130</v>
      </c>
      <c r="C104" s="1742"/>
      <c r="D104" s="1742"/>
      <c r="E104" s="1742"/>
      <c r="F104" s="1742"/>
      <c r="G104" s="1742"/>
      <c r="H104" s="1742"/>
      <c r="I104" s="1742"/>
      <c r="J104" s="1742"/>
      <c r="K104" s="1743"/>
      <c r="M104" s="139"/>
      <c r="N104" s="147"/>
      <c r="O104" s="147"/>
      <c r="P104" s="147"/>
    </row>
    <row r="105" spans="2:16" ht="17.25" x14ac:dyDescent="0.35">
      <c r="B105" s="1741" t="s">
        <v>1131</v>
      </c>
      <c r="C105" s="1742"/>
      <c r="D105" s="1742"/>
      <c r="E105" s="1742"/>
      <c r="F105" s="1742"/>
      <c r="G105" s="1742"/>
      <c r="H105" s="1742"/>
      <c r="I105" s="1742"/>
      <c r="J105" s="1742"/>
      <c r="K105" s="1743"/>
      <c r="M105" s="139"/>
      <c r="N105" s="147"/>
      <c r="O105" s="147"/>
      <c r="P105" s="147"/>
    </row>
    <row r="106" spans="2:16" ht="102" customHeight="1" x14ac:dyDescent="0.35">
      <c r="B106" s="1718" t="s">
        <v>1132</v>
      </c>
      <c r="C106" s="1719"/>
      <c r="D106" s="1719"/>
      <c r="E106" s="1719"/>
      <c r="F106" s="1719"/>
      <c r="G106" s="1719"/>
      <c r="H106" s="1719"/>
      <c r="I106" s="1719"/>
      <c r="J106" s="1719"/>
      <c r="K106" s="1720"/>
      <c r="M106" s="139"/>
      <c r="N106" s="147"/>
      <c r="O106" s="147"/>
      <c r="P106" s="147"/>
    </row>
    <row r="107" spans="2:16" ht="122.45" customHeight="1" x14ac:dyDescent="0.35">
      <c r="B107" s="1718" t="s">
        <v>1279</v>
      </c>
      <c r="C107" s="1719"/>
      <c r="D107" s="1719"/>
      <c r="E107" s="1719"/>
      <c r="F107" s="1719"/>
      <c r="G107" s="1719"/>
      <c r="H107" s="1719"/>
      <c r="I107" s="1719"/>
      <c r="J107" s="1719"/>
      <c r="K107" s="1720"/>
      <c r="M107" s="139"/>
      <c r="N107" s="147"/>
      <c r="O107" s="147"/>
      <c r="P107" s="147"/>
    </row>
    <row r="108" spans="2:16" ht="36.75" customHeight="1" x14ac:dyDescent="0.35">
      <c r="B108" s="1718" t="s">
        <v>873</v>
      </c>
      <c r="C108" s="1719"/>
      <c r="D108" s="1719"/>
      <c r="E108" s="1719"/>
      <c r="F108" s="1719"/>
      <c r="G108" s="1719"/>
      <c r="H108" s="1719"/>
      <c r="I108" s="1719"/>
      <c r="J108" s="1719"/>
      <c r="K108" s="1720"/>
      <c r="M108" s="139"/>
      <c r="N108" s="147"/>
      <c r="O108" s="147"/>
      <c r="P108" s="147"/>
    </row>
    <row r="109" spans="2:16" ht="17.25" x14ac:dyDescent="0.35">
      <c r="B109" s="434"/>
      <c r="C109" s="435"/>
      <c r="D109" s="435"/>
      <c r="E109" s="891"/>
      <c r="F109" s="893"/>
      <c r="G109" s="893"/>
      <c r="H109" s="893"/>
      <c r="I109" s="893"/>
      <c r="J109" s="893"/>
      <c r="K109" s="910"/>
      <c r="M109" s="139"/>
      <c r="N109" s="147"/>
      <c r="O109" s="147"/>
      <c r="P109" s="147"/>
    </row>
    <row r="110" spans="2:16" ht="17.25" x14ac:dyDescent="0.35">
      <c r="B110" s="960" t="s">
        <v>52</v>
      </c>
      <c r="C110" s="877" t="s">
        <v>34</v>
      </c>
      <c r="D110" s="925" t="s">
        <v>35</v>
      </c>
      <c r="E110" s="925" t="s">
        <v>33</v>
      </c>
      <c r="F110" s="893"/>
      <c r="G110" s="893"/>
      <c r="H110" s="893"/>
      <c r="I110" s="893"/>
      <c r="J110" s="893"/>
      <c r="K110" s="910"/>
      <c r="M110" s="139"/>
      <c r="N110" s="147"/>
      <c r="O110" s="147"/>
      <c r="P110" s="147"/>
    </row>
    <row r="111" spans="2:16" ht="18" x14ac:dyDescent="0.35">
      <c r="B111" s="452" t="s">
        <v>53</v>
      </c>
      <c r="C111" s="965" t="str">
        <f>IFERROR(AVERAGE($C$124:$C$126),"")</f>
        <v/>
      </c>
      <c r="D111" s="425" t="s">
        <v>51</v>
      </c>
      <c r="E111" s="896" t="s">
        <v>475</v>
      </c>
      <c r="F111" s="893"/>
      <c r="G111" s="893"/>
      <c r="H111" s="893"/>
      <c r="I111" s="893"/>
      <c r="J111" s="893"/>
      <c r="K111" s="910"/>
      <c r="M111" s="139"/>
      <c r="N111" s="147"/>
      <c r="O111" s="147"/>
      <c r="P111" s="147"/>
    </row>
    <row r="112" spans="2:16" ht="18" x14ac:dyDescent="0.35">
      <c r="B112" s="252" t="str">
        <f>IF(OR('General Info &amp; Test Results'!C52="Draft Hood",'General Info &amp; Test Results'!C52="Direct Exhaust",'General Info &amp; Test Results'!C52="Barometric Draft Control",
'General Info &amp; Test Results'!C57="Yes. With Heat Exchange.",'General Info &amp; Test Results'!C57="Yes. Without Heat Exchange."),
"Steady-State Flue Gas Temperature","N/A")</f>
        <v>N/A</v>
      </c>
      <c r="C112" s="965" t="str">
        <f>IFERROR(AVERAGE($E$124:$E$126),"")</f>
        <v/>
      </c>
      <c r="D112" s="264" t="s">
        <v>51</v>
      </c>
      <c r="E112" s="897" t="s">
        <v>478</v>
      </c>
      <c r="F112" s="893"/>
      <c r="G112" s="893"/>
      <c r="H112" s="893"/>
      <c r="I112" s="893"/>
      <c r="J112" s="893"/>
      <c r="K112" s="910"/>
      <c r="M112" s="139"/>
      <c r="N112" s="147"/>
      <c r="O112" s="147"/>
      <c r="P112" s="147"/>
    </row>
    <row r="113" spans="2:16" ht="18" x14ac:dyDescent="0.35">
      <c r="B113" s="423" t="str">
        <f>IF(OR('General Info &amp; Test Results'!C52="Draft Hood",'General Info &amp; Test Results'!C52="Direct Exhaust",'General Info &amp; Test Results'!C52="Barometric Draft Control",
'General Info &amp; Test Results'!C57="Yes. With Heat Exchange.",'General Info &amp; Test Results'!C57="Yes. Without Heat Exchange."),
"Flue Gas Concentration by Volume of CO2","N/A")</f>
        <v>N/A</v>
      </c>
      <c r="C113" s="965" t="str">
        <f>IFERROR(AVERAGE($J$124:$J$126),"")</f>
        <v/>
      </c>
      <c r="D113" s="429" t="s">
        <v>211</v>
      </c>
      <c r="E113" s="898" t="s">
        <v>485</v>
      </c>
      <c r="F113" s="893"/>
      <c r="G113" s="893"/>
      <c r="H113" s="893"/>
      <c r="I113" s="893"/>
      <c r="J113" s="893"/>
      <c r="K113" s="910"/>
      <c r="M113" s="139"/>
      <c r="N113" s="147"/>
      <c r="O113" s="147"/>
      <c r="P113" s="147"/>
    </row>
    <row r="114" spans="2:16" ht="18" x14ac:dyDescent="0.35">
      <c r="B114" s="452" t="str">
        <f>IF(OR('General Info &amp; Test Results'!C52="Integral Draft Diverter"),
"Steady-State Stack Gas Temperature","N/A")</f>
        <v>N/A</v>
      </c>
      <c r="C114" s="965" t="str">
        <f>IFERROR(AVERAGE($F$124:$F$126),"")</f>
        <v/>
      </c>
      <c r="D114" s="264" t="s">
        <v>51</v>
      </c>
      <c r="E114" s="897" t="s">
        <v>476</v>
      </c>
      <c r="F114" s="893"/>
      <c r="G114" s="893"/>
      <c r="H114" s="893"/>
      <c r="I114" s="893"/>
      <c r="J114" s="893"/>
      <c r="K114" s="910"/>
      <c r="M114" s="139"/>
      <c r="N114" s="147"/>
      <c r="O114" s="147"/>
      <c r="P114" s="147"/>
    </row>
    <row r="115" spans="2:16" ht="18" x14ac:dyDescent="0.35">
      <c r="B115" s="457" t="str">
        <f>IF(OR('General Info &amp; Test Results'!C52="Draft Hood"),
"Stack Gas Concentration by Volume of CO2","N/A")</f>
        <v>N/A</v>
      </c>
      <c r="C115" s="965" t="str">
        <f>IFERROR(AVERAGE($K$124:$K$126),"")</f>
        <v/>
      </c>
      <c r="D115" s="456" t="s">
        <v>211</v>
      </c>
      <c r="E115" s="899" t="s">
        <v>486</v>
      </c>
      <c r="F115" s="893"/>
      <c r="G115" s="893"/>
      <c r="H115" s="893"/>
      <c r="I115" s="893"/>
      <c r="J115" s="893"/>
      <c r="K115" s="910"/>
      <c r="M115" s="139"/>
      <c r="N115" s="147"/>
      <c r="O115" s="147"/>
      <c r="P115" s="147"/>
    </row>
    <row r="116" spans="2:16" ht="17.25" x14ac:dyDescent="0.35">
      <c r="B116" s="441"/>
      <c r="C116" s="1166"/>
      <c r="D116" s="282"/>
      <c r="E116" s="926"/>
      <c r="F116" s="893"/>
      <c r="G116" s="893"/>
      <c r="H116" s="893"/>
      <c r="I116" s="893"/>
      <c r="J116" s="893"/>
      <c r="K116" s="910"/>
      <c r="M116" s="139"/>
      <c r="N116" s="147"/>
      <c r="O116" s="147"/>
      <c r="P116" s="147"/>
    </row>
    <row r="117" spans="2:16" ht="17.25" customHeight="1" x14ac:dyDescent="0.35">
      <c r="B117" s="961"/>
      <c r="C117" s="944" t="s">
        <v>875</v>
      </c>
      <c r="D117" s="945"/>
      <c r="E117" s="945"/>
      <c r="F117" s="945"/>
      <c r="G117" s="911"/>
      <c r="H117" s="893"/>
      <c r="I117" s="893"/>
      <c r="J117" s="893"/>
      <c r="K117" s="910"/>
      <c r="M117" s="139"/>
      <c r="N117" s="147"/>
      <c r="O117" s="147"/>
      <c r="P117" s="147"/>
    </row>
    <row r="118" spans="2:16" ht="17.25" x14ac:dyDescent="0.35">
      <c r="B118" s="927" t="s">
        <v>874</v>
      </c>
      <c r="C118" s="558"/>
      <c r="D118" s="946" t="str">
        <f>IF('Sys. # &amp; Product Characteristic'!Flue_Gas="","",5)</f>
        <v/>
      </c>
      <c r="E118" s="946" t="str">
        <f>IF(OR('Sys. # &amp; Product Characteristic'!C17="", 'Sys. # &amp; Product Characteristic'!C16 = "", 'Sys. # &amp; Product Characteristic'!C18 = "", 'Sys. # &amp; Product Characteristic'!Flue_Gas=""),"",
IF('Sys. # &amp; Product Characteristic'!Flue_Gas="Condensing",1,
IF(OR('Sys. # &amp; Product Characteristic'!C16="Yes",'Sys. # &amp; Product Characteristic'!C17="Draft Hood",'Sys. # &amp; Product Characteristic'!Direct_Vent?="Yes. With Heat Exchange.",'Sys. # &amp; Product Characteristic'!Direct_Vent?="Yes. Without Heat Exchange."),5,
"None")))</f>
        <v/>
      </c>
      <c r="F118" s="947" t="str">
        <f>IF('Sys. # &amp; Product Characteristic'!C17="","",IF('Sys. # &amp; Product Characteristic'!C17="Integral Draft Diverter",3,"None"))</f>
        <v/>
      </c>
      <c r="G118" s="947" t="str">
        <f>IF(OR('Sys. # &amp; Product Characteristic'!Heating_Medium="",'Sys. # &amp; Product Characteristic'!Flue_Gas=""),"",
IF('Sys. # &amp; Product Characteristic'!Heating_Medium="Water",IF('Sys. # &amp; Product Characteristic'!Flue_Gas="Condensing",1,4),"None"))</f>
        <v/>
      </c>
      <c r="H118" s="893"/>
      <c r="I118" s="893"/>
      <c r="J118" s="893"/>
      <c r="K118" s="433"/>
      <c r="M118" s="139"/>
      <c r="N118" s="147"/>
      <c r="O118" s="147"/>
      <c r="P118" s="147"/>
    </row>
    <row r="119" spans="2:16" ht="17.25" x14ac:dyDescent="0.35">
      <c r="B119" s="943" t="s">
        <v>256</v>
      </c>
      <c r="C119" s="946" t="str">
        <f>IF('Sys. # &amp; Product Characteristic'!Flue_Gas="","",65)</f>
        <v/>
      </c>
      <c r="D119" s="946" t="str">
        <f>IF('Sys. # &amp; Product Characteristic'!Flue_Gas="","",AVERAGE($C$124:$C$126)-D118)</f>
        <v/>
      </c>
      <c r="E119" s="948"/>
      <c r="F119" s="949"/>
      <c r="G119" s="949"/>
      <c r="H119" s="893"/>
      <c r="I119" s="893"/>
      <c r="J119" s="893"/>
      <c r="K119" s="433"/>
      <c r="M119" s="139"/>
      <c r="N119" s="147"/>
      <c r="O119" s="147"/>
      <c r="P119" s="147"/>
    </row>
    <row r="120" spans="2:16" ht="17.25" x14ac:dyDescent="0.35">
      <c r="B120" s="943" t="s">
        <v>257</v>
      </c>
      <c r="C120" s="946" t="str">
        <f>IF('Sys. # &amp; Product Characteristic'!Flue_Gas="","",IF('Sys. # &amp; Product Characteristic'!Flue_Gas="Condensing",85,100))</f>
        <v/>
      </c>
      <c r="D120" s="946" t="str">
        <f>IF('Sys. # &amp; Product Characteristic'!Flue_Gas="","",AVERAGE($C$124:$C$126)+D118)</f>
        <v/>
      </c>
      <c r="E120" s="948"/>
      <c r="F120" s="949"/>
      <c r="G120" s="949"/>
      <c r="H120" s="893"/>
      <c r="I120" s="893"/>
      <c r="J120" s="893"/>
      <c r="K120" s="433"/>
      <c r="M120" s="139"/>
      <c r="N120" s="147"/>
      <c r="O120" s="147"/>
      <c r="P120" s="147"/>
    </row>
    <row r="121" spans="2:16" ht="17.25" x14ac:dyDescent="0.35">
      <c r="B121" s="420" t="s">
        <v>375</v>
      </c>
      <c r="C121" s="453" t="str">
        <f>IF(C119="","",
IF(COUNTBLANK(C124:C126)=0,
  IF(AND(MAX(C124:C126)&lt;=C120,MIN(C124:C126)&gt;=C119),"Yes","No"),""))</f>
        <v/>
      </c>
      <c r="D121" s="453" t="str">
        <f>IF(D119="","",
IF(AND(MAX(D124:D126)&lt;=D120,MIN(D124:D126))&gt;=D119,"Yes","No")
)</f>
        <v/>
      </c>
      <c r="E121" s="453" t="str">
        <f>IF(E118="","",IF(E118="None","Yes",
IF(ABS(MAX(E124:E126)-MIN(E124:E126))&lt;=E118,"Yes","No")
))</f>
        <v/>
      </c>
      <c r="F121" s="453" t="str">
        <f>IF(F118="","",IF(F118="None","Yes",
IF(ABS(MAX(F124:F126)-MIN(F124:F126))&lt;=F118,"Yes","No")
))</f>
        <v/>
      </c>
      <c r="G121" s="453" t="str">
        <f>IF(G118="","",IF(G118="None","Yes",
IF(ABS(MAX(G124:G126)-MIN(G124:G126))&lt;=G118,"Yes","No")
))</f>
        <v/>
      </c>
      <c r="H121" s="893"/>
      <c r="I121" s="893"/>
      <c r="J121" s="893"/>
      <c r="K121" s="433"/>
      <c r="M121" s="139"/>
      <c r="N121" s="147"/>
      <c r="O121" s="147"/>
      <c r="P121" s="147"/>
    </row>
    <row r="122" spans="2:16" ht="17.25" x14ac:dyDescent="0.35">
      <c r="B122" s="962"/>
      <c r="C122" s="781"/>
      <c r="D122" s="875"/>
      <c r="E122" s="942"/>
      <c r="F122" s="942"/>
      <c r="G122" s="942"/>
      <c r="H122" s="875"/>
      <c r="I122" s="893"/>
      <c r="J122" s="893"/>
      <c r="K122" s="433"/>
      <c r="M122" s="139"/>
      <c r="N122" s="147"/>
      <c r="O122" s="147"/>
      <c r="P122" s="147"/>
    </row>
    <row r="123" spans="2:16" ht="69" x14ac:dyDescent="0.35">
      <c r="B123" s="462" t="s">
        <v>178</v>
      </c>
      <c r="C123" s="440" t="s">
        <v>871</v>
      </c>
      <c r="D123" s="440" t="s">
        <v>872</v>
      </c>
      <c r="E123" s="440" t="s">
        <v>56</v>
      </c>
      <c r="F123" s="440" t="s">
        <v>372</v>
      </c>
      <c r="G123" s="440" t="s">
        <v>373</v>
      </c>
      <c r="H123" s="440" t="s">
        <v>868</v>
      </c>
      <c r="I123" s="929" t="s">
        <v>869</v>
      </c>
      <c r="J123" s="440" t="s">
        <v>876</v>
      </c>
      <c r="K123" s="912" t="s">
        <v>877</v>
      </c>
      <c r="M123" s="139"/>
      <c r="N123" s="147"/>
      <c r="P123" s="147"/>
    </row>
    <row r="124" spans="2:16" ht="17.25" x14ac:dyDescent="0.35">
      <c r="B124" s="419">
        <v>0</v>
      </c>
      <c r="C124" s="1181"/>
      <c r="D124" s="1181"/>
      <c r="E124" s="1181"/>
      <c r="F124" s="1181"/>
      <c r="G124" s="1180"/>
      <c r="H124" s="1183"/>
      <c r="I124" s="967" t="str">
        <f>IF(OR(H124="",G124=""),"",G124-H124)</f>
        <v/>
      </c>
      <c r="J124" s="1183"/>
      <c r="K124" s="1168"/>
      <c r="M124" s="139"/>
      <c r="N124" s="147"/>
      <c r="P124" s="147"/>
    </row>
    <row r="125" spans="2:16" ht="17.25" x14ac:dyDescent="0.35">
      <c r="B125" s="271">
        <v>15</v>
      </c>
      <c r="C125" s="1181"/>
      <c r="D125" s="1183"/>
      <c r="E125" s="1181"/>
      <c r="F125" s="1181"/>
      <c r="G125" s="1180"/>
      <c r="H125" s="1183"/>
      <c r="I125" s="967" t="str">
        <f>IF(OR(H125="",G125=""),"",G125-H125)</f>
        <v/>
      </c>
      <c r="J125" s="1183"/>
      <c r="K125" s="1168"/>
      <c r="M125" s="139"/>
      <c r="N125" s="147"/>
      <c r="P125" s="147"/>
    </row>
    <row r="126" spans="2:16" ht="18" thickBot="1" x14ac:dyDescent="0.4">
      <c r="B126" s="272">
        <v>30</v>
      </c>
      <c r="C126" s="1181"/>
      <c r="D126" s="1182"/>
      <c r="E126" s="1181"/>
      <c r="F126" s="1181"/>
      <c r="G126" s="1187"/>
      <c r="H126" s="1182"/>
      <c r="I126" s="967" t="str">
        <f>IF(OR(H126="",G126=""),"",G126-H126)</f>
        <v/>
      </c>
      <c r="J126" s="1183"/>
      <c r="K126" s="1168"/>
      <c r="M126" s="139"/>
      <c r="N126" s="702"/>
      <c r="P126" s="147"/>
    </row>
    <row r="127" spans="2:16" ht="18" thickBot="1" x14ac:dyDescent="0.4">
      <c r="B127" s="273" t="str">
        <f>"End: Steady-State Test" &amp; IF('Sys. # &amp; Product Characteristic'!Heating_Fuel_Used="Electricity"," - NOT REQUIRED FOR THIS TEST","")</f>
        <v>End: Steady-State Test</v>
      </c>
      <c r="C127" s="274"/>
      <c r="D127" s="274"/>
      <c r="E127" s="274"/>
      <c r="F127" s="275"/>
      <c r="G127" s="889"/>
      <c r="H127" s="889"/>
      <c r="I127" s="889"/>
      <c r="J127" s="889"/>
      <c r="K127" s="276"/>
      <c r="M127" s="139"/>
      <c r="N127" s="147"/>
      <c r="O127" s="147"/>
      <c r="P127" s="147"/>
    </row>
    <row r="128" spans="2:16" ht="17.25" x14ac:dyDescent="0.35">
      <c r="B128" s="430"/>
      <c r="C128" s="133"/>
      <c r="D128" s="133"/>
      <c r="E128" s="133"/>
      <c r="M128" s="139"/>
      <c r="N128" s="147"/>
      <c r="O128" s="147"/>
      <c r="P128" s="147"/>
    </row>
    <row r="129" spans="2:16" ht="18" thickBot="1" x14ac:dyDescent="0.4">
      <c r="B129" s="430"/>
      <c r="C129" s="133"/>
      <c r="D129" s="133"/>
      <c r="E129" s="133"/>
      <c r="M129" s="139"/>
      <c r="N129" s="147"/>
      <c r="O129" s="147"/>
      <c r="P129" s="147"/>
    </row>
    <row r="130" spans="2:16" ht="18" thickBot="1" x14ac:dyDescent="0.4">
      <c r="B130" s="1735" t="str">
        <f>"ASHRAE 103-2017, Section 9.1.3: Direct Measurement of the S/F Factors for Furnaces and Boilers with Barometric Draft Regulators" &amp; IF('Sys. # &amp; Product Characteristic'!C42="Yes",""," - NOT REQUIRED FOR THIS TEST")</f>
        <v>ASHRAE 103-2017, Section 9.1.3: Direct Measurement of the S/F Factors for Furnaces and Boilers with Barometric Draft Regulators - NOT REQUIRED FOR THIS TEST</v>
      </c>
      <c r="C130" s="1736"/>
      <c r="D130" s="1736"/>
      <c r="E130" s="1736"/>
      <c r="F130" s="1736"/>
      <c r="G130" s="1736"/>
      <c r="H130" s="1736"/>
      <c r="I130" s="1736"/>
      <c r="J130" s="1736"/>
      <c r="K130" s="1737"/>
      <c r="M130" s="139"/>
      <c r="N130" s="147"/>
      <c r="O130" s="147"/>
      <c r="P130" s="147"/>
    </row>
    <row r="131" spans="2:16" ht="155.25" customHeight="1" thickBot="1" x14ac:dyDescent="0.4">
      <c r="B131" s="1738" t="s">
        <v>1280</v>
      </c>
      <c r="C131" s="1739"/>
      <c r="D131" s="1739"/>
      <c r="E131" s="1739"/>
      <c r="F131" s="1739"/>
      <c r="G131" s="1739"/>
      <c r="H131" s="1739"/>
      <c r="I131" s="1739"/>
      <c r="J131" s="1739"/>
      <c r="K131" s="1740"/>
      <c r="M131" s="139"/>
      <c r="N131" s="147"/>
      <c r="O131" s="147"/>
      <c r="P131" s="147"/>
    </row>
    <row r="132" spans="2:16" ht="17.25" x14ac:dyDescent="0.35">
      <c r="B132" s="432"/>
      <c r="C132" s="430"/>
      <c r="D132" s="430"/>
      <c r="E132" s="430"/>
      <c r="F132" s="893"/>
      <c r="G132" s="893"/>
      <c r="H132" s="893"/>
      <c r="I132" s="893"/>
      <c r="J132" s="893"/>
      <c r="K132" s="910"/>
      <c r="M132" s="139"/>
      <c r="N132" s="147"/>
      <c r="O132" s="147"/>
      <c r="P132" s="147"/>
    </row>
    <row r="133" spans="2:16" ht="18" thickBot="1" x14ac:dyDescent="0.4">
      <c r="B133" s="1019" t="s">
        <v>893</v>
      </c>
      <c r="C133" s="930"/>
      <c r="D133" s="930"/>
      <c r="E133" s="930"/>
      <c r="F133" s="981"/>
      <c r="G133" s="981"/>
      <c r="H133" s="981"/>
      <c r="I133" s="981"/>
      <c r="J133" s="981"/>
      <c r="K133" s="909"/>
      <c r="M133" s="139"/>
      <c r="N133" s="147"/>
      <c r="O133" s="147"/>
      <c r="P133" s="147"/>
    </row>
    <row r="134" spans="2:16" ht="17.25" x14ac:dyDescent="0.35">
      <c r="B134" s="1164"/>
      <c r="C134" s="430"/>
      <c r="D134" s="430"/>
      <c r="E134" s="430"/>
      <c r="F134" s="893"/>
      <c r="G134" s="893"/>
      <c r="H134" s="893"/>
      <c r="I134" s="893"/>
      <c r="J134" s="893"/>
      <c r="K134" s="893"/>
      <c r="M134" s="139"/>
      <c r="N134" s="147"/>
      <c r="O134" s="147"/>
      <c r="P134" s="147"/>
    </row>
    <row r="135" spans="2:16" ht="18" thickBot="1" x14ac:dyDescent="0.4">
      <c r="B135" s="1164"/>
      <c r="C135" s="430"/>
      <c r="D135" s="430"/>
      <c r="E135" s="430"/>
      <c r="F135" s="893"/>
      <c r="G135" s="893"/>
      <c r="H135" s="893"/>
      <c r="I135" s="893"/>
      <c r="J135" s="893"/>
      <c r="K135" s="893"/>
      <c r="M135" s="139"/>
      <c r="N135" s="147"/>
      <c r="O135" s="147"/>
      <c r="P135" s="147"/>
    </row>
    <row r="136" spans="2:16" ht="18" thickBot="1" x14ac:dyDescent="0.4">
      <c r="B136" s="1735" t="str">
        <f>"ASHRAE 103-2017, Section 9.1.4: Preparation for Cool-Down Test, Draft Diverters" &amp; IF('Sys. # &amp; Product Characteristic'!C17="Integral Draft Diverter",""," - NOT REQUIRED FOR THIS TEST")</f>
        <v>ASHRAE 103-2017, Section 9.1.4: Preparation for Cool-Down Test, Draft Diverters - NOT REQUIRED FOR THIS TEST</v>
      </c>
      <c r="C136" s="1736"/>
      <c r="D136" s="1736"/>
      <c r="E136" s="1736"/>
      <c r="F136" s="1736"/>
      <c r="G136" s="1736"/>
      <c r="H136" s="1736"/>
      <c r="I136" s="1736"/>
      <c r="J136" s="1736"/>
      <c r="K136" s="1737"/>
      <c r="M136" s="139"/>
      <c r="N136" s="147"/>
      <c r="O136" s="147"/>
      <c r="P136" s="147"/>
    </row>
    <row r="137" spans="2:16" ht="74.45" customHeight="1" thickBot="1" x14ac:dyDescent="0.4">
      <c r="B137" s="1738" t="s">
        <v>1133</v>
      </c>
      <c r="C137" s="1739"/>
      <c r="D137" s="1739"/>
      <c r="E137" s="1739"/>
      <c r="F137" s="1739"/>
      <c r="G137" s="1739"/>
      <c r="H137" s="1739"/>
      <c r="I137" s="1739"/>
      <c r="J137" s="1739"/>
      <c r="K137" s="1740"/>
      <c r="M137" s="139"/>
      <c r="N137" s="147"/>
      <c r="O137" s="147"/>
      <c r="P137" s="147"/>
    </row>
    <row r="138" spans="2:16" ht="17.25" x14ac:dyDescent="0.35">
      <c r="B138" s="434"/>
      <c r="C138" s="435"/>
      <c r="D138" s="435"/>
      <c r="E138" s="891"/>
      <c r="F138" s="893"/>
      <c r="G138" s="893"/>
      <c r="H138" s="893"/>
      <c r="I138" s="893"/>
      <c r="J138" s="893"/>
      <c r="K138" s="910"/>
      <c r="M138" s="139"/>
      <c r="N138" s="147"/>
      <c r="O138" s="147"/>
      <c r="P138" s="147"/>
    </row>
    <row r="139" spans="2:16" ht="17.25" x14ac:dyDescent="0.35">
      <c r="B139" s="1161" t="s">
        <v>52</v>
      </c>
      <c r="C139" s="1160" t="s">
        <v>34</v>
      </c>
      <c r="D139" s="1162" t="s">
        <v>35</v>
      </c>
      <c r="E139" s="1162" t="s">
        <v>33</v>
      </c>
      <c r="F139" s="893"/>
      <c r="G139" s="893"/>
      <c r="H139" s="893"/>
      <c r="I139" s="893"/>
      <c r="J139" s="893"/>
      <c r="K139" s="910"/>
      <c r="M139" s="139"/>
      <c r="N139" s="147"/>
      <c r="O139" s="147"/>
      <c r="P139" s="147"/>
    </row>
    <row r="140" spans="2:16" ht="18" x14ac:dyDescent="0.35">
      <c r="B140" s="452" t="s">
        <v>53</v>
      </c>
      <c r="C140" s="965" t="str">
        <f>IFERROR(AVERAGE($C$153:$C$155),"")</f>
        <v/>
      </c>
      <c r="D140" s="425" t="s">
        <v>51</v>
      </c>
      <c r="E140" s="896" t="s">
        <v>475</v>
      </c>
      <c r="F140" s="893"/>
      <c r="G140" s="893"/>
      <c r="H140" s="893"/>
      <c r="I140" s="893"/>
      <c r="J140" s="893"/>
      <c r="K140" s="910"/>
      <c r="M140" s="139"/>
      <c r="N140" s="147"/>
      <c r="O140" s="147"/>
      <c r="P140" s="147"/>
    </row>
    <row r="141" spans="2:16" ht="18" x14ac:dyDescent="0.35">
      <c r="B141" s="252" t="str">
        <f>IF('General Info &amp; Test Results'!C52="Integral Draft Diverter", "Steady State Flue Gas Temp","N/A")</f>
        <v>N/A</v>
      </c>
      <c r="C141" s="965" t="str">
        <f>IFERROR(AVERAGE($E$153:$E$155),"")</f>
        <v/>
      </c>
      <c r="D141" s="264" t="s">
        <v>51</v>
      </c>
      <c r="E141" s="897" t="s">
        <v>478</v>
      </c>
      <c r="F141" s="893"/>
      <c r="G141" s="893"/>
      <c r="H141" s="893"/>
      <c r="I141" s="893"/>
      <c r="J141" s="893"/>
      <c r="K141" s="910"/>
      <c r="M141" s="139"/>
      <c r="N141" s="147"/>
      <c r="O141" s="147"/>
      <c r="P141" s="147"/>
    </row>
    <row r="142" spans="2:16" ht="18" x14ac:dyDescent="0.35">
      <c r="B142" s="423" t="str">
        <f>IF(OR('General Info &amp; Test Results'!C52="Draft Hood",'General Info &amp; Test Results'!C52="Direct Exhaust",'General Info &amp; Test Results'!C52="Barometric Draft Control",
'General Info &amp; Test Results'!C57="Yes. With Heat Exchange.",'General Info &amp; Test Results'!C57="Yes. Without Heat Exchange."),
"Flue Gas Concentration by Volume of CO2","N/A")</f>
        <v>N/A</v>
      </c>
      <c r="C142" s="965" t="str">
        <f>IFERROR(AVERAGE($J$153:$J$155),"")</f>
        <v/>
      </c>
      <c r="D142" s="429" t="s">
        <v>211</v>
      </c>
      <c r="E142" s="898" t="s">
        <v>485</v>
      </c>
      <c r="F142" s="893"/>
      <c r="G142" s="893"/>
      <c r="H142" s="893"/>
      <c r="I142" s="893"/>
      <c r="J142" s="893"/>
      <c r="K142" s="910"/>
      <c r="M142" s="139"/>
      <c r="N142" s="147"/>
      <c r="O142" s="147"/>
      <c r="P142" s="147"/>
    </row>
    <row r="143" spans="2:16" ht="18" x14ac:dyDescent="0.35">
      <c r="B143" s="452" t="s">
        <v>705</v>
      </c>
      <c r="C143" s="965" t="str">
        <f>IFERROR(AVERAGE($F$153:$F$155),"")</f>
        <v/>
      </c>
      <c r="D143" s="264" t="s">
        <v>51</v>
      </c>
      <c r="E143" s="897" t="s">
        <v>476</v>
      </c>
      <c r="F143" s="893"/>
      <c r="G143" s="893"/>
      <c r="H143" s="893"/>
      <c r="I143" s="893"/>
      <c r="J143" s="893"/>
      <c r="K143" s="910"/>
      <c r="M143" s="139"/>
      <c r="N143" s="147"/>
      <c r="O143" s="147"/>
      <c r="P143" s="147"/>
    </row>
    <row r="144" spans="2:16" ht="18" x14ac:dyDescent="0.35">
      <c r="B144" s="457" t="str">
        <f>IF(OR('General Info &amp; Test Results'!C52="Draft Hood"),
"Stack Gas Concentration by Volume of CO2","N/A")</f>
        <v>N/A</v>
      </c>
      <c r="C144" s="965" t="str">
        <f>IFERROR(AVERAGE($K$153:$K$155),"")</f>
        <v/>
      </c>
      <c r="D144" s="456" t="s">
        <v>211</v>
      </c>
      <c r="E144" s="899" t="s">
        <v>486</v>
      </c>
      <c r="F144" s="893"/>
      <c r="G144" s="893"/>
      <c r="H144" s="893"/>
      <c r="I144" s="893"/>
      <c r="J144" s="893"/>
      <c r="K144" s="910"/>
      <c r="M144" s="139"/>
      <c r="N144" s="147"/>
      <c r="O144" s="147"/>
      <c r="P144" s="147"/>
    </row>
    <row r="145" spans="2:16" ht="17.25" x14ac:dyDescent="0.35">
      <c r="B145" s="441"/>
      <c r="C145" s="1166"/>
      <c r="D145" s="282"/>
      <c r="E145" s="926"/>
      <c r="F145" s="893"/>
      <c r="G145" s="893"/>
      <c r="H145" s="893"/>
      <c r="I145" s="893"/>
      <c r="J145" s="893"/>
      <c r="K145" s="910"/>
      <c r="M145" s="139"/>
      <c r="N145" s="147"/>
      <c r="O145" s="147"/>
      <c r="P145" s="147"/>
    </row>
    <row r="146" spans="2:16" ht="17.25" x14ac:dyDescent="0.35">
      <c r="B146" s="961"/>
      <c r="C146" s="944" t="s">
        <v>875</v>
      </c>
      <c r="D146" s="945"/>
      <c r="E146" s="945"/>
      <c r="F146" s="945"/>
      <c r="G146" s="911"/>
      <c r="H146" s="893"/>
      <c r="I146" s="893"/>
      <c r="J146" s="893"/>
      <c r="K146" s="910"/>
      <c r="M146" s="139"/>
      <c r="N146" s="147"/>
      <c r="O146" s="147"/>
      <c r="P146" s="147"/>
    </row>
    <row r="147" spans="2:16" ht="17.25" x14ac:dyDescent="0.35">
      <c r="B147" s="927" t="s">
        <v>874</v>
      </c>
      <c r="C147" s="558"/>
      <c r="D147" s="946" t="str">
        <f>IF('Sys. # &amp; Product Characteristic'!Flue_Gas="","",5)</f>
        <v/>
      </c>
      <c r="E147" s="946" t="str">
        <f>IF(OR('Sys. # &amp; Product Characteristic'!C46="", 'Sys. # &amp; Product Characteristic'!C45 = "", 'Sys. # &amp; Product Characteristic'!C47 = "", 'Sys. # &amp; Product Characteristic'!Flue_Gas=""),"",
IF('Sys. # &amp; Product Characteristic'!Flue_Gas="Condensing",1,
IF(OR('Sys. # &amp; Product Characteristic'!C45="Yes",'Sys. # &amp; Product Characteristic'!C46="Draft Hood",'Sys. # &amp; Product Characteristic'!Direct_Vent?="Yes. With Heat Exchange.",'Sys. # &amp; Product Characteristic'!Direct_Vent?="Yes. Without Heat Exchange."),5,
"None")))</f>
        <v/>
      </c>
      <c r="F147" s="947" t="str">
        <f>IF('Sys. # &amp; Product Characteristic'!C46="","",IF('Sys. # &amp; Product Characteristic'!C46="Integral Draft Diverter",3,"None"))</f>
        <v/>
      </c>
      <c r="G147" s="947" t="str">
        <f>IF(OR('Sys. # &amp; Product Characteristic'!Heating_Medium="",'Sys. # &amp; Product Characteristic'!Flue_Gas=""),"",
IF('Sys. # &amp; Product Characteristic'!Heating_Medium="Water",IF('Sys. # &amp; Product Characteristic'!Flue_Gas="Condensing",1,4),"None"))</f>
        <v/>
      </c>
      <c r="H147" s="893"/>
      <c r="I147" s="893"/>
      <c r="J147" s="893"/>
      <c r="K147" s="433"/>
      <c r="M147" s="139"/>
      <c r="N147" s="147"/>
      <c r="O147" s="147"/>
      <c r="P147" s="147"/>
    </row>
    <row r="148" spans="2:16" ht="17.25" x14ac:dyDescent="0.35">
      <c r="B148" s="943" t="s">
        <v>256</v>
      </c>
      <c r="C148" s="946" t="str">
        <f>IF('Sys. # &amp; Product Characteristic'!Flue_Gas="","",65)</f>
        <v/>
      </c>
      <c r="D148" s="946" t="str">
        <f>IF('Sys. # &amp; Product Characteristic'!Flue_Gas="","",AVERAGE($C$124:$C$126)-D147)</f>
        <v/>
      </c>
      <c r="E148" s="948"/>
      <c r="F148" s="949"/>
      <c r="G148" s="949"/>
      <c r="H148" s="893"/>
      <c r="I148" s="893"/>
      <c r="J148" s="893"/>
      <c r="K148" s="433"/>
      <c r="M148" s="139"/>
      <c r="N148" s="147"/>
      <c r="O148" s="147"/>
      <c r="P148" s="147"/>
    </row>
    <row r="149" spans="2:16" ht="17.25" x14ac:dyDescent="0.35">
      <c r="B149" s="943" t="s">
        <v>257</v>
      </c>
      <c r="C149" s="946" t="str">
        <f>IF('Sys. # &amp; Product Characteristic'!Flue_Gas="","",IF('Sys. # &amp; Product Characteristic'!Flue_Gas="Condensing",85,100))</f>
        <v/>
      </c>
      <c r="D149" s="946" t="str">
        <f>IF('Sys. # &amp; Product Characteristic'!Flue_Gas="","",AVERAGE($C$124:$C$126)+D147)</f>
        <v/>
      </c>
      <c r="E149" s="948"/>
      <c r="F149" s="949"/>
      <c r="G149" s="949"/>
      <c r="H149" s="893"/>
      <c r="I149" s="893"/>
      <c r="J149" s="893"/>
      <c r="K149" s="433"/>
      <c r="M149" s="139"/>
      <c r="N149" s="147"/>
      <c r="O149" s="147"/>
      <c r="P149" s="147"/>
    </row>
    <row r="150" spans="2:16" ht="17.25" x14ac:dyDescent="0.35">
      <c r="B150" s="420" t="s">
        <v>375</v>
      </c>
      <c r="C150" s="453" t="str">
        <f>IF(C148="","",
IF(COUNTBLANK(C153:C155)=0,
  IF(AND(MAX(C153:C155)&lt;=C149,MIN(C153:C155)&gt;=C148),"Yes","No"),""))</f>
        <v/>
      </c>
      <c r="D150" s="453" t="str">
        <f>IF(D148="","",
IF(AND(MAX(D153:D155)&lt;=D149,MIN(D153:D155))&gt;=D148,"Yes","No")
)</f>
        <v/>
      </c>
      <c r="E150" s="453" t="str">
        <f>IF(E147="","",IF(E147="None","Yes",
IF(ABS(MAX(E153:E155)-MIN(E153:E155))&lt;=E147,"Yes","No")
))</f>
        <v/>
      </c>
      <c r="F150" s="453" t="str">
        <f>IF(F147="","",IF(F147="None","Yes",
IF(ABS(MAX(F153:F155)-MIN(F153:F155))&lt;=F147,"Yes","No")
))</f>
        <v/>
      </c>
      <c r="G150" s="453" t="str">
        <f>IF(G147="","",IF(G147="None","Yes",
IF(ABS(MAX(G153:G155)-MIN(G153:G155))&lt;=G147,"Yes","No")
))</f>
        <v/>
      </c>
      <c r="H150" s="893"/>
      <c r="I150" s="893"/>
      <c r="J150" s="893"/>
      <c r="K150" s="433"/>
      <c r="M150" s="139"/>
      <c r="N150" s="147"/>
      <c r="O150" s="147"/>
      <c r="P150" s="147"/>
    </row>
    <row r="151" spans="2:16" ht="17.25" x14ac:dyDescent="0.35">
      <c r="B151" s="962"/>
      <c r="C151" s="781"/>
      <c r="D151" s="875"/>
      <c r="E151" s="942"/>
      <c r="F151" s="942"/>
      <c r="G151" s="942"/>
      <c r="H151" s="875"/>
      <c r="I151" s="893"/>
      <c r="J151" s="893"/>
      <c r="K151" s="433"/>
      <c r="M151" s="139"/>
      <c r="N151" s="147"/>
      <c r="O151" s="147"/>
      <c r="P151" s="147"/>
    </row>
    <row r="152" spans="2:16" ht="69" x14ac:dyDescent="0.35">
      <c r="B152" s="462" t="s">
        <v>178</v>
      </c>
      <c r="C152" s="440" t="s">
        <v>871</v>
      </c>
      <c r="D152" s="440" t="s">
        <v>872</v>
      </c>
      <c r="E152" s="440" t="s">
        <v>56</v>
      </c>
      <c r="F152" s="440" t="s">
        <v>372</v>
      </c>
      <c r="G152" s="440" t="s">
        <v>373</v>
      </c>
      <c r="H152" s="440" t="s">
        <v>868</v>
      </c>
      <c r="I152" s="929" t="s">
        <v>869</v>
      </c>
      <c r="J152" s="440" t="s">
        <v>876</v>
      </c>
      <c r="K152" s="912" t="s">
        <v>877</v>
      </c>
      <c r="M152" s="139"/>
      <c r="N152" s="147"/>
      <c r="O152" s="147"/>
      <c r="P152" s="147"/>
    </row>
    <row r="153" spans="2:16" ht="17.25" x14ac:dyDescent="0.35">
      <c r="B153" s="419">
        <v>0</v>
      </c>
      <c r="C153" s="1165"/>
      <c r="D153" s="1165"/>
      <c r="E153" s="278"/>
      <c r="F153" s="278"/>
      <c r="G153" s="1167"/>
      <c r="H153" s="1168"/>
      <c r="I153" s="967" t="str">
        <f>IF(OR(H153="",G153=""),"",G153-H153)</f>
        <v/>
      </c>
      <c r="J153" s="1168"/>
      <c r="K153" s="1168"/>
      <c r="M153" s="139"/>
      <c r="N153" s="147"/>
      <c r="O153" s="147"/>
      <c r="P153" s="147"/>
    </row>
    <row r="154" spans="2:16" ht="17.25" x14ac:dyDescent="0.35">
      <c r="B154" s="271">
        <v>15</v>
      </c>
      <c r="C154" s="1165"/>
      <c r="D154" s="1168"/>
      <c r="E154" s="278"/>
      <c r="F154" s="278"/>
      <c r="G154" s="1167"/>
      <c r="H154" s="1168"/>
      <c r="I154" s="967" t="str">
        <f>IF(OR(H154="",G154=""),"",G154-H154)</f>
        <v/>
      </c>
      <c r="J154" s="1168"/>
      <c r="K154" s="1168"/>
      <c r="M154" s="139"/>
      <c r="N154" s="147"/>
      <c r="O154" s="147"/>
      <c r="P154" s="147"/>
    </row>
    <row r="155" spans="2:16" ht="18" thickBot="1" x14ac:dyDescent="0.4">
      <c r="B155" s="272">
        <v>30</v>
      </c>
      <c r="C155" s="1165"/>
      <c r="D155" s="1169"/>
      <c r="E155" s="278"/>
      <c r="F155" s="278"/>
      <c r="G155" s="1170"/>
      <c r="H155" s="1169"/>
      <c r="I155" s="967" t="str">
        <f>IF(OR(H155="",G155=""),"",G155-H155)</f>
        <v/>
      </c>
      <c r="J155" s="1168"/>
      <c r="K155" s="1168"/>
      <c r="M155" s="139"/>
      <c r="N155" s="147"/>
      <c r="O155" s="147"/>
      <c r="P155" s="147"/>
    </row>
    <row r="156" spans="2:16" ht="18" thickBot="1" x14ac:dyDescent="0.4">
      <c r="B156" s="273" t="str">
        <f>"End: Steady-State Test" &amp; IF('Sys. # &amp; Product Characteristic'!Heating_Fuel_Used="Electricity"," - NOT REQUIRED FOR THIS TEST","")</f>
        <v>End: Steady-State Test</v>
      </c>
      <c r="C156" s="274"/>
      <c r="D156" s="274"/>
      <c r="E156" s="274"/>
      <c r="F156" s="275"/>
      <c r="G156" s="889"/>
      <c r="H156" s="889"/>
      <c r="I156" s="889"/>
      <c r="J156" s="889"/>
      <c r="K156" s="276"/>
      <c r="M156" s="139"/>
      <c r="N156" s="147"/>
      <c r="O156" s="147"/>
      <c r="P156" s="147"/>
    </row>
    <row r="157" spans="2:16" ht="17.25" x14ac:dyDescent="0.35">
      <c r="B157" s="430"/>
      <c r="C157" s="133"/>
      <c r="D157" s="133"/>
      <c r="E157" s="133"/>
      <c r="M157" s="139"/>
      <c r="N157" s="147"/>
      <c r="O157" s="147"/>
      <c r="P157" s="147"/>
    </row>
    <row r="158" spans="2:16" ht="18" thickBot="1" x14ac:dyDescent="0.4">
      <c r="B158" s="430"/>
      <c r="C158" s="133"/>
      <c r="D158" s="133"/>
      <c r="E158" s="133"/>
      <c r="M158" s="139"/>
      <c r="N158" s="147"/>
      <c r="O158" s="147"/>
      <c r="P158" s="147"/>
    </row>
    <row r="159" spans="2:16" ht="34.5" customHeight="1" thickBot="1" x14ac:dyDescent="0.4">
      <c r="B159" s="1735" t="str">
        <f>"ASHRAE 103-2017, Section 9.2 OR Appendix EE, Section 8.5:" &amp; CHAR(10)
&amp; "Condensing Furnaces and Boilers, Measurement of Condensate Under Steady-State Conditions" &amp; IF('Sys. # &amp; Product Characteristic'!Flue_Gas="Non-Condensing"," - NOT REQUIRED FOR THIS TEST","")</f>
        <v>ASHRAE 103-2017, Section 9.2 OR Appendix EE, Section 8.5:
Condensing Furnaces and Boilers, Measurement of Condensate Under Steady-State Conditions</v>
      </c>
      <c r="C159" s="1736"/>
      <c r="D159" s="1736"/>
      <c r="E159" s="1736"/>
      <c r="F159" s="1736"/>
      <c r="G159" s="1736"/>
      <c r="H159" s="1736"/>
      <c r="I159" s="1736"/>
      <c r="J159" s="1736"/>
      <c r="K159" s="1737"/>
      <c r="M159" s="139"/>
      <c r="N159" s="147"/>
      <c r="O159" s="147"/>
      <c r="P159" s="147"/>
    </row>
    <row r="160" spans="2:16" ht="90" customHeight="1" x14ac:dyDescent="0.35">
      <c r="B160" s="1695" t="s">
        <v>1134</v>
      </c>
      <c r="C160" s="1696"/>
      <c r="D160" s="1696"/>
      <c r="E160" s="1696"/>
      <c r="F160" s="1696"/>
      <c r="G160" s="1696"/>
      <c r="H160" s="1696"/>
      <c r="I160" s="1696"/>
      <c r="J160" s="1696"/>
      <c r="K160" s="1697"/>
      <c r="M160" s="139"/>
      <c r="N160" s="147"/>
      <c r="O160" s="147"/>
      <c r="P160" s="147"/>
    </row>
    <row r="161" spans="2:16" ht="17.25" x14ac:dyDescent="0.35">
      <c r="B161" s="426" t="s">
        <v>52</v>
      </c>
      <c r="C161" s="427" t="s">
        <v>34</v>
      </c>
      <c r="D161" s="428" t="s">
        <v>35</v>
      </c>
      <c r="E161" s="428" t="s">
        <v>33</v>
      </c>
      <c r="F161" s="893"/>
      <c r="G161" s="893"/>
      <c r="H161" s="893"/>
      <c r="I161" s="893"/>
      <c r="J161" s="893"/>
      <c r="K161" s="910"/>
      <c r="M161" s="139"/>
      <c r="N161" s="147"/>
      <c r="O161" s="147"/>
      <c r="P161" s="147"/>
    </row>
    <row r="162" spans="2:16" s="126" customFormat="1" x14ac:dyDescent="0.3">
      <c r="B162" s="252" t="s">
        <v>248</v>
      </c>
      <c r="C162" s="180"/>
      <c r="D162" s="277" t="s">
        <v>211</v>
      </c>
      <c r="E162" s="953" t="s">
        <v>175</v>
      </c>
      <c r="F162" s="559"/>
      <c r="G162" s="559"/>
      <c r="H162" s="559"/>
      <c r="I162" s="559"/>
      <c r="J162" s="559"/>
      <c r="K162" s="608"/>
      <c r="M162" s="127"/>
    </row>
    <row r="163" spans="2:16" x14ac:dyDescent="0.3">
      <c r="B163" s="252" t="s">
        <v>78</v>
      </c>
      <c r="C163" s="507" t="str">
        <f>IF(RH_SS="","",IF(RH_SS&gt;80, "No","Yes"))</f>
        <v/>
      </c>
      <c r="D163" s="264" t="s">
        <v>175</v>
      </c>
      <c r="E163" s="897" t="s">
        <v>175</v>
      </c>
      <c r="F163" s="893"/>
      <c r="G163" s="893"/>
      <c r="H163" s="893"/>
      <c r="I163" s="893"/>
      <c r="J163" s="893"/>
      <c r="K163" s="910"/>
      <c r="M163" s="139"/>
    </row>
    <row r="164" spans="2:16" ht="18" x14ac:dyDescent="0.3">
      <c r="B164" s="252" t="s">
        <v>61</v>
      </c>
      <c r="C164" s="118" t="str">
        <f>IF('Test Conditions'!HHV="", "",'Test Conditions'!HHV)</f>
        <v/>
      </c>
      <c r="D164" s="263" t="s">
        <v>246</v>
      </c>
      <c r="E164" s="897" t="s">
        <v>59</v>
      </c>
      <c r="F164" s="485"/>
      <c r="G164" s="485"/>
      <c r="H164" s="485"/>
      <c r="I164" s="485"/>
      <c r="J164" s="485"/>
      <c r="K164" s="954"/>
      <c r="L164" s="129"/>
      <c r="M164" s="139"/>
    </row>
    <row r="165" spans="2:16" ht="18" x14ac:dyDescent="0.3">
      <c r="B165" s="319" t="s">
        <v>516</v>
      </c>
      <c r="C165" s="1183"/>
      <c r="D165" s="263" t="s">
        <v>79</v>
      </c>
      <c r="E165" s="897" t="s">
        <v>681</v>
      </c>
      <c r="F165" s="430"/>
      <c r="G165" s="430"/>
      <c r="H165" s="430"/>
      <c r="I165" s="430"/>
      <c r="J165" s="430"/>
      <c r="K165" s="433"/>
      <c r="L165" s="133"/>
      <c r="M165" s="140"/>
    </row>
    <row r="166" spans="2:16" ht="17.25" x14ac:dyDescent="0.35">
      <c r="B166" s="252" t="s">
        <v>76</v>
      </c>
      <c r="C166" s="1183"/>
      <c r="D166" s="263" t="s">
        <v>75</v>
      </c>
      <c r="E166" s="897" t="s">
        <v>175</v>
      </c>
      <c r="F166" s="950"/>
      <c r="G166" s="950"/>
      <c r="H166" s="950"/>
      <c r="I166" s="950"/>
      <c r="J166" s="950"/>
      <c r="K166" s="955"/>
      <c r="L166" s="148"/>
      <c r="M166" s="149"/>
    </row>
    <row r="167" spans="2:16" ht="17.25" x14ac:dyDescent="0.35">
      <c r="B167" s="252" t="s">
        <v>77</v>
      </c>
      <c r="C167" s="1183"/>
      <c r="D167" s="264" t="s">
        <v>75</v>
      </c>
      <c r="E167" s="897" t="s">
        <v>175</v>
      </c>
      <c r="F167" s="950"/>
      <c r="G167" s="950"/>
      <c r="H167" s="950"/>
      <c r="I167" s="950"/>
      <c r="J167" s="950"/>
      <c r="K167" s="955"/>
      <c r="L167" s="148"/>
      <c r="M167" s="149"/>
    </row>
    <row r="168" spans="2:16" ht="30.95" customHeight="1" thickBot="1" x14ac:dyDescent="0.4">
      <c r="B168" s="279" t="s">
        <v>247</v>
      </c>
      <c r="C168" s="119" t="str">
        <f>IF(C166-C167=0,"",C166-C167)</f>
        <v/>
      </c>
      <c r="D168" s="268" t="s">
        <v>75</v>
      </c>
      <c r="E168" s="956" t="s">
        <v>682</v>
      </c>
      <c r="F168" s="957"/>
      <c r="G168" s="958"/>
      <c r="H168" s="958"/>
      <c r="I168" s="958"/>
      <c r="J168" s="958"/>
      <c r="K168" s="959"/>
      <c r="L168" s="148"/>
      <c r="M168" s="149"/>
    </row>
    <row r="169" spans="2:16" ht="17.25" x14ac:dyDescent="0.35">
      <c r="B169" s="280"/>
      <c r="C169" s="281"/>
      <c r="D169" s="270"/>
      <c r="E169" s="270"/>
      <c r="F169" s="129"/>
      <c r="G169" s="129"/>
      <c r="H169" s="129"/>
      <c r="I169" s="129"/>
      <c r="J169" s="129"/>
      <c r="K169" s="129"/>
      <c r="L169" s="129"/>
      <c r="M169" s="149"/>
    </row>
    <row r="170" spans="2:16" ht="18" thickBot="1" x14ac:dyDescent="0.4">
      <c r="B170" s="280"/>
      <c r="C170" s="281"/>
      <c r="D170" s="270"/>
      <c r="E170" s="270"/>
      <c r="F170" s="129"/>
      <c r="G170" s="129"/>
      <c r="H170" s="129"/>
      <c r="I170" s="129"/>
      <c r="J170" s="129"/>
      <c r="K170" s="129"/>
      <c r="L170" s="129"/>
      <c r="M170" s="149"/>
    </row>
    <row r="171" spans="2:16" ht="18" customHeight="1" thickBot="1" x14ac:dyDescent="0.4">
      <c r="B171" s="1735" t="str">
        <f>"ASHRAE 103-2017, Section 9.4: Electric Boilers" &amp; IF(OR('Sys. # &amp; Product Characteristic'!Heating_Fuel_Used="Electricity",'Sys. # &amp; Product Characteristic'!Heating_Fuel_Used=""),""," - NOT REQUIRED FOR THIS TEST")</f>
        <v>ASHRAE 103-2017, Section 9.4: Electric Boilers - NOT REQUIRED FOR THIS TEST</v>
      </c>
      <c r="C171" s="1736"/>
      <c r="D171" s="1736"/>
      <c r="E171" s="1736"/>
      <c r="F171" s="1736"/>
      <c r="G171" s="1736"/>
      <c r="H171" s="1736"/>
      <c r="I171" s="1736"/>
      <c r="J171" s="1736"/>
      <c r="K171" s="1737"/>
      <c r="L171" s="129"/>
      <c r="M171" s="149"/>
    </row>
    <row r="172" spans="2:16" ht="33.75" customHeight="1" x14ac:dyDescent="0.35">
      <c r="B172" s="1747" t="s">
        <v>1135</v>
      </c>
      <c r="C172" s="1748"/>
      <c r="D172" s="1748"/>
      <c r="E172" s="1748"/>
      <c r="F172" s="1748"/>
      <c r="G172" s="1748"/>
      <c r="H172" s="1748"/>
      <c r="I172" s="1748"/>
      <c r="J172" s="1748"/>
      <c r="K172" s="1749"/>
      <c r="L172" s="129"/>
      <c r="M172" s="149"/>
    </row>
    <row r="173" spans="2:16" ht="17.25" x14ac:dyDescent="0.35">
      <c r="B173" s="426" t="s">
        <v>52</v>
      </c>
      <c r="C173" s="427" t="s">
        <v>34</v>
      </c>
      <c r="D173" s="890" t="s">
        <v>35</v>
      </c>
      <c r="E173" s="925" t="s">
        <v>33</v>
      </c>
      <c r="F173" s="485"/>
      <c r="G173" s="485"/>
      <c r="H173" s="485"/>
      <c r="I173" s="485"/>
      <c r="J173" s="485"/>
      <c r="K173" s="954"/>
      <c r="L173" s="129"/>
      <c r="M173" s="149"/>
    </row>
    <row r="174" spans="2:16" ht="18" x14ac:dyDescent="0.35">
      <c r="B174" s="731" t="s">
        <v>401</v>
      </c>
      <c r="C174" s="107"/>
      <c r="D174" s="724" t="str">
        <f>IF('General Info &amp; Test Results'!$C$46="Electricity","kW","Btu/h")</f>
        <v>Btu/h</v>
      </c>
      <c r="E174" s="970" t="s">
        <v>680</v>
      </c>
      <c r="F174" s="485"/>
      <c r="G174" s="485"/>
      <c r="H174" s="485"/>
      <c r="I174" s="485"/>
      <c r="J174" s="485"/>
      <c r="K174" s="954"/>
      <c r="L174" s="129"/>
      <c r="M174" s="149"/>
    </row>
    <row r="175" spans="2:16" ht="17.25" x14ac:dyDescent="0.35">
      <c r="B175" s="730" t="s">
        <v>400</v>
      </c>
      <c r="C175" s="453" t="str">
        <f>IF(OR(C178="",C179="",C180=""),"",IF(ABS(MIN(C178:C180)-MAX(C178:C180))&lt;=4,"Yes","No"))</f>
        <v/>
      </c>
      <c r="D175" s="729" t="s">
        <v>175</v>
      </c>
      <c r="E175" s="971" t="s">
        <v>175</v>
      </c>
      <c r="F175" s="485"/>
      <c r="G175" s="485"/>
      <c r="H175" s="485"/>
      <c r="I175" s="485"/>
      <c r="J175" s="485"/>
      <c r="K175" s="954"/>
      <c r="L175" s="129"/>
      <c r="M175" s="149"/>
    </row>
    <row r="176" spans="2:16" ht="17.25" x14ac:dyDescent="0.35">
      <c r="B176" s="437"/>
      <c r="C176" s="282"/>
      <c r="D176" s="438"/>
      <c r="E176" s="438"/>
      <c r="F176" s="485"/>
      <c r="G176" s="485"/>
      <c r="H176" s="485"/>
      <c r="I176" s="485"/>
      <c r="J176" s="485"/>
      <c r="K176" s="954"/>
      <c r="L176" s="129"/>
      <c r="M176" s="149"/>
    </row>
    <row r="177" spans="2:13" ht="34.5" x14ac:dyDescent="0.35">
      <c r="B177" s="462" t="s">
        <v>178</v>
      </c>
      <c r="C177" s="440" t="s">
        <v>373</v>
      </c>
      <c r="D177" s="438"/>
      <c r="E177" s="438"/>
      <c r="F177" s="485"/>
      <c r="G177" s="485"/>
      <c r="H177" s="485"/>
      <c r="I177" s="485"/>
      <c r="J177" s="485"/>
      <c r="K177" s="954"/>
      <c r="L177" s="129"/>
      <c r="M177" s="149"/>
    </row>
    <row r="178" spans="2:13" ht="17.25" x14ac:dyDescent="0.35">
      <c r="B178" s="419">
        <v>0</v>
      </c>
      <c r="C178" s="107"/>
      <c r="D178" s="438"/>
      <c r="E178" s="438"/>
      <c r="F178" s="485"/>
      <c r="G178" s="485"/>
      <c r="H178" s="485"/>
      <c r="I178" s="485"/>
      <c r="J178" s="485"/>
      <c r="K178" s="954"/>
      <c r="L178" s="129"/>
      <c r="M178" s="149"/>
    </row>
    <row r="179" spans="2:13" ht="17.25" x14ac:dyDescent="0.35">
      <c r="B179" s="271">
        <v>15</v>
      </c>
      <c r="C179" s="107"/>
      <c r="D179" s="438"/>
      <c r="E179" s="438"/>
      <c r="F179" s="485"/>
      <c r="G179" s="485"/>
      <c r="H179" s="485"/>
      <c r="I179" s="485"/>
      <c r="J179" s="485"/>
      <c r="K179" s="954"/>
      <c r="L179" s="129"/>
      <c r="M179" s="149"/>
    </row>
    <row r="180" spans="2:13" ht="18" thickBot="1" x14ac:dyDescent="0.4">
      <c r="B180" s="272">
        <v>30</v>
      </c>
      <c r="C180" s="117"/>
      <c r="D180" s="463"/>
      <c r="E180" s="463"/>
      <c r="F180" s="968"/>
      <c r="G180" s="968"/>
      <c r="H180" s="968"/>
      <c r="I180" s="968"/>
      <c r="J180" s="968"/>
      <c r="K180" s="969"/>
      <c r="L180" s="129"/>
      <c r="M180" s="149"/>
    </row>
    <row r="181" spans="2:13" ht="17.25" x14ac:dyDescent="0.35">
      <c r="B181" s="280"/>
      <c r="C181" s="281"/>
      <c r="D181" s="270"/>
      <c r="E181" s="270"/>
      <c r="F181" s="129"/>
      <c r="G181" s="129"/>
      <c r="H181" s="129"/>
      <c r="I181" s="129"/>
      <c r="J181" s="129"/>
      <c r="K181" s="129"/>
      <c r="L181" s="129"/>
      <c r="M181" s="149"/>
    </row>
    <row r="182" spans="2:13" ht="18" thickBot="1" x14ac:dyDescent="0.4">
      <c r="B182" s="280"/>
      <c r="C182" s="281"/>
      <c r="D182" s="270"/>
      <c r="E182" s="270"/>
      <c r="F182" s="129"/>
      <c r="G182" s="129"/>
      <c r="H182" s="129"/>
      <c r="I182" s="129"/>
      <c r="J182" s="129"/>
      <c r="K182" s="129"/>
      <c r="L182" s="129"/>
      <c r="M182" s="149"/>
    </row>
    <row r="183" spans="2:13" ht="18.75" customHeight="1" thickBot="1" x14ac:dyDescent="0.4">
      <c r="B183" s="1735" t="str">
        <f>"Cool-Down Test" &amp; IF(OR('Sys. # &amp; Product Characteristic'!Heating_Fuel_Used="Electricity", 'Cyclic Timing Calculations'!T.C_Max&lt;=5)," - NOT REQUIRED FOR THIS TEST","")</f>
        <v>Cool-Down Test</v>
      </c>
      <c r="C183" s="1736"/>
      <c r="D183" s="1736"/>
      <c r="E183" s="1736"/>
      <c r="F183" s="1736"/>
      <c r="G183" s="1736"/>
      <c r="H183" s="1736"/>
      <c r="I183" s="1736"/>
      <c r="J183" s="1736"/>
      <c r="K183" s="1737"/>
      <c r="L183" s="129"/>
      <c r="M183" s="149"/>
    </row>
    <row r="184" spans="2:13" ht="67.5" customHeight="1" x14ac:dyDescent="0.35">
      <c r="B184" s="1695" t="s">
        <v>1136</v>
      </c>
      <c r="C184" s="1696"/>
      <c r="D184" s="1696"/>
      <c r="E184" s="1696"/>
      <c r="F184" s="1696"/>
      <c r="G184" s="1696"/>
      <c r="H184" s="1696"/>
      <c r="I184" s="1696"/>
      <c r="J184" s="1696"/>
      <c r="K184" s="1697"/>
      <c r="L184" s="129"/>
      <c r="M184" s="149"/>
    </row>
    <row r="185" spans="2:13" ht="17.25" x14ac:dyDescent="0.35">
      <c r="B185" s="764"/>
      <c r="C185" s="763"/>
      <c r="D185" s="763"/>
      <c r="E185" s="763"/>
      <c r="F185" s="485"/>
      <c r="G185" s="485"/>
      <c r="H185" s="485"/>
      <c r="I185" s="485"/>
      <c r="J185" s="485"/>
      <c r="K185" s="954"/>
      <c r="L185" s="129"/>
      <c r="M185" s="149"/>
    </row>
    <row r="186" spans="2:13" ht="205.5" customHeight="1" x14ac:dyDescent="0.35">
      <c r="B186" s="1698" t="s">
        <v>1137</v>
      </c>
      <c r="C186" s="1699"/>
      <c r="D186" s="1699"/>
      <c r="E186" s="1699"/>
      <c r="F186" s="1699"/>
      <c r="G186" s="1699"/>
      <c r="H186" s="1699"/>
      <c r="I186" s="1699"/>
      <c r="J186" s="1699"/>
      <c r="K186" s="1700"/>
      <c r="L186" s="129"/>
      <c r="M186" s="149"/>
    </row>
    <row r="187" spans="2:13" ht="17.25" x14ac:dyDescent="0.35">
      <c r="B187" s="426" t="s">
        <v>52</v>
      </c>
      <c r="C187" s="427" t="s">
        <v>34</v>
      </c>
      <c r="D187" s="428" t="s">
        <v>35</v>
      </c>
      <c r="E187" s="428" t="s">
        <v>33</v>
      </c>
      <c r="F187" s="485"/>
      <c r="G187" s="485"/>
      <c r="H187" s="485"/>
      <c r="I187" s="485"/>
      <c r="J187" s="485"/>
      <c r="K187" s="954"/>
      <c r="L187" s="129"/>
      <c r="M187" s="149"/>
    </row>
    <row r="188" spans="2:13" ht="17.25" x14ac:dyDescent="0.35">
      <c r="B188" s="437" t="s">
        <v>387</v>
      </c>
      <c r="C188" s="688"/>
      <c r="D188" s="264" t="s">
        <v>175</v>
      </c>
      <c r="E188" s="897" t="s">
        <v>175</v>
      </c>
      <c r="F188" s="485"/>
      <c r="G188" s="485"/>
      <c r="H188" s="485"/>
      <c r="I188" s="485"/>
      <c r="J188" s="485"/>
      <c r="K188" s="954"/>
      <c r="L188" s="129"/>
      <c r="M188" s="149"/>
    </row>
    <row r="189" spans="2:13" ht="17.25" x14ac:dyDescent="0.35">
      <c r="B189" s="319" t="s">
        <v>384</v>
      </c>
      <c r="C189" s="637"/>
      <c r="D189" s="264" t="s">
        <v>36</v>
      </c>
      <c r="E189" s="932" t="s">
        <v>390</v>
      </c>
      <c r="F189" s="485"/>
      <c r="G189" s="485"/>
      <c r="H189" s="485"/>
      <c r="I189" s="485"/>
      <c r="J189" s="485"/>
      <c r="K189" s="954"/>
      <c r="L189" s="129"/>
      <c r="M189" s="149"/>
    </row>
    <row r="190" spans="2:13" ht="17.25" x14ac:dyDescent="0.35">
      <c r="B190" s="762"/>
      <c r="C190" s="761"/>
      <c r="D190" s="761"/>
      <c r="E190" s="973"/>
      <c r="F190" s="485"/>
      <c r="G190" s="485"/>
      <c r="H190" s="485"/>
      <c r="I190" s="485"/>
      <c r="J190" s="485"/>
      <c r="K190" s="954"/>
      <c r="L190" s="129"/>
      <c r="M190" s="149"/>
    </row>
    <row r="191" spans="2:13" ht="17.25" x14ac:dyDescent="0.35">
      <c r="B191" s="439" t="s">
        <v>386</v>
      </c>
      <c r="C191" s="107"/>
      <c r="D191" s="263" t="s">
        <v>175</v>
      </c>
      <c r="E191" s="897" t="s">
        <v>175</v>
      </c>
      <c r="F191" s="485"/>
      <c r="G191" s="485"/>
      <c r="H191" s="485"/>
      <c r="I191" s="485"/>
      <c r="J191" s="485"/>
      <c r="K191" s="954"/>
      <c r="L191" s="129"/>
      <c r="M191" s="149"/>
    </row>
    <row r="192" spans="2:13" ht="18" x14ac:dyDescent="0.35">
      <c r="B192" s="437" t="str">
        <f>IF(C191="No","N/A","Post Purge Time")</f>
        <v>Post Purge Time</v>
      </c>
      <c r="C192" s="107"/>
      <c r="D192" s="264" t="s">
        <v>176</v>
      </c>
      <c r="E192" s="897" t="s">
        <v>608</v>
      </c>
      <c r="F192" s="972" t="s">
        <v>385</v>
      </c>
      <c r="G192" s="485"/>
      <c r="H192" s="485"/>
      <c r="I192" s="485"/>
      <c r="J192" s="485"/>
      <c r="K192" s="954"/>
      <c r="L192" s="129"/>
      <c r="M192" s="149"/>
    </row>
    <row r="193" spans="2:13" ht="17.25" x14ac:dyDescent="0.35">
      <c r="B193" s="762"/>
      <c r="C193" s="761"/>
      <c r="D193" s="761"/>
      <c r="E193" s="973"/>
      <c r="F193" s="485"/>
      <c r="G193" s="485"/>
      <c r="H193" s="485"/>
      <c r="I193" s="485"/>
      <c r="J193" s="485"/>
      <c r="K193" s="954"/>
      <c r="L193" s="129"/>
      <c r="M193" s="149"/>
    </row>
    <row r="194" spans="2:13" ht="18" x14ac:dyDescent="0.35">
      <c r="B194" s="252" t="str">
        <f>IF(C191="No","N/A","Temperature at the end of the post-purge period")</f>
        <v>Temperature at the end of the post-purge period</v>
      </c>
      <c r="C194" s="107"/>
      <c r="D194" s="264" t="s">
        <v>51</v>
      </c>
      <c r="E194" s="896" t="s">
        <v>683</v>
      </c>
      <c r="F194" s="485"/>
      <c r="G194" s="485"/>
      <c r="H194" s="485"/>
      <c r="I194" s="485"/>
      <c r="J194" s="485"/>
      <c r="K194" s="954"/>
      <c r="L194" s="129"/>
      <c r="M194" s="149"/>
    </row>
    <row r="195" spans="2:13" ht="18" x14ac:dyDescent="0.35">
      <c r="B195" s="252" t="str">
        <f>IF(C191="No","Temperature 3.75 minutes after burner shut-off","Temperature 3.75 minutes after end of post-purge period")</f>
        <v>Temperature 3.75 minutes after end of post-purge period</v>
      </c>
      <c r="C195" s="1168"/>
      <c r="D195" s="263" t="s">
        <v>51</v>
      </c>
      <c r="E195" s="896" t="s">
        <v>609</v>
      </c>
      <c r="F195" s="485"/>
      <c r="G195" s="485"/>
      <c r="H195" s="485"/>
      <c r="I195" s="485"/>
      <c r="J195" s="485"/>
      <c r="K195" s="954"/>
      <c r="L195" s="129"/>
      <c r="M195" s="149"/>
    </row>
    <row r="196" spans="2:13" ht="18.75" thickBot="1" x14ac:dyDescent="0.4">
      <c r="B196" s="267" t="str">
        <f>IF(C191="No","Temperature 22.5 minutes after burner shut-off","Temperature 22.5 minutes after end of post-purge period")</f>
        <v>Temperature 22.5 minutes after end of post-purge period</v>
      </c>
      <c r="C196" s="1169"/>
      <c r="D196" s="268" t="s">
        <v>51</v>
      </c>
      <c r="E196" s="975" t="s">
        <v>610</v>
      </c>
      <c r="F196" s="968"/>
      <c r="G196" s="968"/>
      <c r="H196" s="968"/>
      <c r="I196" s="968"/>
      <c r="J196" s="968"/>
      <c r="K196" s="969"/>
      <c r="L196" s="129"/>
      <c r="M196" s="149"/>
    </row>
    <row r="197" spans="2:13" ht="18" thickBot="1" x14ac:dyDescent="0.4">
      <c r="B197" s="764"/>
      <c r="C197" s="763"/>
      <c r="D197" s="763"/>
      <c r="E197" s="763"/>
      <c r="F197" s="485"/>
      <c r="G197" s="129"/>
      <c r="H197" s="129"/>
      <c r="I197" s="129"/>
      <c r="J197" s="129"/>
      <c r="K197" s="129"/>
      <c r="L197" s="129"/>
      <c r="M197" s="149"/>
    </row>
    <row r="198" spans="2:13" ht="120.95" customHeight="1" x14ac:dyDescent="0.35">
      <c r="B198" s="1695" t="s">
        <v>1138</v>
      </c>
      <c r="C198" s="1696"/>
      <c r="D198" s="1696"/>
      <c r="E198" s="1696"/>
      <c r="F198" s="1696"/>
      <c r="G198" s="1696"/>
      <c r="H198" s="1696"/>
      <c r="I198" s="1696"/>
      <c r="J198" s="1696"/>
      <c r="K198" s="1697"/>
      <c r="L198" s="129"/>
      <c r="M198" s="149"/>
    </row>
    <row r="199" spans="2:13" ht="17.25" x14ac:dyDescent="0.35">
      <c r="B199" s="960" t="s">
        <v>52</v>
      </c>
      <c r="C199" s="877" t="s">
        <v>34</v>
      </c>
      <c r="D199" s="925" t="s">
        <v>35</v>
      </c>
      <c r="E199" s="925" t="s">
        <v>33</v>
      </c>
      <c r="F199" s="485"/>
      <c r="G199" s="485"/>
      <c r="H199" s="485"/>
      <c r="I199" s="485"/>
      <c r="J199" s="485"/>
      <c r="K199" s="954"/>
      <c r="L199" s="129"/>
      <c r="M199" s="149"/>
    </row>
    <row r="200" spans="2:13" ht="18" x14ac:dyDescent="0.35">
      <c r="B200" s="252" t="s">
        <v>199</v>
      </c>
      <c r="C200" s="1168"/>
      <c r="D200" s="263" t="s">
        <v>51</v>
      </c>
      <c r="E200" s="896" t="s">
        <v>611</v>
      </c>
      <c r="F200" s="485"/>
      <c r="G200" s="485"/>
      <c r="H200" s="485"/>
      <c r="I200" s="485"/>
      <c r="J200" s="485"/>
      <c r="K200" s="954"/>
      <c r="L200" s="129"/>
      <c r="M200" s="149"/>
    </row>
    <row r="201" spans="2:13" ht="18.75" thickBot="1" x14ac:dyDescent="0.4">
      <c r="B201" s="279" t="str">
        <f>IF('General Info &amp; Test Results'!C46="Electricity","N/A","Fuel Energy Input Rate to Pilot Light")</f>
        <v>Fuel Energy Input Rate to Pilot Light</v>
      </c>
      <c r="C201" s="1169"/>
      <c r="D201" s="268" t="s">
        <v>37</v>
      </c>
      <c r="E201" s="956" t="s">
        <v>654</v>
      </c>
      <c r="F201" s="968"/>
      <c r="G201" s="968"/>
      <c r="H201" s="968"/>
      <c r="I201" s="968"/>
      <c r="J201" s="968"/>
      <c r="K201" s="969"/>
      <c r="L201" s="129"/>
      <c r="M201" s="149"/>
    </row>
    <row r="202" spans="2:13" ht="18" thickBot="1" x14ac:dyDescent="0.4">
      <c r="B202" s="951" t="str">
        <f>"End Cool-Down Test" &amp; IF('Sys. # &amp; Product Characteristic'!Heating_Fuel_Used="Electricity"," - NOT REQUIRED FOR THIS TEST","")</f>
        <v>End Cool-Down Test</v>
      </c>
      <c r="C202" s="952"/>
      <c r="D202" s="952"/>
      <c r="E202" s="952"/>
      <c r="F202" s="952"/>
      <c r="G202" s="952"/>
      <c r="H202" s="952"/>
      <c r="I202" s="952"/>
      <c r="J202" s="952"/>
      <c r="K202" s="974"/>
      <c r="L202" s="129"/>
      <c r="M202" s="149"/>
    </row>
    <row r="203" spans="2:13" ht="17.25" x14ac:dyDescent="0.35">
      <c r="B203" s="280"/>
      <c r="C203" s="281"/>
      <c r="D203" s="270"/>
      <c r="E203" s="270"/>
      <c r="F203" s="129"/>
      <c r="G203" s="129"/>
      <c r="H203" s="129"/>
      <c r="I203" s="129"/>
      <c r="J203" s="129"/>
      <c r="K203" s="129"/>
      <c r="L203" s="129"/>
      <c r="M203" s="149"/>
    </row>
    <row r="204" spans="2:13" ht="18" thickBot="1" x14ac:dyDescent="0.4">
      <c r="B204" s="280"/>
      <c r="C204" s="281"/>
      <c r="D204" s="270"/>
      <c r="E204" s="270"/>
      <c r="F204" s="129"/>
      <c r="G204" s="129"/>
      <c r="H204" s="129"/>
      <c r="I204" s="129"/>
      <c r="J204" s="129"/>
      <c r="K204" s="129"/>
      <c r="L204" s="129"/>
      <c r="M204" s="149"/>
    </row>
    <row r="205" spans="2:13" ht="18" thickBot="1" x14ac:dyDescent="0.35">
      <c r="B205" s="756" t="str">
        <f>"Heat-Up Test" &amp; IF('Sys. # &amp; Product Characteristic'!Heating_Fuel_Used="Electricity"," - NOT REQUIRED FOR THIS TEST","")</f>
        <v>Heat-Up Test</v>
      </c>
      <c r="C205" s="757"/>
      <c r="D205" s="758"/>
      <c r="E205" s="906"/>
      <c r="F205" s="906"/>
      <c r="G205" s="906"/>
      <c r="H205" s="906"/>
      <c r="I205" s="906"/>
      <c r="J205" s="906"/>
      <c r="K205" s="759"/>
      <c r="M205" s="139"/>
    </row>
    <row r="206" spans="2:13" ht="135.94999999999999" customHeight="1" x14ac:dyDescent="0.3">
      <c r="B206" s="1695" t="s">
        <v>1139</v>
      </c>
      <c r="C206" s="1696"/>
      <c r="D206" s="1696"/>
      <c r="E206" s="1696"/>
      <c r="F206" s="1696"/>
      <c r="G206" s="1696"/>
      <c r="H206" s="1696"/>
      <c r="I206" s="1696"/>
      <c r="J206" s="1696"/>
      <c r="K206" s="1697"/>
      <c r="M206" s="139"/>
    </row>
    <row r="207" spans="2:13" ht="17.25" x14ac:dyDescent="0.35">
      <c r="B207" s="960" t="s">
        <v>52</v>
      </c>
      <c r="C207" s="877" t="s">
        <v>34</v>
      </c>
      <c r="D207" s="925" t="s">
        <v>35</v>
      </c>
      <c r="E207" s="925" t="s">
        <v>33</v>
      </c>
      <c r="F207" s="894"/>
      <c r="G207" s="893"/>
      <c r="H207" s="893"/>
      <c r="I207" s="893"/>
      <c r="J207" s="893"/>
      <c r="K207" s="910"/>
      <c r="M207" s="139"/>
    </row>
    <row r="208" spans="2:13" ht="18" x14ac:dyDescent="0.3">
      <c r="B208" s="252" t="s">
        <v>388</v>
      </c>
      <c r="C208" s="1168"/>
      <c r="D208" s="264" t="s">
        <v>51</v>
      </c>
      <c r="E208" s="897" t="s">
        <v>601</v>
      </c>
      <c r="F208" s="894"/>
      <c r="G208" s="893"/>
      <c r="H208" s="893"/>
      <c r="I208" s="893"/>
      <c r="J208" s="893"/>
      <c r="K208" s="910"/>
      <c r="M208" s="139"/>
    </row>
    <row r="209" spans="2:13" ht="18.75" thickBot="1" x14ac:dyDescent="0.35">
      <c r="B209" s="267" t="s">
        <v>389</v>
      </c>
      <c r="C209" s="1169"/>
      <c r="D209" s="268" t="s">
        <v>51</v>
      </c>
      <c r="E209" s="956" t="s">
        <v>602</v>
      </c>
      <c r="F209" s="980"/>
      <c r="G209" s="981"/>
      <c r="H209" s="981"/>
      <c r="I209" s="981"/>
      <c r="J209" s="981"/>
      <c r="K209" s="909"/>
      <c r="M209" s="139"/>
    </row>
    <row r="210" spans="2:13" ht="18" thickBot="1" x14ac:dyDescent="0.35">
      <c r="B210" s="753"/>
      <c r="C210" s="754"/>
      <c r="D210" s="755"/>
      <c r="E210" s="976"/>
      <c r="F210" s="894"/>
      <c r="G210" s="893"/>
      <c r="H210" s="893"/>
      <c r="I210" s="893"/>
      <c r="J210" s="893"/>
      <c r="K210" s="910"/>
      <c r="M210" s="139"/>
    </row>
    <row r="211" spans="2:13" ht="155.25" customHeight="1" x14ac:dyDescent="0.3">
      <c r="B211" s="1744" t="s">
        <v>1140</v>
      </c>
      <c r="C211" s="1745"/>
      <c r="D211" s="1745"/>
      <c r="E211" s="1745"/>
      <c r="F211" s="1745"/>
      <c r="G211" s="1745"/>
      <c r="H211" s="1745"/>
      <c r="I211" s="1745"/>
      <c r="J211" s="1745"/>
      <c r="K211" s="1746"/>
      <c r="M211" s="139"/>
    </row>
    <row r="212" spans="2:13" ht="17.25" x14ac:dyDescent="0.3">
      <c r="B212" s="749"/>
      <c r="C212" s="747"/>
      <c r="D212" s="747"/>
      <c r="E212" s="747"/>
      <c r="F212" s="894"/>
      <c r="G212" s="893"/>
      <c r="H212" s="893"/>
      <c r="I212" s="893"/>
      <c r="J212" s="893"/>
      <c r="K212" s="910"/>
      <c r="M212" s="139"/>
    </row>
    <row r="213" spans="2:13" ht="35.25" customHeight="1" x14ac:dyDescent="0.3">
      <c r="B213" s="1701" t="s">
        <v>1125</v>
      </c>
      <c r="C213" s="1702"/>
      <c r="D213" s="1702"/>
      <c r="E213" s="1702"/>
      <c r="F213" s="1702"/>
      <c r="G213" s="1702"/>
      <c r="H213" s="1702"/>
      <c r="I213" s="1702"/>
      <c r="J213" s="1702"/>
      <c r="K213" s="1703"/>
      <c r="M213" s="139"/>
    </row>
    <row r="214" spans="2:13" ht="17.25" x14ac:dyDescent="0.3">
      <c r="B214" s="749"/>
      <c r="C214" s="747"/>
      <c r="D214" s="747"/>
      <c r="E214" s="747"/>
      <c r="F214" s="894"/>
      <c r="G214" s="893"/>
      <c r="H214" s="893"/>
      <c r="I214" s="893"/>
      <c r="J214" s="893"/>
      <c r="K214" s="910"/>
      <c r="M214" s="139"/>
    </row>
    <row r="215" spans="2:13" x14ac:dyDescent="0.3">
      <c r="B215" s="1709" t="str">
        <f>"Non-Condensing Hot Water Boilers" &amp; IF(OR('Sys. # &amp; Product Characteristic'!Heating_Fuel_Used="Electricity",'Sys. # &amp; Product Characteristic'!Flue_Gas="Non-Condensing"),""," - NOT REQUIRED FOR THIS TEST")</f>
        <v>Non-Condensing Hot Water Boilers - NOT REQUIRED FOR THIS TEST</v>
      </c>
      <c r="C215" s="1762"/>
      <c r="D215" s="1762"/>
      <c r="E215" s="1763"/>
      <c r="F215" s="978"/>
      <c r="G215" s="940"/>
      <c r="H215" s="941"/>
      <c r="I215" s="893"/>
      <c r="J215" s="893"/>
      <c r="K215" s="910"/>
      <c r="M215" s="139"/>
    </row>
    <row r="216" spans="2:13" ht="17.25" x14ac:dyDescent="0.35">
      <c r="B216" s="1704" t="s">
        <v>52</v>
      </c>
      <c r="C216" s="1706" t="s">
        <v>870</v>
      </c>
      <c r="D216" s="1707"/>
      <c r="E216" s="1632" t="s">
        <v>838</v>
      </c>
      <c r="F216" s="1632"/>
      <c r="G216" s="1604" t="s">
        <v>35</v>
      </c>
      <c r="H216" s="1708" t="s">
        <v>837</v>
      </c>
      <c r="I216" s="893"/>
      <c r="J216" s="893"/>
      <c r="K216" s="910"/>
      <c r="M216" s="139"/>
    </row>
    <row r="217" spans="2:13" ht="17.25" x14ac:dyDescent="0.35">
      <c r="B217" s="1705"/>
      <c r="C217" s="746" t="s">
        <v>256</v>
      </c>
      <c r="D217" s="746" t="s">
        <v>257</v>
      </c>
      <c r="E217" s="937" t="s">
        <v>256</v>
      </c>
      <c r="F217" s="937" t="s">
        <v>257</v>
      </c>
      <c r="G217" s="1604"/>
      <c r="H217" s="1708"/>
      <c r="I217" s="893"/>
      <c r="J217" s="893"/>
      <c r="K217" s="910"/>
      <c r="M217" s="139"/>
    </row>
    <row r="218" spans="2:13" x14ac:dyDescent="0.3">
      <c r="B218" s="979" t="s">
        <v>836</v>
      </c>
      <c r="C218" s="1168"/>
      <c r="D218" s="1168"/>
      <c r="E218" s="118" t="str">
        <f>IF('Sys. # &amp; Product Characteristic'!Flue_Gas&lt;&gt;"Non-Condensing","N/A",120)</f>
        <v>N/A</v>
      </c>
      <c r="F218" s="118" t="str">
        <f>IF('Sys. # &amp; Product Characteristic'!Flue_Gas&lt;&gt;"Non-Condensing","N/A",124)</f>
        <v>N/A</v>
      </c>
      <c r="G218" s="977" t="s">
        <v>51</v>
      </c>
      <c r="H218" s="453" t="str">
        <f>IF('Sys. # &amp; Product Characteristic'!Flue_Gas&lt;&gt;"Non-Condensing","N/A",IF(AND(C218&gt;=E218,D218&lt;=F218,C218&lt;=D218),"Yes","No"))</f>
        <v>N/A</v>
      </c>
      <c r="I218" s="893"/>
      <c r="J218" s="893"/>
      <c r="K218" s="910"/>
      <c r="M218" s="139"/>
    </row>
    <row r="219" spans="2:13" x14ac:dyDescent="0.3">
      <c r="B219" s="434"/>
      <c r="C219" s="435"/>
      <c r="D219" s="435"/>
      <c r="E219" s="891"/>
      <c r="F219" s="894"/>
      <c r="G219" s="893"/>
      <c r="H219" s="893"/>
      <c r="I219" s="893"/>
      <c r="J219" s="893"/>
      <c r="K219" s="910"/>
      <c r="M219" s="139"/>
    </row>
    <row r="220" spans="2:13" x14ac:dyDescent="0.3">
      <c r="B220" s="1709" t="str">
        <f>"Condensing Hot Water Boilers" &amp; IF('Sys. # &amp; Product Characteristic'!Flue_Gas="Condensing",""," - NOT REQUIRED FOR THIS TEST")</f>
        <v>Condensing Hot Water Boilers - NOT REQUIRED FOR THIS TEST</v>
      </c>
      <c r="C220" s="1762"/>
      <c r="D220" s="1762"/>
      <c r="E220" s="1763"/>
      <c r="F220" s="978"/>
      <c r="G220" s="940"/>
      <c r="H220" s="941"/>
      <c r="I220" s="893"/>
      <c r="J220" s="893"/>
      <c r="K220" s="910"/>
      <c r="M220" s="139"/>
    </row>
    <row r="221" spans="2:13" ht="17.25" x14ac:dyDescent="0.35">
      <c r="B221" s="1704" t="s">
        <v>52</v>
      </c>
      <c r="C221" s="1706" t="s">
        <v>870</v>
      </c>
      <c r="D221" s="1707"/>
      <c r="E221" s="1632" t="s">
        <v>838</v>
      </c>
      <c r="F221" s="1632"/>
      <c r="G221" s="1604" t="s">
        <v>35</v>
      </c>
      <c r="H221" s="1708" t="s">
        <v>837</v>
      </c>
      <c r="I221" s="893"/>
      <c r="J221" s="893"/>
      <c r="K221" s="910"/>
      <c r="M221" s="139"/>
    </row>
    <row r="222" spans="2:13" ht="17.25" x14ac:dyDescent="0.35">
      <c r="B222" s="1705"/>
      <c r="C222" s="746" t="s">
        <v>256</v>
      </c>
      <c r="D222" s="746" t="s">
        <v>257</v>
      </c>
      <c r="E222" s="937" t="s">
        <v>256</v>
      </c>
      <c r="F222" s="937" t="s">
        <v>257</v>
      </c>
      <c r="G222" s="1604"/>
      <c r="H222" s="1708"/>
      <c r="I222" s="893"/>
      <c r="J222" s="893"/>
      <c r="K222" s="910"/>
      <c r="M222" s="139"/>
    </row>
    <row r="223" spans="2:13" x14ac:dyDescent="0.3">
      <c r="B223" s="748" t="s">
        <v>840</v>
      </c>
      <c r="C223" s="107"/>
      <c r="D223" s="107"/>
      <c r="E223" s="118" t="str">
        <f>IF('Sys. # &amp; Product Characteristic'!Flue_Gas&lt;&gt;"Condensing","",120-10)</f>
        <v/>
      </c>
      <c r="F223" s="118" t="str">
        <f>IF('Sys. # &amp; Product Characteristic'!Flue_Gas&lt;&gt;"Condensing","",120+10)</f>
        <v/>
      </c>
      <c r="G223" s="892" t="s">
        <v>51</v>
      </c>
      <c r="H223" s="453" t="str">
        <f>IF('Sys. # &amp; Product Characteristic'!Flue_Gas&lt;&gt;"Condensing","N/A",IF(AND(C223&gt;=E223,D223&lt;=F223,C223&lt;=D223),"Yes","No"))</f>
        <v>N/A</v>
      </c>
      <c r="I223" s="893"/>
      <c r="J223" s="893"/>
      <c r="K223" s="910"/>
      <c r="M223" s="139"/>
    </row>
    <row r="224" spans="2:13" x14ac:dyDescent="0.3">
      <c r="B224" s="752" t="s">
        <v>841</v>
      </c>
      <c r="C224" s="107"/>
      <c r="D224" s="107"/>
      <c r="E224" s="118" t="str">
        <f>IF('Sys. # &amp; Product Characteristic'!Flue_Gas&lt;&gt;"Condensing","",120-5)</f>
        <v/>
      </c>
      <c r="F224" s="118" t="str">
        <f>IF('Sys. # &amp; Product Characteristic'!Flue_Gas&lt;&gt;"Condensing","",120+5)</f>
        <v/>
      </c>
      <c r="G224" s="892" t="s">
        <v>51</v>
      </c>
      <c r="H224" s="453" t="str">
        <f>IF('Sys. # &amp; Product Characteristic'!Flue_Gas&lt;&gt;"Condensing","N/A",IF(AND(C224&gt;=E224,D224&lt;=F224,C224&lt;=D224),"Yes","No"))</f>
        <v>N/A</v>
      </c>
      <c r="I224" s="893"/>
      <c r="J224" s="893"/>
      <c r="K224" s="910"/>
      <c r="M224" s="139"/>
    </row>
    <row r="225" spans="2:13" ht="17.25" thickBot="1" x14ac:dyDescent="0.35">
      <c r="B225" s="770" t="s">
        <v>842</v>
      </c>
      <c r="C225" s="117"/>
      <c r="D225" s="117"/>
      <c r="E225" s="119" t="str">
        <f>IF('Sys. # &amp; Product Characteristic'!Flue_Gas&lt;&gt;"Condensing","",120-2)</f>
        <v/>
      </c>
      <c r="F225" s="119" t="str">
        <f>IF('Sys. # &amp; Product Characteristic'!Flue_Gas&lt;&gt;"Condensing","",120+2)</f>
        <v/>
      </c>
      <c r="G225" s="982" t="s">
        <v>51</v>
      </c>
      <c r="H225" s="771" t="str">
        <f>IF('Sys. # &amp; Product Characteristic'!Flue_Gas&lt;&gt;"Condensing","N/A",IF(AND(C225&gt;=E225,D225&lt;=F225,C225&lt;=D225),"Yes","No"))</f>
        <v>N/A</v>
      </c>
      <c r="I225" s="981"/>
      <c r="J225" s="981"/>
      <c r="K225" s="909"/>
      <c r="M225" s="139"/>
    </row>
    <row r="226" spans="2:13" ht="16.5" customHeight="1" thickBot="1" x14ac:dyDescent="0.35">
      <c r="B226" s="273" t="str">
        <f>"End: Heat-Up Test" &amp; IF('Sys. # &amp; Product Characteristic'!Heating_Fuel_Used="Electricity"," - NOT REQUIRED FOR THIS TEST","")</f>
        <v>End: Heat-Up Test</v>
      </c>
      <c r="C226" s="274"/>
      <c r="D226" s="275"/>
      <c r="E226" s="889"/>
      <c r="F226" s="889"/>
      <c r="G226" s="889"/>
      <c r="H226" s="889"/>
      <c r="I226" s="889"/>
      <c r="J226" s="889"/>
      <c r="K226" s="276"/>
      <c r="M226" s="139"/>
    </row>
    <row r="227" spans="2:13" x14ac:dyDescent="0.3">
      <c r="B227" s="133"/>
      <c r="C227" s="133"/>
      <c r="D227" s="133"/>
      <c r="E227" s="133"/>
      <c r="M227" s="139"/>
    </row>
    <row r="228" spans="2:13" ht="17.25" thickBot="1" x14ac:dyDescent="0.35">
      <c r="B228" s="280"/>
      <c r="C228" s="281"/>
      <c r="D228" s="270"/>
      <c r="E228" s="270"/>
      <c r="M228" s="139"/>
    </row>
    <row r="229" spans="2:13" ht="36" customHeight="1" thickBot="1" x14ac:dyDescent="0.35">
      <c r="B229" s="1735" t="str">
        <f>"ASHRAE 103-2017, Section 9.7: Optional Tracer Gas Test Procedures for Determining Draft Factors for D_P, D_F, and D_S for Systems Equipped with Power Burners or Direct Vent and Not Equipped with Stack Dampers" &amp;
IF(OR('Sys. # &amp; Product Characteristic'!Heating_Fuel_Used="Electricity",'Sys. # &amp; Product Characteristic'!C19="Yes",'Sys. # &amp; Product Characteristic'!Control_Type="Step Modulating",
AND('Sys. # &amp; Product Characteristic'!Burner_Type&lt;&gt;"Power",'Sys. # &amp; Product Characteristic'!C15="No")),
" - NOT AN OPTION FOR THIS TEST","")</f>
        <v>ASHRAE 103-2017, Section 9.7: Optional Tracer Gas Test Procedures for Determining Draft Factors for D_P, D_F, and D_S for Systems Equipped with Power Burners or Direct Vent and Not Equipped with Stack Dampers</v>
      </c>
      <c r="C229" s="1736"/>
      <c r="D229" s="1736"/>
      <c r="E229" s="1736"/>
      <c r="F229" s="1736"/>
      <c r="G229" s="1736"/>
      <c r="H229" s="1736"/>
      <c r="I229" s="1736"/>
      <c r="J229" s="1736"/>
      <c r="K229" s="1737"/>
      <c r="M229" s="139"/>
    </row>
    <row r="230" spans="2:13" ht="17.25" x14ac:dyDescent="0.35">
      <c r="B230" s="426" t="s">
        <v>52</v>
      </c>
      <c r="C230" s="427" t="s">
        <v>34</v>
      </c>
      <c r="D230" s="428" t="s">
        <v>35</v>
      </c>
      <c r="E230" s="428" t="s">
        <v>33</v>
      </c>
      <c r="F230" s="875"/>
      <c r="G230" s="893"/>
      <c r="H230" s="893"/>
      <c r="I230" s="893"/>
      <c r="J230" s="893"/>
      <c r="K230" s="910"/>
      <c r="M230" s="139"/>
    </row>
    <row r="231" spans="2:13" ht="17.25" thickBot="1" x14ac:dyDescent="0.35">
      <c r="B231" s="811" t="s">
        <v>517</v>
      </c>
      <c r="C231" s="117"/>
      <c r="D231" s="775" t="s">
        <v>175</v>
      </c>
      <c r="E231" s="956" t="s">
        <v>175</v>
      </c>
      <c r="F231" s="987"/>
      <c r="G231" s="981"/>
      <c r="H231" s="981"/>
      <c r="I231" s="981"/>
      <c r="J231" s="981"/>
      <c r="K231" s="909"/>
      <c r="M231" s="139"/>
    </row>
    <row r="232" spans="2:13" ht="18" thickBot="1" x14ac:dyDescent="0.35">
      <c r="B232" s="988"/>
      <c r="C232" s="989"/>
      <c r="D232" s="989"/>
      <c r="E232" s="989"/>
      <c r="F232" s="989"/>
      <c r="G232" s="928"/>
      <c r="H232" s="928"/>
      <c r="I232" s="928"/>
      <c r="J232" s="928"/>
      <c r="K232" s="904"/>
      <c r="M232" s="139"/>
    </row>
    <row r="233" spans="2:13" ht="105.75" customHeight="1" x14ac:dyDescent="0.3">
      <c r="B233" s="1753" t="s">
        <v>1141</v>
      </c>
      <c r="C233" s="1754"/>
      <c r="D233" s="1754"/>
      <c r="E233" s="1754"/>
      <c r="F233" s="1754"/>
      <c r="G233" s="1754"/>
      <c r="H233" s="1754"/>
      <c r="I233" s="1754"/>
      <c r="J233" s="1754"/>
      <c r="K233" s="1755"/>
      <c r="M233" s="139"/>
    </row>
    <row r="234" spans="2:13" ht="18" customHeight="1" x14ac:dyDescent="0.35">
      <c r="B234" s="960" t="s">
        <v>52</v>
      </c>
      <c r="C234" s="877" t="s">
        <v>34</v>
      </c>
      <c r="D234" s="925" t="s">
        <v>35</v>
      </c>
      <c r="E234" s="925" t="s">
        <v>33</v>
      </c>
      <c r="F234" s="875"/>
      <c r="G234" s="893"/>
      <c r="H234" s="893"/>
      <c r="I234" s="893"/>
      <c r="J234" s="893"/>
      <c r="K234" s="910"/>
      <c r="M234" s="139"/>
    </row>
    <row r="235" spans="2:13" ht="18.75" thickBot="1" x14ac:dyDescent="0.35">
      <c r="B235" s="774" t="s">
        <v>498</v>
      </c>
      <c r="C235" s="117"/>
      <c r="D235" s="268" t="s">
        <v>243</v>
      </c>
      <c r="E235" s="956" t="s">
        <v>684</v>
      </c>
      <c r="F235" s="987"/>
      <c r="G235" s="981"/>
      <c r="H235" s="981"/>
      <c r="I235" s="981"/>
      <c r="J235" s="981"/>
      <c r="K235" s="909"/>
      <c r="M235" s="139"/>
    </row>
    <row r="236" spans="2:13" ht="18" customHeight="1" thickBot="1" x14ac:dyDescent="0.35">
      <c r="B236" s="776"/>
      <c r="C236" s="1172"/>
      <c r="D236" s="1172"/>
      <c r="E236" s="983"/>
      <c r="F236" s="324"/>
      <c r="G236" s="893"/>
      <c r="H236" s="893"/>
      <c r="I236" s="893"/>
      <c r="J236" s="893"/>
      <c r="K236" s="910"/>
      <c r="M236" s="139"/>
    </row>
    <row r="237" spans="2:13" ht="71.099999999999994" customHeight="1" x14ac:dyDescent="0.3">
      <c r="B237" s="1633" t="s">
        <v>1142</v>
      </c>
      <c r="C237" s="1634"/>
      <c r="D237" s="1634"/>
      <c r="E237" s="1634"/>
      <c r="F237" s="1634"/>
      <c r="G237" s="1634"/>
      <c r="H237" s="1634"/>
      <c r="I237" s="1634"/>
      <c r="J237" s="1634"/>
      <c r="K237" s="1635"/>
      <c r="M237" s="139"/>
    </row>
    <row r="238" spans="2:13" ht="18" customHeight="1" x14ac:dyDescent="0.35">
      <c r="B238" s="960" t="s">
        <v>52</v>
      </c>
      <c r="C238" s="877" t="s">
        <v>34</v>
      </c>
      <c r="D238" s="925" t="s">
        <v>35</v>
      </c>
      <c r="E238" s="925" t="s">
        <v>33</v>
      </c>
      <c r="F238" s="875"/>
      <c r="G238" s="893"/>
      <c r="H238" s="893"/>
      <c r="I238" s="893"/>
      <c r="J238" s="893"/>
      <c r="K238" s="910"/>
      <c r="M238" s="139"/>
    </row>
    <row r="239" spans="2:13" ht="18" customHeight="1" x14ac:dyDescent="0.3">
      <c r="B239" s="319" t="s">
        <v>499</v>
      </c>
      <c r="C239" s="107"/>
      <c r="D239" s="263" t="s">
        <v>211</v>
      </c>
      <c r="E239" s="897" t="s">
        <v>685</v>
      </c>
      <c r="F239" s="887"/>
      <c r="G239" s="893"/>
      <c r="H239" s="893"/>
      <c r="I239" s="893"/>
      <c r="J239" s="893"/>
      <c r="K239" s="910"/>
      <c r="M239" s="139"/>
    </row>
    <row r="240" spans="2:13" ht="31.5" customHeight="1" x14ac:dyDescent="0.3">
      <c r="B240" s="319" t="s">
        <v>1285</v>
      </c>
      <c r="C240" s="107"/>
      <c r="D240" s="551" t="s">
        <v>211</v>
      </c>
      <c r="E240" s="897" t="s">
        <v>690</v>
      </c>
      <c r="F240" s="887"/>
      <c r="G240" s="893"/>
      <c r="H240" s="893"/>
      <c r="I240" s="893"/>
      <c r="J240" s="893"/>
      <c r="K240" s="910"/>
      <c r="M240" s="139"/>
    </row>
    <row r="241" spans="2:13" ht="18" customHeight="1" x14ac:dyDescent="0.3">
      <c r="B241" s="319" t="s">
        <v>496</v>
      </c>
      <c r="C241" s="107"/>
      <c r="D241" s="263" t="s">
        <v>51</v>
      </c>
      <c r="E241" s="897" t="s">
        <v>686</v>
      </c>
      <c r="F241" s="876"/>
      <c r="G241" s="893"/>
      <c r="H241" s="893"/>
      <c r="I241" s="893"/>
      <c r="J241" s="893"/>
      <c r="K241" s="910"/>
      <c r="M241" s="139"/>
    </row>
    <row r="242" spans="2:13" ht="18" customHeight="1" x14ac:dyDescent="0.3">
      <c r="B242" s="319" t="s">
        <v>392</v>
      </c>
      <c r="C242" s="107"/>
      <c r="D242" s="263" t="s">
        <v>393</v>
      </c>
      <c r="E242" s="897" t="s">
        <v>687</v>
      </c>
      <c r="F242" s="876"/>
      <c r="G242" s="893"/>
      <c r="H242" s="893"/>
      <c r="I242" s="893"/>
      <c r="J242" s="893"/>
      <c r="K242" s="910"/>
      <c r="M242" s="139"/>
    </row>
    <row r="243" spans="2:13" ht="18" customHeight="1" thickBot="1" x14ac:dyDescent="0.35">
      <c r="B243" s="774" t="s">
        <v>497</v>
      </c>
      <c r="C243" s="768" t="str">
        <f>IF(OR(C241="",C242=""),"",1.325*C242/(C241+460))</f>
        <v/>
      </c>
      <c r="D243" s="775" t="s">
        <v>242</v>
      </c>
      <c r="E243" s="986" t="s">
        <v>688</v>
      </c>
      <c r="F243" s="985"/>
      <c r="G243" s="981"/>
      <c r="H243" s="981"/>
      <c r="I243" s="981"/>
      <c r="J243" s="981"/>
      <c r="K243" s="909"/>
      <c r="M243" s="139"/>
    </row>
    <row r="244" spans="2:13" ht="18" customHeight="1" thickBot="1" x14ac:dyDescent="0.35">
      <c r="B244" s="772"/>
      <c r="C244" s="760"/>
      <c r="D244" s="760"/>
      <c r="E244" s="760"/>
      <c r="F244" s="760"/>
      <c r="G244" s="893"/>
      <c r="H244" s="893"/>
      <c r="I244" s="893"/>
      <c r="J244" s="893"/>
      <c r="K244" s="910"/>
      <c r="M244" s="139"/>
    </row>
    <row r="245" spans="2:13" ht="86.25" customHeight="1" x14ac:dyDescent="0.3">
      <c r="B245" s="1633" t="s">
        <v>1143</v>
      </c>
      <c r="C245" s="1634"/>
      <c r="D245" s="1634"/>
      <c r="E245" s="1634"/>
      <c r="F245" s="1634"/>
      <c r="G245" s="1634"/>
      <c r="H245" s="1634"/>
      <c r="I245" s="1634"/>
      <c r="J245" s="1634"/>
      <c r="K245" s="1635"/>
      <c r="M245" s="139"/>
    </row>
    <row r="246" spans="2:13" ht="18" customHeight="1" x14ac:dyDescent="0.35">
      <c r="B246" s="960" t="s">
        <v>52</v>
      </c>
      <c r="C246" s="877" t="s">
        <v>34</v>
      </c>
      <c r="D246" s="925" t="s">
        <v>35</v>
      </c>
      <c r="E246" s="925" t="s">
        <v>33</v>
      </c>
      <c r="F246" s="876"/>
      <c r="G246" s="893"/>
      <c r="H246" s="893"/>
      <c r="I246" s="893"/>
      <c r="J246" s="893"/>
      <c r="K246" s="910"/>
      <c r="M246" s="139"/>
    </row>
    <row r="247" spans="2:13" ht="18" customHeight="1" thickBot="1" x14ac:dyDescent="0.35">
      <c r="B247" s="773" t="s">
        <v>1286</v>
      </c>
      <c r="C247" s="1169"/>
      <c r="D247" s="268" t="s">
        <v>51</v>
      </c>
      <c r="E247" s="956" t="s">
        <v>617</v>
      </c>
      <c r="F247" s="985"/>
      <c r="G247" s="981"/>
      <c r="H247" s="981"/>
      <c r="I247" s="981"/>
      <c r="J247" s="981"/>
      <c r="K247" s="909"/>
      <c r="M247" s="139"/>
    </row>
    <row r="248" spans="2:13" ht="18" customHeight="1" thickBot="1" x14ac:dyDescent="0.35">
      <c r="B248" s="772"/>
      <c r="C248" s="760"/>
      <c r="D248" s="760"/>
      <c r="E248" s="760"/>
      <c r="F248" s="760"/>
      <c r="G248" s="893"/>
      <c r="H248" s="893"/>
      <c r="I248" s="893"/>
      <c r="J248" s="893"/>
      <c r="K248" s="910"/>
      <c r="M248" s="139"/>
    </row>
    <row r="249" spans="2:13" ht="51.75" customHeight="1" thickBot="1" x14ac:dyDescent="0.35">
      <c r="B249" s="1756" t="s">
        <v>1144</v>
      </c>
      <c r="C249" s="1757"/>
      <c r="D249" s="1757"/>
      <c r="E249" s="1757"/>
      <c r="F249" s="1757"/>
      <c r="G249" s="1757"/>
      <c r="H249" s="1757"/>
      <c r="I249" s="1757"/>
      <c r="J249" s="1757"/>
      <c r="K249" s="1758"/>
      <c r="M249" s="139"/>
    </row>
    <row r="250" spans="2:13" ht="18" customHeight="1" thickBot="1" x14ac:dyDescent="0.35">
      <c r="B250" s="772"/>
      <c r="C250" s="760"/>
      <c r="D250" s="760"/>
      <c r="E250" s="760"/>
      <c r="F250" s="760"/>
      <c r="G250" s="893"/>
      <c r="H250" s="893"/>
      <c r="I250" s="893"/>
      <c r="J250" s="893"/>
      <c r="K250" s="910"/>
      <c r="M250" s="139"/>
    </row>
    <row r="251" spans="2:13" ht="53.25" customHeight="1" thickBot="1" x14ac:dyDescent="0.35">
      <c r="B251" s="1756" t="s">
        <v>1145</v>
      </c>
      <c r="C251" s="1757"/>
      <c r="D251" s="1757"/>
      <c r="E251" s="1757"/>
      <c r="F251" s="1757"/>
      <c r="G251" s="1757"/>
      <c r="H251" s="1757"/>
      <c r="I251" s="1757"/>
      <c r="J251" s="1757"/>
      <c r="K251" s="1758"/>
      <c r="M251" s="139"/>
    </row>
    <row r="252" spans="2:13" ht="18" customHeight="1" thickBot="1" x14ac:dyDescent="0.35">
      <c r="B252" s="984" t="s">
        <v>861</v>
      </c>
      <c r="C252" s="952"/>
      <c r="D252" s="952"/>
      <c r="E252" s="952"/>
      <c r="F252" s="952"/>
      <c r="G252" s="952"/>
      <c r="H252" s="952"/>
      <c r="I252" s="952"/>
      <c r="J252" s="952"/>
      <c r="K252" s="974"/>
      <c r="M252" s="139"/>
    </row>
    <row r="253" spans="2:13" ht="18" customHeight="1" x14ac:dyDescent="0.3">
      <c r="B253" s="760"/>
      <c r="C253" s="760"/>
      <c r="D253" s="760"/>
      <c r="E253" s="760"/>
      <c r="F253" s="760"/>
      <c r="M253" s="139"/>
    </row>
    <row r="254" spans="2:13" ht="18" customHeight="1" thickBot="1" x14ac:dyDescent="0.35">
      <c r="B254" s="760"/>
      <c r="C254" s="760"/>
      <c r="D254" s="760"/>
      <c r="E254" s="760"/>
      <c r="F254" s="760"/>
      <c r="M254" s="139"/>
    </row>
    <row r="255" spans="2:13" ht="35.25" customHeight="1" thickBot="1" x14ac:dyDescent="0.35">
      <c r="B255" s="1759" t="str">
        <f>"ASHRAE 103-2017, Section 9.7.6: Tracer Gas Test Procedures for Determining Off-Cycle Loss Factor K_L for Atmospheric Systems" &amp;
" with Integral Draft Diverter or Draft Hood and Equipped with Either an Electro-Mechanical Inlet or Flue Damper That Restricts the Flow Through the Heat Exchanger in the Off-Cycle" &amp;
IF(AND('Sys. # &amp; Product Characteristic'!C40="Atmospheric",'Sys. # &amp; Product Characteristic'!C22="Yes",OR('Sys. # &amp; Product Characteristic'!C17="Draft Hood",'Sys. # &amp; Product Characteristic'!C17="Integral Draft Diverter")),""," - NOT REQUIRED FOR THIS TEST")</f>
        <v>ASHRAE 103-2017, Section 9.7.6: Tracer Gas Test Procedures for Determining Off-Cycle Loss Factor K_L for Atmospheric Systems with Integral Draft Diverter or Draft Hood and Equipped with Either an Electro-Mechanical Inlet or Flue Damper That Restricts the Flow Through the Heat Exchanger in the Off-Cycle - NOT REQUIRED FOR THIS TEST</v>
      </c>
      <c r="C255" s="1760"/>
      <c r="D255" s="1760"/>
      <c r="E255" s="1760"/>
      <c r="F255" s="1760"/>
      <c r="G255" s="1760"/>
      <c r="H255" s="1760"/>
      <c r="I255" s="1760"/>
      <c r="J255" s="1760"/>
      <c r="K255" s="1761"/>
      <c r="M255" s="139"/>
    </row>
    <row r="256" spans="2:13" ht="55.5" customHeight="1" x14ac:dyDescent="0.3">
      <c r="B256" s="1695" t="s">
        <v>1146</v>
      </c>
      <c r="C256" s="1696"/>
      <c r="D256" s="1696"/>
      <c r="E256" s="1696"/>
      <c r="F256" s="1696"/>
      <c r="G256" s="1696"/>
      <c r="H256" s="1696"/>
      <c r="I256" s="1696"/>
      <c r="J256" s="1696"/>
      <c r="K256" s="1697"/>
      <c r="M256" s="139"/>
    </row>
    <row r="257" spans="2:14" ht="51.75" x14ac:dyDescent="0.35">
      <c r="B257" s="960" t="s">
        <v>52</v>
      </c>
      <c r="C257" s="990" t="s">
        <v>866</v>
      </c>
      <c r="D257" s="990" t="s">
        <v>865</v>
      </c>
      <c r="E257" s="925" t="s">
        <v>35</v>
      </c>
      <c r="F257" s="925" t="s">
        <v>33</v>
      </c>
      <c r="G257" s="893"/>
      <c r="H257" s="893"/>
      <c r="I257" s="893"/>
      <c r="J257" s="893"/>
      <c r="K257" s="910"/>
      <c r="M257" s="139"/>
    </row>
    <row r="258" spans="2:14" ht="18" x14ac:dyDescent="0.3">
      <c r="B258" s="319" t="s">
        <v>499</v>
      </c>
      <c r="C258" s="107"/>
      <c r="D258" s="107"/>
      <c r="E258" s="263" t="s">
        <v>211</v>
      </c>
      <c r="F258" s="897" t="s">
        <v>685</v>
      </c>
      <c r="G258" s="893"/>
      <c r="H258" s="893"/>
      <c r="I258" s="893"/>
      <c r="J258" s="893"/>
      <c r="K258" s="910"/>
      <c r="M258" s="139"/>
    </row>
    <row r="259" spans="2:14" ht="18" x14ac:dyDescent="0.3">
      <c r="B259" s="319" t="s">
        <v>496</v>
      </c>
      <c r="C259" s="107"/>
      <c r="D259" s="107"/>
      <c r="E259" s="263" t="s">
        <v>51</v>
      </c>
      <c r="F259" s="897" t="s">
        <v>686</v>
      </c>
      <c r="G259" s="893"/>
      <c r="H259" s="893"/>
      <c r="I259" s="893"/>
      <c r="J259" s="893"/>
      <c r="K259" s="910"/>
      <c r="M259" s="139"/>
    </row>
    <row r="260" spans="2:14" ht="18" x14ac:dyDescent="0.3">
      <c r="B260" s="319" t="s">
        <v>392</v>
      </c>
      <c r="C260" s="107"/>
      <c r="D260" s="107"/>
      <c r="E260" s="263" t="s">
        <v>393</v>
      </c>
      <c r="F260" s="897" t="s">
        <v>687</v>
      </c>
      <c r="G260" s="893"/>
      <c r="H260" s="893"/>
      <c r="I260" s="893"/>
      <c r="J260" s="893"/>
      <c r="K260" s="910"/>
      <c r="M260" s="139"/>
    </row>
    <row r="261" spans="2:14" ht="18.75" thickBot="1" x14ac:dyDescent="0.35">
      <c r="B261" s="774" t="s">
        <v>497</v>
      </c>
      <c r="C261" s="768" t="str">
        <f>IF(OR(C259="",C260=""),"",1.325*C260/(C259+460))</f>
        <v/>
      </c>
      <c r="D261" s="768" t="str">
        <f>IF(OR(D259="",D260=""),"",1.325*D260/(D259+460))</f>
        <v/>
      </c>
      <c r="E261" s="775" t="s">
        <v>242</v>
      </c>
      <c r="F261" s="986" t="s">
        <v>688</v>
      </c>
      <c r="G261" s="981"/>
      <c r="H261" s="981"/>
      <c r="I261" s="981"/>
      <c r="J261" s="981"/>
      <c r="K261" s="909"/>
      <c r="M261" s="139"/>
    </row>
    <row r="262" spans="2:14" ht="17.25" thickBot="1" x14ac:dyDescent="0.35">
      <c r="B262" s="432"/>
      <c r="C262" s="430"/>
      <c r="D262" s="430"/>
      <c r="E262" s="430"/>
      <c r="F262" s="430"/>
      <c r="G262" s="893"/>
      <c r="H262" s="893"/>
      <c r="I262" s="893"/>
      <c r="J262" s="893"/>
      <c r="K262" s="910"/>
      <c r="M262" s="139"/>
      <c r="N262" s="430"/>
    </row>
    <row r="263" spans="2:14" ht="54.75" customHeight="1" x14ac:dyDescent="0.3">
      <c r="B263" s="1695" t="s">
        <v>1147</v>
      </c>
      <c r="C263" s="1696"/>
      <c r="D263" s="1696"/>
      <c r="E263" s="1696"/>
      <c r="F263" s="1696"/>
      <c r="G263" s="1696"/>
      <c r="H263" s="1696"/>
      <c r="I263" s="1696"/>
      <c r="J263" s="1696"/>
      <c r="K263" s="1697"/>
      <c r="M263" s="139"/>
    </row>
    <row r="264" spans="2:14" ht="51.75" x14ac:dyDescent="0.35">
      <c r="B264" s="960" t="s">
        <v>52</v>
      </c>
      <c r="C264" s="990" t="s">
        <v>866</v>
      </c>
      <c r="D264" s="990" t="s">
        <v>865</v>
      </c>
      <c r="E264" s="925" t="s">
        <v>35</v>
      </c>
      <c r="F264" s="925" t="s">
        <v>33</v>
      </c>
      <c r="G264" s="893"/>
      <c r="H264" s="893"/>
      <c r="I264" s="893"/>
      <c r="J264" s="893"/>
      <c r="K264" s="910"/>
      <c r="M264" s="139"/>
    </row>
    <row r="265" spans="2:14" ht="18.75" thickBot="1" x14ac:dyDescent="0.35">
      <c r="B265" s="767" t="s">
        <v>807</v>
      </c>
      <c r="C265" s="117"/>
      <c r="D265" s="117"/>
      <c r="E265" s="548" t="s">
        <v>211</v>
      </c>
      <c r="F265" s="975" t="s">
        <v>689</v>
      </c>
      <c r="G265" s="981"/>
      <c r="H265" s="981"/>
      <c r="I265" s="981"/>
      <c r="J265" s="981"/>
      <c r="K265" s="909"/>
      <c r="M265" s="139"/>
    </row>
    <row r="266" spans="2:14" ht="17.25" thickBot="1" x14ac:dyDescent="0.35">
      <c r="B266" s="432"/>
      <c r="C266" s="430"/>
      <c r="D266" s="430"/>
      <c r="E266" s="430"/>
      <c r="F266" s="430"/>
      <c r="G266" s="893"/>
      <c r="H266" s="893"/>
      <c r="I266" s="893"/>
      <c r="J266" s="893"/>
      <c r="K266" s="910"/>
      <c r="M266" s="139"/>
    </row>
    <row r="267" spans="2:14" ht="69.75" customHeight="1" x14ac:dyDescent="0.3">
      <c r="B267" s="1695" t="s">
        <v>848</v>
      </c>
      <c r="C267" s="1696"/>
      <c r="D267" s="1696"/>
      <c r="E267" s="1696"/>
      <c r="F267" s="1696"/>
      <c r="G267" s="1696"/>
      <c r="H267" s="1696"/>
      <c r="I267" s="1696"/>
      <c r="J267" s="1696"/>
      <c r="K267" s="1697"/>
      <c r="M267" s="139"/>
    </row>
    <row r="268" spans="2:14" ht="51.75" x14ac:dyDescent="0.35">
      <c r="B268" s="426" t="s">
        <v>52</v>
      </c>
      <c r="C268" s="990" t="s">
        <v>866</v>
      </c>
      <c r="D268" s="990" t="s">
        <v>865</v>
      </c>
      <c r="E268" s="925" t="s">
        <v>35</v>
      </c>
      <c r="F268" s="925" t="s">
        <v>33</v>
      </c>
      <c r="G268" s="893"/>
      <c r="H268" s="893"/>
      <c r="I268" s="893"/>
      <c r="J268" s="893"/>
      <c r="K268" s="910"/>
      <c r="M268" s="139"/>
    </row>
    <row r="269" spans="2:14" ht="18" x14ac:dyDescent="0.3">
      <c r="B269" s="319" t="s">
        <v>1287</v>
      </c>
      <c r="C269" s="107"/>
      <c r="D269" s="107"/>
      <c r="E269" s="551" t="s">
        <v>211</v>
      </c>
      <c r="F269" s="897" t="s">
        <v>690</v>
      </c>
      <c r="G269" s="893"/>
      <c r="H269" s="893"/>
      <c r="I269" s="893"/>
      <c r="J269" s="893"/>
      <c r="K269" s="910"/>
      <c r="M269" s="139"/>
    </row>
    <row r="270" spans="2:14" ht="18.75" thickBot="1" x14ac:dyDescent="0.35">
      <c r="B270" s="774" t="s">
        <v>498</v>
      </c>
      <c r="C270" s="117"/>
      <c r="D270" s="117"/>
      <c r="E270" s="268" t="s">
        <v>243</v>
      </c>
      <c r="F270" s="956" t="s">
        <v>684</v>
      </c>
      <c r="G270" s="981"/>
      <c r="H270" s="981"/>
      <c r="I270" s="981"/>
      <c r="J270" s="981"/>
      <c r="K270" s="909"/>
      <c r="M270" s="139"/>
    </row>
    <row r="271" spans="2:14" ht="17.25" thickBot="1" x14ac:dyDescent="0.35">
      <c r="B271" s="432"/>
      <c r="C271" s="430"/>
      <c r="D271" s="430"/>
      <c r="E271" s="430"/>
      <c r="F271" s="430"/>
      <c r="G271" s="893"/>
      <c r="H271" s="893"/>
      <c r="I271" s="893"/>
      <c r="J271" s="893"/>
      <c r="K271" s="910"/>
      <c r="M271" s="139"/>
    </row>
    <row r="272" spans="2:14" ht="71.25" customHeight="1" x14ac:dyDescent="0.3">
      <c r="B272" s="1695" t="s">
        <v>1149</v>
      </c>
      <c r="C272" s="1696"/>
      <c r="D272" s="1696"/>
      <c r="E272" s="1696"/>
      <c r="F272" s="1696"/>
      <c r="G272" s="1696"/>
      <c r="H272" s="1696"/>
      <c r="I272" s="1696"/>
      <c r="J272" s="1696"/>
      <c r="K272" s="1697"/>
      <c r="M272" s="139"/>
    </row>
    <row r="273" spans="2:13" ht="84.75" customHeight="1" x14ac:dyDescent="0.3">
      <c r="B273" s="1698" t="s">
        <v>1164</v>
      </c>
      <c r="C273" s="1699"/>
      <c r="D273" s="1699"/>
      <c r="E273" s="1699"/>
      <c r="F273" s="1699"/>
      <c r="G273" s="1699"/>
      <c r="H273" s="1699"/>
      <c r="I273" s="1699"/>
      <c r="J273" s="1699"/>
      <c r="K273" s="1700"/>
      <c r="M273" s="139"/>
    </row>
    <row r="274" spans="2:13" ht="51.75" x14ac:dyDescent="0.35">
      <c r="B274" s="960" t="s">
        <v>52</v>
      </c>
      <c r="C274" s="990" t="s">
        <v>866</v>
      </c>
      <c r="D274" s="990" t="s">
        <v>865</v>
      </c>
      <c r="E274" s="925" t="s">
        <v>35</v>
      </c>
      <c r="F274" s="925" t="s">
        <v>33</v>
      </c>
      <c r="G274" s="893"/>
      <c r="H274" s="893"/>
      <c r="I274" s="893"/>
      <c r="J274" s="893"/>
      <c r="K274" s="910"/>
      <c r="M274" s="139"/>
    </row>
    <row r="275" spans="2:13" ht="18.75" thickBot="1" x14ac:dyDescent="0.35">
      <c r="B275" s="279" t="s">
        <v>809</v>
      </c>
      <c r="C275" s="117"/>
      <c r="D275" s="117"/>
      <c r="E275" s="777" t="s">
        <v>51</v>
      </c>
      <c r="F275" s="991" t="s">
        <v>691</v>
      </c>
      <c r="G275" s="981"/>
      <c r="H275" s="981"/>
      <c r="I275" s="981"/>
      <c r="J275" s="981"/>
      <c r="K275" s="909"/>
      <c r="M275" s="139"/>
    </row>
    <row r="276" spans="2:13" ht="17.25" thickBot="1" x14ac:dyDescent="0.35">
      <c r="B276" s="432"/>
      <c r="C276" s="430"/>
      <c r="D276" s="430"/>
      <c r="E276" s="430"/>
      <c r="F276" s="430"/>
      <c r="G276" s="893"/>
      <c r="H276" s="893"/>
      <c r="I276" s="893"/>
      <c r="J276" s="893"/>
      <c r="K276" s="910"/>
      <c r="M276" s="139"/>
    </row>
    <row r="277" spans="2:13" ht="85.5" customHeight="1" x14ac:dyDescent="0.3">
      <c r="B277" s="1695" t="s">
        <v>1288</v>
      </c>
      <c r="C277" s="1696"/>
      <c r="D277" s="1696"/>
      <c r="E277" s="1696"/>
      <c r="F277" s="1696"/>
      <c r="G277" s="1696"/>
      <c r="H277" s="1696"/>
      <c r="I277" s="1696"/>
      <c r="J277" s="1696"/>
      <c r="K277" s="1697"/>
      <c r="M277" s="139"/>
    </row>
    <row r="278" spans="2:13" ht="51.75" x14ac:dyDescent="0.35">
      <c r="B278" s="960" t="s">
        <v>52</v>
      </c>
      <c r="C278" s="990" t="s">
        <v>866</v>
      </c>
      <c r="D278" s="990" t="s">
        <v>865</v>
      </c>
      <c r="E278" s="925" t="s">
        <v>35</v>
      </c>
      <c r="F278" s="925" t="s">
        <v>33</v>
      </c>
      <c r="G278" s="893"/>
      <c r="H278" s="893"/>
      <c r="I278" s="893"/>
      <c r="J278" s="893"/>
      <c r="K278" s="910"/>
      <c r="M278" s="139"/>
    </row>
    <row r="279" spans="2:13" ht="18.75" thickBot="1" x14ac:dyDescent="0.35">
      <c r="B279" s="549" t="s">
        <v>808</v>
      </c>
      <c r="C279" s="117"/>
      <c r="D279" s="117"/>
      <c r="E279" s="548" t="s">
        <v>79</v>
      </c>
      <c r="F279" s="975" t="s">
        <v>692</v>
      </c>
      <c r="G279" s="981"/>
      <c r="H279" s="981"/>
      <c r="I279" s="981"/>
      <c r="J279" s="981"/>
      <c r="K279" s="909"/>
      <c r="M279" s="139"/>
    </row>
    <row r="280" spans="2:13" ht="18" customHeight="1" thickBot="1" x14ac:dyDescent="0.35">
      <c r="B280" s="984" t="s">
        <v>862</v>
      </c>
      <c r="C280" s="952"/>
      <c r="D280" s="952"/>
      <c r="E280" s="952"/>
      <c r="F280" s="952"/>
      <c r="G280" s="952"/>
      <c r="H280" s="952"/>
      <c r="I280" s="952"/>
      <c r="J280" s="952"/>
      <c r="K280" s="974"/>
      <c r="M280" s="139"/>
    </row>
    <row r="281" spans="2:13" x14ac:dyDescent="0.3">
      <c r="B281" s="133"/>
      <c r="C281" s="133"/>
      <c r="D281" s="133"/>
      <c r="E281" s="133"/>
      <c r="F281" s="133"/>
      <c r="G281" s="893"/>
      <c r="M281" s="139"/>
    </row>
    <row r="282" spans="2:13" ht="17.25" thickBot="1" x14ac:dyDescent="0.35">
      <c r="B282" s="133"/>
      <c r="C282" s="133"/>
      <c r="D282" s="133"/>
      <c r="E282" s="133"/>
      <c r="M282" s="139"/>
    </row>
    <row r="283" spans="2:13" ht="18" customHeight="1" thickBot="1" x14ac:dyDescent="0.35">
      <c r="B283" s="1735" t="str">
        <f>"ASHRAE 103-2017, Section 9.8: Condensing Furnaces and Boilers-Measurement of Condensate Heat Loss Under Cyclic Conditions" &amp;
IF(OR('Sys. # &amp; Product Characteristic'!Control_Type="Step Modulating",'Sys. # &amp; Product Characteristic'!Flue_Gas="Non-Condensing")," - NOT REQUIRED FOR THIS TEST","")</f>
        <v>ASHRAE 103-2017, Section 9.8: Condensing Furnaces and Boilers-Measurement of Condensate Heat Loss Under Cyclic Conditions</v>
      </c>
      <c r="C283" s="1736"/>
      <c r="D283" s="1736"/>
      <c r="E283" s="1736"/>
      <c r="F283" s="1736"/>
      <c r="G283" s="1736"/>
      <c r="H283" s="1736"/>
      <c r="I283" s="1736"/>
      <c r="J283" s="1736"/>
      <c r="K283" s="1737"/>
      <c r="M283" s="139"/>
    </row>
    <row r="284" spans="2:13" ht="17.25" x14ac:dyDescent="0.3">
      <c r="B284" s="1747" t="s">
        <v>878</v>
      </c>
      <c r="C284" s="1748"/>
      <c r="D284" s="1748"/>
      <c r="E284" s="1748"/>
      <c r="F284" s="1748"/>
      <c r="G284" s="1748"/>
      <c r="H284" s="1748"/>
      <c r="I284" s="1748"/>
      <c r="J284" s="1748"/>
      <c r="K284" s="1749"/>
      <c r="M284" s="139"/>
    </row>
    <row r="285" spans="2:13" ht="35.25" customHeight="1" x14ac:dyDescent="0.3">
      <c r="B285" s="1764" t="s">
        <v>879</v>
      </c>
      <c r="C285" s="1765"/>
      <c r="D285" s="1765"/>
      <c r="E285" s="1765"/>
      <c r="F285" s="1765"/>
      <c r="G285" s="1765"/>
      <c r="H285" s="1765"/>
      <c r="I285" s="1765"/>
      <c r="J285" s="1765"/>
      <c r="K285" s="1766"/>
      <c r="M285" s="139"/>
    </row>
    <row r="286" spans="2:13" ht="52.5" customHeight="1" x14ac:dyDescent="0.3">
      <c r="B286" s="1764" t="s">
        <v>1289</v>
      </c>
      <c r="C286" s="1765"/>
      <c r="D286" s="1765"/>
      <c r="E286" s="1765"/>
      <c r="F286" s="1765"/>
      <c r="G286" s="1765"/>
      <c r="H286" s="1765"/>
      <c r="I286" s="1765"/>
      <c r="J286" s="1765"/>
      <c r="K286" s="1766"/>
      <c r="M286" s="139"/>
    </row>
    <row r="287" spans="2:13" ht="69" customHeight="1" x14ac:dyDescent="0.3">
      <c r="B287" s="1764" t="s">
        <v>1150</v>
      </c>
      <c r="C287" s="1765"/>
      <c r="D287" s="1765"/>
      <c r="E287" s="1765"/>
      <c r="F287" s="1765"/>
      <c r="G287" s="1765"/>
      <c r="H287" s="1765"/>
      <c r="I287" s="1765"/>
      <c r="J287" s="1765"/>
      <c r="K287" s="1766"/>
      <c r="M287" s="139"/>
    </row>
    <row r="288" spans="2:13" ht="36" customHeight="1" x14ac:dyDescent="0.3">
      <c r="B288" s="1764" t="s">
        <v>882</v>
      </c>
      <c r="C288" s="1765"/>
      <c r="D288" s="1765"/>
      <c r="E288" s="1765"/>
      <c r="F288" s="1765"/>
      <c r="G288" s="1765"/>
      <c r="H288" s="1765"/>
      <c r="I288" s="1765"/>
      <c r="J288" s="1765"/>
      <c r="K288" s="1766"/>
      <c r="M288" s="139"/>
    </row>
    <row r="289" spans="2:13" ht="84.95" customHeight="1" x14ac:dyDescent="0.3">
      <c r="B289" s="1764" t="s">
        <v>1151</v>
      </c>
      <c r="C289" s="1765"/>
      <c r="D289" s="1765"/>
      <c r="E289" s="1765"/>
      <c r="F289" s="1765"/>
      <c r="G289" s="1765"/>
      <c r="H289" s="1765"/>
      <c r="I289" s="1765"/>
      <c r="J289" s="1765"/>
      <c r="K289" s="1766"/>
      <c r="M289" s="139"/>
    </row>
    <row r="290" spans="2:13" ht="18" customHeight="1" x14ac:dyDescent="0.3">
      <c r="B290" s="772"/>
      <c r="C290" s="760"/>
      <c r="D290" s="760"/>
      <c r="E290" s="760"/>
      <c r="F290" s="893"/>
      <c r="G290" s="893"/>
      <c r="H290" s="893"/>
      <c r="I290" s="893"/>
      <c r="J290" s="893"/>
      <c r="K290" s="910"/>
      <c r="M290" s="139"/>
    </row>
    <row r="291" spans="2:13" ht="17.25" x14ac:dyDescent="0.35">
      <c r="B291" s="960" t="s">
        <v>52</v>
      </c>
      <c r="C291" s="877" t="s">
        <v>34</v>
      </c>
      <c r="D291" s="925" t="s">
        <v>35</v>
      </c>
      <c r="E291" s="925" t="s">
        <v>33</v>
      </c>
      <c r="F291" s="893"/>
      <c r="G291" s="893"/>
      <c r="H291" s="893"/>
      <c r="I291" s="893"/>
      <c r="J291" s="893"/>
      <c r="K291" s="910"/>
      <c r="M291" s="139"/>
    </row>
    <row r="292" spans="2:13" x14ac:dyDescent="0.3">
      <c r="B292" s="252" t="s">
        <v>177</v>
      </c>
      <c r="C292" s="181"/>
      <c r="D292" s="277" t="s">
        <v>211</v>
      </c>
      <c r="E292" s="953" t="s">
        <v>175</v>
      </c>
      <c r="F292" s="893"/>
      <c r="G292" s="893"/>
      <c r="H292" s="893"/>
      <c r="I292" s="893"/>
      <c r="J292" s="893"/>
      <c r="K292" s="910"/>
      <c r="M292" s="139"/>
    </row>
    <row r="293" spans="2:13" x14ac:dyDescent="0.3">
      <c r="B293" s="252" t="s">
        <v>78</v>
      </c>
      <c r="C293" s="118" t="str">
        <f>IF(RH_CYC="","",IF(RH_CYC&gt;80, "No","Yes"))</f>
        <v/>
      </c>
      <c r="D293" s="264" t="s">
        <v>175</v>
      </c>
      <c r="E293" s="897" t="s">
        <v>175</v>
      </c>
      <c r="F293" s="485"/>
      <c r="G293" s="485"/>
      <c r="H293" s="485"/>
      <c r="I293" s="485"/>
      <c r="J293" s="485"/>
      <c r="K293" s="954"/>
      <c r="L293" s="129"/>
      <c r="M293" s="139"/>
    </row>
    <row r="294" spans="2:13" x14ac:dyDescent="0.3">
      <c r="B294" s="252" t="s">
        <v>90</v>
      </c>
      <c r="C294" s="107"/>
      <c r="D294" s="263" t="s">
        <v>51</v>
      </c>
      <c r="E294" s="897" t="s">
        <v>175</v>
      </c>
      <c r="F294" s="485"/>
      <c r="G294" s="485"/>
      <c r="H294" s="485"/>
      <c r="I294" s="485"/>
      <c r="J294" s="485"/>
      <c r="K294" s="954"/>
      <c r="L294" s="129"/>
      <c r="M294" s="139"/>
    </row>
    <row r="295" spans="2:13" x14ac:dyDescent="0.3">
      <c r="B295" s="252" t="s">
        <v>91</v>
      </c>
      <c r="C295" s="107"/>
      <c r="D295" s="263" t="s">
        <v>51</v>
      </c>
      <c r="E295" s="897" t="s">
        <v>175</v>
      </c>
      <c r="F295" s="893"/>
      <c r="G295" s="893"/>
      <c r="H295" s="893"/>
      <c r="I295" s="893"/>
      <c r="J295" s="893"/>
      <c r="K295" s="910"/>
      <c r="M295" s="139"/>
    </row>
    <row r="296" spans="2:13" x14ac:dyDescent="0.3">
      <c r="B296" s="252" t="s">
        <v>92</v>
      </c>
      <c r="C296" s="118" t="str">
        <f>IF(OR(C294="",C295=""),"", IF(ABS(C294-C295)&lt;5,"Yes","No"))</f>
        <v/>
      </c>
      <c r="D296" s="264" t="s">
        <v>175</v>
      </c>
      <c r="E296" s="897" t="s">
        <v>175</v>
      </c>
      <c r="F296" s="893"/>
      <c r="G296" s="893"/>
      <c r="H296" s="893"/>
      <c r="I296" s="893"/>
      <c r="J296" s="893"/>
      <c r="K296" s="910"/>
      <c r="M296" s="139"/>
    </row>
    <row r="297" spans="2:13" x14ac:dyDescent="0.3">
      <c r="B297" s="252" t="s">
        <v>88</v>
      </c>
      <c r="C297" s="107"/>
      <c r="D297" s="263" t="s">
        <v>51</v>
      </c>
      <c r="E297" s="897" t="s">
        <v>175</v>
      </c>
      <c r="F297" s="893"/>
      <c r="G297" s="893"/>
      <c r="H297" s="893"/>
      <c r="I297" s="893"/>
      <c r="J297" s="893"/>
      <c r="K297" s="910"/>
      <c r="M297" s="139"/>
    </row>
    <row r="298" spans="2:13" x14ac:dyDescent="0.3">
      <c r="B298" s="252" t="s">
        <v>61</v>
      </c>
      <c r="C298" s="107"/>
      <c r="D298" s="263" t="s">
        <v>236</v>
      </c>
      <c r="E298" s="897" t="s">
        <v>59</v>
      </c>
      <c r="F298" s="893"/>
      <c r="G298" s="893"/>
      <c r="H298" s="893"/>
      <c r="I298" s="893"/>
      <c r="J298" s="893"/>
      <c r="K298" s="910"/>
      <c r="M298" s="139"/>
    </row>
    <row r="299" spans="2:13" x14ac:dyDescent="0.3">
      <c r="B299" s="252" t="s">
        <v>93</v>
      </c>
      <c r="C299" s="118" t="str">
        <f>IF(ISERROR(AVERAGE(D305:D307)),"",IF(STDEV(D305:D307)&lt;(0.2*AVERAGE(D305:D307)),"Yes","No. Conduct 3 More Cycles"))</f>
        <v/>
      </c>
      <c r="D299" s="263" t="s">
        <v>175</v>
      </c>
      <c r="E299" s="897" t="s">
        <v>175</v>
      </c>
      <c r="F299" s="893"/>
      <c r="G299" s="893"/>
      <c r="H299" s="893"/>
      <c r="I299" s="893"/>
      <c r="J299" s="893"/>
      <c r="K299" s="910"/>
      <c r="M299" s="139"/>
    </row>
    <row r="300" spans="2:13" ht="18" x14ac:dyDescent="0.3">
      <c r="B300" s="442" t="s">
        <v>89</v>
      </c>
      <c r="C300" s="118" t="str">
        <f>IF(SUM(C305:C310)=0,"",SUM(C305:C310))</f>
        <v/>
      </c>
      <c r="D300" s="443" t="s">
        <v>79</v>
      </c>
      <c r="E300" s="932" t="s">
        <v>656</v>
      </c>
      <c r="F300" s="893"/>
      <c r="G300" s="893"/>
      <c r="H300" s="893"/>
      <c r="I300" s="893"/>
      <c r="J300" s="893"/>
      <c r="K300" s="910"/>
      <c r="M300" s="139"/>
    </row>
    <row r="301" spans="2:13" ht="18" x14ac:dyDescent="0.3">
      <c r="B301" s="996" t="s">
        <v>94</v>
      </c>
      <c r="C301" s="118" t="str">
        <f>IF(SUM(D305:D310)=0,"",SUM(D305:D310))</f>
        <v/>
      </c>
      <c r="D301" s="994" t="s">
        <v>75</v>
      </c>
      <c r="E301" s="995" t="s">
        <v>655</v>
      </c>
      <c r="F301" s="893"/>
      <c r="G301" s="893"/>
      <c r="H301" s="893"/>
      <c r="I301" s="893"/>
      <c r="J301" s="893"/>
      <c r="K301" s="910"/>
      <c r="M301" s="139"/>
    </row>
    <row r="302" spans="2:13" x14ac:dyDescent="0.3">
      <c r="B302" s="432"/>
      <c r="C302" s="430"/>
      <c r="D302" s="430"/>
      <c r="E302" s="992"/>
      <c r="F302" s="893"/>
      <c r="G302" s="893"/>
      <c r="H302" s="893"/>
      <c r="I302" s="893"/>
      <c r="J302" s="893"/>
      <c r="K302" s="910"/>
      <c r="M302" s="139"/>
    </row>
    <row r="303" spans="2:13" ht="34.5" x14ac:dyDescent="0.3">
      <c r="B303" s="432"/>
      <c r="C303" s="440" t="s">
        <v>89</v>
      </c>
      <c r="D303" s="440" t="s">
        <v>394</v>
      </c>
      <c r="E303" s="992"/>
      <c r="F303" s="893"/>
      <c r="G303" s="893"/>
      <c r="H303" s="893"/>
      <c r="I303" s="893"/>
      <c r="J303" s="893"/>
      <c r="K303" s="910"/>
      <c r="M303" s="139"/>
    </row>
    <row r="304" spans="2:13" ht="17.25" x14ac:dyDescent="0.35">
      <c r="B304" s="445" t="s">
        <v>395</v>
      </c>
      <c r="C304" s="444" t="s">
        <v>79</v>
      </c>
      <c r="D304" s="444" t="s">
        <v>75</v>
      </c>
      <c r="E304" s="992"/>
      <c r="F304" s="893"/>
      <c r="G304" s="893"/>
      <c r="H304" s="893"/>
      <c r="I304" s="893"/>
      <c r="J304" s="893"/>
      <c r="K304" s="910"/>
      <c r="M304" s="139"/>
    </row>
    <row r="305" spans="2:13" x14ac:dyDescent="0.3">
      <c r="B305" s="446">
        <v>1</v>
      </c>
      <c r="C305" s="107"/>
      <c r="D305" s="107"/>
      <c r="E305" s="992"/>
      <c r="F305" s="893"/>
      <c r="G305" s="893"/>
      <c r="H305" s="893"/>
      <c r="I305" s="893"/>
      <c r="J305" s="893"/>
      <c r="K305" s="910"/>
      <c r="M305" s="139"/>
    </row>
    <row r="306" spans="2:13" x14ac:dyDescent="0.3">
      <c r="B306" s="447">
        <v>2</v>
      </c>
      <c r="C306" s="107"/>
      <c r="D306" s="107"/>
      <c r="E306" s="992"/>
      <c r="F306" s="893"/>
      <c r="G306" s="893"/>
      <c r="H306" s="893"/>
      <c r="I306" s="893"/>
      <c r="J306" s="893"/>
      <c r="K306" s="910"/>
      <c r="M306" s="139"/>
    </row>
    <row r="307" spans="2:13" x14ac:dyDescent="0.3">
      <c r="B307" s="448">
        <v>3</v>
      </c>
      <c r="C307" s="107"/>
      <c r="D307" s="107"/>
      <c r="E307" s="992"/>
      <c r="F307" s="893"/>
      <c r="G307" s="893"/>
      <c r="H307" s="893"/>
      <c r="I307" s="893"/>
      <c r="J307" s="893"/>
      <c r="K307" s="910"/>
      <c r="M307" s="139"/>
    </row>
    <row r="308" spans="2:13" x14ac:dyDescent="0.3">
      <c r="B308" s="449" t="s">
        <v>396</v>
      </c>
      <c r="C308" s="107"/>
      <c r="D308" s="107"/>
      <c r="E308" s="992"/>
      <c r="F308" s="893"/>
      <c r="G308" s="893"/>
      <c r="H308" s="893"/>
      <c r="I308" s="893"/>
      <c r="J308" s="893"/>
      <c r="K308" s="910"/>
      <c r="M308" s="139"/>
    </row>
    <row r="309" spans="2:13" x14ac:dyDescent="0.3">
      <c r="B309" s="450" t="s">
        <v>397</v>
      </c>
      <c r="C309" s="107"/>
      <c r="D309" s="107"/>
      <c r="E309" s="992"/>
      <c r="F309" s="893"/>
      <c r="G309" s="893"/>
      <c r="H309" s="893"/>
      <c r="I309" s="893"/>
      <c r="J309" s="893"/>
      <c r="K309" s="910"/>
      <c r="M309" s="139"/>
    </row>
    <row r="310" spans="2:13" ht="17.25" thickBot="1" x14ac:dyDescent="0.35">
      <c r="B310" s="451" t="s">
        <v>398</v>
      </c>
      <c r="C310" s="117"/>
      <c r="D310" s="117"/>
      <c r="E310" s="993"/>
      <c r="F310" s="981"/>
      <c r="G310" s="981"/>
      <c r="H310" s="981"/>
      <c r="I310" s="981"/>
      <c r="J310" s="981"/>
      <c r="K310" s="909"/>
      <c r="M310" s="139"/>
    </row>
    <row r="311" spans="2:13" x14ac:dyDescent="0.3">
      <c r="B311" s="133"/>
      <c r="C311" s="133"/>
      <c r="D311" s="133"/>
      <c r="E311" s="133"/>
      <c r="M311" s="139"/>
    </row>
    <row r="312" spans="2:13" ht="17.25" thickBot="1" x14ac:dyDescent="0.35">
      <c r="B312" s="151"/>
      <c r="C312" s="133"/>
      <c r="D312" s="133"/>
      <c r="E312" s="133"/>
      <c r="M312" s="320"/>
    </row>
    <row r="313" spans="2:13" ht="18" thickBot="1" x14ac:dyDescent="0.35">
      <c r="B313" s="1735" t="str">
        <f>"Appendix EE, Section 8.9: Optional test procedures for condensing furnaces and boilers that have no off-period flue losses." &amp;
IF('Sys. # &amp; Product Characteristic'!Flue_Gas="Non-Condensing"," - NOT REQUIRED FOR THIS TEST","")</f>
        <v>Appendix EE, Section 8.9: Optional test procedures for condensing furnaces and boilers that have no off-period flue losses.</v>
      </c>
      <c r="C313" s="1736"/>
      <c r="D313" s="1736"/>
      <c r="E313" s="1736"/>
      <c r="F313" s="1736"/>
      <c r="G313" s="1736"/>
      <c r="H313" s="1736"/>
      <c r="I313" s="1736"/>
      <c r="J313" s="1736"/>
      <c r="K313" s="1737"/>
      <c r="M313" s="320"/>
    </row>
    <row r="314" spans="2:13" ht="54.75" customHeight="1" x14ac:dyDescent="0.3">
      <c r="B314" s="1750" t="s">
        <v>1152</v>
      </c>
      <c r="C314" s="1751"/>
      <c r="D314" s="1751"/>
      <c r="E314" s="1751"/>
      <c r="F314" s="1751"/>
      <c r="G314" s="1751"/>
      <c r="H314" s="1751"/>
      <c r="I314" s="1751"/>
      <c r="J314" s="1751"/>
      <c r="K314" s="1752"/>
      <c r="M314" s="320"/>
    </row>
    <row r="315" spans="2:13" ht="17.25" x14ac:dyDescent="0.35">
      <c r="B315" s="960" t="s">
        <v>52</v>
      </c>
      <c r="C315" s="877" t="s">
        <v>34</v>
      </c>
      <c r="D315" s="925" t="s">
        <v>35</v>
      </c>
      <c r="E315" s="925" t="s">
        <v>33</v>
      </c>
      <c r="F315" s="485"/>
      <c r="G315" s="485"/>
      <c r="H315" s="485"/>
      <c r="I315" s="485"/>
      <c r="J315" s="485"/>
      <c r="K315" s="954"/>
      <c r="M315" s="320"/>
    </row>
    <row r="316" spans="2:13" x14ac:dyDescent="0.3">
      <c r="B316" s="322" t="s">
        <v>249</v>
      </c>
      <c r="C316" s="323"/>
      <c r="D316" s="263" t="s">
        <v>175</v>
      </c>
      <c r="E316" s="897" t="s">
        <v>175</v>
      </c>
      <c r="F316" s="485"/>
      <c r="G316" s="485"/>
      <c r="H316" s="485"/>
      <c r="I316" s="485"/>
      <c r="J316" s="485"/>
      <c r="K316" s="954"/>
      <c r="M316" s="320"/>
    </row>
    <row r="317" spans="2:13" ht="49.5" x14ac:dyDescent="0.3">
      <c r="B317" s="319" t="s">
        <v>250</v>
      </c>
      <c r="C317" s="120" t="str">
        <f>IF('Test Conditions'!$D$66="","Fill in Tracer Gas Draft Factors table on Test Conditions tab",'Test Conditions'!$D$66)</f>
        <v>Fill in Tracer Gas Draft Factors table on Test Conditions tab</v>
      </c>
      <c r="D317" s="263" t="s">
        <v>175</v>
      </c>
      <c r="E317" s="897" t="s">
        <v>175</v>
      </c>
      <c r="F317" s="485"/>
      <c r="G317" s="485"/>
      <c r="H317" s="485"/>
      <c r="I317" s="485"/>
      <c r="J317" s="485"/>
      <c r="K317" s="954"/>
      <c r="M317" s="320"/>
    </row>
    <row r="318" spans="2:13" ht="33.75" thickBot="1" x14ac:dyDescent="0.35">
      <c r="B318" s="279" t="s">
        <v>251</v>
      </c>
      <c r="C318" s="117"/>
      <c r="D318" s="268" t="s">
        <v>175</v>
      </c>
      <c r="E318" s="956" t="s">
        <v>175</v>
      </c>
      <c r="F318" s="968"/>
      <c r="G318" s="968"/>
      <c r="H318" s="968"/>
      <c r="I318" s="968"/>
      <c r="J318" s="968"/>
      <c r="K318" s="969"/>
      <c r="M318" s="320"/>
    </row>
    <row r="319" spans="2:13" x14ac:dyDescent="0.3">
      <c r="B319" s="151"/>
      <c r="C319" s="133"/>
      <c r="D319" s="133"/>
      <c r="E319" s="133"/>
      <c r="M319" s="320"/>
    </row>
    <row r="320" spans="2:13" x14ac:dyDescent="0.3">
      <c r="B320" s="151"/>
      <c r="C320" s="133"/>
      <c r="D320" s="133"/>
      <c r="E320" s="133"/>
      <c r="M320" s="320"/>
    </row>
    <row r="321" spans="1:13" x14ac:dyDescent="0.3">
      <c r="A321" s="139"/>
      <c r="B321" s="139"/>
      <c r="C321" s="139"/>
      <c r="D321" s="139"/>
      <c r="E321" s="139"/>
      <c r="F321" s="145"/>
      <c r="G321" s="321"/>
      <c r="H321" s="321"/>
      <c r="I321" s="321"/>
      <c r="J321" s="321"/>
      <c r="K321" s="321"/>
      <c r="L321" s="321"/>
      <c r="M321" s="320"/>
    </row>
    <row r="322" spans="1:13" x14ac:dyDescent="0.3">
      <c r="B322" s="133"/>
      <c r="C322" s="133"/>
      <c r="D322" s="133"/>
      <c r="E322" s="133"/>
      <c r="G322" s="133"/>
      <c r="H322" s="133"/>
      <c r="I322" s="133"/>
      <c r="J322" s="133"/>
      <c r="K322" s="133"/>
      <c r="L322" s="133"/>
    </row>
    <row r="323" spans="1:13" x14ac:dyDescent="0.3">
      <c r="B323" s="133"/>
      <c r="C323" s="133"/>
      <c r="D323" s="133"/>
      <c r="E323" s="133"/>
    </row>
    <row r="324" spans="1:13" x14ac:dyDescent="0.3">
      <c r="B324" s="133"/>
      <c r="C324" s="133"/>
      <c r="D324" s="133"/>
      <c r="E324" s="133"/>
    </row>
    <row r="325" spans="1:13" x14ac:dyDescent="0.3">
      <c r="B325" s="133"/>
      <c r="C325" s="133"/>
      <c r="D325" s="133"/>
      <c r="E325" s="133"/>
    </row>
    <row r="326" spans="1:13" x14ac:dyDescent="0.3">
      <c r="B326" s="141"/>
      <c r="C326" s="126"/>
      <c r="D326" s="133"/>
      <c r="F326" s="133"/>
    </row>
    <row r="327" spans="1:13" x14ac:dyDescent="0.3">
      <c r="B327" s="133"/>
      <c r="C327" s="126"/>
      <c r="D327" s="133"/>
    </row>
    <row r="328" spans="1:13" x14ac:dyDescent="0.3">
      <c r="B328" s="133"/>
      <c r="C328" s="126"/>
      <c r="D328" s="133"/>
    </row>
    <row r="332" spans="1:13" x14ac:dyDescent="0.3">
      <c r="D332" s="1048"/>
      <c r="E332" s="893"/>
    </row>
  </sheetData>
  <sheetProtection algorithmName="SHA-512" hashValue="o7s73UqXqFdMfzcFExguMWCRngIEfuXp8Mc0rQUwB4DIT6C3GNYpjN0yA1uf4FA+D1R1sJNb6GGcyamsYpZGVg==" saltValue="YcD5lfQtYwfjxnbQ0yloSw==" spinCount="100000" sheet="1" selectLockedCells="1"/>
  <mergeCells count="122">
    <mergeCell ref="B27:B30"/>
    <mergeCell ref="F27:F30"/>
    <mergeCell ref="C25:E25"/>
    <mergeCell ref="B50:B53"/>
    <mergeCell ref="F50:F53"/>
    <mergeCell ref="G50:G53"/>
    <mergeCell ref="F39:F42"/>
    <mergeCell ref="G39:G42"/>
    <mergeCell ref="C48:E48"/>
    <mergeCell ref="C37:E37"/>
    <mergeCell ref="B39:B42"/>
    <mergeCell ref="B44:K44"/>
    <mergeCell ref="B48:B49"/>
    <mergeCell ref="F48:F49"/>
    <mergeCell ref="G48:G49"/>
    <mergeCell ref="B47:K47"/>
    <mergeCell ref="B32:K32"/>
    <mergeCell ref="B37:B38"/>
    <mergeCell ref="F37:F38"/>
    <mergeCell ref="G37:G38"/>
    <mergeCell ref="B36:K36"/>
    <mergeCell ref="B33:K33"/>
    <mergeCell ref="B25:B26"/>
    <mergeCell ref="F25:F26"/>
    <mergeCell ref="B24:K24"/>
    <mergeCell ref="B21:K21"/>
    <mergeCell ref="B11:K11"/>
    <mergeCell ref="B15:B16"/>
    <mergeCell ref="F15:F16"/>
    <mergeCell ref="B14:K14"/>
    <mergeCell ref="C15:E15"/>
    <mergeCell ref="C12:K12"/>
    <mergeCell ref="B17:B20"/>
    <mergeCell ref="F17:F20"/>
    <mergeCell ref="D13:K13"/>
    <mergeCell ref="D23:K23"/>
    <mergeCell ref="B288:K288"/>
    <mergeCell ref="B287:K287"/>
    <mergeCell ref="B286:K286"/>
    <mergeCell ref="B285:K285"/>
    <mergeCell ref="B221:B222"/>
    <mergeCell ref="C221:D221"/>
    <mergeCell ref="E221:F221"/>
    <mergeCell ref="G221:G222"/>
    <mergeCell ref="H221:H222"/>
    <mergeCell ref="B184:K184"/>
    <mergeCell ref="B186:K186"/>
    <mergeCell ref="B198:K198"/>
    <mergeCell ref="B206:K206"/>
    <mergeCell ref="B211:K211"/>
    <mergeCell ref="B171:K171"/>
    <mergeCell ref="B172:K172"/>
    <mergeCell ref="B313:K313"/>
    <mergeCell ref="B314:K314"/>
    <mergeCell ref="B183:K183"/>
    <mergeCell ref="B229:K229"/>
    <mergeCell ref="B233:K233"/>
    <mergeCell ref="B237:K237"/>
    <mergeCell ref="B245:K245"/>
    <mergeCell ref="B249:K249"/>
    <mergeCell ref="B251:K251"/>
    <mergeCell ref="B255:K255"/>
    <mergeCell ref="B256:K256"/>
    <mergeCell ref="B263:K263"/>
    <mergeCell ref="B215:E215"/>
    <mergeCell ref="B220:E220"/>
    <mergeCell ref="B283:K283"/>
    <mergeCell ref="B284:K284"/>
    <mergeCell ref="B289:K289"/>
    <mergeCell ref="B107:K107"/>
    <mergeCell ref="B108:K108"/>
    <mergeCell ref="B159:K159"/>
    <mergeCell ref="B160:K160"/>
    <mergeCell ref="B130:K130"/>
    <mergeCell ref="B131:K131"/>
    <mergeCell ref="B136:K136"/>
    <mergeCell ref="B137:K137"/>
    <mergeCell ref="B103:K103"/>
    <mergeCell ref="B106:K106"/>
    <mergeCell ref="B105:K105"/>
    <mergeCell ref="B104:K104"/>
    <mergeCell ref="B70:K70"/>
    <mergeCell ref="B63:K63"/>
    <mergeCell ref="B57:K57"/>
    <mergeCell ref="B59:K59"/>
    <mergeCell ref="B80:B81"/>
    <mergeCell ref="B86:B87"/>
    <mergeCell ref="B94:B95"/>
    <mergeCell ref="B85:H85"/>
    <mergeCell ref="C94:D94"/>
    <mergeCell ref="E94:F94"/>
    <mergeCell ref="G94:G95"/>
    <mergeCell ref="H94:H95"/>
    <mergeCell ref="B93:H93"/>
    <mergeCell ref="E80:F80"/>
    <mergeCell ref="G80:G81"/>
    <mergeCell ref="H80:H81"/>
    <mergeCell ref="C80:D80"/>
    <mergeCell ref="D35:K35"/>
    <mergeCell ref="D46:K46"/>
    <mergeCell ref="B2:C2"/>
    <mergeCell ref="B267:K267"/>
    <mergeCell ref="B272:K272"/>
    <mergeCell ref="B273:K273"/>
    <mergeCell ref="B277:K277"/>
    <mergeCell ref="B213:K213"/>
    <mergeCell ref="B216:B217"/>
    <mergeCell ref="C216:D216"/>
    <mergeCell ref="E216:F216"/>
    <mergeCell ref="G216:G217"/>
    <mergeCell ref="H216:H217"/>
    <mergeCell ref="B79:H79"/>
    <mergeCell ref="C86:D86"/>
    <mergeCell ref="E86:F86"/>
    <mergeCell ref="G86:G87"/>
    <mergeCell ref="H86:H87"/>
    <mergeCell ref="B100:K100"/>
    <mergeCell ref="B99:K99"/>
    <mergeCell ref="B98:K98"/>
    <mergeCell ref="B102:I102"/>
    <mergeCell ref="B77:K77"/>
    <mergeCell ref="B75:K75"/>
  </mergeCells>
  <phoneticPr fontId="28" type="noConversion"/>
  <conditionalFormatting sqref="C189:E189 B206 D191:E191 D188:E189 C192:E192 B194:E194 B207:E207 B205:K205 B226:K226 B183:B202 D195:E196 D200:E201 B210:E210 B208:B209 D208:E209">
    <cfRule type="expression" dxfId="1" priority="35">
      <formula>$C$318="No"</formula>
    </cfRule>
  </conditionalFormatting>
  <conditionalFormatting sqref="F169:F170 F173:F182 F315:F318 F185 F187:F197 F199:F201">
    <cfRule type="expression" priority="45">
      <formula>$C$318="No"</formula>
    </cfRule>
  </conditionalFormatting>
  <dataValidations count="3">
    <dataValidation type="decimal" allowBlank="1" showInputMessage="1" showErrorMessage="1" sqref="C162 C165:C167 C292 C294:C295 I124:I126 C145 E151:E152 C297:C298 C305:D310 C174 C178:C180 C62 E122:E123 C88:D90 C116 C96:D96 E153:F155 C223:D225 I153:I155" xr:uid="{0B82961B-1D7C-480F-9843-20554AB9F004}">
      <formula1>-1E+26</formula1>
      <formula2>1E+26</formula2>
    </dataValidation>
    <dataValidation type="whole" allowBlank="1" showInputMessage="1" showErrorMessage="1" sqref="C189 C192" xr:uid="{FB157F05-1BDC-4CAC-ABE7-6BF2CD7CB549}">
      <formula1>0</formula1>
      <formula2>180</formula2>
    </dataValidation>
    <dataValidation type="list" allowBlank="1" showInputMessage="1" showErrorMessage="1" sqref="C67" xr:uid="{895ABC9E-CDF2-40AF-8AC8-15734D9B2423}">
      <formula1>"Yes, No"</formula1>
    </dataValidation>
  </dataValidations>
  <hyperlinks>
    <hyperlink ref="F4" location="Instructions!C33" display="Back to Instructions tab" xr:uid="{00000000-0004-0000-07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9B852E52-FC34-459E-A011-020F21F527A8}">
          <x14:formula1>
            <xm:f>'Drop-Downs and Tables'!$B$92:$B$94</xm:f>
          </x14:formula1>
          <xm:sqref>C316 C188 C191 C318 C231</xm:sqref>
        </x14:dataValidation>
        <x14:dataValidation type="list" allowBlank="1" showInputMessage="1" showErrorMessage="1" xr:uid="{3869F2E2-ED1F-488B-83E2-772A9F71E9DC}">
          <x14:formula1>
            <xm:f>'Drop-Downs and Tables'!$C$13:$C$16</xm:f>
          </x14:formula1>
          <xm:sqref>C13 C23 C35 C46</xm:sqref>
        </x14:dataValidation>
        <x14:dataValidation type="list" allowBlank="1" showInputMessage="1" showErrorMessage="1" xr:uid="{8291D897-2662-414C-AA7A-E909C7CBF621}">
          <x14:formula1>
            <xm:f>'Drop-Downs and Tables'!$D$13:$D$15</xm:f>
          </x14:formula1>
          <xm:sqref>D20:E20 D30:E30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05BA-ED02-465A-8580-C476329CB167}">
  <sheetPr codeName="Sheet17">
    <tabColor rgb="FF0070C0"/>
  </sheetPr>
  <dimension ref="A1:P305"/>
  <sheetViews>
    <sheetView showGridLines="0" zoomScale="80" zoomScaleNormal="80" workbookViewId="0">
      <selection activeCell="C13" sqref="C13"/>
    </sheetView>
  </sheetViews>
  <sheetFormatPr defaultColWidth="9" defaultRowHeight="16.5" x14ac:dyDescent="0.3"/>
  <cols>
    <col min="1" max="1" width="3.625" style="133" customWidth="1"/>
    <col min="2" max="2" width="77.625" style="142" customWidth="1"/>
    <col min="3" max="3" width="28.125" style="122" customWidth="1"/>
    <col min="4" max="11" width="13.125" style="141" customWidth="1"/>
    <col min="12" max="12" width="10.875" style="141" customWidth="1"/>
    <col min="13" max="13" width="3.125" style="133" customWidth="1"/>
    <col min="14" max="14" width="34.875" style="133" customWidth="1"/>
    <col min="15" max="15" width="9" style="133"/>
    <col min="16" max="16" width="11.875" style="133" customWidth="1"/>
    <col min="17" max="16384" width="9" style="133"/>
  </cols>
  <sheetData>
    <row r="1" spans="2:13" ht="17.25" customHeight="1" thickBot="1" x14ac:dyDescent="0.35">
      <c r="M1" s="139"/>
    </row>
    <row r="2" spans="2:13" ht="18" thickBot="1" x14ac:dyDescent="0.35">
      <c r="B2" s="1537" t="s">
        <v>228</v>
      </c>
      <c r="C2" s="1538"/>
      <c r="D2" s="231"/>
      <c r="F2" s="133"/>
      <c r="G2" s="133"/>
      <c r="H2" s="133"/>
      <c r="I2" s="133"/>
      <c r="J2" s="133"/>
      <c r="K2" s="133"/>
      <c r="L2" s="133"/>
      <c r="M2" s="139"/>
    </row>
    <row r="3" spans="2:13" ht="15" customHeight="1" x14ac:dyDescent="0.3">
      <c r="B3" s="221" t="s">
        <v>229</v>
      </c>
      <c r="C3" s="222" t="str">
        <f>'Version Control'!C3</f>
        <v>Consumer Boiler</v>
      </c>
      <c r="D3" s="236"/>
      <c r="F3" s="133"/>
      <c r="G3" s="133"/>
      <c r="H3" s="133"/>
      <c r="I3" s="133"/>
      <c r="J3" s="133"/>
      <c r="K3" s="133"/>
      <c r="L3" s="133"/>
      <c r="M3" s="139"/>
    </row>
    <row r="4" spans="2:13" ht="18" x14ac:dyDescent="0.3">
      <c r="B4" s="223" t="s">
        <v>117</v>
      </c>
      <c r="C4" s="224" t="str">
        <f>'Version Control'!C4</f>
        <v>v2.1</v>
      </c>
      <c r="D4" s="171"/>
      <c r="F4" s="76" t="s">
        <v>124</v>
      </c>
      <c r="G4" s="133"/>
      <c r="H4" s="133"/>
      <c r="I4" s="133"/>
      <c r="J4" s="133"/>
      <c r="K4" s="133"/>
      <c r="L4" s="133"/>
      <c r="M4" s="139"/>
    </row>
    <row r="5" spans="2:13" x14ac:dyDescent="0.3">
      <c r="B5" s="223" t="s">
        <v>118</v>
      </c>
      <c r="C5" s="225">
        <f>'Version Control'!C5</f>
        <v>45407</v>
      </c>
      <c r="D5" s="171"/>
      <c r="F5" s="133"/>
      <c r="G5" s="133"/>
      <c r="H5" s="133"/>
      <c r="I5" s="133"/>
      <c r="J5" s="133"/>
      <c r="K5" s="133"/>
      <c r="L5" s="133"/>
      <c r="M5" s="139"/>
    </row>
    <row r="6" spans="2:13" ht="17.45" customHeight="1" x14ac:dyDescent="0.3">
      <c r="B6" s="226" t="s">
        <v>116</v>
      </c>
      <c r="C6" s="227" t="str">
        <f ca="1">MID(CELL("filename",A1), FIND("]", CELL("filename", A1))+ 1, 255)</f>
        <v>Reduced Test</v>
      </c>
      <c r="D6" s="171"/>
      <c r="F6" s="133"/>
      <c r="G6" s="133"/>
      <c r="H6" s="133"/>
      <c r="I6" s="133"/>
      <c r="J6" s="133"/>
      <c r="K6" s="133"/>
      <c r="L6" s="133"/>
      <c r="M6" s="139"/>
    </row>
    <row r="7" spans="2:13" x14ac:dyDescent="0.3">
      <c r="B7" s="228" t="s">
        <v>115</v>
      </c>
      <c r="C7" s="1022" t="str">
        <f ca="1">'Version Control'!C7</f>
        <v>Consumer Boiler - v2.1.xlsx</v>
      </c>
      <c r="D7" s="171"/>
      <c r="F7" s="133"/>
      <c r="G7" s="133"/>
      <c r="H7" s="133"/>
      <c r="I7" s="133"/>
      <c r="J7" s="133"/>
      <c r="K7" s="133"/>
      <c r="L7" s="133"/>
      <c r="M7" s="139"/>
    </row>
    <row r="8" spans="2:13" ht="17.25" thickBot="1" x14ac:dyDescent="0.35">
      <c r="B8" s="229" t="s">
        <v>119</v>
      </c>
      <c r="C8" s="230" t="str">
        <f>'Version Control'!C8</f>
        <v>[MM/DD/YYYY]</v>
      </c>
      <c r="D8" s="156"/>
      <c r="F8" s="133"/>
      <c r="G8" s="133"/>
      <c r="H8" s="133"/>
      <c r="I8" s="133"/>
      <c r="J8" s="133"/>
      <c r="K8" s="133"/>
      <c r="L8" s="133"/>
      <c r="M8" s="139"/>
    </row>
    <row r="9" spans="2:13" ht="17.25" thickBot="1" x14ac:dyDescent="0.35">
      <c r="B9" s="1275"/>
      <c r="C9" s="1276"/>
      <c r="D9" s="156"/>
      <c r="F9" s="133"/>
      <c r="G9" s="133"/>
      <c r="H9" s="133"/>
      <c r="I9" s="133"/>
      <c r="J9" s="133"/>
      <c r="K9" s="133"/>
      <c r="L9" s="133"/>
      <c r="M9" s="139"/>
    </row>
    <row r="10" spans="2:13" ht="18" thickBot="1" x14ac:dyDescent="0.35">
      <c r="B10" s="273" t="str">
        <f>"Test Timing" &amp; IF('Sys. # &amp; Product Characteristic'!Heating_Fuel_Used="Electricity"," - NOT REQUIRED FOR THIS TEST","")</f>
        <v>Test Timing</v>
      </c>
      <c r="C10" s="274"/>
      <c r="D10" s="275"/>
      <c r="E10" s="889"/>
      <c r="F10" s="934"/>
      <c r="G10" s="934"/>
      <c r="H10" s="934"/>
      <c r="I10" s="934"/>
      <c r="J10" s="934"/>
      <c r="K10" s="935"/>
      <c r="L10" s="133"/>
      <c r="M10" s="139"/>
    </row>
    <row r="11" spans="2:13" ht="135" customHeight="1" x14ac:dyDescent="0.3">
      <c r="B11" s="1772" t="s">
        <v>1256</v>
      </c>
      <c r="C11" s="1773"/>
      <c r="D11" s="1773"/>
      <c r="E11" s="1773"/>
      <c r="F11" s="1773"/>
      <c r="G11" s="1773"/>
      <c r="H11" s="1773"/>
      <c r="I11" s="1773"/>
      <c r="J11" s="1773"/>
      <c r="K11" s="1774"/>
      <c r="L11" s="133"/>
      <c r="M11" s="139"/>
    </row>
    <row r="12" spans="2:13" ht="17.25" x14ac:dyDescent="0.3">
      <c r="B12" s="1484" t="s">
        <v>1305</v>
      </c>
      <c r="C12" s="1779"/>
      <c r="D12" s="1779"/>
      <c r="E12" s="1779"/>
      <c r="F12" s="1779"/>
      <c r="G12" s="1779"/>
      <c r="H12" s="1779"/>
      <c r="I12" s="1779"/>
      <c r="J12" s="1779"/>
      <c r="K12" s="1780"/>
      <c r="L12" s="133"/>
      <c r="M12" s="139"/>
    </row>
    <row r="13" spans="2:13" ht="33" customHeight="1" x14ac:dyDescent="0.3">
      <c r="B13" s="1485" t="s">
        <v>1310</v>
      </c>
      <c r="C13" s="1498"/>
      <c r="D13" s="1787" t="s">
        <v>1314</v>
      </c>
      <c r="E13" s="1788"/>
      <c r="F13" s="1788"/>
      <c r="G13" s="1788"/>
      <c r="H13" s="1788"/>
      <c r="I13" s="1788"/>
      <c r="J13" s="1788"/>
      <c r="K13" s="1734"/>
      <c r="L13" s="133"/>
      <c r="M13" s="139"/>
    </row>
    <row r="14" spans="2:13" ht="17.25" x14ac:dyDescent="0.3">
      <c r="B14" s="1767" t="str">
        <f>"Steady-State Timing" &amp; IF('Sys. # &amp; Product Characteristic'!Heating_Fuel_Used="Electricity"," - NOT REQUIRED FOR THIS TEST","")</f>
        <v>Steady-State Timing</v>
      </c>
      <c r="C14" s="1768"/>
      <c r="D14" s="1768"/>
      <c r="E14" s="1768"/>
      <c r="F14" s="1768"/>
      <c r="G14" s="1768"/>
      <c r="H14" s="1768"/>
      <c r="I14" s="1768"/>
      <c r="J14" s="1768"/>
      <c r="K14" s="1769"/>
      <c r="L14" s="133"/>
      <c r="M14" s="139"/>
    </row>
    <row r="15" spans="2:13" ht="17.25" x14ac:dyDescent="0.3">
      <c r="B15" s="1775" t="s">
        <v>52</v>
      </c>
      <c r="C15" s="1706" t="s">
        <v>1199</v>
      </c>
      <c r="D15" s="1778"/>
      <c r="E15" s="1707"/>
      <c r="F15" s="1776" t="s">
        <v>85</v>
      </c>
      <c r="G15" s="1290"/>
      <c r="H15" s="1289"/>
      <c r="I15" s="430"/>
      <c r="J15" s="430"/>
      <c r="K15" s="1291"/>
      <c r="L15" s="133"/>
      <c r="M15" s="139"/>
    </row>
    <row r="16" spans="2:13" ht="17.25" x14ac:dyDescent="0.3">
      <c r="B16" s="1705"/>
      <c r="C16" s="1483" t="s">
        <v>35</v>
      </c>
      <c r="D16" s="1475" t="s">
        <v>1200</v>
      </c>
      <c r="E16" s="1475" t="s">
        <v>1201</v>
      </c>
      <c r="F16" s="1777"/>
      <c r="G16" s="1290"/>
      <c r="H16" s="1289"/>
      <c r="I16" s="430"/>
      <c r="J16" s="430"/>
      <c r="K16" s="1291"/>
      <c r="L16" s="133"/>
      <c r="M16" s="139"/>
    </row>
    <row r="17" spans="2:13" x14ac:dyDescent="0.3">
      <c r="B17" s="1781" t="s">
        <v>1198</v>
      </c>
      <c r="C17" s="1481" t="s">
        <v>1302</v>
      </c>
      <c r="D17" s="1493"/>
      <c r="E17" s="1500"/>
      <c r="F17" s="1784" t="str">
        <f>IF(AND(C13="12 Hour Time", D20=E20, ((E17+E18/60+E19/3600)-(Timing_SS_Start+D18/60+D19/3600)&gt;=0.5), ((E17+E18/60+E19/3600)-(Timing_SS_Start+D18/60+D19/3600)&lt;=0.5014)), "Yes",
IF(AND(C13 = "12 Hour Time", D20&lt;&gt;E20,Timing_SS_Start=11, E17=12, (((E17)+E18/60+E19/3600)-((Timing_SS_Start)+D18/60+D19/3600)&gt;=0.5), (((E17)+E18/60+E19/3600)-((Timing_SS_Start)+D18/60+D19/3600)&lt;=0.5014)), "Yes",
IF(AND(C13 = "24 Hour Time", ((E17+E18/60+E19/3600)-(Timing_SS_Start+D18/60+D19/3600)&gt;=0.5), ((E17+E18/60+E19/3600)-((Timing_SS_Start)+D18/60+D19/3600)&lt;=0.5014)), "Yes",
IF(AND(C13 = "Second Count", ((E19-D19)&gt;= 1800),((E19-D19)&lt;= 1805)),"Yes", "No"))))</f>
        <v>No</v>
      </c>
      <c r="G17" s="1290"/>
      <c r="H17" s="1288"/>
      <c r="I17" s="430"/>
      <c r="J17" s="430"/>
      <c r="K17" s="1291"/>
      <c r="L17" s="133"/>
      <c r="M17" s="139"/>
    </row>
    <row r="18" spans="2:13" x14ac:dyDescent="0.3">
      <c r="B18" s="1782"/>
      <c r="C18" s="1481" t="s">
        <v>1303</v>
      </c>
      <c r="D18" s="1493"/>
      <c r="E18" s="1500"/>
      <c r="F18" s="1785"/>
      <c r="G18" s="1290"/>
      <c r="H18" s="1288"/>
      <c r="I18" s="430"/>
      <c r="J18" s="430"/>
      <c r="K18" s="1291"/>
      <c r="L18" s="133"/>
      <c r="M18" s="139"/>
    </row>
    <row r="19" spans="2:13" x14ac:dyDescent="0.3">
      <c r="B19" s="1782"/>
      <c r="C19" s="1482" t="s">
        <v>1304</v>
      </c>
      <c r="D19" s="1493"/>
      <c r="E19" s="1500"/>
      <c r="F19" s="1785"/>
      <c r="G19" s="1290"/>
      <c r="H19" s="1288"/>
      <c r="I19" s="430"/>
      <c r="J19" s="430"/>
      <c r="K19" s="1291"/>
      <c r="L19" s="133"/>
      <c r="M19" s="139"/>
    </row>
    <row r="20" spans="2:13" x14ac:dyDescent="0.3">
      <c r="B20" s="1783"/>
      <c r="C20" s="1486" t="s">
        <v>1311</v>
      </c>
      <c r="D20" s="1493"/>
      <c r="E20" s="1500"/>
      <c r="F20" s="1786"/>
      <c r="G20" s="1290"/>
      <c r="H20" s="1288"/>
      <c r="I20" s="430"/>
      <c r="J20" s="430"/>
      <c r="K20" s="1291"/>
      <c r="L20" s="133"/>
      <c r="M20" s="139"/>
    </row>
    <row r="21" spans="2:13" x14ac:dyDescent="0.3">
      <c r="B21" s="1716" t="s">
        <v>1281</v>
      </c>
      <c r="C21" s="1770"/>
      <c r="D21" s="1770"/>
      <c r="E21" s="1770"/>
      <c r="F21" s="1770"/>
      <c r="G21" s="1770"/>
      <c r="H21" s="1770"/>
      <c r="I21" s="1770"/>
      <c r="J21" s="1770"/>
      <c r="K21" s="1771"/>
      <c r="L21" s="133"/>
      <c r="M21" s="139"/>
    </row>
    <row r="22" spans="2:13" ht="17.25" x14ac:dyDescent="0.3">
      <c r="B22" s="1490" t="s">
        <v>1305</v>
      </c>
      <c r="C22" s="1489"/>
      <c r="D22" s="1489"/>
      <c r="E22" s="1489"/>
      <c r="F22" s="1489"/>
      <c r="G22" s="1489"/>
      <c r="H22" s="1489"/>
      <c r="I22" s="1489"/>
      <c r="J22" s="1489"/>
      <c r="K22" s="1477"/>
      <c r="L22" s="133"/>
      <c r="M22" s="139"/>
    </row>
    <row r="23" spans="2:13" ht="32.1" customHeight="1" x14ac:dyDescent="0.3">
      <c r="B23" s="1495" t="s">
        <v>1310</v>
      </c>
      <c r="C23" s="1498"/>
      <c r="D23" s="1692" t="s">
        <v>1314</v>
      </c>
      <c r="E23" s="1789"/>
      <c r="F23" s="1789"/>
      <c r="G23" s="1789"/>
      <c r="H23" s="1789"/>
      <c r="I23" s="1789"/>
      <c r="J23" s="1789"/>
      <c r="K23" s="1720"/>
      <c r="L23" s="133"/>
      <c r="M23" s="139"/>
    </row>
    <row r="24" spans="2:13" ht="17.25" x14ac:dyDescent="0.3">
      <c r="B24" s="1767" t="str">
        <f>"Steady-State Condensate Measurement Timing " &amp; IF(OR('Sys. # &amp; Product Characteristic'!Heating_Fuel_Used="Electricity",'Sys. # &amp; Product Characteristic'!Control_Type = "Single Stage")," - NOT REQUIRED FOR THIS TEST","")</f>
        <v xml:space="preserve">Steady-State Condensate Measurement Timing </v>
      </c>
      <c r="C24" s="1768"/>
      <c r="D24" s="1768"/>
      <c r="E24" s="1768"/>
      <c r="F24" s="1768"/>
      <c r="G24" s="1768"/>
      <c r="H24" s="1768"/>
      <c r="I24" s="1768"/>
      <c r="J24" s="1768"/>
      <c r="K24" s="1769"/>
      <c r="L24" s="133"/>
      <c r="M24" s="139"/>
    </row>
    <row r="25" spans="2:13" ht="17.25" x14ac:dyDescent="0.3">
      <c r="B25" s="1775" t="s">
        <v>52</v>
      </c>
      <c r="C25" s="1706" t="s">
        <v>1199</v>
      </c>
      <c r="D25" s="1778"/>
      <c r="E25" s="1707"/>
      <c r="F25" s="1715" t="s">
        <v>85</v>
      </c>
      <c r="G25" s="430"/>
      <c r="H25" s="430"/>
      <c r="I25" s="1278"/>
      <c r="J25" s="1278"/>
      <c r="K25" s="1280"/>
      <c r="L25" s="133"/>
      <c r="M25" s="139"/>
    </row>
    <row r="26" spans="2:13" ht="17.25" x14ac:dyDescent="0.3">
      <c r="B26" s="1705"/>
      <c r="C26" s="1279" t="s">
        <v>35</v>
      </c>
      <c r="D26" s="1279" t="s">
        <v>1200</v>
      </c>
      <c r="E26" s="1480" t="s">
        <v>1201</v>
      </c>
      <c r="F26" s="1708"/>
      <c r="G26" s="430"/>
      <c r="H26" s="430"/>
      <c r="I26" s="1278"/>
      <c r="J26" s="1278"/>
      <c r="K26" s="1280"/>
      <c r="L26" s="133"/>
      <c r="M26" s="139"/>
    </row>
    <row r="27" spans="2:13" x14ac:dyDescent="0.3">
      <c r="B27" s="1790" t="s">
        <v>1198</v>
      </c>
      <c r="C27" s="1481" t="s">
        <v>1302</v>
      </c>
      <c r="D27" s="1493"/>
      <c r="E27" s="1499"/>
      <c r="F27" s="1784" t="str">
        <f>IF(OR((((Timing_SS_Cond_Start+D28/60+D29/3600)-(E17+E18/60+E19/3600))&lt;=(5/3600)),((D29-E19)&lt;=5)),
IF(AND(C23="12 Hour Time",D30=E30,((E27+E28/60+E29/3600)-(Timing_SS_Start+D28/60+D29/3600)&gt;=1799/3600),((E27+E28/60+E29/3600)-(Timing_SS_Start+D28/60+D29/3600)&lt;=1805/3600)),"Yes",
IF(AND(C23="12 Hour Time",D30&lt;&gt;E30,Timing_SS_Cond_Start=11,E27=12*(((E27)+E28/60+E29/3600)-((Timing_SS_Start)+D28/60+D29/3600)&gt;=1799/3600),(((E27)+E28/60+E29/3600)-((Timing_SS_Start)+D28/60+D29/3600)&lt;=1805/3600)),"Yes",
IF(AND(C23="24 Hour Time",((E27+E28/60+E29/3600)-(Timing_SS_Start+D28/60+D29/3600)&gt;=1799/3600),((E27+E28/60+E29/3600)-((Timing_SS_Start)+D28/60+D29/3600)&lt;=1805/3600)),"Yes",
IF(AND(C23="Second Count",((E29-D29)&gt;=1799),((E29-D29)&lt;=1805)),"Yes","No")))),"No")</f>
        <v>No</v>
      </c>
      <c r="G27" s="430"/>
      <c r="H27" s="430"/>
      <c r="I27" s="1278"/>
      <c r="J27" s="1278"/>
      <c r="K27" s="1280"/>
      <c r="L27" s="133"/>
      <c r="M27" s="139"/>
    </row>
    <row r="28" spans="2:13" x14ac:dyDescent="0.3">
      <c r="B28" s="1791"/>
      <c r="C28" s="1481" t="s">
        <v>1303</v>
      </c>
      <c r="D28" s="1493"/>
      <c r="E28" s="1499"/>
      <c r="F28" s="1785"/>
      <c r="G28" s="430"/>
      <c r="H28" s="430"/>
      <c r="I28" s="1278"/>
      <c r="J28" s="1278"/>
      <c r="K28" s="1280"/>
      <c r="L28" s="133"/>
      <c r="M28" s="139"/>
    </row>
    <row r="29" spans="2:13" x14ac:dyDescent="0.3">
      <c r="B29" s="1791"/>
      <c r="C29" s="1482" t="s">
        <v>1304</v>
      </c>
      <c r="D29" s="1493"/>
      <c r="E29" s="1499"/>
      <c r="F29" s="1785"/>
      <c r="G29" s="430"/>
      <c r="H29" s="430"/>
      <c r="I29" s="1278"/>
      <c r="J29" s="1278"/>
      <c r="K29" s="1280"/>
      <c r="L29" s="133"/>
      <c r="M29" s="139"/>
    </row>
    <row r="30" spans="2:13" ht="17.25" thickBot="1" x14ac:dyDescent="0.35">
      <c r="B30" s="1791"/>
      <c r="C30" s="1486" t="s">
        <v>1311</v>
      </c>
      <c r="D30" s="1493"/>
      <c r="E30" s="1500"/>
      <c r="F30" s="1792"/>
      <c r="G30" s="430"/>
      <c r="H30" s="430"/>
      <c r="I30" s="1278"/>
      <c r="J30" s="1278"/>
      <c r="K30" s="1280"/>
      <c r="L30" s="133"/>
      <c r="M30" s="139"/>
    </row>
    <row r="31" spans="2:13" ht="17.25" thickBot="1" x14ac:dyDescent="0.35">
      <c r="B31" s="901"/>
      <c r="C31" s="1283"/>
      <c r="D31" s="1283"/>
      <c r="E31" s="1284"/>
      <c r="F31" s="1488"/>
      <c r="G31" s="917"/>
      <c r="H31" s="917"/>
      <c r="I31" s="1285"/>
      <c r="J31" s="1285"/>
      <c r="K31" s="1286"/>
      <c r="L31" s="133"/>
      <c r="M31" s="139"/>
    </row>
    <row r="32" spans="2:13" x14ac:dyDescent="0.3">
      <c r="B32" s="1802" t="s">
        <v>1282</v>
      </c>
      <c r="C32" s="1803"/>
      <c r="D32" s="1803"/>
      <c r="E32" s="1803"/>
      <c r="F32" s="1803"/>
      <c r="G32" s="1803"/>
      <c r="H32" s="1803"/>
      <c r="I32" s="1803"/>
      <c r="J32" s="1803"/>
      <c r="K32" s="1804"/>
      <c r="L32" s="133"/>
      <c r="M32" s="139"/>
    </row>
    <row r="33" spans="2:13" x14ac:dyDescent="0.3">
      <c r="B33" s="1716" t="s">
        <v>1257</v>
      </c>
      <c r="C33" s="1717"/>
      <c r="D33" s="1717"/>
      <c r="E33" s="1717"/>
      <c r="F33" s="1717"/>
      <c r="G33" s="1717"/>
      <c r="H33" s="1717"/>
      <c r="I33" s="1717"/>
      <c r="J33" s="1717"/>
      <c r="K33" s="1694"/>
      <c r="L33" s="133"/>
      <c r="M33" s="139"/>
    </row>
    <row r="34" spans="2:13" ht="17.25" x14ac:dyDescent="0.3">
      <c r="B34" s="1490" t="s">
        <v>1305</v>
      </c>
      <c r="C34" s="1489"/>
      <c r="D34" s="1478"/>
      <c r="E34" s="1478"/>
      <c r="F34" s="1478"/>
      <c r="G34" s="1478"/>
      <c r="H34" s="1478"/>
      <c r="I34" s="1478"/>
      <c r="J34" s="1478"/>
      <c r="K34" s="1476"/>
      <c r="L34" s="133"/>
      <c r="M34" s="139"/>
    </row>
    <row r="35" spans="2:13" ht="31.5" customHeight="1" x14ac:dyDescent="0.3">
      <c r="B35" s="1495" t="s">
        <v>1310</v>
      </c>
      <c r="C35" s="1498"/>
      <c r="D35" s="1692" t="s">
        <v>1314</v>
      </c>
      <c r="E35" s="1693"/>
      <c r="F35" s="1693"/>
      <c r="G35" s="1693"/>
      <c r="H35" s="1693"/>
      <c r="I35" s="1693"/>
      <c r="J35" s="1693"/>
      <c r="K35" s="1694"/>
      <c r="L35" s="133"/>
      <c r="M35" s="139"/>
    </row>
    <row r="36" spans="2:13" ht="16.5" customHeight="1" x14ac:dyDescent="0.3">
      <c r="B36" s="1767" t="str">
        <f>"Cool-Down Test Timing " &amp; IF('Sys. # &amp; Product Characteristic'!Heating_Fuel_Used="Electricity"," - NOT REQUIRED FOR THIS TEST","")</f>
        <v xml:space="preserve">Cool-Down Test Timing </v>
      </c>
      <c r="C36" s="1768"/>
      <c r="D36" s="1768"/>
      <c r="E36" s="1768"/>
      <c r="F36" s="1768"/>
      <c r="G36" s="1768"/>
      <c r="H36" s="1768"/>
      <c r="I36" s="1768"/>
      <c r="J36" s="1768"/>
      <c r="K36" s="1769"/>
      <c r="L36" s="133"/>
      <c r="M36" s="139"/>
    </row>
    <row r="37" spans="2:13" ht="17.25" x14ac:dyDescent="0.3">
      <c r="B37" s="1775" t="s">
        <v>52</v>
      </c>
      <c r="C37" s="1706" t="s">
        <v>1199</v>
      </c>
      <c r="D37" s="1778"/>
      <c r="E37" s="1707"/>
      <c r="F37" s="1715" t="s">
        <v>1202</v>
      </c>
      <c r="G37" s="1715" t="s">
        <v>1203</v>
      </c>
      <c r="H37" s="1292">
        <v>0.5</v>
      </c>
      <c r="I37" s="1293">
        <v>0.50001157407407404</v>
      </c>
      <c r="J37" s="1278"/>
      <c r="K37" s="1280"/>
      <c r="L37" s="133"/>
      <c r="M37" s="139"/>
    </row>
    <row r="38" spans="2:13" ht="15.6" customHeight="1" x14ac:dyDescent="0.3">
      <c r="B38" s="1705"/>
      <c r="C38" s="1279" t="s">
        <v>35</v>
      </c>
      <c r="D38" s="1279" t="s">
        <v>1200</v>
      </c>
      <c r="E38" s="1475" t="s">
        <v>1201</v>
      </c>
      <c r="F38" s="1708"/>
      <c r="G38" s="1708"/>
      <c r="H38" s="1292">
        <v>0.50001157407407404</v>
      </c>
      <c r="I38" s="1293">
        <v>0.53125</v>
      </c>
      <c r="J38" s="1278"/>
      <c r="K38" s="1280"/>
      <c r="L38" s="133"/>
      <c r="M38" s="139"/>
    </row>
    <row r="39" spans="2:13" x14ac:dyDescent="0.3">
      <c r="B39" s="1781" t="s">
        <v>1204</v>
      </c>
      <c r="C39" s="1481" t="s">
        <v>1302</v>
      </c>
      <c r="D39" s="1493"/>
      <c r="E39" s="1496"/>
      <c r="F39" s="1796" t="str">
        <f>IF(AND(C35 = "12 Hour Format", (((Timing_CD_Start+D40/60+D41/3600)-(Timing_SS_Start+D18/60+D19/3600))=(1/3600))), "Yes",
IF(AND(C35 = "12 Hour Format", (((Timing_CD_Start+D40/60+D41/3600)-(E27+E28/60+E29/3600))=(1/3600))), "Yes",
IF(AND(C35 = "24 Hour Format", (((Timing_CD_Start+D40/60+D41/3600)-(Timing_SS_Start+D18/60+D19/3600))=(1/3600))), "Yes",
IF(AND(C35 = "24 Hour Format", (((Timing_CD_Start+D40/60+D41/3600)-(E27+E28/60+E29/3600))=(1/3600))), "Yes", IF(AND(C35 = "Second Count", ((D41-E29)=1)), "Yes",
IF(AND(C35 = "Second Count", ((D41-E19)=1)), "Yes",
IF(AND(C35 = "Second Count", ((D41-E29) = 1)), "Yes", "No")))))))</f>
        <v>No</v>
      </c>
      <c r="G39" s="1794" t="str">
        <f>IF(AND(C35="12 Hour Time", D42=E42, ((E39+E40/60+E41/3600)-(Timing_CD_Start+D40/60+D41/3600)&gt;=(2699/3600)), ((E39+E40/60+E41/3600)-(Timing_CD_Start+D40/60+D41/3600)&lt;=(2705/3600))), "Yes",
IF(AND(C35 = "12 Hour Time", D20&lt;&gt;E20, (((E39+12)+E40/60+E41/3600)-((Timing_CD_Start)+D40/60+D41/3600)&gt;=(2699/3600)), (((E39+12)+E40/60+E41/3600)-((Timing_CD_Start)+D40/60+D41/3600)&lt;=(2705/3600))), "Yes",
IF(AND(C35 = "24 Hour Time", ((E39+E40/60+E41/3600)-(Timing_CD_Start+D40/60+D41/3600)&gt;=(2699/3600)), ((E39+E40/60+E41/3600)-((Timing_CD_Start)+D40/60+D41/3600)&lt;=(2705/3600))), "Yes",
IF(AND(C35 = "Second Count", ((E41-D41)&gt;= 2699),((E41-D41)&lt;= 2705)),"Yes", "No"))))</f>
        <v>No</v>
      </c>
      <c r="H39" s="1294">
        <f>H38-H37</f>
        <v>1.1574074074038876E-5</v>
      </c>
      <c r="I39" s="1295">
        <f>I38-I37</f>
        <v>3.1238425925925961E-2</v>
      </c>
      <c r="J39" s="1278"/>
      <c r="K39" s="1280"/>
      <c r="L39" s="133"/>
      <c r="M39" s="139"/>
    </row>
    <row r="40" spans="2:13" x14ac:dyDescent="0.3">
      <c r="B40" s="1782"/>
      <c r="C40" s="1481" t="s">
        <v>1303</v>
      </c>
      <c r="D40" s="1493"/>
      <c r="E40" s="1496"/>
      <c r="F40" s="1794"/>
      <c r="G40" s="1794"/>
      <c r="H40" s="1294"/>
      <c r="I40" s="1295"/>
      <c r="J40" s="1278"/>
      <c r="K40" s="1280"/>
      <c r="L40" s="133"/>
      <c r="M40" s="139"/>
    </row>
    <row r="41" spans="2:13" x14ac:dyDescent="0.3">
      <c r="B41" s="1782"/>
      <c r="C41" s="1482" t="s">
        <v>1304</v>
      </c>
      <c r="D41" s="1493"/>
      <c r="E41" s="1496"/>
      <c r="F41" s="1794"/>
      <c r="G41" s="1794"/>
      <c r="H41" s="1294"/>
      <c r="I41" s="1295"/>
      <c r="J41" s="1278"/>
      <c r="K41" s="1280"/>
      <c r="L41" s="133"/>
      <c r="M41" s="139"/>
    </row>
    <row r="42" spans="2:13" ht="14.45" customHeight="1" thickBot="1" x14ac:dyDescent="0.35">
      <c r="B42" s="1797"/>
      <c r="C42" s="1492" t="s">
        <v>1311</v>
      </c>
      <c r="D42" s="1494"/>
      <c r="E42" s="1497"/>
      <c r="F42" s="1795"/>
      <c r="G42" s="1795"/>
      <c r="H42" s="1294"/>
      <c r="I42" s="1295"/>
      <c r="J42" s="1278"/>
      <c r="K42" s="1280"/>
      <c r="L42" s="133"/>
      <c r="M42" s="139"/>
    </row>
    <row r="43" spans="2:13" ht="37.5" customHeight="1" thickBot="1" x14ac:dyDescent="0.35">
      <c r="B43" s="901"/>
      <c r="C43" s="1487"/>
      <c r="D43" s="1487"/>
      <c r="E43" s="1491"/>
      <c r="F43" s="1488"/>
      <c r="G43" s="1488"/>
      <c r="H43" s="917"/>
      <c r="I43" s="1285"/>
      <c r="J43" s="1285"/>
      <c r="K43" s="1286"/>
      <c r="L43" s="133"/>
      <c r="M43" s="139"/>
    </row>
    <row r="44" spans="2:13" x14ac:dyDescent="0.3">
      <c r="B44" s="1798" t="s">
        <v>1284</v>
      </c>
      <c r="C44" s="1799"/>
      <c r="D44" s="1799"/>
      <c r="E44" s="1799"/>
      <c r="F44" s="1799"/>
      <c r="G44" s="1799"/>
      <c r="H44" s="1799"/>
      <c r="I44" s="1799"/>
      <c r="J44" s="1799"/>
      <c r="K44" s="1800"/>
      <c r="L44" s="133"/>
      <c r="M44" s="139"/>
    </row>
    <row r="45" spans="2:13" ht="15.6" customHeight="1" x14ac:dyDescent="0.3">
      <c r="B45" s="1490" t="s">
        <v>1305</v>
      </c>
      <c r="C45" s="1489"/>
      <c r="D45" s="1478"/>
      <c r="E45" s="1478"/>
      <c r="F45" s="1478"/>
      <c r="G45" s="1478"/>
      <c r="H45" s="1478"/>
      <c r="I45" s="1478"/>
      <c r="J45" s="1478"/>
      <c r="K45" s="1476"/>
      <c r="L45" s="133"/>
      <c r="M45" s="139"/>
    </row>
    <row r="46" spans="2:13" ht="33" customHeight="1" x14ac:dyDescent="0.3">
      <c r="B46" s="1495" t="s">
        <v>1310</v>
      </c>
      <c r="C46" s="1498"/>
      <c r="D46" s="1692" t="s">
        <v>1314</v>
      </c>
      <c r="E46" s="1693"/>
      <c r="F46" s="1693"/>
      <c r="G46" s="1693"/>
      <c r="H46" s="1693"/>
      <c r="I46" s="1693"/>
      <c r="J46" s="1693"/>
      <c r="K46" s="1694"/>
      <c r="L46" s="133"/>
      <c r="M46" s="139"/>
    </row>
    <row r="47" spans="2:13" ht="17.25" x14ac:dyDescent="0.3">
      <c r="B47" s="1767" t="str">
        <f>"Heat-Up Test Timing " &amp; IF('Sys. # &amp; Product Characteristic'!Heating_Fuel_Used="Electricity"," - NOT REQUIRED FOR THIS TEST","")</f>
        <v xml:space="preserve">Heat-Up Test Timing </v>
      </c>
      <c r="C47" s="1801"/>
      <c r="D47" s="1801"/>
      <c r="E47" s="1801"/>
      <c r="F47" s="1801"/>
      <c r="G47" s="1801"/>
      <c r="H47" s="1801"/>
      <c r="I47" s="1801"/>
      <c r="J47" s="1801"/>
      <c r="K47" s="1769"/>
      <c r="L47" s="133"/>
      <c r="M47" s="139"/>
    </row>
    <row r="48" spans="2:13" ht="17.25" x14ac:dyDescent="0.3">
      <c r="B48" s="1775" t="s">
        <v>52</v>
      </c>
      <c r="C48" s="1706" t="s">
        <v>1199</v>
      </c>
      <c r="D48" s="1778"/>
      <c r="E48" s="1707"/>
      <c r="F48" s="1715" t="s">
        <v>1202</v>
      </c>
      <c r="G48" s="1715" t="s">
        <v>1203</v>
      </c>
      <c r="H48" s="1287">
        <v>0.5</v>
      </c>
      <c r="I48" s="1287">
        <v>0.5</v>
      </c>
      <c r="J48" s="1278"/>
      <c r="K48" s="1280"/>
      <c r="L48" s="133"/>
      <c r="M48" s="139"/>
    </row>
    <row r="49" spans="2:16" ht="15" customHeight="1" x14ac:dyDescent="0.3">
      <c r="B49" s="1705"/>
      <c r="C49" s="1279" t="s">
        <v>35</v>
      </c>
      <c r="D49" s="1279" t="s">
        <v>1200</v>
      </c>
      <c r="E49" s="1475" t="s">
        <v>1201</v>
      </c>
      <c r="F49" s="1708"/>
      <c r="G49" s="1708"/>
      <c r="H49" s="1287">
        <v>0.50312499999999993</v>
      </c>
      <c r="I49" s="1287">
        <v>0.50381944444444449</v>
      </c>
      <c r="J49" s="1278"/>
      <c r="K49" s="1280"/>
      <c r="L49" s="133"/>
      <c r="M49" s="139"/>
    </row>
    <row r="50" spans="2:16" x14ac:dyDescent="0.3">
      <c r="B50" s="1790" t="s">
        <v>1205</v>
      </c>
      <c r="C50" s="1481" t="s">
        <v>1302</v>
      </c>
      <c r="D50" s="1493"/>
      <c r="E50" s="1496"/>
      <c r="F50" s="1794" t="str">
        <f>IF(AND(C46="12 Hour Format",E20=D53,(((Timing_HU_Start+D51/60+D52/3600)-(E17+E18/60+E19/3600))&gt;=(2940/3600)),(((Timing_HU_Start+D51/60+D52/3600)-(E17+E18/60+E19/3600))&lt;=(3060/3600))),"Yes",
IF(AND(C46="12 Hour Format",D53&lt;&gt;E20,((((Timing_HU_Start+12)+D51/60+D52/3600)-(E17+E18/60+E19/3600))&gt;=(2940/3600)),((((Timing_HU_Start+12)+D51/60+D52/3600)-(E17+E18/60+E19/3600))&lt;=(3060/3600))),"Yes",
IF(AND(C46="12 Hour Format",E20=D53,(((Timing_HU_Start+D51/60+D52/3600)-(E27+E28/60+E29/3600))&gt;=(2940/3600)),(((Timing_HU_Start+D51/60+D52/3600)-(E27+E28/60+E29/3600))&lt;=(3060/3600))),"Yes",
IF(AND(C46="12 Hour Format",D53&lt;&gt;E20,((((Timing_HU_Start+12)+D51/60+D52/3600)-(E27+E28/60+E29/3600))&gt;=(2940/3600)),((((Timing_HU_Start+12)+D51/60+D52/3600)-(E27+E28/60+E29/3600))&lt;=(3060/3600))),"Yes",
IF(AND(C46="24 Hour Format",(((Timing_HU_Start+D51/60+D52/3600)-(E17+E18/60+E19/3600))&gt;=(2940/3600)),(((Timing_HU_Start+D51/60+D52/3600)-(E17+E18/60+E19/3600))&lt;=(3060/3600))),"Yes",
IF(AND(C46="24 Hour Format",(((Timing_HU_Start+D51/60+D52/3600)-(E27+E28/60+E29/3600))&gt;=(2940/3600)),(((Timing_HU_Start+D51/60+D52/3600)-(E27+E28/60+E29/3600))&lt;=(3060/3600))),"Yes",
IF(AND(C46="Second Count",((D53-E19)&gt;=2940),((D53-E19)&lt;=3060)),"Yes",
IF(AND(C46="Second Count",((D53-E29)&gt;=2940),((D53-E29)&lt;=3060)),"Yes","No"))))))))</f>
        <v>No</v>
      </c>
      <c r="G50" s="1794" t="str">
        <f>IF(AND(C46="12 Hour Time", D53=E53, ((E50+E51/60+E52/3600)-(Timing_HU_Start+D51/60+D52/3600)&gt;=(329/3600)), ((E50+E51/60+E52/3600)-(Timing_HU_Start+D51/60+D52/3600)&lt;=(335/3600))), "Yes",
IF(AND(C46 = "12 Hour Time", D31&lt;&gt;E31, (((E50+12)+E51/60+E52/3600)-((Timing_HU_Start)+D51/60+D52/3600)&gt;=(329/3600)), (((E50+12)+E51/60+E52/3600)-((Timing_HU_Start)+D51/60+D52/3600)&lt;=(335/3600))), "Yes",
IF(AND(C46 = "24 Hour Time", ((E50+E51/60+E52/3600)-(Timing_HU_Start+D51/60+D52/3600)&gt;=(329/3600)), ((E50+E51/60+E52/3600)-((Timing_HU_Start)+D51/60+D52/3600)&lt;=(335/3600))), "Yes",
IF(AND(C46 = "Second Count", ((E52-D52)&gt;= 329),((E52-D52)&lt;= 335)),"Yes", "No"))))</f>
        <v>No</v>
      </c>
      <c r="H50" s="1290">
        <f>H49-H48</f>
        <v>3.1249999999999334E-3</v>
      </c>
      <c r="I50" s="1290">
        <f>I49-I48</f>
        <v>3.8194444444444864E-3</v>
      </c>
      <c r="J50" s="1278"/>
      <c r="K50" s="1280"/>
      <c r="L50" s="133"/>
      <c r="M50" s="139"/>
    </row>
    <row r="51" spans="2:16" ht="15.6" customHeight="1" x14ac:dyDescent="0.3">
      <c r="B51" s="1791"/>
      <c r="C51" s="1481" t="s">
        <v>1303</v>
      </c>
      <c r="D51" s="1493"/>
      <c r="E51" s="1496"/>
      <c r="F51" s="1794"/>
      <c r="G51" s="1794"/>
      <c r="H51" s="1290"/>
      <c r="I51" s="1290"/>
      <c r="J51" s="1278"/>
      <c r="K51" s="1280"/>
      <c r="L51" s="133"/>
      <c r="M51" s="139"/>
    </row>
    <row r="52" spans="2:16" ht="15.6" customHeight="1" x14ac:dyDescent="0.3">
      <c r="B52" s="1791"/>
      <c r="C52" s="1482" t="s">
        <v>1304</v>
      </c>
      <c r="D52" s="1493"/>
      <c r="E52" s="1496"/>
      <c r="F52" s="1794"/>
      <c r="G52" s="1794"/>
      <c r="H52" s="1290"/>
      <c r="I52" s="1290"/>
      <c r="J52" s="1278"/>
      <c r="K52" s="1280"/>
      <c r="L52" s="133"/>
      <c r="M52" s="139"/>
    </row>
    <row r="53" spans="2:16" ht="15.6" customHeight="1" thickBot="1" x14ac:dyDescent="0.35">
      <c r="B53" s="1793"/>
      <c r="C53" s="1492" t="s">
        <v>1311</v>
      </c>
      <c r="D53" s="1494"/>
      <c r="E53" s="1497"/>
      <c r="F53" s="1795"/>
      <c r="G53" s="1795"/>
      <c r="H53" s="1296"/>
      <c r="I53" s="1296"/>
      <c r="J53" s="1281"/>
      <c r="K53" s="1282"/>
      <c r="L53" s="133"/>
      <c r="M53" s="139"/>
    </row>
    <row r="54" spans="2:16" x14ac:dyDescent="0.3">
      <c r="B54" s="1275"/>
      <c r="C54" s="1276"/>
      <c r="D54" s="156"/>
      <c r="F54" s="133"/>
      <c r="G54" s="133"/>
      <c r="H54" s="133"/>
      <c r="I54" s="133"/>
      <c r="J54" s="133"/>
      <c r="K54" s="133"/>
      <c r="L54" s="133"/>
      <c r="M54" s="139"/>
    </row>
    <row r="55" spans="2:16" ht="17.25" thickBot="1" x14ac:dyDescent="0.35">
      <c r="B55" s="1275"/>
      <c r="C55" s="1276"/>
      <c r="D55" s="156"/>
      <c r="F55" s="133"/>
      <c r="G55" s="133"/>
      <c r="H55" s="133"/>
      <c r="I55" s="133"/>
      <c r="J55" s="133"/>
      <c r="K55" s="133"/>
      <c r="L55" s="133"/>
      <c r="M55" s="139"/>
    </row>
    <row r="56" spans="2:16" ht="18" customHeight="1" thickBot="1" x14ac:dyDescent="0.35">
      <c r="B56" s="1735" t="str">
        <f>"ASHRAE 103-2017, Section 9.1: Steady-State Test, All Gas and Oil-Fired Units (except Electric) AND Appendix EE, Sections 8.1 - 8.3" &amp;
IF(OR('Sys. # &amp; Product Characteristic'!C37="Electricity",'Sys. # &amp; Product Characteristic'!C47="Single Stage")," - NOT REQUIRED FOR THIS TEST","")</f>
        <v>ASHRAE 103-2017, Section 9.1: Steady-State Test, All Gas and Oil-Fired Units (except Electric) AND Appendix EE, Sections 8.1 - 8.3</v>
      </c>
      <c r="C56" s="1736"/>
      <c r="D56" s="1736"/>
      <c r="E56" s="1736"/>
      <c r="F56" s="1736"/>
      <c r="G56" s="1736"/>
      <c r="H56" s="1736"/>
      <c r="I56" s="1736"/>
      <c r="J56" s="1736"/>
      <c r="K56" s="1737"/>
      <c r="L56" s="133"/>
      <c r="M56" s="139"/>
    </row>
    <row r="57" spans="2:16" ht="34.5" customHeight="1" thickBot="1" x14ac:dyDescent="0.35">
      <c r="B57" s="1811" t="s">
        <v>1121</v>
      </c>
      <c r="C57" s="1812"/>
      <c r="D57" s="1812"/>
      <c r="E57" s="1812"/>
      <c r="F57" s="1812"/>
      <c r="G57" s="1812"/>
      <c r="H57" s="1812"/>
      <c r="I57" s="1812"/>
      <c r="J57" s="1812"/>
      <c r="K57" s="1813"/>
      <c r="L57" s="133"/>
      <c r="M57" s="139"/>
    </row>
    <row r="58" spans="2:16" ht="18" thickBot="1" x14ac:dyDescent="0.35">
      <c r="B58" s="907"/>
      <c r="C58" s="908"/>
      <c r="D58" s="908"/>
      <c r="E58" s="908"/>
      <c r="F58" s="430"/>
      <c r="G58" s="430"/>
      <c r="H58" s="430"/>
      <c r="I58" s="430"/>
      <c r="J58" s="430"/>
      <c r="K58" s="433"/>
      <c r="L58" s="133"/>
      <c r="M58" s="139"/>
    </row>
    <row r="59" spans="2:16" s="141" customFormat="1" ht="81.95" customHeight="1" x14ac:dyDescent="0.3">
      <c r="B59" s="1814" t="s">
        <v>1161</v>
      </c>
      <c r="C59" s="1815"/>
      <c r="D59" s="1815"/>
      <c r="E59" s="1815"/>
      <c r="F59" s="1815"/>
      <c r="G59" s="1815"/>
      <c r="H59" s="1815"/>
      <c r="I59" s="1815"/>
      <c r="J59" s="1815"/>
      <c r="K59" s="1816"/>
      <c r="M59" s="145"/>
    </row>
    <row r="60" spans="2:16" s="150" customFormat="1" ht="17.25" x14ac:dyDescent="0.35">
      <c r="B60" s="1015" t="s">
        <v>52</v>
      </c>
      <c r="C60" s="1013" t="s">
        <v>34</v>
      </c>
      <c r="D60" s="1014" t="s">
        <v>35</v>
      </c>
      <c r="E60" s="1014" t="s">
        <v>33</v>
      </c>
      <c r="F60" s="894"/>
      <c r="G60" s="894"/>
      <c r="H60" s="894"/>
      <c r="I60" s="894"/>
      <c r="J60" s="894"/>
      <c r="K60" s="922"/>
      <c r="M60" s="146"/>
    </row>
    <row r="61" spans="2:16" ht="18" thickBot="1" x14ac:dyDescent="0.4">
      <c r="B61" s="765" t="s">
        <v>383</v>
      </c>
      <c r="C61" s="119" t="str">
        <f>IF('General Info &amp; Test Results'!Nameplate_Reduced_Input="","",'General Info &amp; Test Results'!Nameplate_Reduced_Input)</f>
        <v/>
      </c>
      <c r="D61" s="766" t="str">
        <f>IF('General Info &amp; Test Results'!$C$46="Electricity","kW","Btu/h")</f>
        <v>Btu/h</v>
      </c>
      <c r="E61" s="1042" t="s">
        <v>492</v>
      </c>
      <c r="F61" s="1043" t="s">
        <v>399</v>
      </c>
      <c r="G61" s="981"/>
      <c r="H61" s="981"/>
      <c r="I61" s="981"/>
      <c r="J61" s="981"/>
      <c r="K61" s="909"/>
      <c r="M61" s="139"/>
    </row>
    <row r="62" spans="2:16" ht="18" thickBot="1" x14ac:dyDescent="0.4">
      <c r="B62" s="458"/>
      <c r="C62" s="422"/>
      <c r="D62" s="324"/>
      <c r="E62" s="1023"/>
      <c r="F62" s="893"/>
      <c r="G62" s="893"/>
      <c r="H62" s="893"/>
      <c r="I62" s="893"/>
      <c r="J62" s="893"/>
      <c r="K62" s="910"/>
      <c r="M62" s="139"/>
      <c r="P62" s="147"/>
    </row>
    <row r="63" spans="2:16" ht="68.25" customHeight="1" x14ac:dyDescent="0.35">
      <c r="B63" s="1744" t="s">
        <v>1153</v>
      </c>
      <c r="C63" s="1745"/>
      <c r="D63" s="1745"/>
      <c r="E63" s="1745"/>
      <c r="F63" s="1745"/>
      <c r="G63" s="1745"/>
      <c r="H63" s="1745"/>
      <c r="I63" s="1745"/>
      <c r="J63" s="1745"/>
      <c r="K63" s="1746"/>
      <c r="M63" s="139"/>
      <c r="P63" s="147"/>
    </row>
    <row r="64" spans="2:16" ht="17.25" x14ac:dyDescent="0.35">
      <c r="B64" s="1015" t="s">
        <v>52</v>
      </c>
      <c r="C64" s="1013" t="s">
        <v>34</v>
      </c>
      <c r="D64" s="1014" t="s">
        <v>35</v>
      </c>
      <c r="E64" s="1014" t="s">
        <v>33</v>
      </c>
      <c r="F64" s="893"/>
      <c r="G64" s="893"/>
      <c r="H64" s="893"/>
      <c r="I64" s="893"/>
      <c r="J64" s="893"/>
      <c r="K64" s="910"/>
      <c r="M64" s="139"/>
      <c r="P64" s="147"/>
    </row>
    <row r="65" spans="2:16" ht="33" x14ac:dyDescent="0.35">
      <c r="B65" s="1044" t="s">
        <v>378</v>
      </c>
      <c r="C65" s="1183"/>
      <c r="D65" s="277" t="s">
        <v>57</v>
      </c>
      <c r="E65" s="1034" t="s">
        <v>175</v>
      </c>
      <c r="F65" s="893"/>
      <c r="G65" s="893"/>
      <c r="H65" s="893"/>
      <c r="I65" s="893"/>
      <c r="J65" s="893"/>
      <c r="K65" s="910"/>
      <c r="M65" s="139"/>
      <c r="P65" s="147"/>
    </row>
    <row r="66" spans="2:16" ht="17.25" x14ac:dyDescent="0.35">
      <c r="B66" s="431" t="s">
        <v>379</v>
      </c>
      <c r="C66" s="1183"/>
      <c r="D66" s="425" t="s">
        <v>57</v>
      </c>
      <c r="E66" s="1030" t="s">
        <v>96</v>
      </c>
      <c r="F66" s="893"/>
      <c r="G66" s="893"/>
      <c r="H66" s="893"/>
      <c r="I66" s="893"/>
      <c r="J66" s="893"/>
      <c r="K66" s="910"/>
      <c r="M66" s="139"/>
      <c r="P66" s="147"/>
    </row>
    <row r="67" spans="2:16" ht="35.25" customHeight="1" x14ac:dyDescent="0.35">
      <c r="B67" s="436" t="s">
        <v>377</v>
      </c>
      <c r="C67" s="1183"/>
      <c r="D67" s="264" t="s">
        <v>175</v>
      </c>
      <c r="E67" s="1030" t="s">
        <v>175</v>
      </c>
      <c r="F67" s="893"/>
      <c r="G67" s="893"/>
      <c r="H67" s="893"/>
      <c r="I67" s="893"/>
      <c r="J67" s="893"/>
      <c r="K67" s="910"/>
      <c r="M67" s="139"/>
      <c r="P67" s="147"/>
    </row>
    <row r="68" spans="2:16" ht="18" thickBot="1" x14ac:dyDescent="0.4">
      <c r="B68" s="767" t="s">
        <v>380</v>
      </c>
      <c r="C68" s="812" t="str">
        <f>IF(OR(C65="",C67=""),"",IF(AND(C67="No",C66=""),"Enter Boiler Pump Power",IF(C67="Yes",C65,C65+C66)))</f>
        <v/>
      </c>
      <c r="D68" s="769" t="s">
        <v>57</v>
      </c>
      <c r="E68" s="1037" t="s">
        <v>95</v>
      </c>
      <c r="F68" s="981"/>
      <c r="G68" s="981"/>
      <c r="H68" s="981"/>
      <c r="I68" s="981"/>
      <c r="J68" s="981"/>
      <c r="K68" s="909"/>
      <c r="M68" s="139"/>
      <c r="P68" s="147"/>
    </row>
    <row r="69" spans="2:16" ht="18" thickBot="1" x14ac:dyDescent="0.4">
      <c r="B69" s="432"/>
      <c r="C69" s="430"/>
      <c r="D69" s="430"/>
      <c r="E69" s="430"/>
      <c r="F69" s="893"/>
      <c r="G69" s="893"/>
      <c r="H69" s="893"/>
      <c r="I69" s="893"/>
      <c r="J69" s="893"/>
      <c r="K69" s="910"/>
      <c r="M69" s="139"/>
      <c r="P69" s="147"/>
    </row>
    <row r="70" spans="2:16" ht="68.25" customHeight="1" x14ac:dyDescent="0.35">
      <c r="B70" s="1744" t="s">
        <v>1154</v>
      </c>
      <c r="C70" s="1745"/>
      <c r="D70" s="1745"/>
      <c r="E70" s="1745"/>
      <c r="F70" s="1745"/>
      <c r="G70" s="1745"/>
      <c r="H70" s="1745"/>
      <c r="I70" s="1745"/>
      <c r="J70" s="1745"/>
      <c r="K70" s="1746"/>
      <c r="M70" s="139"/>
      <c r="N70" s="147"/>
      <c r="O70" s="147"/>
      <c r="P70" s="147"/>
    </row>
    <row r="71" spans="2:16" ht="17.25" x14ac:dyDescent="0.35">
      <c r="B71" s="426" t="s">
        <v>52</v>
      </c>
      <c r="C71" s="427" t="s">
        <v>34</v>
      </c>
      <c r="D71" s="428" t="s">
        <v>35</v>
      </c>
      <c r="E71" s="428" t="s">
        <v>33</v>
      </c>
      <c r="F71" s="893"/>
      <c r="G71" s="893"/>
      <c r="H71" s="893"/>
      <c r="I71" s="893"/>
      <c r="J71" s="893"/>
      <c r="K71" s="910"/>
      <c r="M71" s="139"/>
      <c r="N71" s="147"/>
      <c r="O71" s="147"/>
      <c r="P71" s="147"/>
    </row>
    <row r="72" spans="2:16" ht="18" x14ac:dyDescent="0.35">
      <c r="B72" s="452" t="s">
        <v>244</v>
      </c>
      <c r="C72" s="1181"/>
      <c r="D72" s="263" t="s">
        <v>57</v>
      </c>
      <c r="E72" s="897" t="s">
        <v>678</v>
      </c>
      <c r="F72" s="893"/>
      <c r="G72" s="893"/>
      <c r="H72" s="893"/>
      <c r="I72" s="893"/>
      <c r="J72" s="893"/>
      <c r="K72" s="910"/>
      <c r="M72" s="139"/>
      <c r="N72" s="147"/>
      <c r="O72" s="147"/>
      <c r="P72" s="147"/>
    </row>
    <row r="73" spans="2:16" ht="18.75" thickBot="1" x14ac:dyDescent="0.4">
      <c r="B73" s="267" t="s">
        <v>245</v>
      </c>
      <c r="C73" s="1182"/>
      <c r="D73" s="268" t="s">
        <v>36</v>
      </c>
      <c r="E73" s="956" t="s">
        <v>679</v>
      </c>
      <c r="F73" s="981"/>
      <c r="G73" s="981"/>
      <c r="H73" s="981"/>
      <c r="I73" s="981"/>
      <c r="J73" s="981"/>
      <c r="K73" s="909"/>
      <c r="M73" s="139"/>
      <c r="N73" s="454"/>
      <c r="O73" s="147"/>
      <c r="P73" s="147"/>
    </row>
    <row r="74" spans="2:16" ht="18" thickBot="1" x14ac:dyDescent="0.4">
      <c r="B74" s="434"/>
      <c r="C74" s="435"/>
      <c r="D74" s="435"/>
      <c r="E74" s="891"/>
      <c r="F74" s="893"/>
      <c r="G74" s="893"/>
      <c r="H74" s="893"/>
      <c r="I74" s="893"/>
      <c r="J74" s="893"/>
      <c r="K74" s="910"/>
      <c r="M74" s="139"/>
      <c r="N74" s="147"/>
      <c r="O74" s="147"/>
      <c r="P74" s="147"/>
    </row>
    <row r="75" spans="2:16" ht="153" customHeight="1" x14ac:dyDescent="0.35">
      <c r="B75" s="1744" t="s">
        <v>1283</v>
      </c>
      <c r="C75" s="1745"/>
      <c r="D75" s="1745"/>
      <c r="E75" s="1745"/>
      <c r="F75" s="1745"/>
      <c r="G75" s="1745"/>
      <c r="H75" s="1745"/>
      <c r="I75" s="1745"/>
      <c r="J75" s="1745"/>
      <c r="K75" s="1746"/>
      <c r="M75" s="139"/>
      <c r="N75" s="147"/>
      <c r="O75" s="147"/>
      <c r="P75" s="147"/>
    </row>
    <row r="76" spans="2:16" ht="17.25" x14ac:dyDescent="0.35">
      <c r="B76" s="749"/>
      <c r="C76" s="747"/>
      <c r="D76" s="747"/>
      <c r="E76" s="747"/>
      <c r="F76" s="893"/>
      <c r="G76" s="893"/>
      <c r="H76" s="893"/>
      <c r="I76" s="893"/>
      <c r="J76" s="893"/>
      <c r="K76" s="910"/>
      <c r="M76" s="139"/>
      <c r="N76" s="147"/>
      <c r="O76" s="147"/>
      <c r="P76" s="147"/>
    </row>
    <row r="77" spans="2:16" ht="34.5" customHeight="1" x14ac:dyDescent="0.35">
      <c r="B77" s="1701" t="s">
        <v>1125</v>
      </c>
      <c r="C77" s="1702"/>
      <c r="D77" s="1702"/>
      <c r="E77" s="1702"/>
      <c r="F77" s="1702"/>
      <c r="G77" s="1702"/>
      <c r="H77" s="1702"/>
      <c r="I77" s="1702"/>
      <c r="J77" s="1702"/>
      <c r="K77" s="1703"/>
      <c r="M77" s="139"/>
      <c r="N77" s="147"/>
      <c r="O77" s="147"/>
      <c r="P77" s="147"/>
    </row>
    <row r="78" spans="2:16" ht="17.25" x14ac:dyDescent="0.35">
      <c r="B78" s="749"/>
      <c r="C78" s="747"/>
      <c r="D78" s="747"/>
      <c r="E78" s="747"/>
      <c r="F78" s="893"/>
      <c r="G78" s="893"/>
      <c r="H78" s="893"/>
      <c r="I78" s="893"/>
      <c r="J78" s="893"/>
      <c r="K78" s="910"/>
      <c r="M78" s="139"/>
      <c r="N78" s="147"/>
      <c r="O78" s="147"/>
      <c r="P78" s="147"/>
    </row>
    <row r="79" spans="2:16" ht="17.25" x14ac:dyDescent="0.35">
      <c r="B79" s="1709" t="str">
        <f>"Non-Condensing or Electric Hot Water Boilers" &amp; IF(OR('Sys. # &amp; Product Characteristic'!Heating_Fuel_Used="Electricity",'Sys. # &amp; Product Characteristic'!Flue_Gas="Non-Condensing"),""," - NOT REQUIRED FOR THIS TEST")</f>
        <v>Non-Condensing or Electric Hot Water Boilers - NOT REQUIRED FOR THIS TEST</v>
      </c>
      <c r="C79" s="1762"/>
      <c r="D79" s="1762"/>
      <c r="E79" s="1763"/>
      <c r="F79" s="1025"/>
      <c r="G79" s="1025"/>
      <c r="H79" s="911"/>
      <c r="I79" s="893"/>
      <c r="J79" s="893"/>
      <c r="K79" s="910"/>
      <c r="M79" s="139"/>
      <c r="N79" s="147"/>
      <c r="O79" s="147"/>
      <c r="P79" s="147"/>
    </row>
    <row r="80" spans="2:16" ht="17.25" x14ac:dyDescent="0.35">
      <c r="B80" s="1704" t="s">
        <v>52</v>
      </c>
      <c r="C80" s="1706" t="s">
        <v>870</v>
      </c>
      <c r="D80" s="1707"/>
      <c r="E80" s="1632" t="s">
        <v>838</v>
      </c>
      <c r="F80" s="1632"/>
      <c r="G80" s="1604" t="s">
        <v>35</v>
      </c>
      <c r="H80" s="1708" t="s">
        <v>837</v>
      </c>
      <c r="I80" s="893"/>
      <c r="J80" s="893"/>
      <c r="K80" s="910"/>
      <c r="M80" s="139"/>
      <c r="N80" s="147"/>
      <c r="O80" s="147"/>
      <c r="P80" s="147"/>
    </row>
    <row r="81" spans="2:16" ht="17.25" x14ac:dyDescent="0.35">
      <c r="B81" s="1705"/>
      <c r="C81" s="746" t="s">
        <v>256</v>
      </c>
      <c r="D81" s="746" t="s">
        <v>257</v>
      </c>
      <c r="E81" s="937" t="s">
        <v>256</v>
      </c>
      <c r="F81" s="937" t="s">
        <v>257</v>
      </c>
      <c r="G81" s="1604"/>
      <c r="H81" s="1708"/>
      <c r="I81" s="893"/>
      <c r="J81" s="893"/>
      <c r="K81" s="910"/>
      <c r="M81" s="139"/>
      <c r="N81" s="147"/>
      <c r="O81" s="147"/>
      <c r="P81" s="147"/>
    </row>
    <row r="82" spans="2:16" ht="17.25" x14ac:dyDescent="0.35">
      <c r="B82" s="748" t="s">
        <v>836</v>
      </c>
      <c r="C82" s="966" t="str">
        <f>IF('Sys. # &amp; Product Characteristic'!Flue_Gas&lt;&gt;"Non-Condensing","N/A",MIN($H$124:$H$126))</f>
        <v>N/A</v>
      </c>
      <c r="D82" s="966" t="str">
        <f>IF('Sys. # &amp; Product Characteristic'!Flue_Gas&lt;&gt;"Non-Condensing","N/A",MAX($H$124:$H$126))</f>
        <v>N/A</v>
      </c>
      <c r="E82" s="118" t="str">
        <f>IF('Sys. # &amp; Product Characteristic'!Flue_Gas&lt;&gt;"Non-Condensing","N/A",120)</f>
        <v>N/A</v>
      </c>
      <c r="F82" s="918" t="str">
        <f>IF('Sys. # &amp; Product Characteristic'!Flue_Gas&lt;&gt;"Non-Condensing","N/A",124)</f>
        <v>N/A</v>
      </c>
      <c r="G82" s="905" t="s">
        <v>51</v>
      </c>
      <c r="H82" s="453" t="str">
        <f>IF('Sys. # &amp; Product Characteristic'!Flue_Gas&lt;&gt;"Non-Condensing","N/A",IF(AND(C82&gt;=E82,D82&lt;=F82,C82&lt;=D82),"Yes","No"))</f>
        <v>N/A</v>
      </c>
      <c r="I82" s="893"/>
      <c r="J82" s="893"/>
      <c r="K82" s="910"/>
      <c r="M82" s="139"/>
      <c r="N82" s="147"/>
      <c r="O82" s="147"/>
      <c r="P82" s="147"/>
    </row>
    <row r="83" spans="2:16" ht="17.25" x14ac:dyDescent="0.35">
      <c r="B83" s="750" t="s">
        <v>839</v>
      </c>
      <c r="C83" s="966" t="str">
        <f>IF('Sys. # &amp; Product Characteristic'!Flue_Gas&lt;&gt;"Non-Condensing","N/A",MIN($I$124:$I$126))</f>
        <v>N/A</v>
      </c>
      <c r="D83" s="966" t="str">
        <f>IF('Sys. # &amp; Product Characteristic'!Flue_Gas&lt;&gt;"Non-Condensing","N/A",MAX($I$124:$I$126))</f>
        <v>N/A</v>
      </c>
      <c r="E83" s="938" t="str">
        <f>IF('Sys. # &amp; Product Characteristic'!Flue_Gas&lt;&gt;"Non-Condensing","N/A",19)</f>
        <v>N/A</v>
      </c>
      <c r="F83" s="118" t="str">
        <f>IF('Sys. # &amp; Product Characteristic'!Flue_Gas&lt;&gt;"Non-Condensing","N/A",24)</f>
        <v>N/A</v>
      </c>
      <c r="G83" s="939" t="s">
        <v>51</v>
      </c>
      <c r="H83" s="453" t="str">
        <f>IF('Sys. # &amp; Product Characteristic'!Flue_Gas&lt;&gt;"Non-Condensing","N/A",IF(AND(C83&gt;=E83,D83&lt;=F83,C83&lt;=D83),"Yes","No"))</f>
        <v>N/A</v>
      </c>
      <c r="I83" s="893"/>
      <c r="J83" s="893"/>
      <c r="K83" s="910"/>
      <c r="M83" s="139"/>
      <c r="N83" s="147"/>
      <c r="O83" s="147"/>
      <c r="P83" s="147"/>
    </row>
    <row r="84" spans="2:16" ht="17.25" x14ac:dyDescent="0.35">
      <c r="B84" s="434"/>
      <c r="C84" s="435"/>
      <c r="D84" s="435"/>
      <c r="E84" s="891"/>
      <c r="F84" s="893"/>
      <c r="G84" s="893"/>
      <c r="H84" s="893"/>
      <c r="I84" s="893"/>
      <c r="J84" s="893"/>
      <c r="K84" s="910"/>
      <c r="M84" s="139"/>
      <c r="N84" s="147"/>
      <c r="O84" s="147"/>
      <c r="P84" s="147"/>
    </row>
    <row r="85" spans="2:16" ht="17.25" x14ac:dyDescent="0.35">
      <c r="B85" s="1709" t="str">
        <f>"Condensing Hot Water Boilers" &amp; IF('Sys. # &amp; Product Characteristic'!Flue_Gas="Condensing",""," - NOT REQUIRED FOR THIS TEST")</f>
        <v>Condensing Hot Water Boilers - NOT REQUIRED FOR THIS TEST</v>
      </c>
      <c r="C85" s="1762"/>
      <c r="D85" s="1762"/>
      <c r="E85" s="1763"/>
      <c r="F85" s="1025"/>
      <c r="G85" s="1025"/>
      <c r="H85" s="911"/>
      <c r="I85" s="893"/>
      <c r="J85" s="893"/>
      <c r="K85" s="910"/>
      <c r="M85" s="139"/>
      <c r="N85" s="147"/>
      <c r="O85" s="147"/>
      <c r="P85" s="147"/>
    </row>
    <row r="86" spans="2:16" ht="17.25" x14ac:dyDescent="0.35">
      <c r="B86" s="1704" t="s">
        <v>52</v>
      </c>
      <c r="C86" s="1706" t="s">
        <v>870</v>
      </c>
      <c r="D86" s="1707"/>
      <c r="E86" s="1632" t="s">
        <v>838</v>
      </c>
      <c r="F86" s="1632"/>
      <c r="G86" s="1604" t="s">
        <v>35</v>
      </c>
      <c r="H86" s="1708" t="s">
        <v>837</v>
      </c>
      <c r="I86" s="893"/>
      <c r="J86" s="893"/>
      <c r="K86" s="910"/>
      <c r="M86" s="139"/>
      <c r="N86" s="147"/>
      <c r="O86" s="147"/>
      <c r="P86" s="147"/>
    </row>
    <row r="87" spans="2:16" ht="17.25" x14ac:dyDescent="0.35">
      <c r="B87" s="1705"/>
      <c r="C87" s="746" t="s">
        <v>256</v>
      </c>
      <c r="D87" s="746" t="s">
        <v>257</v>
      </c>
      <c r="E87" s="937" t="s">
        <v>256</v>
      </c>
      <c r="F87" s="937" t="s">
        <v>257</v>
      </c>
      <c r="G87" s="1604"/>
      <c r="H87" s="1708"/>
      <c r="I87" s="893"/>
      <c r="J87" s="893"/>
      <c r="K87" s="910"/>
      <c r="M87" s="139"/>
      <c r="N87" s="147"/>
      <c r="O87" s="147"/>
      <c r="P87" s="147"/>
    </row>
    <row r="88" spans="2:16" ht="17.25" x14ac:dyDescent="0.35">
      <c r="B88" s="748" t="s">
        <v>840</v>
      </c>
      <c r="C88" s="107"/>
      <c r="D88" s="107"/>
      <c r="E88" s="118" t="str">
        <f>IF('Sys. # &amp; Product Characteristic'!Flue_Gas&lt;&gt;"Condensing","N/A",120-10)</f>
        <v>N/A</v>
      </c>
      <c r="F88" s="118" t="str">
        <f>IF('Sys. # &amp; Product Characteristic'!Flue_Gas&lt;&gt;"Condensing","N/A",120+10)</f>
        <v>N/A</v>
      </c>
      <c r="G88" s="905" t="s">
        <v>51</v>
      </c>
      <c r="H88" s="453" t="str">
        <f>IF('Sys. # &amp; Product Characteristic'!Flue_Gas&lt;&gt;"Condensing","N/A",IF(AND(C88&gt;=E88,D88&lt;=F88,C88&lt;=D88),"Yes","No"))</f>
        <v>N/A</v>
      </c>
      <c r="I88" s="893"/>
      <c r="J88" s="893"/>
      <c r="K88" s="910"/>
      <c r="M88" s="139"/>
      <c r="N88" s="147"/>
      <c r="O88" s="147"/>
      <c r="P88" s="147"/>
    </row>
    <row r="89" spans="2:16" ht="17.25" x14ac:dyDescent="0.35">
      <c r="B89" s="752" t="s">
        <v>841</v>
      </c>
      <c r="C89" s="107"/>
      <c r="D89" s="107"/>
      <c r="E89" s="118" t="str">
        <f>IF('Sys. # &amp; Product Characteristic'!Flue_Gas&lt;&gt;"Condensing","N/A",120-5)</f>
        <v>N/A</v>
      </c>
      <c r="F89" s="118" t="str">
        <f>IF('Sys. # &amp; Product Characteristic'!Flue_Gas&lt;&gt;"Condensing","N/A",120+5)</f>
        <v>N/A</v>
      </c>
      <c r="G89" s="905" t="s">
        <v>51</v>
      </c>
      <c r="H89" s="453" t="str">
        <f>IF('Sys. # &amp; Product Characteristic'!Flue_Gas&lt;&gt;"Condensing","N/A",IF(AND(C89&gt;=E89,D89&lt;=F89,C89&lt;=D89),"Yes","No"))</f>
        <v>N/A</v>
      </c>
      <c r="I89" s="893"/>
      <c r="J89" s="893"/>
      <c r="K89" s="910"/>
      <c r="M89" s="139"/>
      <c r="N89" s="147"/>
      <c r="O89" s="147"/>
      <c r="P89" s="147"/>
    </row>
    <row r="90" spans="2:16" ht="17.25" x14ac:dyDescent="0.35">
      <c r="B90" s="751" t="s">
        <v>842</v>
      </c>
      <c r="C90" s="107"/>
      <c r="D90" s="107"/>
      <c r="E90" s="118" t="str">
        <f>IF('Sys. # &amp; Product Characteristic'!Flue_Gas&lt;&gt;"Condensing","N/A",120-2)</f>
        <v>N/A</v>
      </c>
      <c r="F90" s="918" t="str">
        <f>IF('Sys. # &amp; Product Characteristic'!Flue_Gas&lt;&gt;"Condensing","N/A",120+2)</f>
        <v>N/A</v>
      </c>
      <c r="G90" s="905" t="s">
        <v>51</v>
      </c>
      <c r="H90" s="453" t="str">
        <f>IF('Sys. # &amp; Product Characteristic'!Flue_Gas&lt;&gt;"Condensing","N/A",IF(AND(C90&gt;=E90,D90&lt;=F90,C90&lt;=D90),"Yes","No"))</f>
        <v>N/A</v>
      </c>
      <c r="I90" s="893"/>
      <c r="J90" s="893"/>
      <c r="K90" s="910"/>
      <c r="M90" s="139"/>
      <c r="N90" s="147"/>
      <c r="O90" s="147"/>
      <c r="P90" s="147"/>
    </row>
    <row r="91" spans="2:16" ht="17.25" x14ac:dyDescent="0.35">
      <c r="B91" s="750" t="s">
        <v>839</v>
      </c>
      <c r="C91" s="938" t="str">
        <f>IF('Sys. # &amp; Product Characteristic'!Flue_Gas&lt;&gt;"Condensing","N/A",MIN($I$124:$I$126))</f>
        <v>N/A</v>
      </c>
      <c r="D91" s="938" t="str">
        <f>IF('Sys. # &amp; Product Characteristic'!Flue_Gas&lt;&gt;"Condensing","N/A",MAX($I$124:$I$126))</f>
        <v>N/A</v>
      </c>
      <c r="E91" s="938" t="str">
        <f>IF('Sys. # &amp; Product Characteristic'!Flue_Gas&lt;&gt;"Condensing","N/A",19.5)</f>
        <v>N/A</v>
      </c>
      <c r="F91" s="118" t="str">
        <f>IF('Sys. # &amp; Product Characteristic'!Flue_Gas&lt;&gt;"Condensing","N/A",20.5)</f>
        <v>N/A</v>
      </c>
      <c r="G91" s="939" t="s">
        <v>51</v>
      </c>
      <c r="H91" s="453" t="str">
        <f>IF('Sys. # &amp; Product Characteristic'!Flue_Gas&lt;&gt;"Condensing","N/A",IF(AND(C91&gt;=E91,D91&lt;=F91,C91&lt;=D91),"Yes","No"))</f>
        <v>N/A</v>
      </c>
      <c r="I91" s="893"/>
      <c r="J91" s="893"/>
      <c r="K91" s="910"/>
      <c r="M91" s="139"/>
      <c r="N91" s="147"/>
      <c r="O91" s="147"/>
      <c r="P91" s="147"/>
    </row>
    <row r="92" spans="2:16" ht="17.25" x14ac:dyDescent="0.35">
      <c r="B92" s="434"/>
      <c r="C92" s="435"/>
      <c r="D92" s="435"/>
      <c r="E92" s="891"/>
      <c r="F92" s="893"/>
      <c r="G92" s="893"/>
      <c r="H92" s="893"/>
      <c r="I92" s="893"/>
      <c r="J92" s="893"/>
      <c r="K92" s="910"/>
      <c r="M92" s="139"/>
      <c r="N92" s="147"/>
      <c r="O92" s="147"/>
      <c r="P92" s="147"/>
    </row>
    <row r="93" spans="2:16" ht="17.25" x14ac:dyDescent="0.35">
      <c r="B93" s="1709" t="str">
        <f>"Steam Boilers" &amp; IF('Sys. # &amp; Product Characteristic'!Heating_Medium="Steam",""," - NOT REQUIRED FOR THIS TEST")</f>
        <v>Steam Boilers - NOT REQUIRED FOR THIS TEST</v>
      </c>
      <c r="C93" s="1762"/>
      <c r="D93" s="1762"/>
      <c r="E93" s="1763"/>
      <c r="F93" s="1025"/>
      <c r="G93" s="1025"/>
      <c r="H93" s="911"/>
      <c r="I93" s="893"/>
      <c r="J93" s="893"/>
      <c r="K93" s="910"/>
      <c r="M93" s="139"/>
      <c r="N93" s="147"/>
      <c r="O93" s="147"/>
      <c r="P93" s="147"/>
    </row>
    <row r="94" spans="2:16" ht="17.25" x14ac:dyDescent="0.35">
      <c r="B94" s="1704" t="s">
        <v>52</v>
      </c>
      <c r="C94" s="1706" t="s">
        <v>870</v>
      </c>
      <c r="D94" s="1707"/>
      <c r="E94" s="1632" t="s">
        <v>838</v>
      </c>
      <c r="F94" s="1632"/>
      <c r="G94" s="1604" t="s">
        <v>35</v>
      </c>
      <c r="H94" s="1708" t="s">
        <v>837</v>
      </c>
      <c r="I94" s="893"/>
      <c r="J94" s="893"/>
      <c r="K94" s="910"/>
      <c r="M94" s="139"/>
      <c r="N94" s="147"/>
      <c r="O94" s="147"/>
      <c r="P94" s="147"/>
    </row>
    <row r="95" spans="2:16" ht="17.25" x14ac:dyDescent="0.35">
      <c r="B95" s="1705"/>
      <c r="C95" s="746" t="s">
        <v>256</v>
      </c>
      <c r="D95" s="746" t="s">
        <v>257</v>
      </c>
      <c r="E95" s="937" t="s">
        <v>256</v>
      </c>
      <c r="F95" s="937" t="s">
        <v>257</v>
      </c>
      <c r="G95" s="1604"/>
      <c r="H95" s="1708"/>
      <c r="I95" s="893"/>
      <c r="J95" s="893"/>
      <c r="K95" s="910"/>
      <c r="M95" s="139"/>
      <c r="N95" s="147"/>
      <c r="O95" s="147"/>
      <c r="P95" s="147"/>
    </row>
    <row r="96" spans="2:16" ht="18" thickBot="1" x14ac:dyDescent="0.4">
      <c r="B96" s="1024" t="s">
        <v>738</v>
      </c>
      <c r="C96" s="117"/>
      <c r="D96" s="117"/>
      <c r="E96" s="918" t="str">
        <f>IF('Sys. # &amp; Product Characteristic'!Heating_Medium&lt;&gt;"Steam","",0)</f>
        <v/>
      </c>
      <c r="F96" s="918" t="str">
        <f>IF('Sys. # &amp; Product Characteristic'!Heating_Medium&lt;&gt;"Steam","",2)</f>
        <v/>
      </c>
      <c r="G96" s="964" t="s">
        <v>843</v>
      </c>
      <c r="H96" s="900" t="str">
        <f>IF('Sys. # &amp; Product Characteristic'!Heating_Medium&lt;&gt;"Steam","N/A",IF(AND(C96&gt;=E96,D96&lt;=F96,C96&lt;=D96),"Yes","No"))</f>
        <v>N/A</v>
      </c>
      <c r="I96" s="981"/>
      <c r="J96" s="981"/>
      <c r="K96" s="909"/>
      <c r="M96" s="139"/>
      <c r="N96" s="147"/>
      <c r="O96" s="147"/>
      <c r="P96" s="147"/>
    </row>
    <row r="97" spans="2:16" ht="18" thickBot="1" x14ac:dyDescent="0.4">
      <c r="B97" s="434"/>
      <c r="C97" s="435"/>
      <c r="D97" s="435"/>
      <c r="E97" s="891"/>
      <c r="F97" s="893"/>
      <c r="G97" s="893"/>
      <c r="H97" s="893"/>
      <c r="I97" s="893"/>
      <c r="J97" s="893"/>
      <c r="K97" s="910"/>
      <c r="M97" s="139"/>
      <c r="N97" s="147"/>
      <c r="O97" s="147"/>
      <c r="P97" s="147"/>
    </row>
    <row r="98" spans="2:16" ht="17.25" x14ac:dyDescent="0.35">
      <c r="B98" s="1817" t="s">
        <v>1126</v>
      </c>
      <c r="C98" s="1818"/>
      <c r="D98" s="1818"/>
      <c r="E98" s="1818"/>
      <c r="F98" s="1818"/>
      <c r="G98" s="1818"/>
      <c r="H98" s="1818"/>
      <c r="I98" s="1818"/>
      <c r="J98" s="1818"/>
      <c r="K98" s="1819"/>
      <c r="M98" s="139"/>
      <c r="N98" s="147"/>
      <c r="O98" s="147"/>
      <c r="P98" s="147"/>
    </row>
    <row r="99" spans="2:16" ht="149.44999999999999" customHeight="1" x14ac:dyDescent="0.35">
      <c r="B99" s="1718" t="s">
        <v>1278</v>
      </c>
      <c r="C99" s="1789"/>
      <c r="D99" s="1789"/>
      <c r="E99" s="1789"/>
      <c r="F99" s="1789"/>
      <c r="G99" s="1789"/>
      <c r="H99" s="1789"/>
      <c r="I99" s="1789"/>
      <c r="J99" s="1789"/>
      <c r="K99" s="1720"/>
      <c r="M99" s="139"/>
      <c r="N99" s="147"/>
      <c r="O99" s="147"/>
      <c r="P99" s="147"/>
    </row>
    <row r="100" spans="2:16" ht="66" customHeight="1" x14ac:dyDescent="0.35">
      <c r="B100" s="1716" t="s">
        <v>1127</v>
      </c>
      <c r="C100" s="1693"/>
      <c r="D100" s="1693"/>
      <c r="E100" s="1693"/>
      <c r="F100" s="1693"/>
      <c r="G100" s="1693"/>
      <c r="H100" s="1693"/>
      <c r="I100" s="1693"/>
      <c r="J100" s="1693"/>
      <c r="K100" s="1694"/>
      <c r="M100" s="139"/>
      <c r="N100" s="147"/>
      <c r="O100" s="147"/>
      <c r="P100" s="147"/>
    </row>
    <row r="101" spans="2:16" ht="17.25" x14ac:dyDescent="0.35">
      <c r="B101" s="1031"/>
      <c r="C101" s="1138"/>
      <c r="D101" s="1138"/>
      <c r="E101" s="1139"/>
      <c r="F101" s="1140"/>
      <c r="G101" s="1140"/>
      <c r="H101" s="1140"/>
      <c r="I101" s="1140"/>
      <c r="J101" s="1140"/>
      <c r="K101" s="1032"/>
      <c r="M101" s="139"/>
      <c r="N101" s="147"/>
      <c r="O101" s="147"/>
      <c r="P101" s="147"/>
    </row>
    <row r="102" spans="2:16" ht="17.25" x14ac:dyDescent="0.35">
      <c r="B102" s="1820" t="s">
        <v>1128</v>
      </c>
      <c r="C102" s="1821"/>
      <c r="D102" s="1821"/>
      <c r="E102" s="1821"/>
      <c r="F102" s="1821"/>
      <c r="G102" s="1821"/>
      <c r="H102" s="1821"/>
      <c r="I102" s="1821"/>
      <c r="J102" s="893"/>
      <c r="K102" s="910"/>
      <c r="M102" s="139"/>
      <c r="N102" s="147"/>
      <c r="O102" s="147"/>
      <c r="P102" s="147"/>
    </row>
    <row r="103" spans="2:16" ht="132" customHeight="1" x14ac:dyDescent="0.35">
      <c r="B103" s="1718" t="s">
        <v>1129</v>
      </c>
      <c r="C103" s="1789"/>
      <c r="D103" s="1789"/>
      <c r="E103" s="1789"/>
      <c r="F103" s="1789"/>
      <c r="G103" s="1789"/>
      <c r="H103" s="1789"/>
      <c r="I103" s="1789"/>
      <c r="J103" s="1789"/>
      <c r="K103" s="1720"/>
      <c r="M103" s="139"/>
      <c r="N103" s="147"/>
      <c r="O103" s="147"/>
      <c r="P103" s="147"/>
    </row>
    <row r="104" spans="2:16" ht="17.25" x14ac:dyDescent="0.35">
      <c r="B104" s="1741" t="s">
        <v>1155</v>
      </c>
      <c r="C104" s="1822"/>
      <c r="D104" s="1822"/>
      <c r="E104" s="1822"/>
      <c r="F104" s="1822"/>
      <c r="G104" s="1822"/>
      <c r="H104" s="1822"/>
      <c r="I104" s="1822"/>
      <c r="J104" s="1822"/>
      <c r="K104" s="1743"/>
      <c r="M104" s="139"/>
      <c r="N104" s="147"/>
      <c r="O104" s="147"/>
      <c r="P104" s="147"/>
    </row>
    <row r="105" spans="2:16" ht="17.25" x14ac:dyDescent="0.35">
      <c r="B105" s="1741" t="s">
        <v>1131</v>
      </c>
      <c r="C105" s="1822"/>
      <c r="D105" s="1822"/>
      <c r="E105" s="1822"/>
      <c r="F105" s="1822"/>
      <c r="G105" s="1822"/>
      <c r="H105" s="1822"/>
      <c r="I105" s="1822"/>
      <c r="J105" s="1822"/>
      <c r="K105" s="1743"/>
      <c r="M105" s="139"/>
      <c r="N105" s="147"/>
      <c r="O105" s="147"/>
      <c r="P105" s="147"/>
    </row>
    <row r="106" spans="2:16" ht="103.5" customHeight="1" x14ac:dyDescent="0.35">
      <c r="B106" s="1718" t="s">
        <v>1132</v>
      </c>
      <c r="C106" s="1789"/>
      <c r="D106" s="1789"/>
      <c r="E106" s="1789"/>
      <c r="F106" s="1789"/>
      <c r="G106" s="1789"/>
      <c r="H106" s="1789"/>
      <c r="I106" s="1789"/>
      <c r="J106" s="1789"/>
      <c r="K106" s="1720"/>
      <c r="M106" s="139"/>
      <c r="N106" s="147"/>
      <c r="O106" s="147"/>
      <c r="P106" s="147"/>
    </row>
    <row r="107" spans="2:16" ht="114.6" customHeight="1" x14ac:dyDescent="0.35">
      <c r="B107" s="1718" t="s">
        <v>1279</v>
      </c>
      <c r="C107" s="1789"/>
      <c r="D107" s="1789"/>
      <c r="E107" s="1789"/>
      <c r="F107" s="1789"/>
      <c r="G107" s="1789"/>
      <c r="H107" s="1789"/>
      <c r="I107" s="1789"/>
      <c r="J107" s="1789"/>
      <c r="K107" s="1720"/>
      <c r="M107" s="139"/>
      <c r="N107" s="147"/>
      <c r="O107" s="147"/>
      <c r="P107" s="147"/>
    </row>
    <row r="108" spans="2:16" ht="33.75" customHeight="1" x14ac:dyDescent="0.35">
      <c r="B108" s="1718" t="s">
        <v>1160</v>
      </c>
      <c r="C108" s="1789"/>
      <c r="D108" s="1789"/>
      <c r="E108" s="1789"/>
      <c r="F108" s="1789"/>
      <c r="G108" s="1789"/>
      <c r="H108" s="1789"/>
      <c r="I108" s="1789"/>
      <c r="J108" s="1789"/>
      <c r="K108" s="1720"/>
      <c r="M108" s="139"/>
      <c r="N108" s="147"/>
      <c r="O108" s="147"/>
      <c r="P108" s="147"/>
    </row>
    <row r="109" spans="2:16" ht="17.25" x14ac:dyDescent="0.35">
      <c r="B109" s="434"/>
      <c r="C109" s="435"/>
      <c r="D109" s="435"/>
      <c r="E109" s="891"/>
      <c r="F109" s="893"/>
      <c r="G109" s="893"/>
      <c r="H109" s="893"/>
      <c r="I109" s="893"/>
      <c r="J109" s="893"/>
      <c r="K109" s="910"/>
      <c r="M109" s="139"/>
      <c r="N109" s="147"/>
      <c r="O109" s="147"/>
      <c r="P109" s="147"/>
    </row>
    <row r="110" spans="2:16" ht="17.25" x14ac:dyDescent="0.35">
      <c r="B110" s="1136" t="s">
        <v>52</v>
      </c>
      <c r="C110" s="1135" t="s">
        <v>34</v>
      </c>
      <c r="D110" s="1137" t="s">
        <v>35</v>
      </c>
      <c r="E110" s="1137" t="s">
        <v>33</v>
      </c>
      <c r="F110" s="893"/>
      <c r="G110" s="893"/>
      <c r="H110" s="893"/>
      <c r="I110" s="893"/>
      <c r="J110" s="893"/>
      <c r="K110" s="910"/>
      <c r="M110" s="139"/>
      <c r="N110" s="147"/>
      <c r="O110" s="147"/>
      <c r="P110" s="147"/>
    </row>
    <row r="111" spans="2:16" ht="18" x14ac:dyDescent="0.35">
      <c r="B111" s="452" t="s">
        <v>53</v>
      </c>
      <c r="C111" s="118" t="str">
        <f>IFERROR(AVERAGE($C$124:$C$126),"")</f>
        <v/>
      </c>
      <c r="D111" s="425" t="s">
        <v>51</v>
      </c>
      <c r="E111" s="896" t="s">
        <v>475</v>
      </c>
      <c r="F111" s="893"/>
      <c r="G111" s="893"/>
      <c r="H111" s="893"/>
      <c r="I111" s="893"/>
      <c r="J111" s="893"/>
      <c r="K111" s="910"/>
      <c r="M111" s="139"/>
      <c r="N111" s="147"/>
      <c r="O111" s="147"/>
      <c r="P111" s="147"/>
    </row>
    <row r="112" spans="2:16" ht="18" x14ac:dyDescent="0.35">
      <c r="B112" s="252" t="str">
        <f>IF(OR('General Info &amp; Test Results'!C52="Draft Hood",'General Info &amp; Test Results'!C52="Direct Exhaust",'General Info &amp; Test Results'!C52="Barometric Draft Control",
'General Info &amp; Test Results'!C57="Yes. With Heat Exchange.",'General Info &amp; Test Results'!C57="Yes. Without Heat Exchange."),
"Steady-State Flue Gas Temperature","N/A")</f>
        <v>N/A</v>
      </c>
      <c r="C112" s="118" t="str">
        <f>IFERROR(AVERAGE($E$124:$E$126),"")</f>
        <v/>
      </c>
      <c r="D112" s="264" t="s">
        <v>51</v>
      </c>
      <c r="E112" s="897" t="s">
        <v>478</v>
      </c>
      <c r="F112" s="893"/>
      <c r="G112" s="893"/>
      <c r="H112" s="893"/>
      <c r="I112" s="893"/>
      <c r="J112" s="893"/>
      <c r="K112" s="910"/>
      <c r="M112" s="139"/>
      <c r="N112" s="147"/>
      <c r="O112" s="147"/>
      <c r="P112" s="147"/>
    </row>
    <row r="113" spans="2:16" ht="18" x14ac:dyDescent="0.35">
      <c r="B113" s="423" t="str">
        <f>IF(OR('General Info &amp; Test Results'!C52="Draft Hood",'General Info &amp; Test Results'!C52="Direct Exhaust",'General Info &amp; Test Results'!C52="Barometric Draft Control",
'General Info &amp; Test Results'!C57="Yes. With Heat Exchange.",'General Info &amp; Test Results'!C57="Yes. Without Heat Exchange."),
"Flue Gas Concentration by Volume of CO2","N/A")</f>
        <v>N/A</v>
      </c>
      <c r="C113" s="118" t="str">
        <f>IFERROR(AVERAGE($J$124:$J$126),"")</f>
        <v/>
      </c>
      <c r="D113" s="429" t="s">
        <v>211</v>
      </c>
      <c r="E113" s="898" t="s">
        <v>485</v>
      </c>
      <c r="F113" s="893"/>
      <c r="G113" s="893"/>
      <c r="H113" s="893"/>
      <c r="I113" s="893"/>
      <c r="J113" s="893"/>
      <c r="K113" s="910"/>
      <c r="M113" s="139"/>
      <c r="N113" s="147"/>
      <c r="O113" s="147"/>
      <c r="P113" s="147"/>
    </row>
    <row r="114" spans="2:16" ht="18" x14ac:dyDescent="0.35">
      <c r="B114" s="452" t="str">
        <f>IF(OR('General Info &amp; Test Results'!C52="Integral Draft Diverter"),
"Steady-State Stack Gas Temperature","N/A")</f>
        <v>N/A</v>
      </c>
      <c r="C114" s="118" t="str">
        <f>IFERROR(AVERAGE($F$124:$F$126),"")</f>
        <v/>
      </c>
      <c r="D114" s="264" t="s">
        <v>51</v>
      </c>
      <c r="E114" s="897" t="s">
        <v>476</v>
      </c>
      <c r="F114" s="893"/>
      <c r="G114" s="893"/>
      <c r="H114" s="893"/>
      <c r="I114" s="893"/>
      <c r="J114" s="893"/>
      <c r="K114" s="910"/>
      <c r="M114" s="139"/>
      <c r="N114" s="147"/>
      <c r="O114" s="147"/>
      <c r="P114" s="147"/>
    </row>
    <row r="115" spans="2:16" ht="18" x14ac:dyDescent="0.35">
      <c r="B115" s="457" t="str">
        <f>IF(OR('General Info &amp; Test Results'!C52="Draft Hood"),
"Stack Gas Concentration by Volume of CO2","N/A")</f>
        <v>N/A</v>
      </c>
      <c r="C115" s="118" t="str">
        <f>IFERROR(AVERAGE($K$124:$K$126),"")</f>
        <v/>
      </c>
      <c r="D115" s="456" t="s">
        <v>211</v>
      </c>
      <c r="E115" s="899" t="s">
        <v>486</v>
      </c>
      <c r="F115" s="893"/>
      <c r="G115" s="893"/>
      <c r="H115" s="893"/>
      <c r="I115" s="893"/>
      <c r="J115" s="893"/>
      <c r="K115" s="910"/>
      <c r="M115" s="139"/>
      <c r="N115" s="147"/>
      <c r="O115" s="147"/>
      <c r="P115" s="147"/>
    </row>
    <row r="116" spans="2:16" ht="17.25" x14ac:dyDescent="0.35">
      <c r="B116" s="434"/>
      <c r="C116" s="942"/>
      <c r="D116" s="942"/>
      <c r="E116" s="942"/>
      <c r="F116" s="1029"/>
      <c r="G116" s="1029"/>
      <c r="H116" s="893"/>
      <c r="I116" s="893"/>
      <c r="J116" s="893"/>
      <c r="K116" s="910"/>
      <c r="M116" s="139"/>
      <c r="N116" s="147"/>
      <c r="O116" s="147"/>
      <c r="P116" s="147"/>
    </row>
    <row r="117" spans="2:16" ht="17.25" x14ac:dyDescent="0.35">
      <c r="B117" s="961"/>
      <c r="C117" s="944" t="s">
        <v>875</v>
      </c>
      <c r="D117" s="1141"/>
      <c r="E117" s="1141"/>
      <c r="F117" s="1141"/>
      <c r="G117" s="911"/>
      <c r="H117" s="893"/>
      <c r="I117" s="893"/>
      <c r="J117" s="893"/>
      <c r="K117" s="910"/>
      <c r="M117" s="139"/>
      <c r="N117" s="147"/>
      <c r="O117" s="147"/>
      <c r="P117" s="147"/>
    </row>
    <row r="118" spans="2:16" ht="17.25" x14ac:dyDescent="0.35">
      <c r="B118" s="1026" t="s">
        <v>874</v>
      </c>
      <c r="C118" s="558"/>
      <c r="D118" s="946" t="str">
        <f>IF('Sys. # &amp; Product Characteristic'!Flue_Gas="","",5)</f>
        <v/>
      </c>
      <c r="E118" s="946" t="str">
        <f>IF(OR('Sys. # &amp; Product Characteristic'!C17="", 'Sys. # &amp; Product Characteristic'!C16 = "", 'Sys. # &amp; Product Characteristic'!C18 = "", 'Sys. # &amp; Product Characteristic'!Flue_Gas=""),"",
IF('Sys. # &amp; Product Characteristic'!Flue_Gas="Condensing",1,
IF(OR('Sys. # &amp; Product Characteristic'!C16="Yes",'Sys. # &amp; Product Characteristic'!C17="Draft Hood",'Sys. # &amp; Product Characteristic'!Direct_Vent?="Yes. With Heat Exchange.",'Sys. # &amp; Product Characteristic'!Direct_Vent?="Yes. Without Heat Exchange."),5,
"None")))</f>
        <v/>
      </c>
      <c r="F118" s="947" t="str">
        <f>IF('Sys. # &amp; Product Characteristic'!C17="","",IF('Sys. # &amp; Product Characteristic'!C17="Integral Draft Diverter",3,"None"))</f>
        <v/>
      </c>
      <c r="G118" s="947" t="str">
        <f>IF(OR('Sys. # &amp; Product Characteristic'!Heating_Medium="",'Sys. # &amp; Product Characteristic'!Flue_Gas=""),"",
IF('Sys. # &amp; Product Characteristic'!Heating_Medium="Water",IF('Sys. # &amp; Product Characteristic'!Flue_Gas="Condensing",1,4),"None"))</f>
        <v/>
      </c>
      <c r="H118" s="893"/>
      <c r="I118" s="893"/>
      <c r="J118" s="893"/>
      <c r="K118" s="910"/>
      <c r="M118" s="139"/>
      <c r="N118" s="147"/>
      <c r="O118" s="147"/>
      <c r="P118" s="147"/>
    </row>
    <row r="119" spans="2:16" ht="17.25" x14ac:dyDescent="0.35">
      <c r="B119" s="1027" t="s">
        <v>256</v>
      </c>
      <c r="C119" s="946" t="str">
        <f>IF('Sys. # &amp; Product Characteristic'!Flue_Gas="","",65)</f>
        <v/>
      </c>
      <c r="D119" s="946" t="str">
        <f>IF('Sys. # &amp; Product Characteristic'!Flue_Gas="","",AVERAGE($C$124:$C$126)-D118)</f>
        <v/>
      </c>
      <c r="E119" s="948"/>
      <c r="F119" s="949"/>
      <c r="G119" s="949"/>
      <c r="H119" s="893"/>
      <c r="I119" s="893"/>
      <c r="J119" s="893"/>
      <c r="K119" s="910"/>
      <c r="M119" s="139"/>
      <c r="N119" s="147"/>
      <c r="O119" s="147"/>
      <c r="P119" s="147"/>
    </row>
    <row r="120" spans="2:16" ht="17.25" x14ac:dyDescent="0.35">
      <c r="B120" s="1027" t="s">
        <v>257</v>
      </c>
      <c r="C120" s="946" t="str">
        <f>IF('Sys. # &amp; Product Characteristic'!Flue_Gas="","",IF('Sys. # &amp; Product Characteristic'!Flue_Gas="Condensing",85,100))</f>
        <v/>
      </c>
      <c r="D120" s="946" t="str">
        <f>IF('Sys. # &amp; Product Characteristic'!Flue_Gas="","",AVERAGE($C$124:$C$126)+D118)</f>
        <v/>
      </c>
      <c r="E120" s="948"/>
      <c r="F120" s="949"/>
      <c r="G120" s="949"/>
      <c r="H120" s="893"/>
      <c r="I120" s="893"/>
      <c r="J120" s="893"/>
      <c r="K120" s="910"/>
      <c r="M120" s="139"/>
      <c r="N120" s="147"/>
      <c r="O120" s="147"/>
      <c r="P120" s="147"/>
    </row>
    <row r="121" spans="2:16" ht="17.25" x14ac:dyDescent="0.35">
      <c r="B121" s="1028" t="s">
        <v>375</v>
      </c>
      <c r="C121" s="453" t="str">
        <f>IF(C119="","",
IF(COUNTBLANK(C124:C126)=0,
  IF(AND(MAX(C124:C126)&lt;=C120,MIN(C124:C126)&gt;=C119),"Yes","No"),""))</f>
        <v/>
      </c>
      <c r="D121" s="453" t="str">
        <f>IF(D119="","",
IF(AND(MAX(D124:D126)&lt;=D120,MIN(D124:D126))&gt;=D119,"Yes","No")
)</f>
        <v/>
      </c>
      <c r="E121" s="453" t="str">
        <f>IF(E118="","",IF(E118="None","Yes",
IF(ABS(MAX(E124:E126)-MIN(E124:E126))&lt;=E118,"Yes","No")
))</f>
        <v/>
      </c>
      <c r="F121" s="453" t="str">
        <f>IF(F118="","",IF(F118="None","Yes",
IF(ABS(MAX(F124:F126)-MIN(F124:F126))&lt;=F118,"Yes","No")
))</f>
        <v/>
      </c>
      <c r="G121" s="453" t="str">
        <f>IF(G118="","",IF(G118="None","Yes",
IF(ABS(MAX(G124:G126)-MIN(G124:G126))&lt;=G118,"Yes","No")
))</f>
        <v/>
      </c>
      <c r="H121" s="893"/>
      <c r="I121" s="893"/>
      <c r="J121" s="893"/>
      <c r="K121" s="910"/>
      <c r="M121" s="139"/>
      <c r="N121" s="147"/>
      <c r="O121" s="147"/>
      <c r="P121" s="147"/>
    </row>
    <row r="122" spans="2:16" ht="17.25" x14ac:dyDescent="0.35">
      <c r="B122" s="432"/>
      <c r="C122" s="430"/>
      <c r="D122" s="430"/>
      <c r="E122" s="430"/>
      <c r="F122" s="893"/>
      <c r="G122" s="893"/>
      <c r="H122" s="893"/>
      <c r="I122" s="893"/>
      <c r="J122" s="893"/>
      <c r="K122" s="910"/>
      <c r="M122" s="139"/>
      <c r="N122" s="147"/>
      <c r="O122" s="147"/>
      <c r="P122" s="147"/>
    </row>
    <row r="123" spans="2:16" ht="87" customHeight="1" x14ac:dyDescent="0.35">
      <c r="B123" s="462" t="s">
        <v>178</v>
      </c>
      <c r="C123" s="440" t="s">
        <v>871</v>
      </c>
      <c r="D123" s="440" t="s">
        <v>872</v>
      </c>
      <c r="E123" s="440" t="s">
        <v>56</v>
      </c>
      <c r="F123" s="440" t="s">
        <v>372</v>
      </c>
      <c r="G123" s="440" t="s">
        <v>373</v>
      </c>
      <c r="H123" s="440" t="s">
        <v>868</v>
      </c>
      <c r="I123" s="929" t="s">
        <v>869</v>
      </c>
      <c r="J123" s="440" t="s">
        <v>876</v>
      </c>
      <c r="K123" s="912" t="s">
        <v>877</v>
      </c>
      <c r="M123" s="139"/>
      <c r="N123" s="147"/>
      <c r="O123" s="147"/>
      <c r="P123" s="147"/>
    </row>
    <row r="124" spans="2:16" ht="17.25" x14ac:dyDescent="0.35">
      <c r="B124" s="419">
        <v>0</v>
      </c>
      <c r="C124" s="1183"/>
      <c r="D124" s="1183"/>
      <c r="E124" s="1183"/>
      <c r="F124" s="1183"/>
      <c r="G124" s="1180"/>
      <c r="H124" s="1180"/>
      <c r="I124" s="118" t="str">
        <f>IF(OR(H124="",G124=""),"",G124-H124)</f>
        <v/>
      </c>
      <c r="J124" s="1180"/>
      <c r="K124" s="99"/>
      <c r="M124" s="139"/>
      <c r="N124" s="147"/>
      <c r="O124" s="147"/>
      <c r="P124" s="147"/>
    </row>
    <row r="125" spans="2:16" ht="17.25" x14ac:dyDescent="0.35">
      <c r="B125" s="271">
        <v>15</v>
      </c>
      <c r="C125" s="1183"/>
      <c r="D125" s="1183"/>
      <c r="E125" s="1183"/>
      <c r="F125" s="1183"/>
      <c r="G125" s="1180"/>
      <c r="H125" s="1180"/>
      <c r="I125" s="118" t="str">
        <f>IF(OR(H125="",G125=""),"",G125-H125)</f>
        <v/>
      </c>
      <c r="J125" s="1180"/>
      <c r="K125" s="99"/>
      <c r="M125" s="139"/>
      <c r="N125" s="147"/>
      <c r="O125" s="147"/>
      <c r="P125" s="147"/>
    </row>
    <row r="126" spans="2:16" ht="18" thickBot="1" x14ac:dyDescent="0.4">
      <c r="B126" s="272">
        <v>30</v>
      </c>
      <c r="C126" s="1182"/>
      <c r="D126" s="1182"/>
      <c r="E126" s="1182"/>
      <c r="F126" s="1182"/>
      <c r="G126" s="1187"/>
      <c r="H126" s="1187"/>
      <c r="I126" s="119" t="str">
        <f>IF(OR(H126="",G126=""),"",G126-H126)</f>
        <v/>
      </c>
      <c r="J126" s="1187"/>
      <c r="K126" s="1142"/>
      <c r="M126" s="139"/>
      <c r="N126" s="147"/>
      <c r="O126" s="147"/>
      <c r="P126" s="147"/>
    </row>
    <row r="127" spans="2:16" ht="18" thickBot="1" x14ac:dyDescent="0.4">
      <c r="B127" s="273" t="str">
        <f>"End: Steady-State Test" &amp; IF('General Info &amp; Test Results'!$C$46="Electricity"," - NOT REQUIRED FOR THIS TEST","")</f>
        <v>End: Steady-State Test</v>
      </c>
      <c r="C127" s="274"/>
      <c r="D127" s="275"/>
      <c r="E127" s="889"/>
      <c r="F127" s="889"/>
      <c r="G127" s="889"/>
      <c r="H127" s="889"/>
      <c r="I127" s="889"/>
      <c r="J127" s="889"/>
      <c r="K127" s="276"/>
      <c r="M127" s="139"/>
      <c r="N127" s="147"/>
      <c r="O127" s="147"/>
      <c r="P127" s="147"/>
    </row>
    <row r="128" spans="2:16" ht="17.25" x14ac:dyDescent="0.35">
      <c r="B128" s="430"/>
      <c r="C128" s="133"/>
      <c r="D128" s="133"/>
      <c r="E128" s="133"/>
      <c r="M128" s="139"/>
      <c r="N128" s="147"/>
      <c r="O128" s="147"/>
      <c r="P128" s="147"/>
    </row>
    <row r="129" spans="2:16" ht="18" thickBot="1" x14ac:dyDescent="0.4">
      <c r="B129" s="430"/>
      <c r="C129" s="133"/>
      <c r="D129" s="133"/>
      <c r="E129" s="133"/>
      <c r="M129" s="139"/>
      <c r="N129" s="147"/>
      <c r="O129" s="147"/>
      <c r="P129" s="147"/>
    </row>
    <row r="130" spans="2:16" ht="18" thickBot="1" x14ac:dyDescent="0.4">
      <c r="B130" s="1735" t="str">
        <f>"ASHRAE 103-2017, Section 9.1.3: Direct Measurement of the S/F Factors for Furnaces and Boilers with Barometric Draft Regulators" &amp; IF('Sys. # &amp; Product Characteristic'!C42="Yes",""," - NOT REQUIRED FOR THIS TEST")</f>
        <v>ASHRAE 103-2017, Section 9.1.3: Direct Measurement of the S/F Factors for Furnaces and Boilers with Barometric Draft Regulators - NOT REQUIRED FOR THIS TEST</v>
      </c>
      <c r="C130" s="1736"/>
      <c r="D130" s="1736"/>
      <c r="E130" s="1736"/>
      <c r="F130" s="1736"/>
      <c r="G130" s="1736"/>
      <c r="H130" s="1736"/>
      <c r="I130" s="1736"/>
      <c r="J130" s="1736"/>
      <c r="K130" s="1737"/>
      <c r="M130" s="139"/>
      <c r="N130" s="147"/>
      <c r="O130" s="147"/>
      <c r="P130" s="147"/>
    </row>
    <row r="131" spans="2:16" ht="154.5" customHeight="1" thickBot="1" x14ac:dyDescent="0.4">
      <c r="B131" s="1738" t="s">
        <v>1280</v>
      </c>
      <c r="C131" s="1739"/>
      <c r="D131" s="1739"/>
      <c r="E131" s="1739"/>
      <c r="F131" s="1739"/>
      <c r="G131" s="1739"/>
      <c r="H131" s="1739"/>
      <c r="I131" s="1739"/>
      <c r="J131" s="1739"/>
      <c r="K131" s="1740"/>
      <c r="M131" s="139"/>
      <c r="N131" s="147"/>
      <c r="O131" s="147"/>
      <c r="P131" s="147"/>
    </row>
    <row r="132" spans="2:16" ht="17.25" x14ac:dyDescent="0.35">
      <c r="B132" s="432"/>
      <c r="C132" s="430"/>
      <c r="D132" s="430"/>
      <c r="E132" s="430"/>
      <c r="F132" s="893"/>
      <c r="G132" s="893"/>
      <c r="H132" s="893"/>
      <c r="I132" s="893"/>
      <c r="J132" s="893"/>
      <c r="K132" s="910"/>
      <c r="M132" s="139"/>
      <c r="N132" s="147"/>
      <c r="O132" s="147"/>
      <c r="P132" s="147"/>
    </row>
    <row r="133" spans="2:16" ht="18" thickBot="1" x14ac:dyDescent="0.4">
      <c r="B133" s="1019" t="s">
        <v>893</v>
      </c>
      <c r="C133" s="930"/>
      <c r="D133" s="930"/>
      <c r="E133" s="930"/>
      <c r="F133" s="981"/>
      <c r="G133" s="981"/>
      <c r="H133" s="981"/>
      <c r="I133" s="981"/>
      <c r="J133" s="981"/>
      <c r="K133" s="909"/>
      <c r="M133" s="139"/>
      <c r="N133" s="147"/>
      <c r="O133" s="147"/>
      <c r="P133" s="147"/>
    </row>
    <row r="134" spans="2:16" ht="17.25" x14ac:dyDescent="0.35">
      <c r="B134" s="430"/>
      <c r="C134" s="133"/>
      <c r="D134" s="133"/>
      <c r="E134" s="133"/>
      <c r="M134" s="139"/>
      <c r="N134" s="147"/>
      <c r="O134" s="147"/>
      <c r="P134" s="147"/>
    </row>
    <row r="135" spans="2:16" ht="18" thickBot="1" x14ac:dyDescent="0.4">
      <c r="B135" s="430"/>
      <c r="C135" s="133"/>
      <c r="D135" s="133"/>
      <c r="E135" s="133"/>
      <c r="M135" s="139"/>
      <c r="N135" s="147"/>
      <c r="O135" s="147"/>
      <c r="P135" s="147"/>
    </row>
    <row r="136" spans="2:16" ht="34.5" customHeight="1" thickBot="1" x14ac:dyDescent="0.4">
      <c r="B136" s="1759" t="str">
        <f>"ASHRAE 103-2017, Section 9.2 OR Appendix EE, Section 8.5:" &amp; CHAR(10)
&amp; "Condensing Furnaces and Boilers, Measurement of Condensate Under Steady-State Conditions" &amp; IF(OR('Sys. # &amp; Product Characteristic'!C46="Non-Condensing",'Sys. # &amp; Product Characteristic'!C47="Single Stage")," - NOT REQUIRED FOR THIS TEST","")</f>
        <v>ASHRAE 103-2017, Section 9.2 OR Appendix EE, Section 8.5:
Condensing Furnaces and Boilers, Measurement of Condensate Under Steady-State Conditions</v>
      </c>
      <c r="C136" s="1760"/>
      <c r="D136" s="1760"/>
      <c r="E136" s="1760"/>
      <c r="F136" s="1760"/>
      <c r="G136" s="1760"/>
      <c r="H136" s="1760"/>
      <c r="I136" s="1760"/>
      <c r="J136" s="1760"/>
      <c r="K136" s="1761"/>
      <c r="M136" s="139"/>
      <c r="N136" s="147"/>
      <c r="O136" s="147"/>
      <c r="P136" s="147"/>
    </row>
    <row r="137" spans="2:16" ht="83.45" customHeight="1" x14ac:dyDescent="0.35">
      <c r="B137" s="1695" t="s">
        <v>1156</v>
      </c>
      <c r="C137" s="1696"/>
      <c r="D137" s="1696"/>
      <c r="E137" s="1696"/>
      <c r="F137" s="1696"/>
      <c r="G137" s="1696"/>
      <c r="H137" s="1696"/>
      <c r="I137" s="1696"/>
      <c r="J137" s="1696"/>
      <c r="K137" s="1697"/>
      <c r="M137" s="139"/>
      <c r="N137" s="147"/>
      <c r="O137" s="147"/>
      <c r="P137" s="147"/>
    </row>
    <row r="138" spans="2:16" ht="17.25" x14ac:dyDescent="0.35">
      <c r="B138" s="426" t="s">
        <v>52</v>
      </c>
      <c r="C138" s="427" t="s">
        <v>34</v>
      </c>
      <c r="D138" s="428" t="s">
        <v>35</v>
      </c>
      <c r="E138" s="428" t="s">
        <v>33</v>
      </c>
      <c r="F138" s="893"/>
      <c r="G138" s="893"/>
      <c r="H138" s="893"/>
      <c r="I138" s="893"/>
      <c r="J138" s="893"/>
      <c r="K138" s="910"/>
      <c r="M138" s="139"/>
      <c r="N138" s="147"/>
      <c r="O138" s="147"/>
      <c r="P138" s="147"/>
    </row>
    <row r="139" spans="2:16" s="126" customFormat="1" x14ac:dyDescent="0.3">
      <c r="B139" s="252" t="s">
        <v>248</v>
      </c>
      <c r="C139" s="180"/>
      <c r="D139" s="277" t="s">
        <v>211</v>
      </c>
      <c r="E139" s="953" t="s">
        <v>175</v>
      </c>
      <c r="F139" s="559"/>
      <c r="G139" s="559"/>
      <c r="H139" s="559"/>
      <c r="I139" s="559"/>
      <c r="J139" s="559"/>
      <c r="K139" s="608"/>
      <c r="M139" s="127"/>
    </row>
    <row r="140" spans="2:16" x14ac:dyDescent="0.3">
      <c r="B140" s="252" t="s">
        <v>78</v>
      </c>
      <c r="C140" s="1033" t="str">
        <f>IF(C139="","",IF(C139&gt;80, "No","Yes"))</f>
        <v/>
      </c>
      <c r="D140" s="264" t="s">
        <v>175</v>
      </c>
      <c r="E140" s="897" t="s">
        <v>175</v>
      </c>
      <c r="F140" s="893"/>
      <c r="G140" s="893"/>
      <c r="H140" s="893"/>
      <c r="I140" s="893"/>
      <c r="J140" s="893"/>
      <c r="K140" s="910"/>
      <c r="M140" s="139"/>
    </row>
    <row r="141" spans="2:16" ht="18" x14ac:dyDescent="0.3">
      <c r="B141" s="252" t="s">
        <v>61</v>
      </c>
      <c r="C141" s="118" t="str">
        <f>IF('Test Conditions'!HHV="", "",'Test Conditions'!HHV)</f>
        <v/>
      </c>
      <c r="D141" s="263" t="s">
        <v>246</v>
      </c>
      <c r="E141" s="897" t="s">
        <v>59</v>
      </c>
      <c r="F141" s="485"/>
      <c r="G141" s="485"/>
      <c r="H141" s="485"/>
      <c r="I141" s="485"/>
      <c r="J141" s="485"/>
      <c r="K141" s="954"/>
      <c r="L141" s="129"/>
      <c r="M141" s="139"/>
    </row>
    <row r="142" spans="2:16" ht="18" x14ac:dyDescent="0.3">
      <c r="B142" s="319" t="s">
        <v>516</v>
      </c>
      <c r="C142" s="1183"/>
      <c r="D142" s="263" t="s">
        <v>79</v>
      </c>
      <c r="E142" s="897" t="s">
        <v>681</v>
      </c>
      <c r="F142" s="430"/>
      <c r="G142" s="430"/>
      <c r="H142" s="430"/>
      <c r="I142" s="430"/>
      <c r="J142" s="430"/>
      <c r="K142" s="433"/>
      <c r="L142" s="133"/>
      <c r="M142" s="140"/>
    </row>
    <row r="143" spans="2:16" ht="17.25" x14ac:dyDescent="0.35">
      <c r="B143" s="252" t="s">
        <v>76</v>
      </c>
      <c r="C143" s="1183"/>
      <c r="D143" s="263" t="s">
        <v>75</v>
      </c>
      <c r="E143" s="897" t="s">
        <v>175</v>
      </c>
      <c r="F143" s="950"/>
      <c r="G143" s="950"/>
      <c r="H143" s="950"/>
      <c r="I143" s="950"/>
      <c r="J143" s="950"/>
      <c r="K143" s="955"/>
      <c r="L143" s="148"/>
      <c r="M143" s="149"/>
    </row>
    <row r="144" spans="2:16" ht="17.25" x14ac:dyDescent="0.35">
      <c r="B144" s="252" t="s">
        <v>77</v>
      </c>
      <c r="C144" s="1183"/>
      <c r="D144" s="264" t="s">
        <v>75</v>
      </c>
      <c r="E144" s="897" t="s">
        <v>175</v>
      </c>
      <c r="F144" s="950"/>
      <c r="G144" s="950"/>
      <c r="H144" s="950"/>
      <c r="I144" s="950"/>
      <c r="J144" s="950"/>
      <c r="K144" s="955"/>
      <c r="L144" s="148"/>
      <c r="M144" s="149"/>
    </row>
    <row r="145" spans="2:13" ht="32.450000000000003" customHeight="1" thickBot="1" x14ac:dyDescent="0.4">
      <c r="B145" s="279" t="s">
        <v>247</v>
      </c>
      <c r="C145" s="119" t="str">
        <f>IF(C143-C144=0,"",C143-C144)</f>
        <v/>
      </c>
      <c r="D145" s="268" t="s">
        <v>75</v>
      </c>
      <c r="E145" s="956" t="s">
        <v>682</v>
      </c>
      <c r="F145" s="957"/>
      <c r="G145" s="958"/>
      <c r="H145" s="958"/>
      <c r="I145" s="958"/>
      <c r="J145" s="958"/>
      <c r="K145" s="959"/>
      <c r="L145" s="148"/>
      <c r="M145" s="149"/>
    </row>
    <row r="146" spans="2:13" ht="17.25" x14ac:dyDescent="0.35">
      <c r="B146" s="280"/>
      <c r="C146" s="281"/>
      <c r="D146" s="270"/>
      <c r="E146" s="270"/>
      <c r="F146" s="129"/>
      <c r="G146" s="129"/>
      <c r="H146" s="129"/>
      <c r="I146" s="129"/>
      <c r="J146" s="129"/>
      <c r="K146" s="129"/>
      <c r="L146" s="129"/>
      <c r="M146" s="149"/>
    </row>
    <row r="147" spans="2:13" ht="18" thickBot="1" x14ac:dyDescent="0.4">
      <c r="B147" s="280"/>
      <c r="C147" s="281"/>
      <c r="D147" s="270"/>
      <c r="E147" s="270"/>
      <c r="F147" s="129"/>
      <c r="G147" s="129"/>
      <c r="H147" s="129"/>
      <c r="I147" s="129"/>
      <c r="J147" s="129"/>
      <c r="K147" s="129"/>
      <c r="L147" s="129"/>
      <c r="M147" s="149"/>
    </row>
    <row r="148" spans="2:13" ht="18" thickBot="1" x14ac:dyDescent="0.4">
      <c r="B148" s="1735" t="str">
        <f>"ASHRAE 103-2017, Section 9.4: Electric Boilers" &amp; IF(AND(OR('Sys. # &amp; Product Characteristic'!Heating_Fuel_Used="Electricity",'Sys. # &amp; Product Characteristic'!Heating_Fuel_Used=""),'Sys. # &amp; Product Characteristic'!Control_Type&lt;&gt;"Single Stage"),""," - NOT REQUIRED FOR THIS TEST")</f>
        <v>ASHRAE 103-2017, Section 9.4: Electric Boilers - NOT REQUIRED FOR THIS TEST</v>
      </c>
      <c r="C148" s="1736"/>
      <c r="D148" s="1736"/>
      <c r="E148" s="1736"/>
      <c r="F148" s="1736"/>
      <c r="G148" s="1736"/>
      <c r="H148" s="1736"/>
      <c r="I148" s="1736"/>
      <c r="J148" s="1736"/>
      <c r="K148" s="1737"/>
      <c r="L148" s="129"/>
      <c r="M148" s="149"/>
    </row>
    <row r="149" spans="2:13" ht="33.75" customHeight="1" x14ac:dyDescent="0.35">
      <c r="B149" s="1695" t="s">
        <v>1157</v>
      </c>
      <c r="C149" s="1696"/>
      <c r="D149" s="1696"/>
      <c r="E149" s="1696"/>
      <c r="F149" s="1696"/>
      <c r="G149" s="1696"/>
      <c r="H149" s="1696"/>
      <c r="I149" s="1696"/>
      <c r="J149" s="1696"/>
      <c r="K149" s="1697"/>
      <c r="L149" s="129"/>
      <c r="M149" s="149"/>
    </row>
    <row r="150" spans="2:13" ht="17.25" x14ac:dyDescent="0.35">
      <c r="B150" s="426" t="s">
        <v>52</v>
      </c>
      <c r="C150" s="427" t="s">
        <v>34</v>
      </c>
      <c r="D150" s="428" t="s">
        <v>35</v>
      </c>
      <c r="E150" s="428" t="s">
        <v>33</v>
      </c>
      <c r="F150" s="485"/>
      <c r="G150" s="485"/>
      <c r="H150" s="485"/>
      <c r="I150" s="485"/>
      <c r="J150" s="485"/>
      <c r="K150" s="954"/>
      <c r="L150" s="129"/>
      <c r="M150" s="149"/>
    </row>
    <row r="151" spans="2:13" ht="18" x14ac:dyDescent="0.35">
      <c r="B151" s="455" t="s">
        <v>401</v>
      </c>
      <c r="C151" s="107"/>
      <c r="D151" s="459" t="str">
        <f>IF('General Info &amp; Test Results'!$C$46="Electricity","kW","Btu/h")</f>
        <v>Btu/h</v>
      </c>
      <c r="E151" s="1041" t="s">
        <v>680</v>
      </c>
      <c r="F151" s="485"/>
      <c r="G151" s="485"/>
      <c r="H151" s="485"/>
      <c r="I151" s="485"/>
      <c r="J151" s="485"/>
      <c r="K151" s="954"/>
      <c r="L151" s="129"/>
      <c r="M151" s="149"/>
    </row>
    <row r="152" spans="2:13" ht="17.25" x14ac:dyDescent="0.35">
      <c r="B152" s="461" t="s">
        <v>400</v>
      </c>
      <c r="C152" s="453" t="str">
        <f>IF(OR(C155="",C156="",C157=""),"",IF(ABS(MIN(C155:C157)-MAX(C155:C157))&lt;=4,"Yes","No"))</f>
        <v/>
      </c>
      <c r="D152" s="460" t="s">
        <v>175</v>
      </c>
      <c r="E152" s="460" t="s">
        <v>175</v>
      </c>
      <c r="F152" s="485"/>
      <c r="G152" s="485"/>
      <c r="H152" s="485"/>
      <c r="I152" s="485"/>
      <c r="J152" s="485"/>
      <c r="K152" s="954"/>
      <c r="L152" s="129"/>
      <c r="M152" s="149"/>
    </row>
    <row r="153" spans="2:13" ht="17.25" x14ac:dyDescent="0.35">
      <c r="B153" s="437"/>
      <c r="C153" s="282"/>
      <c r="D153" s="438"/>
      <c r="E153" s="438"/>
      <c r="F153" s="485"/>
      <c r="G153" s="485"/>
      <c r="H153" s="485"/>
      <c r="I153" s="485"/>
      <c r="J153" s="485"/>
      <c r="K153" s="954"/>
      <c r="L153" s="129"/>
      <c r="M153" s="149"/>
    </row>
    <row r="154" spans="2:13" ht="17.25" x14ac:dyDescent="0.35">
      <c r="B154" s="462" t="s">
        <v>178</v>
      </c>
      <c r="C154" s="440" t="s">
        <v>373</v>
      </c>
      <c r="D154" s="438"/>
      <c r="E154" s="438"/>
      <c r="F154" s="485"/>
      <c r="G154" s="485"/>
      <c r="H154" s="485"/>
      <c r="I154" s="485"/>
      <c r="J154" s="485"/>
      <c r="K154" s="954"/>
      <c r="L154" s="129"/>
      <c r="M154" s="149"/>
    </row>
    <row r="155" spans="2:13" ht="17.25" x14ac:dyDescent="0.35">
      <c r="B155" s="419">
        <v>0</v>
      </c>
      <c r="C155" s="107"/>
      <c r="D155" s="438"/>
      <c r="E155" s="438"/>
      <c r="F155" s="485"/>
      <c r="G155" s="485"/>
      <c r="H155" s="485"/>
      <c r="I155" s="485"/>
      <c r="J155" s="485"/>
      <c r="K155" s="954"/>
      <c r="L155" s="129"/>
      <c r="M155" s="149"/>
    </row>
    <row r="156" spans="2:13" ht="17.25" x14ac:dyDescent="0.35">
      <c r="B156" s="271">
        <v>15</v>
      </c>
      <c r="C156" s="107"/>
      <c r="D156" s="438"/>
      <c r="E156" s="438"/>
      <c r="F156" s="485"/>
      <c r="G156" s="485"/>
      <c r="H156" s="485"/>
      <c r="I156" s="485"/>
      <c r="J156" s="485"/>
      <c r="K156" s="954"/>
      <c r="L156" s="129"/>
      <c r="M156" s="149"/>
    </row>
    <row r="157" spans="2:13" ht="18" thickBot="1" x14ac:dyDescent="0.4">
      <c r="B157" s="272">
        <v>30</v>
      </c>
      <c r="C157" s="117"/>
      <c r="D157" s="463"/>
      <c r="E157" s="463"/>
      <c r="F157" s="968"/>
      <c r="G157" s="968"/>
      <c r="H157" s="968"/>
      <c r="I157" s="968"/>
      <c r="J157" s="968"/>
      <c r="K157" s="969"/>
      <c r="L157" s="129"/>
      <c r="M157" s="149"/>
    </row>
    <row r="158" spans="2:13" ht="17.25" x14ac:dyDescent="0.35">
      <c r="B158" s="280"/>
      <c r="C158" s="281"/>
      <c r="D158" s="270"/>
      <c r="E158" s="270"/>
      <c r="F158" s="129"/>
      <c r="G158" s="129"/>
      <c r="H158" s="129"/>
      <c r="I158" s="129"/>
      <c r="J158" s="129"/>
      <c r="K158" s="129"/>
      <c r="L158" s="129"/>
      <c r="M158" s="149"/>
    </row>
    <row r="159" spans="2:13" ht="18" thickBot="1" x14ac:dyDescent="0.4">
      <c r="B159" s="280"/>
      <c r="C159" s="281"/>
      <c r="D159" s="270"/>
      <c r="E159" s="270"/>
      <c r="F159" s="129"/>
      <c r="G159" s="129"/>
      <c r="H159" s="129"/>
      <c r="I159" s="129"/>
      <c r="J159" s="129"/>
      <c r="K159" s="129"/>
      <c r="L159" s="129"/>
      <c r="M159" s="149"/>
    </row>
    <row r="160" spans="2:13" ht="18" thickBot="1" x14ac:dyDescent="0.4">
      <c r="B160" s="1735" t="str">
        <f>"Cool-Down Test" &amp; IF('Sys. # &amp; Product Characteristic'!Heating_Fuel_Used="Electricity"," - NOT REQUIRED FOR THIS TEST","")</f>
        <v>Cool-Down Test</v>
      </c>
      <c r="C160" s="1736"/>
      <c r="D160" s="1736"/>
      <c r="E160" s="1736"/>
      <c r="F160" s="1736"/>
      <c r="G160" s="1736"/>
      <c r="H160" s="1736"/>
      <c r="I160" s="1736"/>
      <c r="J160" s="1736"/>
      <c r="K160" s="1737"/>
      <c r="L160" s="129"/>
      <c r="M160" s="149"/>
    </row>
    <row r="161" spans="2:13" ht="68.25" customHeight="1" x14ac:dyDescent="0.35">
      <c r="B161" s="1695" t="s">
        <v>1136</v>
      </c>
      <c r="C161" s="1696"/>
      <c r="D161" s="1696"/>
      <c r="E161" s="1696"/>
      <c r="F161" s="1696"/>
      <c r="G161" s="1696"/>
      <c r="H161" s="1696"/>
      <c r="I161" s="1696"/>
      <c r="J161" s="1696"/>
      <c r="K161" s="1697"/>
      <c r="L161" s="129"/>
      <c r="M161" s="149"/>
    </row>
    <row r="162" spans="2:13" ht="17.25" x14ac:dyDescent="0.35">
      <c r="B162" s="764"/>
      <c r="C162" s="763"/>
      <c r="D162" s="763"/>
      <c r="E162" s="763"/>
      <c r="F162" s="485"/>
      <c r="G162" s="485"/>
      <c r="H162" s="485"/>
      <c r="I162" s="485"/>
      <c r="J162" s="485"/>
      <c r="K162" s="954"/>
      <c r="L162" s="129"/>
      <c r="M162" s="149"/>
    </row>
    <row r="163" spans="2:13" ht="216.6" customHeight="1" x14ac:dyDescent="0.35">
      <c r="B163" s="1698" t="s">
        <v>1158</v>
      </c>
      <c r="C163" s="1699"/>
      <c r="D163" s="1699"/>
      <c r="E163" s="1699"/>
      <c r="F163" s="1699"/>
      <c r="G163" s="1699"/>
      <c r="H163" s="1699"/>
      <c r="I163" s="1699"/>
      <c r="J163" s="1699"/>
      <c r="K163" s="1700"/>
      <c r="L163" s="129"/>
      <c r="M163" s="149"/>
    </row>
    <row r="164" spans="2:13" ht="17.25" x14ac:dyDescent="0.35">
      <c r="B164" s="1015" t="s">
        <v>52</v>
      </c>
      <c r="C164" s="1013" t="s">
        <v>34</v>
      </c>
      <c r="D164" s="1014" t="s">
        <v>35</v>
      </c>
      <c r="E164" s="1014" t="s">
        <v>33</v>
      </c>
      <c r="F164" s="485"/>
      <c r="G164" s="485"/>
      <c r="H164" s="485"/>
      <c r="I164" s="485"/>
      <c r="J164" s="485"/>
      <c r="K164" s="954"/>
      <c r="L164" s="129"/>
      <c r="M164" s="149"/>
    </row>
    <row r="165" spans="2:13" ht="17.25" x14ac:dyDescent="0.35">
      <c r="B165" s="815" t="s">
        <v>387</v>
      </c>
      <c r="C165" s="1189"/>
      <c r="D165" s="813" t="s">
        <v>175</v>
      </c>
      <c r="E165" s="953" t="s">
        <v>175</v>
      </c>
      <c r="F165" s="485"/>
      <c r="G165" s="485"/>
      <c r="H165" s="485"/>
      <c r="I165" s="485"/>
      <c r="J165" s="485"/>
      <c r="K165" s="954"/>
      <c r="L165" s="129"/>
      <c r="M165" s="149"/>
    </row>
    <row r="166" spans="2:13" ht="17.25" x14ac:dyDescent="0.35">
      <c r="B166" s="816" t="s">
        <v>384</v>
      </c>
      <c r="C166" s="1183"/>
      <c r="D166" s="814" t="s">
        <v>36</v>
      </c>
      <c r="E166" s="1040" t="s">
        <v>390</v>
      </c>
      <c r="F166" s="485"/>
      <c r="G166" s="485"/>
      <c r="H166" s="485"/>
      <c r="I166" s="485"/>
      <c r="J166" s="485"/>
      <c r="K166" s="954"/>
      <c r="L166" s="129"/>
      <c r="M166" s="149"/>
    </row>
    <row r="167" spans="2:13" ht="17.25" x14ac:dyDescent="0.35">
      <c r="B167" s="432"/>
      <c r="C167" s="430"/>
      <c r="D167" s="430"/>
      <c r="E167" s="992"/>
      <c r="F167" s="485"/>
      <c r="G167" s="485"/>
      <c r="H167" s="485"/>
      <c r="I167" s="485"/>
      <c r="J167" s="485"/>
      <c r="K167" s="954"/>
      <c r="L167" s="129"/>
      <c r="M167" s="149"/>
    </row>
    <row r="168" spans="2:13" ht="17.25" x14ac:dyDescent="0.35">
      <c r="B168" s="817" t="s">
        <v>386</v>
      </c>
      <c r="C168" s="1183"/>
      <c r="D168" s="277" t="s">
        <v>175</v>
      </c>
      <c r="E168" s="953" t="s">
        <v>175</v>
      </c>
      <c r="F168" s="485"/>
      <c r="G168" s="485"/>
      <c r="H168" s="485"/>
      <c r="I168" s="485"/>
      <c r="J168" s="485"/>
      <c r="K168" s="954"/>
      <c r="L168" s="129"/>
      <c r="M168" s="149"/>
    </row>
    <row r="169" spans="2:13" ht="18" x14ac:dyDescent="0.35">
      <c r="B169" s="818" t="str">
        <f>IF(C168="No","N/A","Post Purge Time")</f>
        <v>Post Purge Time</v>
      </c>
      <c r="C169" s="1183"/>
      <c r="D169" s="814" t="s">
        <v>176</v>
      </c>
      <c r="E169" s="1040" t="s">
        <v>608</v>
      </c>
      <c r="F169" s="972" t="s">
        <v>385</v>
      </c>
      <c r="G169" s="485"/>
      <c r="H169" s="485"/>
      <c r="I169" s="485"/>
      <c r="J169" s="485"/>
      <c r="K169" s="954"/>
      <c r="L169" s="129"/>
      <c r="M169" s="149"/>
    </row>
    <row r="170" spans="2:13" ht="17.25" x14ac:dyDescent="0.35">
      <c r="B170" s="437"/>
      <c r="C170" s="282"/>
      <c r="D170" s="438"/>
      <c r="E170" s="1036"/>
      <c r="F170" s="485"/>
      <c r="G170" s="485"/>
      <c r="H170" s="485"/>
      <c r="I170" s="485"/>
      <c r="J170" s="485"/>
      <c r="K170" s="954"/>
      <c r="L170" s="129"/>
      <c r="M170" s="149"/>
    </row>
    <row r="171" spans="2:13" ht="18" x14ac:dyDescent="0.35">
      <c r="B171" s="819" t="str">
        <f>IF(C168="No","N/A","Temperature at the end of the post-purge period")</f>
        <v>Temperature at the end of the post-purge period</v>
      </c>
      <c r="C171" s="1183"/>
      <c r="D171" s="813" t="s">
        <v>51</v>
      </c>
      <c r="E171" s="953" t="s">
        <v>683</v>
      </c>
      <c r="F171" s="485"/>
      <c r="G171" s="485"/>
      <c r="H171" s="485"/>
      <c r="I171" s="485"/>
      <c r="J171" s="485"/>
      <c r="K171" s="954"/>
      <c r="L171" s="129"/>
      <c r="M171" s="149"/>
    </row>
    <row r="172" spans="2:13" ht="18" x14ac:dyDescent="0.35">
      <c r="B172" s="252" t="str">
        <f>IF(C168="No","Temperature 3.75 minutes after burner shut-off","Temperature 3.75 minutes after end of post-purge period")</f>
        <v>Temperature 3.75 minutes after end of post-purge period</v>
      </c>
      <c r="C172" s="1183"/>
      <c r="D172" s="263" t="s">
        <v>51</v>
      </c>
      <c r="E172" s="896" t="s">
        <v>609</v>
      </c>
      <c r="F172" s="485"/>
      <c r="G172" s="485"/>
      <c r="H172" s="485"/>
      <c r="I172" s="485"/>
      <c r="J172" s="485"/>
      <c r="K172" s="954"/>
      <c r="L172" s="129"/>
      <c r="M172" s="149"/>
    </row>
    <row r="173" spans="2:13" ht="18.75" thickBot="1" x14ac:dyDescent="0.4">
      <c r="B173" s="267" t="str">
        <f>IF(C168="No","Temperature 22.5 minutes after burner shut-off","Temperature 22.5 minutes after end of post-purge period")</f>
        <v>Temperature 22.5 minutes after end of post-purge period</v>
      </c>
      <c r="C173" s="1182"/>
      <c r="D173" s="268" t="s">
        <v>51</v>
      </c>
      <c r="E173" s="975" t="s">
        <v>610</v>
      </c>
      <c r="F173" s="968"/>
      <c r="G173" s="968"/>
      <c r="H173" s="968"/>
      <c r="I173" s="968"/>
      <c r="J173" s="968"/>
      <c r="K173" s="969"/>
      <c r="L173" s="129"/>
      <c r="M173" s="149"/>
    </row>
    <row r="174" spans="2:13" ht="18" thickBot="1" x14ac:dyDescent="0.4">
      <c r="B174" s="437"/>
      <c r="C174" s="282"/>
      <c r="D174" s="438"/>
      <c r="E174" s="438"/>
      <c r="F174" s="485"/>
      <c r="G174" s="129"/>
      <c r="H174" s="129"/>
      <c r="I174" s="129"/>
      <c r="J174" s="129"/>
      <c r="K174" s="129"/>
      <c r="L174" s="129"/>
      <c r="M174" s="149"/>
    </row>
    <row r="175" spans="2:13" ht="102" customHeight="1" x14ac:dyDescent="0.35">
      <c r="B175" s="1695" t="s">
        <v>844</v>
      </c>
      <c r="C175" s="1696"/>
      <c r="D175" s="1696"/>
      <c r="E175" s="1696"/>
      <c r="F175" s="1696"/>
      <c r="G175" s="1696"/>
      <c r="H175" s="1696"/>
      <c r="I175" s="1696"/>
      <c r="J175" s="1696"/>
      <c r="K175" s="1697"/>
      <c r="L175" s="129"/>
      <c r="M175" s="149"/>
    </row>
    <row r="176" spans="2:13" ht="17.25" x14ac:dyDescent="0.35">
      <c r="B176" s="1015" t="s">
        <v>52</v>
      </c>
      <c r="C176" s="1013" t="s">
        <v>34</v>
      </c>
      <c r="D176" s="1014" t="s">
        <v>35</v>
      </c>
      <c r="E176" s="1014" t="s">
        <v>33</v>
      </c>
      <c r="F176" s="485"/>
      <c r="G176" s="485"/>
      <c r="H176" s="485"/>
      <c r="I176" s="485"/>
      <c r="J176" s="485"/>
      <c r="K176" s="954"/>
      <c r="L176" s="129"/>
      <c r="M176" s="149"/>
    </row>
    <row r="177" spans="2:13" ht="18" x14ac:dyDescent="0.35">
      <c r="B177" s="252" t="s">
        <v>199</v>
      </c>
      <c r="C177" s="1183"/>
      <c r="D177" s="263" t="s">
        <v>51</v>
      </c>
      <c r="E177" s="896" t="s">
        <v>611</v>
      </c>
      <c r="F177" s="485"/>
      <c r="G177" s="485"/>
      <c r="H177" s="485"/>
      <c r="I177" s="485"/>
      <c r="J177" s="485"/>
      <c r="K177" s="954"/>
      <c r="L177" s="129"/>
      <c r="M177" s="149"/>
    </row>
    <row r="178" spans="2:13" ht="18.75" thickBot="1" x14ac:dyDescent="0.4">
      <c r="B178" s="279" t="str">
        <f>IF('General Info &amp; Test Results'!C46="Electricity","N/A","Fuel Energy Input Rate to Pilot Light")</f>
        <v>Fuel Energy Input Rate to Pilot Light</v>
      </c>
      <c r="C178" s="1182"/>
      <c r="D178" s="268" t="s">
        <v>37</v>
      </c>
      <c r="E178" s="956" t="s">
        <v>654</v>
      </c>
      <c r="F178" s="968"/>
      <c r="G178" s="968"/>
      <c r="H178" s="968"/>
      <c r="I178" s="968"/>
      <c r="J178" s="968"/>
      <c r="K178" s="969"/>
      <c r="L178" s="129"/>
      <c r="M178" s="149"/>
    </row>
    <row r="179" spans="2:13" ht="18" thickBot="1" x14ac:dyDescent="0.4">
      <c r="B179" s="1808" t="str">
        <f>"End Cool-Down Test" &amp; IF('Sys. # &amp; Product Characteristic'!Heating_Fuel_Used="Electricity"," - NOT REQUIRED FOR THIS TEST","")</f>
        <v>End Cool-Down Test</v>
      </c>
      <c r="C179" s="1809"/>
      <c r="D179" s="1809"/>
      <c r="E179" s="1809"/>
      <c r="F179" s="1809"/>
      <c r="G179" s="1809"/>
      <c r="H179" s="1809"/>
      <c r="I179" s="1809"/>
      <c r="J179" s="1809"/>
      <c r="K179" s="1810"/>
      <c r="L179" s="129"/>
      <c r="M179" s="149"/>
    </row>
    <row r="180" spans="2:13" ht="17.25" x14ac:dyDescent="0.35">
      <c r="B180" s="280"/>
      <c r="C180" s="281"/>
      <c r="D180" s="270"/>
      <c r="E180" s="270"/>
      <c r="F180" s="129"/>
      <c r="G180" s="129"/>
      <c r="H180" s="129"/>
      <c r="I180" s="129"/>
      <c r="J180" s="129"/>
      <c r="K180" s="129"/>
      <c r="L180" s="129"/>
      <c r="M180" s="149"/>
    </row>
    <row r="181" spans="2:13" ht="18" thickBot="1" x14ac:dyDescent="0.4">
      <c r="B181" s="280"/>
      <c r="C181" s="281"/>
      <c r="D181" s="270"/>
      <c r="E181" s="270"/>
      <c r="F181" s="129"/>
      <c r="G181" s="129"/>
      <c r="H181" s="129"/>
      <c r="I181" s="129"/>
      <c r="J181" s="129"/>
      <c r="K181" s="129"/>
      <c r="L181" s="129"/>
      <c r="M181" s="149"/>
    </row>
    <row r="182" spans="2:13" ht="18" thickBot="1" x14ac:dyDescent="0.4">
      <c r="B182" s="273" t="str">
        <f>"Heat-Up Test" &amp; IF('Sys. # &amp; Product Characteristic'!Heating_Fuel_Used="Electricity"," - NOT REQUIRED FOR THIS TEST","")</f>
        <v>Heat-Up Test</v>
      </c>
      <c r="C182" s="274"/>
      <c r="D182" s="275"/>
      <c r="E182" s="889"/>
      <c r="F182" s="889"/>
      <c r="G182" s="889"/>
      <c r="H182" s="889"/>
      <c r="I182" s="889"/>
      <c r="J182" s="889"/>
      <c r="K182" s="276"/>
      <c r="L182" s="129"/>
      <c r="M182" s="149"/>
    </row>
    <row r="183" spans="2:13" ht="128.1" customHeight="1" x14ac:dyDescent="0.35">
      <c r="B183" s="1695" t="s">
        <v>1159</v>
      </c>
      <c r="C183" s="1696"/>
      <c r="D183" s="1696"/>
      <c r="E183" s="1696"/>
      <c r="F183" s="1696"/>
      <c r="G183" s="1696"/>
      <c r="H183" s="1696"/>
      <c r="I183" s="1696"/>
      <c r="J183" s="1696"/>
      <c r="K183" s="1697"/>
      <c r="L183" s="129"/>
      <c r="M183" s="149"/>
    </row>
    <row r="184" spans="2:13" ht="17.25" x14ac:dyDescent="0.35">
      <c r="B184" s="1015" t="s">
        <v>52</v>
      </c>
      <c r="C184" s="1013" t="s">
        <v>34</v>
      </c>
      <c r="D184" s="1014" t="s">
        <v>35</v>
      </c>
      <c r="E184" s="1014" t="s">
        <v>33</v>
      </c>
      <c r="F184" s="485"/>
      <c r="G184" s="485"/>
      <c r="H184" s="485"/>
      <c r="I184" s="485"/>
      <c r="J184" s="485"/>
      <c r="K184" s="954"/>
      <c r="L184" s="129"/>
      <c r="M184" s="149"/>
    </row>
    <row r="185" spans="2:13" ht="18" x14ac:dyDescent="0.35">
      <c r="B185" s="252" t="s">
        <v>388</v>
      </c>
      <c r="C185" s="1183"/>
      <c r="D185" s="1143" t="s">
        <v>51</v>
      </c>
      <c r="E185" s="897" t="s">
        <v>601</v>
      </c>
      <c r="F185" s="485"/>
      <c r="G185" s="485"/>
      <c r="H185" s="485"/>
      <c r="I185" s="485"/>
      <c r="J185" s="485"/>
      <c r="K185" s="954"/>
      <c r="L185" s="129"/>
      <c r="M185" s="149"/>
    </row>
    <row r="186" spans="2:13" ht="18.75" thickBot="1" x14ac:dyDescent="0.4">
      <c r="B186" s="267" t="s">
        <v>389</v>
      </c>
      <c r="C186" s="1182"/>
      <c r="D186" s="769" t="s">
        <v>51</v>
      </c>
      <c r="E186" s="956" t="s">
        <v>602</v>
      </c>
      <c r="F186" s="968"/>
      <c r="G186" s="968"/>
      <c r="H186" s="968"/>
      <c r="I186" s="968"/>
      <c r="J186" s="968"/>
      <c r="K186" s="969"/>
      <c r="L186" s="129"/>
      <c r="M186" s="149"/>
    </row>
    <row r="187" spans="2:13" ht="18" thickBot="1" x14ac:dyDescent="0.4">
      <c r="B187" s="437"/>
      <c r="C187" s="282"/>
      <c r="D187" s="438"/>
      <c r="E187" s="438"/>
      <c r="F187" s="485"/>
      <c r="G187" s="485"/>
      <c r="H187" s="485"/>
      <c r="I187" s="485"/>
      <c r="J187" s="485"/>
      <c r="K187" s="954"/>
      <c r="L187" s="129"/>
      <c r="M187" s="149"/>
    </row>
    <row r="188" spans="2:13" ht="152.25" customHeight="1" x14ac:dyDescent="0.35">
      <c r="B188" s="1744" t="s">
        <v>1140</v>
      </c>
      <c r="C188" s="1745"/>
      <c r="D188" s="1745"/>
      <c r="E188" s="1745"/>
      <c r="F188" s="1745"/>
      <c r="G188" s="1745"/>
      <c r="H188" s="1745"/>
      <c r="I188" s="1745"/>
      <c r="J188" s="1745"/>
      <c r="K188" s="1746"/>
      <c r="L188" s="129"/>
      <c r="M188" s="149"/>
    </row>
    <row r="189" spans="2:13" ht="17.25" x14ac:dyDescent="0.35">
      <c r="B189" s="749"/>
      <c r="C189" s="747"/>
      <c r="D189" s="747"/>
      <c r="E189" s="747"/>
      <c r="F189" s="485"/>
      <c r="G189" s="485"/>
      <c r="H189" s="485"/>
      <c r="I189" s="485"/>
      <c r="J189" s="485"/>
      <c r="K189" s="954"/>
      <c r="L189" s="129"/>
      <c r="M189" s="149"/>
    </row>
    <row r="190" spans="2:13" ht="33.75" customHeight="1" x14ac:dyDescent="0.35">
      <c r="B190" s="1701" t="s">
        <v>1125</v>
      </c>
      <c r="C190" s="1702"/>
      <c r="D190" s="1702"/>
      <c r="E190" s="1702"/>
      <c r="F190" s="1702"/>
      <c r="G190" s="1702"/>
      <c r="H190" s="1702"/>
      <c r="I190" s="1702"/>
      <c r="J190" s="1702"/>
      <c r="K190" s="1703"/>
      <c r="L190" s="129"/>
      <c r="M190" s="149"/>
    </row>
    <row r="191" spans="2:13" ht="17.25" x14ac:dyDescent="0.35">
      <c r="B191" s="749"/>
      <c r="C191" s="747"/>
      <c r="D191" s="747"/>
      <c r="E191" s="747"/>
      <c r="F191" s="894"/>
      <c r="G191" s="893"/>
      <c r="H191" s="893"/>
      <c r="I191" s="893"/>
      <c r="J191" s="893"/>
      <c r="K191" s="910"/>
      <c r="L191" s="129"/>
      <c r="M191" s="149"/>
    </row>
    <row r="192" spans="2:13" ht="17.25" x14ac:dyDescent="0.35">
      <c r="B192" s="1709" t="str">
        <f>"Non-Condensing Hot Water Boilers" &amp; IF(OR('Sys. # &amp; Product Characteristic'!Heating_Fuel_Used="Electricity",'Sys. # &amp; Product Characteristic'!Flue_Gas="Non-Condensing"),""," - NOT REQUIRED FOR THIS TEST")</f>
        <v>Non-Condensing Hot Water Boilers - NOT REQUIRED FOR THIS TEST</v>
      </c>
      <c r="C192" s="1762"/>
      <c r="D192" s="1762"/>
      <c r="E192" s="1763"/>
      <c r="F192" s="978"/>
      <c r="G192" s="940"/>
      <c r="H192" s="941"/>
      <c r="I192" s="893"/>
      <c r="J192" s="893"/>
      <c r="K192" s="910"/>
      <c r="L192" s="129"/>
      <c r="M192" s="149"/>
    </row>
    <row r="193" spans="2:13" ht="17.25" x14ac:dyDescent="0.35">
      <c r="B193" s="1704" t="s">
        <v>52</v>
      </c>
      <c r="C193" s="1706" t="s">
        <v>870</v>
      </c>
      <c r="D193" s="1707"/>
      <c r="E193" s="1632" t="s">
        <v>838</v>
      </c>
      <c r="F193" s="1632"/>
      <c r="G193" s="1604" t="s">
        <v>35</v>
      </c>
      <c r="H193" s="1708" t="s">
        <v>837</v>
      </c>
      <c r="I193" s="893"/>
      <c r="J193" s="893"/>
      <c r="K193" s="910"/>
      <c r="L193" s="129"/>
      <c r="M193" s="149"/>
    </row>
    <row r="194" spans="2:13" ht="17.25" x14ac:dyDescent="0.35">
      <c r="B194" s="1705"/>
      <c r="C194" s="746" t="s">
        <v>256</v>
      </c>
      <c r="D194" s="746" t="s">
        <v>257</v>
      </c>
      <c r="E194" s="937" t="s">
        <v>256</v>
      </c>
      <c r="F194" s="937" t="s">
        <v>257</v>
      </c>
      <c r="G194" s="1604"/>
      <c r="H194" s="1708"/>
      <c r="I194" s="893"/>
      <c r="J194" s="893"/>
      <c r="K194" s="910"/>
      <c r="L194" s="129"/>
      <c r="M194" s="149"/>
    </row>
    <row r="195" spans="2:13" ht="17.25" x14ac:dyDescent="0.35">
      <c r="B195" s="979" t="s">
        <v>836</v>
      </c>
      <c r="C195" s="107"/>
      <c r="D195" s="107"/>
      <c r="E195" s="118" t="str">
        <f>IF('Sys. # &amp; Product Characteristic'!Flue_Gas&lt;&gt;"Non-Condensing","N/A",120)</f>
        <v>N/A</v>
      </c>
      <c r="F195" s="118" t="str">
        <f>IF('Sys. # &amp; Product Characteristic'!Flue_Gas&lt;&gt;"Non-Condensing","N/A",124)</f>
        <v>N/A</v>
      </c>
      <c r="G195" s="977" t="s">
        <v>51</v>
      </c>
      <c r="H195" s="453" t="str">
        <f>IF('Sys. # &amp; Product Characteristic'!Flue_Gas&lt;&gt;"Non-Condensing","N/A",IF(AND(C195&gt;=E195,D195&lt;=F195,C195&lt;=D195),"Yes","No"))</f>
        <v>N/A</v>
      </c>
      <c r="I195" s="485"/>
      <c r="J195" s="485"/>
      <c r="K195" s="954"/>
      <c r="L195" s="129"/>
      <c r="M195" s="149"/>
    </row>
    <row r="196" spans="2:13" ht="17.25" x14ac:dyDescent="0.35">
      <c r="B196" s="749"/>
      <c r="C196" s="747"/>
      <c r="D196" s="747"/>
      <c r="E196" s="747"/>
      <c r="F196" s="485"/>
      <c r="G196" s="485"/>
      <c r="H196" s="485"/>
      <c r="I196" s="485"/>
      <c r="J196" s="485"/>
      <c r="K196" s="954"/>
      <c r="L196" s="129"/>
      <c r="M196" s="149"/>
    </row>
    <row r="197" spans="2:13" ht="17.25" x14ac:dyDescent="0.35">
      <c r="B197" s="1709" t="str">
        <f>"Condensing Hot Water Boilers" &amp; IF('Sys. # &amp; Product Characteristic'!Flue_Gas="Condensing",""," - NOT REQUIRED FOR THIS TEST")</f>
        <v>Condensing Hot Water Boilers - NOT REQUIRED FOR THIS TEST</v>
      </c>
      <c r="C197" s="1762"/>
      <c r="D197" s="1762"/>
      <c r="E197" s="1763"/>
      <c r="F197" s="1038"/>
      <c r="G197" s="1038"/>
      <c r="H197" s="1039"/>
      <c r="I197" s="485"/>
      <c r="J197" s="485"/>
      <c r="K197" s="954"/>
      <c r="L197" s="129"/>
      <c r="M197" s="149"/>
    </row>
    <row r="198" spans="2:13" ht="17.25" x14ac:dyDescent="0.35">
      <c r="B198" s="1704" t="s">
        <v>52</v>
      </c>
      <c r="C198" s="1706" t="s">
        <v>870</v>
      </c>
      <c r="D198" s="1707"/>
      <c r="E198" s="1632" t="s">
        <v>838</v>
      </c>
      <c r="F198" s="1632"/>
      <c r="G198" s="1604" t="s">
        <v>35</v>
      </c>
      <c r="H198" s="1708" t="s">
        <v>837</v>
      </c>
      <c r="I198" s="485"/>
      <c r="J198" s="485"/>
      <c r="K198" s="954"/>
      <c r="L198" s="129"/>
      <c r="M198" s="149"/>
    </row>
    <row r="199" spans="2:13" ht="17.25" x14ac:dyDescent="0.35">
      <c r="B199" s="1705"/>
      <c r="C199" s="746" t="s">
        <v>256</v>
      </c>
      <c r="D199" s="746" t="s">
        <v>257</v>
      </c>
      <c r="E199" s="937" t="s">
        <v>256</v>
      </c>
      <c r="F199" s="937" t="s">
        <v>257</v>
      </c>
      <c r="G199" s="1604"/>
      <c r="H199" s="1708"/>
      <c r="I199" s="485"/>
      <c r="J199" s="485"/>
      <c r="K199" s="954"/>
      <c r="L199" s="129"/>
      <c r="M199" s="149"/>
    </row>
    <row r="200" spans="2:13" ht="17.25" x14ac:dyDescent="0.35">
      <c r="B200" s="748" t="s">
        <v>840</v>
      </c>
      <c r="C200" s="1183"/>
      <c r="D200" s="1183"/>
      <c r="E200" s="118" t="str">
        <f>IF('Sys. # &amp; Product Characteristic'!Flue_Gas&lt;&gt;"Condensing","",120-10)</f>
        <v/>
      </c>
      <c r="F200" s="118" t="str">
        <f>IF('Sys. # &amp; Product Characteristic'!Flue_Gas&lt;&gt;"Condensing","",120+10)</f>
        <v/>
      </c>
      <c r="G200" s="892" t="s">
        <v>51</v>
      </c>
      <c r="H200" s="453" t="str">
        <f>IF('Sys. # &amp; Product Characteristic'!Flue_Gas&lt;&gt;"Condensing","N/A",IF(AND(C200&gt;=E200,D200&lt;=F200,C200&lt;=D200),"Yes","No"))</f>
        <v>N/A</v>
      </c>
      <c r="I200" s="485"/>
      <c r="J200" s="485"/>
      <c r="K200" s="954"/>
      <c r="L200" s="129"/>
      <c r="M200" s="149"/>
    </row>
    <row r="201" spans="2:13" ht="17.25" x14ac:dyDescent="0.35">
      <c r="B201" s="752" t="s">
        <v>841</v>
      </c>
      <c r="C201" s="1183"/>
      <c r="D201" s="1183"/>
      <c r="E201" s="118" t="str">
        <f>IF('Sys. # &amp; Product Characteristic'!Flue_Gas&lt;&gt;"Condensing","",120-5)</f>
        <v/>
      </c>
      <c r="F201" s="118" t="str">
        <f>IF('Sys. # &amp; Product Characteristic'!Flue_Gas&lt;&gt;"Condensing","",120+5)</f>
        <v/>
      </c>
      <c r="G201" s="892" t="s">
        <v>51</v>
      </c>
      <c r="H201" s="453" t="str">
        <f>IF('Sys. # &amp; Product Characteristic'!Flue_Gas&lt;&gt;"Condensing","N/A",IF(AND(C201&gt;=E201,D201&lt;=F201,C201&lt;=D201),"Yes","No"))</f>
        <v>N/A</v>
      </c>
      <c r="I201" s="485"/>
      <c r="J201" s="485"/>
      <c r="K201" s="954"/>
      <c r="L201" s="129"/>
      <c r="M201" s="149"/>
    </row>
    <row r="202" spans="2:13" ht="18" thickBot="1" x14ac:dyDescent="0.4">
      <c r="B202" s="770" t="s">
        <v>842</v>
      </c>
      <c r="C202" s="1182"/>
      <c r="D202" s="1182"/>
      <c r="E202" s="119" t="str">
        <f>IF('Sys. # &amp; Product Characteristic'!Flue_Gas&lt;&gt;"Condensing","",120-2)</f>
        <v/>
      </c>
      <c r="F202" s="119" t="str">
        <f>IF('Sys. # &amp; Product Characteristic'!Flue_Gas&lt;&gt;"Condensing","",120+2)</f>
        <v/>
      </c>
      <c r="G202" s="982" t="s">
        <v>51</v>
      </c>
      <c r="H202" s="771" t="str">
        <f>IF('Sys. # &amp; Product Characteristic'!Flue_Gas&lt;&gt;"Condensing","N/A",IF(AND(C202&gt;=E202,D202&lt;=F202,C202&lt;=D202),"Yes","No"))</f>
        <v>N/A</v>
      </c>
      <c r="I202" s="968"/>
      <c r="J202" s="968"/>
      <c r="K202" s="969"/>
      <c r="L202" s="129"/>
      <c r="M202" s="149"/>
    </row>
    <row r="203" spans="2:13" ht="18" thickBot="1" x14ac:dyDescent="0.4">
      <c r="B203" s="273" t="str">
        <f>"End: Heat-Up Test" &amp; IF('Sys. # &amp; Product Characteristic'!Heating_Fuel_Used="Electricity"," - NOT REQUIRED FOR THIS TEST","")</f>
        <v>End: Heat-Up Test</v>
      </c>
      <c r="C203" s="274"/>
      <c r="D203" s="275"/>
      <c r="E203" s="889"/>
      <c r="F203" s="889"/>
      <c r="G203" s="889"/>
      <c r="H203" s="889"/>
      <c r="I203" s="889"/>
      <c r="J203" s="889"/>
      <c r="K203" s="276"/>
      <c r="L203" s="129"/>
      <c r="M203" s="149"/>
    </row>
    <row r="204" spans="2:13" ht="17.25" x14ac:dyDescent="0.35">
      <c r="B204" s="280"/>
      <c r="C204" s="281"/>
      <c r="D204" s="270"/>
      <c r="E204" s="270"/>
      <c r="F204" s="129"/>
      <c r="G204" s="129"/>
      <c r="H204" s="129"/>
      <c r="I204" s="129"/>
      <c r="J204" s="129"/>
      <c r="K204" s="129"/>
      <c r="L204" s="129"/>
      <c r="M204" s="149"/>
    </row>
    <row r="205" spans="2:13" ht="18" thickBot="1" x14ac:dyDescent="0.4">
      <c r="B205" s="280"/>
      <c r="C205" s="281"/>
      <c r="D205" s="270"/>
      <c r="E205" s="270"/>
      <c r="F205" s="129"/>
      <c r="G205" s="129"/>
      <c r="H205" s="129"/>
      <c r="I205" s="129"/>
      <c r="J205" s="129"/>
      <c r="K205" s="129"/>
      <c r="L205" s="129"/>
      <c r="M205" s="149"/>
    </row>
    <row r="206" spans="2:13" ht="33" customHeight="1" thickBot="1" x14ac:dyDescent="0.4">
      <c r="B206" s="1735" t="str">
        <f>"ASHRAE 103-2017, Section 9.7: Optional Tracer Gas Test Procedures for Determining Draft Factors for D_P, D_F, and D_S for Systems Equipped with Power Burners or Direct Vent and Not Equipped with Stack Dampers" &amp;
IF(OR('Sys. # &amp; Product Characteristic'!Heating_Fuel_Used="Electricity",'Sys. # &amp; Product Characteristic'!C19="Yes",'Sys. # &amp; Product Characteristic'!Control_Type="Step Modulating",
AND('Sys. # &amp; Product Characteristic'!Burner_Type&lt;&gt;"Power",'Sys. # &amp; Product Characteristic'!C15="No")),
" - NOT AN OPTION FOR THIS TEST","")</f>
        <v>ASHRAE 103-2017, Section 9.7: Optional Tracer Gas Test Procedures for Determining Draft Factors for D_P, D_F, and D_S for Systems Equipped with Power Burners or Direct Vent and Not Equipped with Stack Dampers</v>
      </c>
      <c r="C206" s="1736"/>
      <c r="D206" s="1736"/>
      <c r="E206" s="1736"/>
      <c r="F206" s="1736"/>
      <c r="G206" s="1736"/>
      <c r="H206" s="1736"/>
      <c r="I206" s="1736"/>
      <c r="J206" s="1736"/>
      <c r="K206" s="1737"/>
      <c r="L206" s="129"/>
      <c r="M206" s="149"/>
    </row>
    <row r="207" spans="2:13" ht="17.25" x14ac:dyDescent="0.35">
      <c r="B207" s="736" t="s">
        <v>52</v>
      </c>
      <c r="C207" s="269" t="s">
        <v>34</v>
      </c>
      <c r="D207" s="261" t="s">
        <v>35</v>
      </c>
      <c r="E207" s="261" t="s">
        <v>33</v>
      </c>
      <c r="F207" s="1045"/>
      <c r="G207" s="1046"/>
      <c r="H207" s="1046"/>
      <c r="I207" s="1046"/>
      <c r="J207" s="1046"/>
      <c r="K207" s="1047"/>
      <c r="M207" s="139"/>
    </row>
    <row r="208" spans="2:13" ht="18" thickBot="1" x14ac:dyDescent="0.35">
      <c r="B208" s="811" t="s">
        <v>517</v>
      </c>
      <c r="C208" s="117"/>
      <c r="D208" s="775" t="s">
        <v>175</v>
      </c>
      <c r="E208" s="1035" t="s">
        <v>175</v>
      </c>
      <c r="F208" s="987"/>
      <c r="G208" s="981"/>
      <c r="H208" s="981"/>
      <c r="I208" s="981"/>
      <c r="J208" s="981"/>
      <c r="K208" s="909"/>
      <c r="M208" s="139"/>
    </row>
    <row r="209" spans="2:13" ht="18" thickBot="1" x14ac:dyDescent="0.35">
      <c r="B209" s="772"/>
      <c r="C209" s="760"/>
      <c r="D209" s="760"/>
      <c r="E209" s="760"/>
      <c r="F209" s="760"/>
      <c r="G209" s="893"/>
      <c r="H209" s="893"/>
      <c r="I209" s="893"/>
      <c r="J209" s="893"/>
      <c r="K209" s="910"/>
      <c r="M209" s="139"/>
    </row>
    <row r="210" spans="2:13" ht="103.5" customHeight="1" x14ac:dyDescent="0.3">
      <c r="B210" s="1753" t="s">
        <v>1162</v>
      </c>
      <c r="C210" s="1754"/>
      <c r="D210" s="1754"/>
      <c r="E210" s="1754"/>
      <c r="F210" s="1754"/>
      <c r="G210" s="1754"/>
      <c r="H210" s="1754"/>
      <c r="I210" s="1754"/>
      <c r="J210" s="1754"/>
      <c r="K210" s="1755"/>
      <c r="M210" s="139"/>
    </row>
    <row r="211" spans="2:13" ht="17.25" x14ac:dyDescent="0.35">
      <c r="B211" s="1015" t="s">
        <v>52</v>
      </c>
      <c r="C211" s="1013" t="s">
        <v>34</v>
      </c>
      <c r="D211" s="1014" t="s">
        <v>35</v>
      </c>
      <c r="E211" s="1014" t="s">
        <v>33</v>
      </c>
      <c r="F211" s="875"/>
      <c r="G211" s="893"/>
      <c r="H211" s="893"/>
      <c r="I211" s="893"/>
      <c r="J211" s="893"/>
      <c r="K211" s="910"/>
      <c r="M211" s="139"/>
    </row>
    <row r="212" spans="2:13" ht="18.75" thickBot="1" x14ac:dyDescent="0.35">
      <c r="B212" s="774" t="s">
        <v>241</v>
      </c>
      <c r="C212" s="117"/>
      <c r="D212" s="775" t="s">
        <v>243</v>
      </c>
      <c r="E212" s="956" t="s">
        <v>684</v>
      </c>
      <c r="F212" s="987"/>
      <c r="G212" s="981"/>
      <c r="H212" s="981"/>
      <c r="I212" s="981"/>
      <c r="J212" s="981"/>
      <c r="K212" s="909"/>
      <c r="M212" s="139"/>
    </row>
    <row r="213" spans="2:13" ht="17.25" thickBot="1" x14ac:dyDescent="0.35">
      <c r="B213" s="776"/>
      <c r="C213" s="1172"/>
      <c r="D213" s="1172"/>
      <c r="E213" s="983"/>
      <c r="F213" s="324"/>
      <c r="G213" s="893"/>
      <c r="H213" s="893"/>
      <c r="I213" s="893"/>
      <c r="J213" s="893"/>
      <c r="K213" s="910"/>
      <c r="M213" s="139"/>
    </row>
    <row r="214" spans="2:13" ht="69" customHeight="1" x14ac:dyDescent="0.3">
      <c r="B214" s="1633" t="s">
        <v>846</v>
      </c>
      <c r="C214" s="1634"/>
      <c r="D214" s="1634"/>
      <c r="E214" s="1634"/>
      <c r="F214" s="1634"/>
      <c r="G214" s="1634"/>
      <c r="H214" s="1634"/>
      <c r="I214" s="1634"/>
      <c r="J214" s="1634"/>
      <c r="K214" s="1635"/>
      <c r="M214" s="139"/>
    </row>
    <row r="215" spans="2:13" ht="17.25" x14ac:dyDescent="0.35">
      <c r="B215" s="1015" t="s">
        <v>52</v>
      </c>
      <c r="C215" s="1013" t="s">
        <v>34</v>
      </c>
      <c r="D215" s="1014" t="s">
        <v>35</v>
      </c>
      <c r="E215" s="1014" t="s">
        <v>33</v>
      </c>
      <c r="F215" s="875"/>
      <c r="G215" s="893"/>
      <c r="H215" s="893"/>
      <c r="I215" s="893"/>
      <c r="J215" s="893"/>
      <c r="K215" s="910"/>
      <c r="M215" s="139"/>
    </row>
    <row r="216" spans="2:13" ht="18" x14ac:dyDescent="0.3">
      <c r="B216" s="319" t="s">
        <v>240</v>
      </c>
      <c r="C216" s="107"/>
      <c r="D216" s="263" t="s">
        <v>211</v>
      </c>
      <c r="E216" s="897" t="s">
        <v>685</v>
      </c>
      <c r="F216" s="876"/>
      <c r="G216" s="893"/>
      <c r="H216" s="893"/>
      <c r="I216" s="893"/>
      <c r="J216" s="893"/>
      <c r="K216" s="910"/>
      <c r="M216" s="139"/>
    </row>
    <row r="217" spans="2:13" ht="18" x14ac:dyDescent="0.3">
      <c r="B217" s="319" t="s">
        <v>1287</v>
      </c>
      <c r="C217" s="107"/>
      <c r="D217" s="551" t="s">
        <v>211</v>
      </c>
      <c r="E217" s="897" t="s">
        <v>690</v>
      </c>
      <c r="F217" s="876"/>
      <c r="G217" s="893"/>
      <c r="H217" s="893"/>
      <c r="I217" s="893"/>
      <c r="J217" s="893"/>
      <c r="K217" s="910"/>
      <c r="M217" s="139"/>
    </row>
    <row r="218" spans="2:13" ht="18" x14ac:dyDescent="0.3">
      <c r="B218" s="319" t="s">
        <v>391</v>
      </c>
      <c r="C218" s="107"/>
      <c r="D218" s="263" t="s">
        <v>51</v>
      </c>
      <c r="E218" s="897" t="s">
        <v>686</v>
      </c>
      <c r="F218" s="876"/>
      <c r="G218" s="893"/>
      <c r="H218" s="893"/>
      <c r="I218" s="893"/>
      <c r="J218" s="893"/>
      <c r="K218" s="910"/>
      <c r="M218" s="139"/>
    </row>
    <row r="219" spans="2:13" ht="18" x14ac:dyDescent="0.3">
      <c r="B219" s="319" t="s">
        <v>392</v>
      </c>
      <c r="C219" s="107"/>
      <c r="D219" s="263" t="s">
        <v>393</v>
      </c>
      <c r="E219" s="897" t="s">
        <v>687</v>
      </c>
      <c r="F219" s="876"/>
      <c r="G219" s="893"/>
      <c r="H219" s="893"/>
      <c r="I219" s="893"/>
      <c r="J219" s="893"/>
      <c r="K219" s="910"/>
      <c r="M219" s="139"/>
    </row>
    <row r="220" spans="2:13" ht="18.75" thickBot="1" x14ac:dyDescent="0.35">
      <c r="B220" s="774" t="s">
        <v>495</v>
      </c>
      <c r="C220" s="768" t="str">
        <f>IF(OR(T.T_TG="",P.B_TG=""),"",1.325*P.B_TG/(T.T_TG+460))</f>
        <v/>
      </c>
      <c r="D220" s="775" t="s">
        <v>242</v>
      </c>
      <c r="E220" s="986" t="s">
        <v>688</v>
      </c>
      <c r="F220" s="985"/>
      <c r="G220" s="981"/>
      <c r="H220" s="981"/>
      <c r="I220" s="981"/>
      <c r="J220" s="981"/>
      <c r="K220" s="909"/>
      <c r="M220" s="139"/>
    </row>
    <row r="221" spans="2:13" ht="18" thickBot="1" x14ac:dyDescent="0.35">
      <c r="B221" s="772"/>
      <c r="C221" s="760"/>
      <c r="D221" s="760"/>
      <c r="E221" s="760"/>
      <c r="F221" s="760"/>
      <c r="G221" s="893"/>
      <c r="H221" s="893"/>
      <c r="I221" s="893"/>
      <c r="J221" s="893"/>
      <c r="K221" s="910"/>
      <c r="M221" s="139"/>
    </row>
    <row r="222" spans="2:13" ht="85.5" customHeight="1" x14ac:dyDescent="0.3">
      <c r="B222" s="1633" t="s">
        <v>845</v>
      </c>
      <c r="C222" s="1634"/>
      <c r="D222" s="1634"/>
      <c r="E222" s="1634"/>
      <c r="F222" s="1634"/>
      <c r="G222" s="1634"/>
      <c r="H222" s="1634"/>
      <c r="I222" s="1634"/>
      <c r="J222" s="1634"/>
      <c r="K222" s="1635"/>
      <c r="M222" s="139"/>
    </row>
    <row r="223" spans="2:13" ht="17.25" x14ac:dyDescent="0.35">
      <c r="B223" s="1015" t="s">
        <v>52</v>
      </c>
      <c r="C223" s="1013" t="s">
        <v>34</v>
      </c>
      <c r="D223" s="1014" t="s">
        <v>35</v>
      </c>
      <c r="E223" s="1014" t="s">
        <v>33</v>
      </c>
      <c r="F223" s="876"/>
      <c r="G223" s="893"/>
      <c r="H223" s="893"/>
      <c r="I223" s="893"/>
      <c r="J223" s="893"/>
      <c r="K223" s="910"/>
      <c r="M223" s="139"/>
    </row>
    <row r="224" spans="2:13" ht="18.75" thickBot="1" x14ac:dyDescent="0.35">
      <c r="B224" s="279" t="s">
        <v>1290</v>
      </c>
      <c r="C224" s="117"/>
      <c r="D224" s="268" t="s">
        <v>51</v>
      </c>
      <c r="E224" s="956" t="s">
        <v>617</v>
      </c>
      <c r="F224" s="985"/>
      <c r="G224" s="981"/>
      <c r="H224" s="981"/>
      <c r="I224" s="981"/>
      <c r="J224" s="981"/>
      <c r="K224" s="909"/>
      <c r="M224" s="139"/>
    </row>
    <row r="225" spans="2:13" ht="18" thickBot="1" x14ac:dyDescent="0.35">
      <c r="B225" s="772"/>
      <c r="C225" s="760"/>
      <c r="D225" s="760"/>
      <c r="E225" s="760"/>
      <c r="F225" s="760"/>
      <c r="G225" s="893"/>
      <c r="H225" s="893"/>
      <c r="I225" s="893"/>
      <c r="J225" s="893"/>
      <c r="K225" s="910"/>
      <c r="M225" s="139"/>
    </row>
    <row r="226" spans="2:13" ht="51.75" customHeight="1" thickBot="1" x14ac:dyDescent="0.35">
      <c r="B226" s="1756" t="s">
        <v>1144</v>
      </c>
      <c r="C226" s="1757"/>
      <c r="D226" s="1757"/>
      <c r="E226" s="1757"/>
      <c r="F226" s="1757"/>
      <c r="G226" s="1757"/>
      <c r="H226" s="1757"/>
      <c r="I226" s="1757"/>
      <c r="J226" s="1757"/>
      <c r="K226" s="1758"/>
      <c r="M226" s="139"/>
    </row>
    <row r="227" spans="2:13" ht="18" thickBot="1" x14ac:dyDescent="0.35">
      <c r="B227" s="772"/>
      <c r="C227" s="760"/>
      <c r="D227" s="760"/>
      <c r="E227" s="760"/>
      <c r="F227" s="760"/>
      <c r="G227" s="893"/>
      <c r="H227" s="893"/>
      <c r="I227" s="893"/>
      <c r="J227" s="893"/>
      <c r="K227" s="910"/>
      <c r="M227" s="139"/>
    </row>
    <row r="228" spans="2:13" ht="51.75" customHeight="1" thickBot="1" x14ac:dyDescent="0.35">
      <c r="B228" s="1756" t="s">
        <v>1145</v>
      </c>
      <c r="C228" s="1757"/>
      <c r="D228" s="1757"/>
      <c r="E228" s="1757"/>
      <c r="F228" s="1757"/>
      <c r="G228" s="1757"/>
      <c r="H228" s="1757"/>
      <c r="I228" s="1757"/>
      <c r="J228" s="1757"/>
      <c r="K228" s="1758"/>
      <c r="M228" s="139"/>
    </row>
    <row r="229" spans="2:13" ht="18" customHeight="1" thickBot="1" x14ac:dyDescent="0.35">
      <c r="B229" s="1808" t="s">
        <v>861</v>
      </c>
      <c r="C229" s="1809"/>
      <c r="D229" s="1809"/>
      <c r="E229" s="1809"/>
      <c r="F229" s="1809"/>
      <c r="G229" s="1809"/>
      <c r="H229" s="1809"/>
      <c r="I229" s="1809"/>
      <c r="J229" s="1809"/>
      <c r="K229" s="1810"/>
      <c r="M229" s="139"/>
    </row>
    <row r="230" spans="2:13" x14ac:dyDescent="0.3">
      <c r="B230" s="133"/>
      <c r="C230" s="133"/>
      <c r="D230" s="133"/>
      <c r="E230" s="133"/>
      <c r="M230" s="139"/>
    </row>
    <row r="231" spans="2:13" ht="17.25" thickBot="1" x14ac:dyDescent="0.35">
      <c r="B231" s="133"/>
      <c r="C231" s="133"/>
      <c r="D231" s="133"/>
      <c r="E231" s="133"/>
      <c r="M231" s="139"/>
    </row>
    <row r="232" spans="2:13" ht="34.5" customHeight="1" thickBot="1" x14ac:dyDescent="0.35">
      <c r="B232" s="1735" t="str">
        <f>"ASHRAE 103-2017, Section 9.7.6: Tracer Gas Test Procedures for Determining Off-Cycle Loss Factor K_L for Atmospheric Systems" &amp;
" with Integral Draft Diverter or Draft Hood and Equipped with Either an Electro-Mechanical Inlet or Flue Damper That Restricts the Flow Through the Heat Exchanger in the Off-Cycle" &amp;
IF(AND('Sys. # &amp; Product Characteristic'!C40="Atmospheric",'Sys. # &amp; Product Characteristic'!C22="Yes",OR('Sys. # &amp; Product Characteristic'!C17="Draft Hood",'Sys. # &amp; Product Characteristic'!C17="Integral Draft Diverter")),""," - NOT REQUIRED FOR THIS TEST")</f>
        <v>ASHRAE 103-2017, Section 9.7.6: Tracer Gas Test Procedures for Determining Off-Cycle Loss Factor K_L for Atmospheric Systems with Integral Draft Diverter or Draft Hood and Equipped with Either an Electro-Mechanical Inlet or Flue Damper That Restricts the Flow Through the Heat Exchanger in the Off-Cycle - NOT REQUIRED FOR THIS TEST</v>
      </c>
      <c r="C232" s="1736"/>
      <c r="D232" s="1736"/>
      <c r="E232" s="1736"/>
      <c r="F232" s="1736"/>
      <c r="G232" s="1736"/>
      <c r="H232" s="1736"/>
      <c r="I232" s="1736"/>
      <c r="J232" s="1736"/>
      <c r="K232" s="1737"/>
      <c r="M232" s="139"/>
    </row>
    <row r="233" spans="2:13" ht="53.25" customHeight="1" x14ac:dyDescent="0.3">
      <c r="B233" s="1695" t="s">
        <v>847</v>
      </c>
      <c r="C233" s="1696"/>
      <c r="D233" s="1696"/>
      <c r="E233" s="1696"/>
      <c r="F233" s="1696"/>
      <c r="G233" s="1696"/>
      <c r="H233" s="1696"/>
      <c r="I233" s="1696"/>
      <c r="J233" s="1696"/>
      <c r="K233" s="1697"/>
      <c r="M233" s="139"/>
    </row>
    <row r="234" spans="2:13" ht="52.5" customHeight="1" x14ac:dyDescent="0.35">
      <c r="B234" s="1015" t="s">
        <v>52</v>
      </c>
      <c r="C234" s="990" t="s">
        <v>866</v>
      </c>
      <c r="D234" s="990" t="s">
        <v>865</v>
      </c>
      <c r="E234" s="1014" t="s">
        <v>35</v>
      </c>
      <c r="F234" s="1014" t="s">
        <v>33</v>
      </c>
      <c r="G234" s="893"/>
      <c r="H234" s="893"/>
      <c r="I234" s="893"/>
      <c r="J234" s="893"/>
      <c r="K234" s="910"/>
      <c r="M234" s="139"/>
    </row>
    <row r="235" spans="2:13" ht="18" x14ac:dyDescent="0.3">
      <c r="B235" s="319" t="s">
        <v>240</v>
      </c>
      <c r="C235" s="107"/>
      <c r="D235" s="107"/>
      <c r="E235" s="263" t="s">
        <v>211</v>
      </c>
      <c r="F235" s="897" t="s">
        <v>685</v>
      </c>
      <c r="G235" s="893"/>
      <c r="H235" s="893"/>
      <c r="I235" s="893"/>
      <c r="J235" s="893"/>
      <c r="K235" s="910"/>
      <c r="M235" s="139"/>
    </row>
    <row r="236" spans="2:13" ht="18" x14ac:dyDescent="0.3">
      <c r="B236" s="319" t="s">
        <v>391</v>
      </c>
      <c r="C236" s="107"/>
      <c r="D236" s="107"/>
      <c r="E236" s="263" t="s">
        <v>51</v>
      </c>
      <c r="F236" s="897" t="s">
        <v>686</v>
      </c>
      <c r="G236" s="893"/>
      <c r="H236" s="893"/>
      <c r="I236" s="893"/>
      <c r="J236" s="893"/>
      <c r="K236" s="910"/>
      <c r="M236" s="139"/>
    </row>
    <row r="237" spans="2:13" ht="18" x14ac:dyDescent="0.3">
      <c r="B237" s="319" t="s">
        <v>392</v>
      </c>
      <c r="C237" s="107"/>
      <c r="D237" s="107"/>
      <c r="E237" s="263" t="s">
        <v>393</v>
      </c>
      <c r="F237" s="897" t="s">
        <v>687</v>
      </c>
      <c r="G237" s="893"/>
      <c r="H237" s="893"/>
      <c r="I237" s="893"/>
      <c r="J237" s="893"/>
      <c r="K237" s="910"/>
      <c r="M237" s="139"/>
    </row>
    <row r="238" spans="2:13" ht="18.75" thickBot="1" x14ac:dyDescent="0.35">
      <c r="B238" s="774" t="s">
        <v>495</v>
      </c>
      <c r="C238" s="768" t="str">
        <f>IF(OR(T.T_Closed_KL="",P.B_Closed_KL=""),"",1.325*P.B_Closed_KL/(T.T_Closed_KL+460))</f>
        <v/>
      </c>
      <c r="D238" s="768" t="str">
        <f>IF(OR(T.T_Open_KL="",P.B_Open_KL=""),"",1.325*P.B_Open_KL/(T.T_Open_KL+460))</f>
        <v/>
      </c>
      <c r="E238" s="775" t="s">
        <v>242</v>
      </c>
      <c r="F238" s="986" t="s">
        <v>688</v>
      </c>
      <c r="G238" s="981"/>
      <c r="H238" s="981"/>
      <c r="I238" s="981"/>
      <c r="J238" s="981"/>
      <c r="K238" s="909"/>
      <c r="M238" s="139"/>
    </row>
    <row r="239" spans="2:13" ht="17.25" thickBot="1" x14ac:dyDescent="0.35">
      <c r="B239" s="432"/>
      <c r="C239" s="430"/>
      <c r="D239" s="430"/>
      <c r="E239" s="430"/>
      <c r="F239" s="430"/>
      <c r="G239" s="893"/>
      <c r="H239" s="893"/>
      <c r="I239" s="893"/>
      <c r="J239" s="893"/>
      <c r="K239" s="910"/>
      <c r="M239" s="139"/>
    </row>
    <row r="240" spans="2:13" ht="51" customHeight="1" x14ac:dyDescent="0.3">
      <c r="B240" s="1695" t="s">
        <v>1163</v>
      </c>
      <c r="C240" s="1696"/>
      <c r="D240" s="1696"/>
      <c r="E240" s="1696"/>
      <c r="F240" s="1696"/>
      <c r="G240" s="1696"/>
      <c r="H240" s="1696"/>
      <c r="I240" s="1696"/>
      <c r="J240" s="1696"/>
      <c r="K240" s="1697"/>
      <c r="M240" s="139"/>
    </row>
    <row r="241" spans="2:13" ht="51.75" x14ac:dyDescent="0.35">
      <c r="B241" s="1015" t="s">
        <v>52</v>
      </c>
      <c r="C241" s="990" t="s">
        <v>866</v>
      </c>
      <c r="D241" s="990" t="s">
        <v>865</v>
      </c>
      <c r="E241" s="1014" t="s">
        <v>35</v>
      </c>
      <c r="F241" s="1014" t="s">
        <v>33</v>
      </c>
      <c r="G241" s="893"/>
      <c r="H241" s="893"/>
      <c r="I241" s="893"/>
      <c r="J241" s="893"/>
      <c r="K241" s="910"/>
      <c r="M241" s="139"/>
    </row>
    <row r="242" spans="2:13" ht="18.75" thickBot="1" x14ac:dyDescent="0.35">
      <c r="B242" s="767" t="s">
        <v>807</v>
      </c>
      <c r="C242" s="117"/>
      <c r="D242" s="117"/>
      <c r="E242" s="769" t="s">
        <v>211</v>
      </c>
      <c r="F242" s="975" t="s">
        <v>689</v>
      </c>
      <c r="G242" s="981"/>
      <c r="H242" s="981"/>
      <c r="I242" s="981"/>
      <c r="J242" s="981"/>
      <c r="K242" s="909"/>
      <c r="M242" s="139"/>
    </row>
    <row r="243" spans="2:13" ht="17.25" thickBot="1" x14ac:dyDescent="0.35">
      <c r="B243" s="432"/>
      <c r="C243" s="430"/>
      <c r="D243" s="430"/>
      <c r="E243" s="430"/>
      <c r="F243" s="430"/>
      <c r="G243" s="893"/>
      <c r="H243" s="893"/>
      <c r="I243" s="893"/>
      <c r="J243" s="893"/>
      <c r="K243" s="910"/>
      <c r="M243" s="139"/>
    </row>
    <row r="244" spans="2:13" ht="68.25" customHeight="1" x14ac:dyDescent="0.3">
      <c r="B244" s="1695" t="s">
        <v>848</v>
      </c>
      <c r="C244" s="1696"/>
      <c r="D244" s="1696"/>
      <c r="E244" s="1696"/>
      <c r="F244" s="1696"/>
      <c r="G244" s="1696"/>
      <c r="H244" s="1696"/>
      <c r="I244" s="1696"/>
      <c r="J244" s="1696"/>
      <c r="K244" s="1697"/>
      <c r="M244" s="139"/>
    </row>
    <row r="245" spans="2:13" ht="51.75" x14ac:dyDescent="0.35">
      <c r="B245" s="1015" t="s">
        <v>52</v>
      </c>
      <c r="C245" s="990" t="s">
        <v>866</v>
      </c>
      <c r="D245" s="990" t="s">
        <v>865</v>
      </c>
      <c r="E245" s="1014" t="s">
        <v>35</v>
      </c>
      <c r="F245" s="1014" t="s">
        <v>33</v>
      </c>
      <c r="G245" s="893"/>
      <c r="H245" s="893"/>
      <c r="I245" s="893"/>
      <c r="J245" s="893"/>
      <c r="K245" s="910"/>
      <c r="M245" s="139"/>
    </row>
    <row r="246" spans="2:13" ht="18" x14ac:dyDescent="0.3">
      <c r="B246" s="319" t="s">
        <v>1287</v>
      </c>
      <c r="C246" s="107"/>
      <c r="D246" s="107"/>
      <c r="E246" s="263" t="s">
        <v>211</v>
      </c>
      <c r="F246" s="897" t="s">
        <v>690</v>
      </c>
      <c r="G246" s="893"/>
      <c r="H246" s="893"/>
      <c r="I246" s="893"/>
      <c r="J246" s="893"/>
      <c r="K246" s="910"/>
      <c r="M246" s="139"/>
    </row>
    <row r="247" spans="2:13" ht="18.75" thickBot="1" x14ac:dyDescent="0.35">
      <c r="B247" s="774" t="s">
        <v>241</v>
      </c>
      <c r="C247" s="117"/>
      <c r="D247" s="117"/>
      <c r="E247" s="775" t="s">
        <v>243</v>
      </c>
      <c r="F247" s="956" t="s">
        <v>684</v>
      </c>
      <c r="G247" s="981"/>
      <c r="H247" s="981"/>
      <c r="I247" s="981"/>
      <c r="J247" s="981"/>
      <c r="K247" s="909"/>
      <c r="M247" s="139"/>
    </row>
    <row r="248" spans="2:13" ht="17.25" thickBot="1" x14ac:dyDescent="0.35">
      <c r="B248" s="432"/>
      <c r="C248" s="430"/>
      <c r="D248" s="430"/>
      <c r="E248" s="430"/>
      <c r="F248" s="430"/>
      <c r="G248" s="893"/>
      <c r="H248" s="893"/>
      <c r="I248" s="893"/>
      <c r="J248" s="893"/>
      <c r="K248" s="910"/>
      <c r="M248" s="139"/>
    </row>
    <row r="249" spans="2:13" ht="66.75" customHeight="1" x14ac:dyDescent="0.3">
      <c r="B249" s="1695" t="s">
        <v>1148</v>
      </c>
      <c r="C249" s="1696"/>
      <c r="D249" s="1696"/>
      <c r="E249" s="1696"/>
      <c r="F249" s="1696"/>
      <c r="G249" s="1696"/>
      <c r="H249" s="1696"/>
      <c r="I249" s="1696"/>
      <c r="J249" s="1696"/>
      <c r="K249" s="1697"/>
      <c r="M249" s="139"/>
    </row>
    <row r="250" spans="2:13" ht="84.75" customHeight="1" x14ac:dyDescent="0.3">
      <c r="B250" s="1698" t="s">
        <v>1164</v>
      </c>
      <c r="C250" s="1699"/>
      <c r="D250" s="1699"/>
      <c r="E250" s="1699"/>
      <c r="F250" s="1699"/>
      <c r="G250" s="1699"/>
      <c r="H250" s="1699"/>
      <c r="I250" s="1699"/>
      <c r="J250" s="1699"/>
      <c r="K250" s="1700"/>
      <c r="M250" s="139"/>
    </row>
    <row r="251" spans="2:13" ht="51.75" x14ac:dyDescent="0.35">
      <c r="B251" s="1015" t="s">
        <v>52</v>
      </c>
      <c r="C251" s="990" t="s">
        <v>866</v>
      </c>
      <c r="D251" s="990" t="s">
        <v>865</v>
      </c>
      <c r="E251" s="1014" t="s">
        <v>35</v>
      </c>
      <c r="F251" s="1014" t="s">
        <v>33</v>
      </c>
      <c r="G251" s="893"/>
      <c r="H251" s="893"/>
      <c r="I251" s="893"/>
      <c r="J251" s="893"/>
      <c r="K251" s="910"/>
      <c r="M251" s="139"/>
    </row>
    <row r="252" spans="2:13" ht="18.75" thickBot="1" x14ac:dyDescent="0.35">
      <c r="B252" s="279" t="s">
        <v>809</v>
      </c>
      <c r="C252" s="117"/>
      <c r="D252" s="117"/>
      <c r="E252" s="268" t="s">
        <v>51</v>
      </c>
      <c r="F252" s="956" t="s">
        <v>691</v>
      </c>
      <c r="G252" s="981"/>
      <c r="H252" s="981"/>
      <c r="I252" s="981"/>
      <c r="J252" s="981"/>
      <c r="K252" s="909"/>
      <c r="M252" s="139"/>
    </row>
    <row r="253" spans="2:13" ht="17.25" thickBot="1" x14ac:dyDescent="0.35">
      <c r="B253" s="432"/>
      <c r="C253" s="430"/>
      <c r="D253" s="430"/>
      <c r="E253" s="430"/>
      <c r="F253" s="430"/>
      <c r="G253" s="893"/>
      <c r="H253" s="893"/>
      <c r="I253" s="893"/>
      <c r="J253" s="893"/>
      <c r="K253" s="910"/>
      <c r="M253" s="139"/>
    </row>
    <row r="254" spans="2:13" ht="86.25" customHeight="1" x14ac:dyDescent="0.3">
      <c r="B254" s="1695" t="s">
        <v>849</v>
      </c>
      <c r="C254" s="1696"/>
      <c r="D254" s="1696"/>
      <c r="E254" s="1696"/>
      <c r="F254" s="1696"/>
      <c r="G254" s="1696"/>
      <c r="H254" s="1696"/>
      <c r="I254" s="1696"/>
      <c r="J254" s="1696"/>
      <c r="K254" s="1697"/>
      <c r="M254" s="139"/>
    </row>
    <row r="255" spans="2:13" ht="51.75" x14ac:dyDescent="0.35">
      <c r="B255" s="1015" t="s">
        <v>52</v>
      </c>
      <c r="C255" s="990" t="s">
        <v>866</v>
      </c>
      <c r="D255" s="990" t="s">
        <v>865</v>
      </c>
      <c r="E255" s="1014" t="s">
        <v>35</v>
      </c>
      <c r="F255" s="1014" t="s">
        <v>33</v>
      </c>
      <c r="G255" s="893"/>
      <c r="H255" s="893"/>
      <c r="I255" s="893"/>
      <c r="J255" s="893"/>
      <c r="K255" s="910"/>
      <c r="M255" s="139"/>
    </row>
    <row r="256" spans="2:13" ht="18.75" thickBot="1" x14ac:dyDescent="0.35">
      <c r="B256" s="552" t="s">
        <v>808</v>
      </c>
      <c r="C256" s="117"/>
      <c r="D256" s="117"/>
      <c r="E256" s="553" t="s">
        <v>79</v>
      </c>
      <c r="F256" s="975" t="s">
        <v>692</v>
      </c>
      <c r="G256" s="981"/>
      <c r="H256" s="981"/>
      <c r="I256" s="981"/>
      <c r="J256" s="981"/>
      <c r="K256" s="909"/>
      <c r="M256" s="139"/>
    </row>
    <row r="257" spans="2:13" ht="18" customHeight="1" thickBot="1" x14ac:dyDescent="0.35">
      <c r="B257" s="1735" t="s">
        <v>862</v>
      </c>
      <c r="C257" s="1736"/>
      <c r="D257" s="1736"/>
      <c r="E257" s="1736"/>
      <c r="F257" s="1736"/>
      <c r="G257" s="1736"/>
      <c r="H257" s="1736"/>
      <c r="I257" s="1736"/>
      <c r="J257" s="1736"/>
      <c r="K257" s="1737"/>
      <c r="M257" s="139"/>
    </row>
    <row r="258" spans="2:13" x14ac:dyDescent="0.3">
      <c r="B258" s="133"/>
      <c r="C258" s="133"/>
      <c r="D258" s="133"/>
      <c r="E258" s="133"/>
      <c r="F258" s="133"/>
      <c r="M258" s="139"/>
    </row>
    <row r="259" spans="2:13" ht="17.25" thickBot="1" x14ac:dyDescent="0.35">
      <c r="B259" s="133"/>
      <c r="C259" s="133"/>
      <c r="D259" s="133"/>
      <c r="E259" s="133"/>
      <c r="M259" s="139"/>
    </row>
    <row r="260" spans="2:13" ht="18" thickBot="1" x14ac:dyDescent="0.35">
      <c r="B260" s="1735" t="str">
        <f>"ASHRAE 103-1993, Section 9.8: Condensing Furnaces and Boilers-Measurement of Condensate Heat Loss Under Cyclic Conditions" &amp;
IF('Sys. # &amp; Product Characteristic'!Control_Type="Single Stage"," - NOT REQUIRED FOR THIS TEST","")</f>
        <v>ASHRAE 103-1993, Section 9.8: Condensing Furnaces and Boilers-Measurement of Condensate Heat Loss Under Cyclic Conditions</v>
      </c>
      <c r="C260" s="1736"/>
      <c r="D260" s="1736"/>
      <c r="E260" s="1736"/>
      <c r="F260" s="1736"/>
      <c r="G260" s="1736"/>
      <c r="H260" s="1736"/>
      <c r="I260" s="1736"/>
      <c r="J260" s="1736"/>
      <c r="K260" s="1737"/>
      <c r="M260" s="139"/>
    </row>
    <row r="261" spans="2:13" ht="17.25" x14ac:dyDescent="0.3">
      <c r="B261" s="1805" t="s">
        <v>878</v>
      </c>
      <c r="C261" s="1806"/>
      <c r="D261" s="1806"/>
      <c r="E261" s="1806"/>
      <c r="F261" s="1806"/>
      <c r="G261" s="1806"/>
      <c r="H261" s="1806"/>
      <c r="I261" s="1806"/>
      <c r="J261" s="1806"/>
      <c r="K261" s="1807"/>
      <c r="M261" s="139"/>
    </row>
    <row r="262" spans="2:13" ht="32.25" customHeight="1" x14ac:dyDescent="0.3">
      <c r="B262" s="1764" t="s">
        <v>879</v>
      </c>
      <c r="C262" s="1765"/>
      <c r="D262" s="1765"/>
      <c r="E262" s="1765"/>
      <c r="F262" s="1765"/>
      <c r="G262" s="1765"/>
      <c r="H262" s="1765"/>
      <c r="I262" s="1765"/>
      <c r="J262" s="1765"/>
      <c r="K262" s="1766"/>
      <c r="M262" s="139"/>
    </row>
    <row r="263" spans="2:13" ht="52.5" customHeight="1" x14ac:dyDescent="0.3">
      <c r="B263" s="1764" t="s">
        <v>880</v>
      </c>
      <c r="C263" s="1765"/>
      <c r="D263" s="1765"/>
      <c r="E263" s="1765"/>
      <c r="F263" s="1765"/>
      <c r="G263" s="1765"/>
      <c r="H263" s="1765"/>
      <c r="I263" s="1765"/>
      <c r="J263" s="1765"/>
      <c r="K263" s="1766"/>
      <c r="M263" s="139"/>
    </row>
    <row r="264" spans="2:13" ht="67.5" customHeight="1" x14ac:dyDescent="0.3">
      <c r="B264" s="1764" t="s">
        <v>881</v>
      </c>
      <c r="C264" s="1765"/>
      <c r="D264" s="1765"/>
      <c r="E264" s="1765"/>
      <c r="F264" s="1765"/>
      <c r="G264" s="1765"/>
      <c r="H264" s="1765"/>
      <c r="I264" s="1765"/>
      <c r="J264" s="1765"/>
      <c r="K264" s="1766"/>
      <c r="M264" s="139"/>
    </row>
    <row r="265" spans="2:13" ht="34.5" customHeight="1" x14ac:dyDescent="0.3">
      <c r="B265" s="1764" t="s">
        <v>882</v>
      </c>
      <c r="C265" s="1765"/>
      <c r="D265" s="1765"/>
      <c r="E265" s="1765"/>
      <c r="F265" s="1765"/>
      <c r="G265" s="1765"/>
      <c r="H265" s="1765"/>
      <c r="I265" s="1765"/>
      <c r="J265" s="1765"/>
      <c r="K265" s="1766"/>
      <c r="M265" s="139"/>
    </row>
    <row r="266" spans="2:13" ht="86.45" customHeight="1" x14ac:dyDescent="0.3">
      <c r="B266" s="1764" t="s">
        <v>1291</v>
      </c>
      <c r="C266" s="1765"/>
      <c r="D266" s="1765"/>
      <c r="E266" s="1765"/>
      <c r="F266" s="1765"/>
      <c r="G266" s="1765"/>
      <c r="H266" s="1765"/>
      <c r="I266" s="1765"/>
      <c r="J266" s="1765"/>
      <c r="K266" s="1766"/>
      <c r="M266" s="139"/>
    </row>
    <row r="267" spans="2:13" x14ac:dyDescent="0.3">
      <c r="B267" s="432"/>
      <c r="C267" s="430"/>
      <c r="D267" s="430"/>
      <c r="E267" s="430"/>
      <c r="F267" s="893"/>
      <c r="G267" s="893"/>
      <c r="H267" s="893"/>
      <c r="I267" s="893"/>
      <c r="J267" s="893"/>
      <c r="K267" s="910"/>
      <c r="M267" s="139"/>
    </row>
    <row r="268" spans="2:13" ht="17.25" x14ac:dyDescent="0.35">
      <c r="B268" s="1015" t="s">
        <v>52</v>
      </c>
      <c r="C268" s="1013" t="s">
        <v>34</v>
      </c>
      <c r="D268" s="1014" t="s">
        <v>35</v>
      </c>
      <c r="E268" s="1014" t="s">
        <v>33</v>
      </c>
      <c r="F268" s="893"/>
      <c r="G268" s="893"/>
      <c r="H268" s="893"/>
      <c r="I268" s="893"/>
      <c r="J268" s="893"/>
      <c r="K268" s="910"/>
      <c r="M268" s="139"/>
    </row>
    <row r="269" spans="2:13" x14ac:dyDescent="0.3">
      <c r="B269" s="252" t="s">
        <v>177</v>
      </c>
      <c r="C269" s="1188"/>
      <c r="D269" s="277" t="s">
        <v>211</v>
      </c>
      <c r="E269" s="953" t="s">
        <v>175</v>
      </c>
      <c r="F269" s="893"/>
      <c r="G269" s="893"/>
      <c r="H269" s="893"/>
      <c r="I269" s="893"/>
      <c r="J269" s="893"/>
      <c r="K269" s="910"/>
      <c r="M269" s="139"/>
    </row>
    <row r="270" spans="2:13" x14ac:dyDescent="0.3">
      <c r="B270" s="252" t="s">
        <v>78</v>
      </c>
      <c r="C270" s="118" t="str">
        <f>IF(RH="","",IF(RH&gt;80, "No","Yes"))</f>
        <v/>
      </c>
      <c r="D270" s="264" t="s">
        <v>175</v>
      </c>
      <c r="E270" s="897" t="s">
        <v>175</v>
      </c>
      <c r="F270" s="485"/>
      <c r="G270" s="485"/>
      <c r="H270" s="485"/>
      <c r="I270" s="485"/>
      <c r="J270" s="485"/>
      <c r="K270" s="954"/>
      <c r="L270" s="129"/>
      <c r="M270" s="139"/>
    </row>
    <row r="271" spans="2:13" x14ac:dyDescent="0.3">
      <c r="B271" s="252" t="s">
        <v>90</v>
      </c>
      <c r="C271" s="1183"/>
      <c r="D271" s="263" t="s">
        <v>51</v>
      </c>
      <c r="E271" s="897" t="s">
        <v>175</v>
      </c>
      <c r="F271" s="485"/>
      <c r="G271" s="485"/>
      <c r="H271" s="485"/>
      <c r="I271" s="485"/>
      <c r="J271" s="485"/>
      <c r="K271" s="954"/>
      <c r="L271" s="129"/>
      <c r="M271" s="139"/>
    </row>
    <row r="272" spans="2:13" x14ac:dyDescent="0.3">
      <c r="B272" s="252" t="s">
        <v>91</v>
      </c>
      <c r="C272" s="1183"/>
      <c r="D272" s="263" t="s">
        <v>51</v>
      </c>
      <c r="E272" s="897" t="s">
        <v>175</v>
      </c>
      <c r="F272" s="893"/>
      <c r="G272" s="893"/>
      <c r="H272" s="893"/>
      <c r="I272" s="893"/>
      <c r="J272" s="893"/>
      <c r="K272" s="910"/>
      <c r="M272" s="139"/>
    </row>
    <row r="273" spans="2:13" x14ac:dyDescent="0.3">
      <c r="B273" s="252" t="s">
        <v>92</v>
      </c>
      <c r="C273" s="118" t="str">
        <f>IF(OR(C271="",C272=""),"", IF(ABS(C271-C272)&lt;5,"Yes","No"))</f>
        <v/>
      </c>
      <c r="D273" s="264" t="s">
        <v>175</v>
      </c>
      <c r="E273" s="897" t="s">
        <v>175</v>
      </c>
      <c r="F273" s="893"/>
      <c r="G273" s="893"/>
      <c r="H273" s="893"/>
      <c r="I273" s="893"/>
      <c r="J273" s="893"/>
      <c r="K273" s="910"/>
      <c r="M273" s="139"/>
    </row>
    <row r="274" spans="2:13" x14ac:dyDescent="0.3">
      <c r="B274" s="252" t="s">
        <v>88</v>
      </c>
      <c r="C274" s="1183"/>
      <c r="D274" s="263" t="s">
        <v>51</v>
      </c>
      <c r="E274" s="897" t="s">
        <v>175</v>
      </c>
      <c r="F274" s="893"/>
      <c r="G274" s="893"/>
      <c r="H274" s="893"/>
      <c r="I274" s="893"/>
      <c r="J274" s="893"/>
      <c r="K274" s="910"/>
      <c r="M274" s="139"/>
    </row>
    <row r="275" spans="2:13" x14ac:dyDescent="0.3">
      <c r="B275" s="252" t="s">
        <v>61</v>
      </c>
      <c r="C275" s="1183"/>
      <c r="D275" s="263" t="s">
        <v>236</v>
      </c>
      <c r="E275" s="897" t="s">
        <v>59</v>
      </c>
      <c r="F275" s="893"/>
      <c r="G275" s="893"/>
      <c r="H275" s="893"/>
      <c r="I275" s="893"/>
      <c r="J275" s="893"/>
      <c r="K275" s="910"/>
      <c r="M275" s="139"/>
    </row>
    <row r="276" spans="2:13" x14ac:dyDescent="0.3">
      <c r="B276" s="252" t="s">
        <v>93</v>
      </c>
      <c r="C276" s="118" t="str">
        <f>IF(ISERROR(AVERAGE(D282:D284)),"",IF(STDEV(D282:D284)&lt;(0.2*AVERAGE(D282:D284)),"Yes","No. Conduct 3 More Cycles"))</f>
        <v/>
      </c>
      <c r="D276" s="263" t="s">
        <v>175</v>
      </c>
      <c r="E276" s="897" t="s">
        <v>175</v>
      </c>
      <c r="F276" s="893"/>
      <c r="G276" s="893"/>
      <c r="H276" s="893"/>
      <c r="I276" s="893"/>
      <c r="J276" s="893"/>
      <c r="K276" s="910"/>
      <c r="M276" s="139"/>
    </row>
    <row r="277" spans="2:13" ht="18" x14ac:dyDescent="0.3">
      <c r="B277" s="442" t="s">
        <v>89</v>
      </c>
      <c r="C277" s="118" t="str">
        <f>IF(SUM(C282:C287)=0,"",SUM(C282:C287))</f>
        <v/>
      </c>
      <c r="D277" s="443" t="s">
        <v>79</v>
      </c>
      <c r="E277" s="932" t="s">
        <v>656</v>
      </c>
      <c r="F277" s="893"/>
      <c r="G277" s="893"/>
      <c r="H277" s="893"/>
      <c r="I277" s="893"/>
      <c r="J277" s="893"/>
      <c r="K277" s="910"/>
      <c r="M277" s="139"/>
    </row>
    <row r="278" spans="2:13" ht="18" x14ac:dyDescent="0.3">
      <c r="B278" s="996" t="s">
        <v>94</v>
      </c>
      <c r="C278" s="118" t="str">
        <f>IF(SUM(D282:D287)=0,"",SUM(D282:D287))</f>
        <v/>
      </c>
      <c r="D278" s="994" t="s">
        <v>75</v>
      </c>
      <c r="E278" s="995" t="s">
        <v>655</v>
      </c>
      <c r="F278" s="893"/>
      <c r="G278" s="893"/>
      <c r="H278" s="893"/>
      <c r="I278" s="893"/>
      <c r="J278" s="893"/>
      <c r="K278" s="910"/>
      <c r="M278" s="139"/>
    </row>
    <row r="279" spans="2:13" x14ac:dyDescent="0.3">
      <c r="B279" s="432"/>
      <c r="C279" s="430"/>
      <c r="D279" s="430"/>
      <c r="E279" s="430"/>
      <c r="F279" s="893"/>
      <c r="G279" s="893"/>
      <c r="H279" s="893"/>
      <c r="I279" s="893"/>
      <c r="J279" s="893"/>
      <c r="K279" s="910"/>
      <c r="M279" s="139"/>
    </row>
    <row r="280" spans="2:13" ht="34.5" x14ac:dyDescent="0.3">
      <c r="B280" s="432"/>
      <c r="C280" s="440" t="s">
        <v>89</v>
      </c>
      <c r="D280" s="440" t="s">
        <v>394</v>
      </c>
      <c r="E280" s="430"/>
      <c r="F280" s="893"/>
      <c r="G280" s="893"/>
      <c r="H280" s="893"/>
      <c r="I280" s="893"/>
      <c r="J280" s="893"/>
      <c r="K280" s="910"/>
      <c r="M280" s="139"/>
    </row>
    <row r="281" spans="2:13" ht="17.25" x14ac:dyDescent="0.35">
      <c r="B281" s="445" t="s">
        <v>395</v>
      </c>
      <c r="C281" s="444" t="s">
        <v>79</v>
      </c>
      <c r="D281" s="444" t="s">
        <v>75</v>
      </c>
      <c r="E281" s="430"/>
      <c r="F281" s="893"/>
      <c r="G281" s="893"/>
      <c r="H281" s="893"/>
      <c r="I281" s="893"/>
      <c r="J281" s="893"/>
      <c r="K281" s="910"/>
      <c r="M281" s="139"/>
    </row>
    <row r="282" spans="2:13" x14ac:dyDescent="0.3">
      <c r="B282" s="446">
        <v>1</v>
      </c>
      <c r="C282" s="1183"/>
      <c r="D282" s="1183"/>
      <c r="E282" s="430"/>
      <c r="F282" s="893"/>
      <c r="G282" s="893"/>
      <c r="H282" s="893"/>
      <c r="I282" s="893"/>
      <c r="J282" s="893"/>
      <c r="K282" s="910"/>
      <c r="M282" s="139"/>
    </row>
    <row r="283" spans="2:13" x14ac:dyDescent="0.3">
      <c r="B283" s="447">
        <v>2</v>
      </c>
      <c r="C283" s="1183"/>
      <c r="D283" s="1183"/>
      <c r="E283" s="430"/>
      <c r="F283" s="893"/>
      <c r="G283" s="893"/>
      <c r="H283" s="893"/>
      <c r="I283" s="893"/>
      <c r="J283" s="893"/>
      <c r="K283" s="910"/>
      <c r="M283" s="139"/>
    </row>
    <row r="284" spans="2:13" x14ac:dyDescent="0.3">
      <c r="B284" s="448">
        <v>3</v>
      </c>
      <c r="C284" s="1183"/>
      <c r="D284" s="1183"/>
      <c r="E284" s="430"/>
      <c r="F284" s="893"/>
      <c r="G284" s="893"/>
      <c r="H284" s="893"/>
      <c r="I284" s="893"/>
      <c r="J284" s="893"/>
      <c r="K284" s="910"/>
      <c r="M284" s="139"/>
    </row>
    <row r="285" spans="2:13" x14ac:dyDescent="0.3">
      <c r="B285" s="449" t="s">
        <v>396</v>
      </c>
      <c r="C285" s="107"/>
      <c r="D285" s="107"/>
      <c r="E285" s="430"/>
      <c r="F285" s="893"/>
      <c r="G285" s="893"/>
      <c r="H285" s="893"/>
      <c r="I285" s="893"/>
      <c r="J285" s="893"/>
      <c r="K285" s="910"/>
      <c r="M285" s="139"/>
    </row>
    <row r="286" spans="2:13" x14ac:dyDescent="0.3">
      <c r="B286" s="450" t="s">
        <v>397</v>
      </c>
      <c r="C286" s="107"/>
      <c r="D286" s="107"/>
      <c r="E286" s="430"/>
      <c r="F286" s="893"/>
      <c r="G286" s="893"/>
      <c r="H286" s="893"/>
      <c r="I286" s="893"/>
      <c r="J286" s="893"/>
      <c r="K286" s="910"/>
      <c r="M286" s="139"/>
    </row>
    <row r="287" spans="2:13" ht="17.25" thickBot="1" x14ac:dyDescent="0.35">
      <c r="B287" s="451" t="s">
        <v>398</v>
      </c>
      <c r="C287" s="117"/>
      <c r="D287" s="117"/>
      <c r="E287" s="930"/>
      <c r="F287" s="981"/>
      <c r="G287" s="981"/>
      <c r="H287" s="981"/>
      <c r="I287" s="981"/>
      <c r="J287" s="981"/>
      <c r="K287" s="909"/>
      <c r="M287" s="139"/>
    </row>
    <row r="288" spans="2:13" x14ac:dyDescent="0.3">
      <c r="B288" s="133"/>
      <c r="C288" s="133"/>
      <c r="D288" s="133"/>
      <c r="E288" s="133"/>
      <c r="M288" s="139"/>
    </row>
    <row r="289" spans="1:13" ht="17.25" thickBot="1" x14ac:dyDescent="0.35">
      <c r="B289" s="151"/>
      <c r="C289" s="133"/>
      <c r="D289" s="133"/>
      <c r="E289" s="133"/>
      <c r="M289" s="320"/>
    </row>
    <row r="290" spans="1:13" ht="18" customHeight="1" thickBot="1" x14ac:dyDescent="0.35">
      <c r="B290" s="1735" t="str">
        <f>"Appendix EE, Section 8.9: Optional test procedures for condensing furnaces and boilers that have no off-period flue losses." &amp;
IF('Sys. # &amp; Product Characteristic'!Flue_Gas="Non-Condensing"," - NOT REQUIRED FOR THIS TEST","")</f>
        <v>Appendix EE, Section 8.9: Optional test procedures for condensing furnaces and boilers that have no off-period flue losses.</v>
      </c>
      <c r="C290" s="1736"/>
      <c r="D290" s="1736"/>
      <c r="E290" s="1736"/>
      <c r="F290" s="1736"/>
      <c r="G290" s="1736"/>
      <c r="H290" s="1736"/>
      <c r="I290" s="1736"/>
      <c r="J290" s="1736"/>
      <c r="K290" s="1737"/>
      <c r="M290" s="320"/>
    </row>
    <row r="291" spans="1:13" ht="17.25" customHeight="1" x14ac:dyDescent="0.3">
      <c r="B291" s="1750" t="s">
        <v>402</v>
      </c>
      <c r="C291" s="1751"/>
      <c r="D291" s="1751"/>
      <c r="E291" s="1751"/>
      <c r="F291" s="1751"/>
      <c r="G291" s="1751"/>
      <c r="H291" s="1751"/>
      <c r="I291" s="1751"/>
      <c r="J291" s="1751"/>
      <c r="K291" s="1752"/>
      <c r="M291" s="320"/>
    </row>
    <row r="292" spans="1:13" ht="17.25" x14ac:dyDescent="0.35">
      <c r="B292" s="1015" t="s">
        <v>52</v>
      </c>
      <c r="C292" s="1013" t="s">
        <v>34</v>
      </c>
      <c r="D292" s="1014" t="s">
        <v>35</v>
      </c>
      <c r="E292" s="1014" t="s">
        <v>33</v>
      </c>
      <c r="F292" s="893"/>
      <c r="G292" s="893"/>
      <c r="H292" s="893"/>
      <c r="I292" s="893"/>
      <c r="J292" s="893"/>
      <c r="K292" s="910"/>
      <c r="M292" s="320"/>
    </row>
    <row r="293" spans="1:13" ht="17.25" x14ac:dyDescent="0.3">
      <c r="B293" s="322" t="s">
        <v>249</v>
      </c>
      <c r="C293" s="120" t="str">
        <f>IF('Max Test'!C316="","",'Max Test'!C316)</f>
        <v/>
      </c>
      <c r="D293" s="263" t="s">
        <v>175</v>
      </c>
      <c r="E293" s="1030" t="s">
        <v>175</v>
      </c>
      <c r="F293" s="893"/>
      <c r="G293" s="893"/>
      <c r="H293" s="893"/>
      <c r="I293" s="893"/>
      <c r="J293" s="893"/>
      <c r="K293" s="910"/>
      <c r="M293" s="320"/>
    </row>
    <row r="294" spans="1:13" ht="33" x14ac:dyDescent="0.3">
      <c r="B294" s="319" t="s">
        <v>250</v>
      </c>
      <c r="C294" s="120" t="str">
        <f>IF('Max Test'!C317="","",'Max Test'!C317)</f>
        <v>Fill in Tracer Gas Draft Factors table on Test Conditions tab</v>
      </c>
      <c r="D294" s="263" t="s">
        <v>175</v>
      </c>
      <c r="E294" s="1030" t="s">
        <v>175</v>
      </c>
      <c r="F294" s="893"/>
      <c r="G294" s="893"/>
      <c r="H294" s="893"/>
      <c r="I294" s="893"/>
      <c r="J294" s="893"/>
      <c r="K294" s="910"/>
      <c r="M294" s="320"/>
    </row>
    <row r="295" spans="1:13" ht="33.75" thickBot="1" x14ac:dyDescent="0.35">
      <c r="B295" s="279" t="s">
        <v>251</v>
      </c>
      <c r="C295" s="845" t="str">
        <f>IF('Max Test'!C318="","",'Max Test'!C318)</f>
        <v/>
      </c>
      <c r="D295" s="268" t="s">
        <v>175</v>
      </c>
      <c r="E295" s="1035" t="s">
        <v>175</v>
      </c>
      <c r="F295" s="981"/>
      <c r="G295" s="981"/>
      <c r="H295" s="981"/>
      <c r="I295" s="981"/>
      <c r="J295" s="981"/>
      <c r="K295" s="909"/>
      <c r="M295" s="320"/>
    </row>
    <row r="296" spans="1:13" x14ac:dyDescent="0.3">
      <c r="B296" s="151"/>
      <c r="C296" s="133"/>
      <c r="D296" s="133"/>
      <c r="E296" s="133"/>
      <c r="M296" s="320"/>
    </row>
    <row r="297" spans="1:13" x14ac:dyDescent="0.3">
      <c r="B297" s="151"/>
      <c r="C297" s="133"/>
      <c r="D297" s="133"/>
      <c r="E297" s="133"/>
      <c r="M297" s="320"/>
    </row>
    <row r="298" spans="1:13" x14ac:dyDescent="0.3">
      <c r="A298" s="139"/>
      <c r="B298" s="139"/>
      <c r="C298" s="139"/>
      <c r="D298" s="139"/>
      <c r="E298" s="139"/>
      <c r="F298" s="145"/>
      <c r="G298" s="321"/>
      <c r="H298" s="321"/>
      <c r="I298" s="321"/>
      <c r="J298" s="321"/>
      <c r="K298" s="321"/>
      <c r="L298" s="321"/>
      <c r="M298" s="320"/>
    </row>
    <row r="299" spans="1:13" x14ac:dyDescent="0.3">
      <c r="B299" s="133"/>
      <c r="C299" s="133"/>
      <c r="D299" s="133"/>
      <c r="E299" s="133"/>
      <c r="G299" s="133"/>
      <c r="H299" s="133"/>
      <c r="I299" s="133"/>
      <c r="J299" s="133"/>
      <c r="K299" s="133"/>
      <c r="L299" s="133"/>
    </row>
    <row r="300" spans="1:13" x14ac:dyDescent="0.3">
      <c r="B300" s="133"/>
      <c r="C300" s="133"/>
      <c r="D300" s="133"/>
      <c r="E300" s="133"/>
    </row>
    <row r="301" spans="1:13" x14ac:dyDescent="0.3">
      <c r="B301" s="133"/>
      <c r="C301" s="133"/>
      <c r="D301" s="133"/>
      <c r="E301" s="133"/>
    </row>
    <row r="302" spans="1:13" x14ac:dyDescent="0.3">
      <c r="B302" s="133"/>
      <c r="C302" s="133"/>
      <c r="D302" s="133"/>
      <c r="E302" s="133"/>
    </row>
    <row r="303" spans="1:13" x14ac:dyDescent="0.3">
      <c r="B303" s="141"/>
      <c r="C303" s="126"/>
      <c r="D303" s="133"/>
      <c r="F303" s="133"/>
    </row>
    <row r="304" spans="1:13" x14ac:dyDescent="0.3">
      <c r="B304" s="133"/>
      <c r="C304" s="126"/>
      <c r="D304" s="133"/>
    </row>
    <row r="305" spans="2:4" x14ac:dyDescent="0.3">
      <c r="B305" s="133"/>
      <c r="C305" s="126"/>
      <c r="D305" s="133"/>
    </row>
  </sheetData>
  <sheetProtection algorithmName="SHA-512" hashValue="leKe6GLz/XyhJNRMq6NoO+S4yhdAJYC2ZajJCGSfk6c3+5GmYLOoU9Dt9h0AZmTw5u3efcagPXy9dHfYebG82w==" saltValue="kBDrfFFv4tMYNGqIgGhtbQ==" spinCount="100000" sheet="1" selectLockedCells="1"/>
  <mergeCells count="124">
    <mergeCell ref="B25:B26"/>
    <mergeCell ref="C25:E25"/>
    <mergeCell ref="F25:F26"/>
    <mergeCell ref="B27:B30"/>
    <mergeCell ref="F27:F30"/>
    <mergeCell ref="B103:K103"/>
    <mergeCell ref="B104:K104"/>
    <mergeCell ref="B105:K105"/>
    <mergeCell ref="B106:K106"/>
    <mergeCell ref="B32:K32"/>
    <mergeCell ref="B33:K33"/>
    <mergeCell ref="D35:K35"/>
    <mergeCell ref="G37:G38"/>
    <mergeCell ref="B39:B42"/>
    <mergeCell ref="F39:F42"/>
    <mergeCell ref="G39:G42"/>
    <mergeCell ref="B107:K107"/>
    <mergeCell ref="B36:K36"/>
    <mergeCell ref="B94:B95"/>
    <mergeCell ref="C94:D94"/>
    <mergeCell ref="E94:F94"/>
    <mergeCell ref="G94:G95"/>
    <mergeCell ref="H94:H95"/>
    <mergeCell ref="B98:K98"/>
    <mergeCell ref="B99:K99"/>
    <mergeCell ref="B100:K100"/>
    <mergeCell ref="B102:I102"/>
    <mergeCell ref="D46:K46"/>
    <mergeCell ref="B47:K47"/>
    <mergeCell ref="B48:B49"/>
    <mergeCell ref="B44:K44"/>
    <mergeCell ref="C48:E48"/>
    <mergeCell ref="F48:F49"/>
    <mergeCell ref="G48:G49"/>
    <mergeCell ref="B50:B53"/>
    <mergeCell ref="F50:F53"/>
    <mergeCell ref="G50:G53"/>
    <mergeCell ref="B37:B38"/>
    <mergeCell ref="C37:E37"/>
    <mergeCell ref="F37:F38"/>
    <mergeCell ref="B2:C2"/>
    <mergeCell ref="B57:K57"/>
    <mergeCell ref="B59:K59"/>
    <mergeCell ref="B63:K63"/>
    <mergeCell ref="B56:K56"/>
    <mergeCell ref="B79:E79"/>
    <mergeCell ref="B85:E85"/>
    <mergeCell ref="B93:E93"/>
    <mergeCell ref="B70:K70"/>
    <mergeCell ref="B75:K75"/>
    <mergeCell ref="B77:K77"/>
    <mergeCell ref="B80:B81"/>
    <mergeCell ref="C80:D80"/>
    <mergeCell ref="E80:F80"/>
    <mergeCell ref="G80:G81"/>
    <mergeCell ref="H80:H81"/>
    <mergeCell ref="B86:B87"/>
    <mergeCell ref="C86:D86"/>
    <mergeCell ref="E86:F86"/>
    <mergeCell ref="G86:G87"/>
    <mergeCell ref="H86:H87"/>
    <mergeCell ref="B11:K11"/>
    <mergeCell ref="D23:K23"/>
    <mergeCell ref="B24:K24"/>
    <mergeCell ref="B108:K108"/>
    <mergeCell ref="B130:K130"/>
    <mergeCell ref="B131:K131"/>
    <mergeCell ref="B137:K137"/>
    <mergeCell ref="B136:K136"/>
    <mergeCell ref="B148:K148"/>
    <mergeCell ref="B149:K149"/>
    <mergeCell ref="B160:K160"/>
    <mergeCell ref="B161:K161"/>
    <mergeCell ref="B163:K163"/>
    <mergeCell ref="B175:K175"/>
    <mergeCell ref="B179:K179"/>
    <mergeCell ref="B183:K183"/>
    <mergeCell ref="B188:K188"/>
    <mergeCell ref="B190:K190"/>
    <mergeCell ref="B192:E192"/>
    <mergeCell ref="G193:G194"/>
    <mergeCell ref="H193:H194"/>
    <mergeCell ref="B198:B199"/>
    <mergeCell ref="C198:D198"/>
    <mergeCell ref="E198:F198"/>
    <mergeCell ref="G198:G199"/>
    <mergeCell ref="H198:H199"/>
    <mergeCell ref="B193:B194"/>
    <mergeCell ref="C193:D193"/>
    <mergeCell ref="E193:F193"/>
    <mergeCell ref="B250:K250"/>
    <mergeCell ref="B244:K244"/>
    <mergeCell ref="B249:K249"/>
    <mergeCell ref="B226:K226"/>
    <mergeCell ref="B228:K228"/>
    <mergeCell ref="B229:K229"/>
    <mergeCell ref="B232:K232"/>
    <mergeCell ref="B233:K233"/>
    <mergeCell ref="B206:K206"/>
    <mergeCell ref="B210:K210"/>
    <mergeCell ref="B214:K214"/>
    <mergeCell ref="B222:K222"/>
    <mergeCell ref="B240:K240"/>
    <mergeCell ref="B197:E197"/>
    <mergeCell ref="B254:K254"/>
    <mergeCell ref="B257:K257"/>
    <mergeCell ref="B260:K260"/>
    <mergeCell ref="B261:K261"/>
    <mergeCell ref="B290:K290"/>
    <mergeCell ref="B291:K291"/>
    <mergeCell ref="B262:K262"/>
    <mergeCell ref="B263:K263"/>
    <mergeCell ref="B264:K264"/>
    <mergeCell ref="B265:K265"/>
    <mergeCell ref="B266:K266"/>
    <mergeCell ref="C12:K12"/>
    <mergeCell ref="D13:K13"/>
    <mergeCell ref="B14:K14"/>
    <mergeCell ref="B15:B16"/>
    <mergeCell ref="C15:E15"/>
    <mergeCell ref="F15:F16"/>
    <mergeCell ref="B17:B20"/>
    <mergeCell ref="F17:F20"/>
    <mergeCell ref="B21:K21"/>
  </mergeCells>
  <conditionalFormatting sqref="B160:B164 B183 B184:E184 B175:B176 B179 B182:K182 B203:K203">
    <cfRule type="expression" dxfId="0" priority="46">
      <formula>$C$295="No"</formula>
    </cfRule>
  </conditionalFormatting>
  <dataValidations count="3">
    <dataValidation type="whole" allowBlank="1" showInputMessage="1" showErrorMessage="1" sqref="C166 C169" xr:uid="{16299916-FE21-4F5C-B79B-1348E805F395}">
      <formula1>0</formula1>
      <formula2>180</formula2>
    </dataValidation>
    <dataValidation type="decimal" allowBlank="1" showInputMessage="1" showErrorMessage="1" sqref="C166 C169" xr:uid="{C031CFEC-72B2-4671-9302-0A7C24882117}">
      <formula1>1.5</formula1>
      <formula2>13.3</formula2>
    </dataValidation>
    <dataValidation type="decimal" allowBlank="1" showInputMessage="1" showErrorMessage="1" sqref="J124:K126 C139 C271:C272 C274:C275 C269 C65:C66 C72:C73 C177:C178 C282:D287 C124:H126 C62 C155:C157 C151 E123 C96:D96 C142:C144 C172:C173 C195:D195 C185:C186 C200:D202 C88:D90" xr:uid="{93579FDC-4C5D-4892-AAAA-CABF062B9711}">
      <formula1>-1E+26</formula1>
      <formula2>1E+26</formula2>
    </dataValidation>
  </dataValidations>
  <hyperlinks>
    <hyperlink ref="F4" location="Instructions!C33" display="Back to Instructions tab" xr:uid="{2197DCA5-446F-4251-A7AD-F1441FE891AF}"/>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CAF70A5-C689-4692-9827-413693FDECB1}">
          <x14:formula1>
            <xm:f>'Drop-Downs and Tables'!$B$92:$B$94</xm:f>
          </x14:formula1>
          <xm:sqref>C67 C165 C168 C208</xm:sqref>
        </x14:dataValidation>
        <x14:dataValidation type="list" allowBlank="1" showInputMessage="1" showErrorMessage="1" xr:uid="{68849B3B-66C5-439D-9652-7851325E8C07}">
          <x14:formula1>
            <xm:f>'Drop-Downs and Tables'!$D$13:$D$15</xm:f>
          </x14:formula1>
          <xm:sqref>D20:E20 D30:E30</xm:sqref>
        </x14:dataValidation>
        <x14:dataValidation type="list" allowBlank="1" showInputMessage="1" showErrorMessage="1" xr:uid="{1C665C69-4D5F-4B09-A84C-C96E5CFAF691}">
          <x14:formula1>
            <xm:f>'Drop-Downs and Tables'!$C$13:$C$16</xm:f>
          </x14:formula1>
          <xm:sqref>C13 C23 C35 C46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0AA32-8E4A-45B5-A888-E11748C39CCA}">
  <sheetPr codeName="Sheet8">
    <tabColor rgb="FF0070C0"/>
    <pageSetUpPr fitToPage="1"/>
  </sheetPr>
  <dimension ref="A1:T36"/>
  <sheetViews>
    <sheetView showGridLines="0" zoomScale="80" zoomScaleNormal="80" workbookViewId="0">
      <selection activeCell="E4" sqref="E4"/>
    </sheetView>
  </sheetViews>
  <sheetFormatPr defaultColWidth="9" defaultRowHeight="16.5" x14ac:dyDescent="0.3"/>
  <cols>
    <col min="1" max="1" width="3.625" style="130" customWidth="1"/>
    <col min="2" max="2" width="43.125" style="130" customWidth="1"/>
    <col min="3" max="4" width="30.125" style="130" customWidth="1"/>
    <col min="5" max="5" width="23" style="130" customWidth="1"/>
    <col min="6" max="7" width="12.375" style="130" customWidth="1"/>
    <col min="8" max="8" width="18.125" style="130" customWidth="1"/>
    <col min="9" max="9" width="4" style="130" customWidth="1"/>
    <col min="10" max="16" width="12.375" style="130" customWidth="1"/>
    <col min="17" max="17" width="3.875" style="130" customWidth="1"/>
    <col min="18" max="16384" width="9" style="130"/>
  </cols>
  <sheetData>
    <row r="1" spans="2:20" ht="17.25" thickBot="1" x14ac:dyDescent="0.35">
      <c r="I1" s="1325"/>
      <c r="Q1" s="1327"/>
    </row>
    <row r="2" spans="2:20" ht="18" thickBot="1" x14ac:dyDescent="0.35">
      <c r="B2" s="1562" t="s">
        <v>228</v>
      </c>
      <c r="C2" s="1563"/>
      <c r="D2" s="231"/>
      <c r="E2" s="231"/>
      <c r="I2" s="1325"/>
      <c r="Q2" s="1327"/>
    </row>
    <row r="3" spans="2:20" x14ac:dyDescent="0.3">
      <c r="B3" s="293" t="s">
        <v>229</v>
      </c>
      <c r="C3" s="1451" t="str">
        <f>'Version Control'!C3</f>
        <v>Consumer Boiler</v>
      </c>
      <c r="D3" s="235"/>
      <c r="E3" s="235"/>
      <c r="I3" s="1325"/>
      <c r="Q3" s="1327"/>
    </row>
    <row r="4" spans="2:20" ht="18" x14ac:dyDescent="0.3">
      <c r="B4" s="295" t="s">
        <v>117</v>
      </c>
      <c r="C4" s="1452" t="str">
        <f>'Version Control'!C4</f>
        <v>v2.1</v>
      </c>
      <c r="D4" s="171"/>
      <c r="E4" s="76" t="s">
        <v>124</v>
      </c>
      <c r="I4" s="1325"/>
      <c r="Q4" s="1327"/>
    </row>
    <row r="5" spans="2:20" x14ac:dyDescent="0.3">
      <c r="B5" s="295" t="s">
        <v>118</v>
      </c>
      <c r="C5" s="1453">
        <f>'Version Control'!C5</f>
        <v>45407</v>
      </c>
      <c r="D5" s="171"/>
      <c r="E5" s="171"/>
      <c r="I5" s="1325"/>
      <c r="Q5" s="1327"/>
    </row>
    <row r="6" spans="2:20" x14ac:dyDescent="0.3">
      <c r="B6" s="298" t="s">
        <v>116</v>
      </c>
      <c r="C6" s="1454" t="str">
        <f ca="1">MID(CELL("filename",A1), FIND("]", CELL("filename", A1))+ 1, 255)</f>
        <v>Cyclic Timing Calculations</v>
      </c>
      <c r="D6" s="171"/>
      <c r="E6" s="171"/>
      <c r="I6" s="1325"/>
      <c r="Q6" s="1327"/>
    </row>
    <row r="7" spans="2:20" x14ac:dyDescent="0.3">
      <c r="B7" s="300" t="s">
        <v>115</v>
      </c>
      <c r="C7" s="301" t="str">
        <f ca="1">'Version Control'!C7</f>
        <v>Consumer Boiler - v2.1.xlsx</v>
      </c>
      <c r="D7" s="171"/>
      <c r="E7" s="171"/>
      <c r="I7" s="1325"/>
      <c r="Q7" s="1327"/>
    </row>
    <row r="8" spans="2:20" ht="17.25" thickBot="1" x14ac:dyDescent="0.35">
      <c r="B8" s="302" t="s">
        <v>119</v>
      </c>
      <c r="C8" s="1455" t="str">
        <f>'Version Control'!C8</f>
        <v>[MM/DD/YYYY]</v>
      </c>
      <c r="D8" s="156"/>
      <c r="E8" s="156"/>
      <c r="I8" s="1325"/>
      <c r="Q8" s="1327"/>
    </row>
    <row r="9" spans="2:20" x14ac:dyDescent="0.3">
      <c r="B9" s="153"/>
      <c r="F9" s="129"/>
      <c r="G9" s="129"/>
      <c r="H9" s="129"/>
      <c r="I9" s="1326"/>
      <c r="J9" s="129"/>
      <c r="K9" s="129"/>
      <c r="L9" s="129"/>
      <c r="M9" s="129"/>
      <c r="N9" s="129"/>
      <c r="O9" s="129"/>
      <c r="P9" s="129"/>
      <c r="Q9" s="1328"/>
      <c r="R9" s="155"/>
      <c r="S9" s="155"/>
      <c r="T9" s="155"/>
    </row>
    <row r="10" spans="2:20" ht="17.25" thickBot="1" x14ac:dyDescent="0.35">
      <c r="B10" s="153"/>
      <c r="F10" s="129"/>
      <c r="G10" s="129"/>
      <c r="H10" s="129"/>
      <c r="I10" s="1326"/>
      <c r="J10" s="129"/>
      <c r="K10" s="129"/>
      <c r="L10" s="129"/>
      <c r="M10" s="129"/>
      <c r="N10" s="129"/>
      <c r="O10" s="129"/>
      <c r="P10" s="129"/>
      <c r="Q10" s="1328"/>
      <c r="R10" s="155"/>
      <c r="S10" s="155"/>
      <c r="T10" s="155"/>
    </row>
    <row r="11" spans="2:20" s="129" customFormat="1" ht="18" thickBot="1" x14ac:dyDescent="0.35">
      <c r="B11" s="1243" t="str">
        <f>"Cyclic Timing"&amp;IF('Sys. # &amp; Product Characteristic'!Control_Type=" Step Modulating","",IF('Sys. # &amp; Product Characteristic'!Control_Type="Two-Stage Modulating","","- NOT USED FOR THIS TEST"))</f>
        <v>Cyclic Timing- NOT USED FOR THIS TEST</v>
      </c>
      <c r="C11" s="259"/>
      <c r="D11" s="259"/>
      <c r="E11" s="259"/>
      <c r="F11" s="1377"/>
      <c r="G11" s="1248"/>
      <c r="I11" s="1326"/>
      <c r="Q11" s="1327"/>
    </row>
    <row r="12" spans="2:20" s="129" customFormat="1" ht="33.6" customHeight="1" x14ac:dyDescent="0.3">
      <c r="B12" s="1825" t="s">
        <v>71</v>
      </c>
      <c r="C12" s="1827" t="s">
        <v>33</v>
      </c>
      <c r="D12" s="1829" t="s">
        <v>62</v>
      </c>
      <c r="E12" s="1831" t="s">
        <v>530</v>
      </c>
      <c r="F12" s="1831"/>
      <c r="G12" s="1823" t="s">
        <v>136</v>
      </c>
      <c r="I12" s="1326"/>
      <c r="Q12" s="1327"/>
    </row>
    <row r="13" spans="2:20" s="129" customFormat="1" ht="35.25" thickBot="1" x14ac:dyDescent="0.35">
      <c r="B13" s="1826"/>
      <c r="C13" s="1828"/>
      <c r="D13" s="1830"/>
      <c r="E13" s="1247" t="s">
        <v>488</v>
      </c>
      <c r="F13" s="1247" t="s">
        <v>489</v>
      </c>
      <c r="G13" s="1824"/>
      <c r="I13" s="1326"/>
      <c r="Q13" s="1327"/>
    </row>
    <row r="14" spans="2:20" s="129" customFormat="1" ht="18" thickBot="1" x14ac:dyDescent="0.35">
      <c r="B14" s="847" t="s">
        <v>518</v>
      </c>
      <c r="C14" s="848" t="s">
        <v>175</v>
      </c>
      <c r="D14" s="849" t="str">
        <f>IF('Sys. # &amp; Product Characteristic'!Heating_Fuel_Used="Electricity","11.1",
IF(AND('Sys. # &amp; Product Characteristic'!Control_Type="Single Stage",'Sys. # &amp; Product Characteristic'!Flue_Gas="Non-Condensing"),"11.2",
IF(AND('Sys. # &amp; Product Characteristic'!Control_Type="Single Stage",'Sys. # &amp; Product Characteristic'!Flue_Gas="Condensing"),"11.3",
IF(AND(OR('Sys. # &amp; Product Characteristic'!Control_Type="Step Modulating",'Sys. # &amp; Product Characteristic'!Control_Type="Two-Stage Modulating"),'Sys. # &amp; Product Characteristic'!Flue_Gas="Non-Condensing"),"11.4",
IF(AND(OR('Sys. # &amp; Product Characteristic'!Control_Type="Step Modulating",'Sys. # &amp; Product Characteristic'!Control_Type="Two-Stage Modulating"),'Sys. # &amp; Product Characteristic'!Flue_Gas="Condensing"),"11.5",
"Unknown")))))</f>
        <v>Unknown</v>
      </c>
      <c r="E14" s="850" t="str">
        <f>"11.5"</f>
        <v>11.5</v>
      </c>
      <c r="F14" s="1259" t="str">
        <f>"11.5"</f>
        <v>11.5</v>
      </c>
      <c r="G14" s="1258"/>
      <c r="I14" s="1326"/>
      <c r="Q14" s="1327"/>
    </row>
    <row r="15" spans="2:20" s="129" customFormat="1" ht="18" thickBot="1" x14ac:dyDescent="0.35">
      <c r="B15" s="1254"/>
      <c r="C15" s="1255"/>
      <c r="D15" s="1256"/>
      <c r="E15" s="1257"/>
      <c r="F15" s="1257"/>
      <c r="G15" s="1362"/>
      <c r="I15" s="1326"/>
      <c r="Q15" s="1327"/>
    </row>
    <row r="16" spans="2:20" s="129" customFormat="1" ht="33" x14ac:dyDescent="0.3">
      <c r="B16" s="1300" t="s">
        <v>1045</v>
      </c>
      <c r="C16" s="1458" t="s">
        <v>481</v>
      </c>
      <c r="D16" s="1305" t="s">
        <v>1049</v>
      </c>
      <c r="E16" s="1251" t="str">
        <f>IF($D$14&lt;&gt;$E$14,"N/A",IF(AND('Sys. # &amp; Product Characteristic'!Reduced_Test?="Yes",'Sys. # &amp; Product Characteristic'!Flue_Gas="Non-condensing"),'Non-Con, Mod Calculations'!Effy.SS_Max,
IF(AND('Sys. # &amp; Product Characteristic'!Reduced_Test?="Yes",'Sys. # &amp; Product Characteristic'!Flue_Gas="Condensing"),'Con, Mod Calculations'!Effy.SS_Max,"")))</f>
        <v>N/A</v>
      </c>
      <c r="F16" s="1251" t="str">
        <f>IF($D$14&lt;&gt;$E$14,"N/A",IF(AND('Sys. # &amp; Product Characteristic'!C48="Yes",'Sys. # &amp; Product Characteristic'!Flue_Gas="Non-condensing"),'Non-Con, Mod Calculations'!Effy.SS_Reduced,
IF(AND('Sys. # &amp; Product Characteristic'!C48="Yes",'Sys. # &amp; Product Characteristic'!Flue_Gas="Condensing"),'Con, Mod Calculations'!Effy.SS_Reduced,"")))</f>
        <v>N/A</v>
      </c>
      <c r="G16" s="780" t="s">
        <v>211</v>
      </c>
      <c r="I16" s="1326"/>
      <c r="Q16" s="1327"/>
    </row>
    <row r="17" spans="2:17" s="129" customFormat="1" ht="18" x14ac:dyDescent="0.3">
      <c r="B17" s="1301" t="s">
        <v>409</v>
      </c>
      <c r="C17" s="1459" t="s">
        <v>483</v>
      </c>
      <c r="D17" s="1460" t="s">
        <v>1165</v>
      </c>
      <c r="E17" s="1307" t="str">
        <f>IF('Test Conditions'!C46="", 'Test Conditions'!Jacket_Loss_Factor, 'Test Conditions'!C46)</f>
        <v/>
      </c>
      <c r="F17" s="1251" t="str">
        <f>IF($D$14&lt;&gt;$E$14,"N/A",IF('Test Conditions'!C46="",'Test Conditions'!Jacket_Loss_Factor,'Test Conditions'!C46))</f>
        <v>N/A</v>
      </c>
      <c r="G17" s="1311" t="s">
        <v>273</v>
      </c>
      <c r="I17" s="1326"/>
      <c r="Q17" s="1327"/>
    </row>
    <row r="18" spans="2:17" s="129" customFormat="1" ht="17.25" x14ac:dyDescent="0.3">
      <c r="B18" s="1301" t="s">
        <v>419</v>
      </c>
      <c r="C18" s="1302" t="s">
        <v>58</v>
      </c>
      <c r="D18" s="1304" t="s">
        <v>1165</v>
      </c>
      <c r="E18" s="1249" t="str">
        <f>IF($D$14&lt;&gt;$E$14,"N/A",IF('Sys. # &amp; Product Characteristic'!Installation="Indoor",0,
IF('Sys. # &amp; Product Characteristic'!C15="Isolated Combust. System",1.7,
IF('Sys. # &amp; Product Characteristic'!C15="Outdoor",3.3,
IF(Finned_Tube_Boiler="Yes",1,"")))))</f>
        <v>N/A</v>
      </c>
      <c r="F18" s="1246" t="str">
        <f>IF($D$14&lt;&gt;$E$14,"N/A",IF('Sys. # &amp; Product Characteristic'!Installation = "Indoor", 0,
IF('Sys. # &amp; Product Characteristic'!C15 = "Isolated Combust. System", 1.7,
IF('Sys. # &amp; Product Characteristic'!C15 = "Outdoor", 3.3,
IF(Finned_Tube_Boiler = "Yes", 1, "")))))</f>
        <v>N/A</v>
      </c>
      <c r="G18" s="1311" t="s">
        <v>175</v>
      </c>
      <c r="I18" s="1326"/>
      <c r="Q18" s="1327"/>
    </row>
    <row r="19" spans="2:17" s="129" customFormat="1" ht="17.25" x14ac:dyDescent="0.3">
      <c r="B19" s="1299" t="s">
        <v>420</v>
      </c>
      <c r="C19" s="1302" t="s">
        <v>38</v>
      </c>
      <c r="D19" s="1304" t="s">
        <v>1168</v>
      </c>
      <c r="E19" s="1249" t="str">
        <f>IF($D$14&lt;&gt;$E$14,"N/A",0.7)</f>
        <v>N/A</v>
      </c>
      <c r="F19" s="1376"/>
      <c r="G19" s="1366" t="s">
        <v>175</v>
      </c>
      <c r="I19" s="1326"/>
      <c r="Q19" s="1327"/>
    </row>
    <row r="20" spans="2:17" s="129" customFormat="1" ht="18" x14ac:dyDescent="0.3">
      <c r="B20" s="1299" t="s">
        <v>1055</v>
      </c>
      <c r="C20" s="1302" t="s">
        <v>484</v>
      </c>
      <c r="D20" s="1304" t="s">
        <v>1166</v>
      </c>
      <c r="E20" s="1246" t="str">
        <f>IF($D$14&lt;&gt;$E$14,"N/A",'General Info &amp; Test Results'!Nameplate_Maximum_Input*(Effy.SS_Max-K_Adjust*L.J_Max)/100)</f>
        <v>N/A</v>
      </c>
      <c r="F20" s="1364"/>
      <c r="G20" s="1312" t="s">
        <v>37</v>
      </c>
      <c r="I20" s="1326"/>
      <c r="Q20" s="1327"/>
    </row>
    <row r="21" spans="2:17" s="129" customFormat="1" ht="18" x14ac:dyDescent="0.3">
      <c r="B21" s="1300" t="s">
        <v>1258</v>
      </c>
      <c r="C21" s="1302" t="s">
        <v>1171</v>
      </c>
      <c r="D21" s="1461" t="s">
        <v>1172</v>
      </c>
      <c r="E21" s="1308"/>
      <c r="F21" s="1246" t="str">
        <f>IF($D$14&lt;&gt;$E$14,"N/A",('General Info &amp; Test Results'!Nameplate_Reduced_Input*(Effy.SS_Reduced-K_Adjust_Reduced*L.J_Reduced)/100))</f>
        <v>N/A</v>
      </c>
      <c r="G21" s="1311" t="s">
        <v>37</v>
      </c>
      <c r="I21" s="1326"/>
      <c r="Q21" s="1327"/>
    </row>
    <row r="22" spans="2:17" s="129" customFormat="1" ht="18" x14ac:dyDescent="0.3">
      <c r="B22" s="1462" t="s">
        <v>1191</v>
      </c>
      <c r="C22" s="1302" t="s">
        <v>1192</v>
      </c>
      <c r="D22" s="1461" t="s">
        <v>1167</v>
      </c>
      <c r="E22" s="1309"/>
      <c r="F22" s="1246" t="str">
        <f>IF($D$14&lt;&gt;$E$14,"N/A",IF(((1+Alpha)*(Q.OUTR/Q.Out_Max)-1)&lt;0,0,((1+Alpha)*(Q.OUTR/Q.Out_Max)-1)))</f>
        <v>N/A</v>
      </c>
      <c r="G22" s="1311" t="s">
        <v>175</v>
      </c>
      <c r="I22" s="1326"/>
      <c r="Q22" s="1327"/>
    </row>
    <row r="23" spans="2:17" s="129" customFormat="1" ht="33" x14ac:dyDescent="0.3">
      <c r="B23" s="1301" t="s">
        <v>1292</v>
      </c>
      <c r="C23" s="1302" t="s">
        <v>1047</v>
      </c>
      <c r="D23" s="1304" t="s">
        <v>1170</v>
      </c>
      <c r="E23" s="1246" t="str">
        <f>IF($D$14&lt;&gt;$E$14,"N/A",IF(T.C_Max&lt;=5,5,6.86*10^(-7)*(T.C_Max^4)-1.96*10^(-4)*(T.C_Max^3)+1.08*10^(-2)*(T.C_Max^2)+5.5*10^(-1)*T.C_Max+2.33))</f>
        <v>N/A</v>
      </c>
      <c r="F23" s="1245"/>
      <c r="G23" s="1312" t="s">
        <v>51</v>
      </c>
      <c r="I23" s="1326"/>
      <c r="Q23" s="1327"/>
    </row>
    <row r="24" spans="2:17" s="129" customFormat="1" ht="33" x14ac:dyDescent="0.3">
      <c r="B24" s="1301" t="s">
        <v>1046</v>
      </c>
      <c r="C24" s="1463" t="s">
        <v>1048</v>
      </c>
      <c r="D24" s="1461" t="s">
        <v>1170</v>
      </c>
      <c r="E24" s="1307"/>
      <c r="F24" s="1246" t="str">
        <f>IF($D$14&lt;&gt;$E$14,"N/A",IF(T.C_Max&lt;=5,42,-2.39*EXP(-6)*(T.C_Max^4)+2.56*EXP(-4)*(T.C_Max^3)-1.125*EXP(-2)*(T.C_Max^2)-2.58*EXP(-2)*T.C_Max+42.17))</f>
        <v>N/A</v>
      </c>
      <c r="G24" s="1311" t="s">
        <v>51</v>
      </c>
      <c r="I24" s="1326"/>
      <c r="Q24" s="1327"/>
    </row>
    <row r="25" spans="2:17" s="129" customFormat="1" ht="18" x14ac:dyDescent="0.3">
      <c r="B25" s="1301" t="s">
        <v>1259</v>
      </c>
      <c r="C25" s="1459" t="s">
        <v>587</v>
      </c>
      <c r="D25" s="1304" t="s">
        <v>1301</v>
      </c>
      <c r="E25" s="1246" t="str">
        <f>IF($D$14&lt;&gt;$E$14,"N/A",IF(AND('Sys. # &amp; Product Characteristic'!Reduced_Test?="Yes",'Sys. # &amp; Product Characteristic'!Flue_Gas="Condensing"), T.SH_Max-(T.SH_Max-T.OAT)*(1+Alpha)*(('General Info &amp; Test Results'!Nameplate_Reduced_Input*(100-'Con, Mod Calculations'!L.LA_Max-'Con, Mod Calculations'!L.SSS_Reduced))/('General Info &amp; Test Results'!Nameplate_Maximum_Input*(100-'Con, Mod Calculations'!L.LA_Max-'Con, Mod Calculations'!L.SSS_Max))), T.SH_Max-((T.SH_Max-T.OAT)*(1+Alpha)*(Q.OUTR/Q.Out_Max))))</f>
        <v>N/A</v>
      </c>
      <c r="F25" s="1365"/>
      <c r="G25" s="1366" t="s">
        <v>51</v>
      </c>
      <c r="I25" s="1326"/>
      <c r="Q25" s="1327"/>
    </row>
    <row r="26" spans="2:17" s="129" customFormat="1" ht="33" x14ac:dyDescent="0.3">
      <c r="B26" s="1299" t="s">
        <v>1260</v>
      </c>
      <c r="C26" s="1302" t="s">
        <v>1173</v>
      </c>
      <c r="D26" s="1304" t="s">
        <v>1169</v>
      </c>
      <c r="E26" s="1246" t="str">
        <f>IF($D$14&lt;&gt;$E$14,"N/A",5)</f>
        <v>N/A</v>
      </c>
      <c r="F26" s="1364"/>
      <c r="G26" s="1313" t="s">
        <v>51</v>
      </c>
      <c r="I26" s="1326"/>
      <c r="Q26" s="1327"/>
    </row>
    <row r="27" spans="2:17" s="129" customFormat="1" ht="33" x14ac:dyDescent="0.3">
      <c r="B27" s="1300" t="s">
        <v>1174</v>
      </c>
      <c r="C27" s="1463" t="s">
        <v>1175</v>
      </c>
      <c r="D27" s="1304" t="s">
        <v>1169</v>
      </c>
      <c r="E27" s="1246" t="str">
        <f>IF($D$14&lt;&gt;$E$14,"N/A",65)</f>
        <v>N/A</v>
      </c>
      <c r="F27" s="1246" t="str">
        <f>IF($D$14&lt;&gt;$E$14,"N/A",65)</f>
        <v>N/A</v>
      </c>
      <c r="G27" s="1253" t="s">
        <v>51</v>
      </c>
      <c r="I27" s="1326"/>
      <c r="Q27" s="1327"/>
    </row>
    <row r="28" spans="2:17" s="129" customFormat="1" ht="18" x14ac:dyDescent="0.3">
      <c r="B28" s="1301" t="s">
        <v>1176</v>
      </c>
      <c r="C28" s="1459" t="s">
        <v>1178</v>
      </c>
      <c r="D28" s="1304" t="s">
        <v>1182</v>
      </c>
      <c r="E28" s="1246" t="str">
        <f>IF($D$14&lt;&gt;$E$14,"N/A",(T.SH_Max-T.OAH)/((T.SH_Max-T.OAT)*(1+Alpha)))</f>
        <v>N/A</v>
      </c>
      <c r="F28" s="1250"/>
      <c r="G28" s="1314" t="s">
        <v>175</v>
      </c>
      <c r="I28" s="1326"/>
      <c r="Q28" s="1327"/>
    </row>
    <row r="29" spans="2:17" s="129" customFormat="1" ht="18" x14ac:dyDescent="0.3">
      <c r="B29" s="1299" t="s">
        <v>1177</v>
      </c>
      <c r="C29" s="1302" t="s">
        <v>1179</v>
      </c>
      <c r="D29" s="1310" t="s">
        <v>1182</v>
      </c>
      <c r="E29" s="1245"/>
      <c r="F29" s="1246" t="str">
        <f>IF($D$14&lt;&gt;$E$14,"N/A",IF(T.C_Max&lt;=5,(T.SH_Reduced-T.OAR)/(60*(1+Alpha.R)),(T.SH_Reduced-T.OAR)/(65*(1+0))))</f>
        <v>N/A</v>
      </c>
      <c r="G29" s="1311" t="s">
        <v>175</v>
      </c>
      <c r="I29" s="1326"/>
      <c r="Q29" s="1327"/>
    </row>
    <row r="30" spans="2:17" s="129" customFormat="1" ht="18" x14ac:dyDescent="0.3">
      <c r="B30" s="1300" t="s">
        <v>1180</v>
      </c>
      <c r="C30" s="1302" t="s">
        <v>1181</v>
      </c>
      <c r="D30" s="1305" t="s">
        <v>1182</v>
      </c>
      <c r="E30" s="1246" t="str">
        <f>IF($D$14&lt;&gt;$E$14,"N/A",2)</f>
        <v>N/A</v>
      </c>
      <c r="F30" s="1246" t="str">
        <f>IF($D$14&lt;&gt;$E$14,"N/A",2)</f>
        <v>N/A</v>
      </c>
      <c r="G30" s="1311" t="s">
        <v>175</v>
      </c>
      <c r="I30" s="1326"/>
      <c r="Q30" s="1327"/>
    </row>
    <row r="31" spans="2:17" s="129" customFormat="1" ht="33" x14ac:dyDescent="0.3">
      <c r="B31" s="1464" t="s">
        <v>1185</v>
      </c>
      <c r="C31" s="1302" t="s">
        <v>1183</v>
      </c>
      <c r="D31" s="1304" t="s">
        <v>1182</v>
      </c>
      <c r="E31" s="1246" t="str">
        <f>IF($D$14&lt;&gt;$E$14,"N/A",60/(4*N.50_Max*(1-LF.H)))</f>
        <v>N/A</v>
      </c>
      <c r="F31" s="1246" t="str">
        <f>IF($D$14&lt;&gt;$E$14,"N/A",60/(4*N.50_Max*(1-LF.R)))</f>
        <v>N/A</v>
      </c>
      <c r="G31" s="1316" t="s">
        <v>36</v>
      </c>
      <c r="I31" s="1326"/>
      <c r="Q31" s="1327"/>
    </row>
    <row r="32" spans="2:17" s="129" customFormat="1" ht="33.75" thickBot="1" x14ac:dyDescent="0.35">
      <c r="B32" s="1465" t="s">
        <v>1186</v>
      </c>
      <c r="C32" s="1303" t="s">
        <v>1184</v>
      </c>
      <c r="D32" s="1306" t="s">
        <v>1187</v>
      </c>
      <c r="E32" s="1252" t="str">
        <f>IF($D$14&lt;&gt;$E$14,"N/A",t.ONH*((1/LF.H)-1))</f>
        <v>N/A</v>
      </c>
      <c r="F32" s="1252" t="str">
        <f>IF($D$14&lt;&gt;$E$14,"N/A",t.ONR*((1/LF.R)-1))</f>
        <v>N/A</v>
      </c>
      <c r="G32" s="1315" t="s">
        <v>36</v>
      </c>
      <c r="I32" s="1326"/>
      <c r="Q32" s="1327"/>
    </row>
    <row r="33" spans="1:17" s="129" customFormat="1" ht="17.25" x14ac:dyDescent="0.3">
      <c r="B33" s="1244"/>
      <c r="C33" s="135"/>
      <c r="D33" s="135"/>
      <c r="E33" s="1245"/>
      <c r="F33" s="1245"/>
      <c r="G33" s="135"/>
      <c r="I33" s="1326"/>
      <c r="Q33" s="1327"/>
    </row>
    <row r="34" spans="1:17" s="129" customFormat="1" ht="17.25" x14ac:dyDescent="0.3">
      <c r="B34" s="1244"/>
      <c r="C34" s="135"/>
      <c r="D34" s="135"/>
      <c r="E34" s="1245"/>
      <c r="F34" s="1245"/>
      <c r="G34" s="135"/>
      <c r="I34" s="1326"/>
      <c r="Q34" s="1327"/>
    </row>
    <row r="35" spans="1:17" s="129" customFormat="1" ht="17.25" x14ac:dyDescent="0.3">
      <c r="B35" s="1244"/>
      <c r="C35" s="135"/>
      <c r="D35" s="135"/>
      <c r="E35" s="1245"/>
      <c r="F35" s="1245"/>
      <c r="G35" s="135"/>
      <c r="I35" s="1326"/>
      <c r="Q35" s="1327"/>
    </row>
    <row r="36" spans="1:17" x14ac:dyDescent="0.3">
      <c r="A36" s="152"/>
      <c r="B36" s="152"/>
      <c r="C36" s="152"/>
      <c r="D36" s="152"/>
      <c r="E36" s="152"/>
      <c r="F36" s="152"/>
      <c r="G36" s="152"/>
      <c r="H36" s="152"/>
      <c r="I36" s="152"/>
      <c r="J36" s="1327"/>
      <c r="K36" s="1327"/>
      <c r="L36" s="1327"/>
      <c r="M36" s="1327"/>
      <c r="N36" s="1327"/>
      <c r="O36" s="1327"/>
      <c r="P36" s="1327"/>
      <c r="Q36" s="1327"/>
    </row>
  </sheetData>
  <sheetProtection algorithmName="SHA-512" hashValue="2Uexu2m9pMq8QtONdVJSjtryWa6XUVbJqMdhtOvCEmg7tbRGbwxsD3rEHWLGJDQH154wtEvGTKNWAbRGbmtnFQ==" saltValue="jPm+GwvfqtMEGg8RMYlWEQ==" spinCount="100000" sheet="1" selectLockedCells="1"/>
  <mergeCells count="6">
    <mergeCell ref="G12:G13"/>
    <mergeCell ref="B2:C2"/>
    <mergeCell ref="B12:B13"/>
    <mergeCell ref="C12:C13"/>
    <mergeCell ref="D12:D13"/>
    <mergeCell ref="E12:F12"/>
  </mergeCells>
  <hyperlinks>
    <hyperlink ref="E4" location="Instructions!C33" display="Back to Instructions tab" xr:uid="{DAA3D4BC-E52E-4B7C-A0B7-7FD9BF8CE29C}"/>
  </hyperlinks>
  <printOptions horizontalCentered="1"/>
  <pageMargins left="0.25" right="0.25" top="0.75" bottom="0.25" header="0.3" footer="0.3"/>
  <pageSetup scale="39" orientation="landscape" r:id="rId1"/>
  <headerFooter>
    <oddHeader>&amp;F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70C0"/>
  </sheetPr>
  <dimension ref="A1:Q67"/>
  <sheetViews>
    <sheetView showGridLines="0" zoomScale="80" zoomScaleNormal="80" workbookViewId="0">
      <selection activeCell="E32" sqref="E32"/>
    </sheetView>
  </sheetViews>
  <sheetFormatPr defaultColWidth="9" defaultRowHeight="16.5" x14ac:dyDescent="0.3"/>
  <cols>
    <col min="1" max="1" width="3.625" style="126" customWidth="1"/>
    <col min="2" max="2" width="75.125" style="122" customWidth="1"/>
    <col min="3" max="3" width="37.125" style="123" customWidth="1"/>
    <col min="4" max="4" width="17" style="124" customWidth="1"/>
    <col min="5" max="5" width="10.625" style="122" customWidth="1"/>
    <col min="6" max="6" width="19.125" style="122" customWidth="1"/>
    <col min="7" max="7" width="17.125" style="122" customWidth="1"/>
    <col min="8" max="8" width="12.125" style="122" customWidth="1"/>
    <col min="9" max="9" width="12.125" style="125" customWidth="1"/>
    <col min="10" max="10" width="12.125" style="126" customWidth="1"/>
    <col min="11" max="11" width="4.875" style="126" customWidth="1"/>
    <col min="12" max="12" width="11.875" style="122" customWidth="1"/>
    <col min="13" max="14" width="10.5" style="126" customWidth="1"/>
    <col min="15" max="15" width="11.875" style="126" customWidth="1"/>
    <col min="16" max="16" width="10.5" style="126" customWidth="1"/>
    <col min="17" max="18" width="7.875" style="126" bestFit="1" customWidth="1"/>
    <col min="19" max="19" width="5.625" style="126" bestFit="1" customWidth="1"/>
    <col min="20" max="20" width="14.5" style="126" customWidth="1"/>
    <col min="21" max="21" width="15" style="126" customWidth="1"/>
    <col min="22" max="16384" width="9" style="126"/>
  </cols>
  <sheetData>
    <row r="1" spans="2:12" ht="17.25" thickBot="1" x14ac:dyDescent="0.35">
      <c r="K1" s="127"/>
      <c r="L1" s="126"/>
    </row>
    <row r="2" spans="2:12" ht="18" thickBot="1" x14ac:dyDescent="0.35">
      <c r="B2" s="1838" t="s">
        <v>228</v>
      </c>
      <c r="C2" s="1839"/>
      <c r="D2" s="231"/>
      <c r="E2" s="231"/>
      <c r="F2" s="130"/>
      <c r="H2" s="125"/>
      <c r="I2" s="126"/>
      <c r="K2" s="127"/>
      <c r="L2" s="126"/>
    </row>
    <row r="3" spans="2:12" x14ac:dyDescent="0.3">
      <c r="B3" s="562" t="s">
        <v>229</v>
      </c>
      <c r="C3" s="563" t="str">
        <f>'Version Control'!C3</f>
        <v>Consumer Boiler</v>
      </c>
      <c r="D3" s="1844"/>
      <c r="E3" s="1844"/>
      <c r="F3" s="130"/>
      <c r="G3" s="130"/>
      <c r="K3" s="127"/>
      <c r="L3" s="126"/>
    </row>
    <row r="4" spans="2:12" ht="18" x14ac:dyDescent="0.3">
      <c r="B4" s="564" t="s">
        <v>117</v>
      </c>
      <c r="C4" s="565" t="str">
        <f>'Version Control'!C4</f>
        <v>v2.1</v>
      </c>
      <c r="D4" s="566"/>
      <c r="E4" s="171"/>
      <c r="G4" s="1832" t="s">
        <v>124</v>
      </c>
      <c r="H4" s="1832"/>
      <c r="K4" s="127"/>
      <c r="L4" s="126"/>
    </row>
    <row r="5" spans="2:12" x14ac:dyDescent="0.3">
      <c r="B5" s="564" t="s">
        <v>118</v>
      </c>
      <c r="C5" s="567">
        <f>'Version Control'!C5</f>
        <v>45407</v>
      </c>
      <c r="D5" s="568"/>
      <c r="E5" s="233"/>
      <c r="F5" s="130"/>
      <c r="H5" s="125"/>
      <c r="I5" s="126"/>
      <c r="K5" s="127"/>
      <c r="L5" s="126"/>
    </row>
    <row r="6" spans="2:12" x14ac:dyDescent="0.3">
      <c r="B6" s="569" t="s">
        <v>116</v>
      </c>
      <c r="C6" s="570" t="str">
        <f ca="1">MID(CELL("filename",A1), FIND("]", CELL("filename", A1))+ 1, 255)</f>
        <v>Electric F, B Calculations</v>
      </c>
      <c r="D6" s="571"/>
      <c r="E6" s="171"/>
      <c r="F6" s="130"/>
      <c r="H6" s="125"/>
      <c r="I6" s="126"/>
      <c r="K6" s="127"/>
      <c r="L6" s="126"/>
    </row>
    <row r="7" spans="2:12" x14ac:dyDescent="0.3">
      <c r="B7" s="572" t="s">
        <v>115</v>
      </c>
      <c r="C7" s="573" t="str">
        <f ca="1">'Version Control'!C7</f>
        <v>Consumer Boiler - v2.1.xlsx</v>
      </c>
      <c r="D7" s="571"/>
      <c r="E7" s="171"/>
      <c r="F7" s="130"/>
      <c r="H7" s="125"/>
      <c r="I7" s="126"/>
      <c r="K7" s="127"/>
      <c r="L7" s="126"/>
    </row>
    <row r="8" spans="2:12" ht="17.25" thickBot="1" x14ac:dyDescent="0.35">
      <c r="B8" s="574" t="s">
        <v>119</v>
      </c>
      <c r="C8" s="575" t="str">
        <f>'Version Control'!C8</f>
        <v>[MM/DD/YYYY]</v>
      </c>
      <c r="D8" s="576"/>
      <c r="E8" s="156"/>
      <c r="F8" s="130"/>
      <c r="H8" s="125"/>
      <c r="I8" s="126"/>
      <c r="K8" s="127"/>
      <c r="L8" s="126"/>
    </row>
    <row r="9" spans="2:12" ht="17.25" x14ac:dyDescent="0.35">
      <c r="B9" s="131"/>
      <c r="I9" s="122"/>
      <c r="J9" s="122"/>
      <c r="K9" s="127"/>
      <c r="L9" s="126"/>
    </row>
    <row r="10" spans="2:12" ht="18" thickBot="1" x14ac:dyDescent="0.35">
      <c r="E10" s="176"/>
      <c r="H10" s="125"/>
      <c r="J10" s="122"/>
      <c r="K10" s="127"/>
      <c r="L10" s="126"/>
    </row>
    <row r="11" spans="2:12" ht="18" thickBot="1" x14ac:dyDescent="0.4">
      <c r="B11" s="487" t="s">
        <v>526</v>
      </c>
      <c r="C11" s="534"/>
      <c r="D11" s="535"/>
      <c r="E11" s="488"/>
      <c r="F11" s="536"/>
      <c r="G11" s="126"/>
      <c r="H11" s="126"/>
      <c r="I11" s="126"/>
      <c r="K11" s="127"/>
      <c r="L11" s="126"/>
    </row>
    <row r="12" spans="2:12" ht="49.5" customHeight="1" x14ac:dyDescent="0.3">
      <c r="B12" s="1825" t="s">
        <v>71</v>
      </c>
      <c r="C12" s="1827" t="s">
        <v>33</v>
      </c>
      <c r="D12" s="1829" t="s">
        <v>62</v>
      </c>
      <c r="E12" s="1842" t="s">
        <v>1112</v>
      </c>
      <c r="F12" s="1823" t="s">
        <v>136</v>
      </c>
      <c r="G12" s="126"/>
      <c r="H12" s="126"/>
      <c r="I12" s="126"/>
      <c r="K12" s="127"/>
      <c r="L12" s="126"/>
    </row>
    <row r="13" spans="2:12" ht="33" customHeight="1" thickBot="1" x14ac:dyDescent="0.35">
      <c r="B13" s="1840"/>
      <c r="C13" s="1841"/>
      <c r="D13" s="1833"/>
      <c r="E13" s="1843"/>
      <c r="F13" s="1834"/>
      <c r="G13" s="126"/>
      <c r="H13" s="126"/>
      <c r="I13" s="126"/>
      <c r="K13" s="127"/>
      <c r="L13" s="126"/>
    </row>
    <row r="14" spans="2:12" ht="18" thickBot="1" x14ac:dyDescent="0.35">
      <c r="B14" s="847" t="s">
        <v>518</v>
      </c>
      <c r="C14" s="848" t="s">
        <v>175</v>
      </c>
      <c r="D14" s="849" t="str">
        <f>IF('General Info &amp; Test Results'!C46="Electricity","11.1",
IF(AND('General Info &amp; Test Results'!$C$59="Single Stage",'General Info &amp; Test Results'!$C$58="Non-Condensing"),"11.2",
IF(AND('General Info &amp; Test Results'!$C$59="Single Stage",'General Info &amp; Test Results'!$C$58="Condensing"),"11.3",
IF(AND(OR('General Info &amp; Test Results'!$C$59="Step Modulating",'General Info &amp; Test Results'!$C$59="Two-Stage Modulating"),'General Info &amp; Test Results'!$C$58="Non-Condensing"),"11.4",
IF(AND(OR('General Info &amp; Test Results'!$C$59="Step Modulating",'General Info &amp; Test Results'!$C$59="Two-Stage Modulating"),'General Info &amp; Test Results'!$C$58="Condensing"),"11.5",
"Unknown")))))</f>
        <v>Unknown</v>
      </c>
      <c r="E14" s="850" t="str">
        <f>"11.1"</f>
        <v>11.1</v>
      </c>
      <c r="F14" s="851" t="s">
        <v>175</v>
      </c>
      <c r="G14" s="126"/>
      <c r="H14" s="126"/>
      <c r="I14" s="126"/>
      <c r="K14" s="127"/>
      <c r="L14" s="126"/>
    </row>
    <row r="15" spans="2:12" ht="18" thickBot="1" x14ac:dyDescent="0.35">
      <c r="B15" s="804"/>
      <c r="C15" s="781"/>
      <c r="D15" s="781"/>
      <c r="E15" s="782"/>
      <c r="F15" s="805"/>
      <c r="G15" s="126"/>
      <c r="H15" s="126"/>
      <c r="I15" s="126"/>
      <c r="K15" s="127"/>
      <c r="L15" s="126"/>
    </row>
    <row r="16" spans="2:12" ht="17.25" x14ac:dyDescent="0.3">
      <c r="B16" s="820" t="s">
        <v>416</v>
      </c>
      <c r="C16" s="821"/>
      <c r="D16" s="821"/>
      <c r="E16" s="821"/>
      <c r="F16" s="823"/>
      <c r="G16" s="126"/>
      <c r="H16" s="126"/>
      <c r="I16" s="126"/>
      <c r="K16" s="127"/>
      <c r="L16" s="126"/>
    </row>
    <row r="17" spans="2:12" ht="18.75" thickBot="1" x14ac:dyDescent="0.35">
      <c r="B17" s="693" t="s">
        <v>416</v>
      </c>
      <c r="C17" s="694" t="s">
        <v>481</v>
      </c>
      <c r="D17" s="695" t="str">
        <f>IF(OR($D$14="Unknown",D14="11.1"),"11.2",$D$14) &amp; ".7"</f>
        <v>11.2.7</v>
      </c>
      <c r="E17" s="828" t="str">
        <f>IF($D$14&lt;&gt;$E$14,"N/A",100)</f>
        <v>N/A</v>
      </c>
      <c r="F17" s="699" t="s">
        <v>211</v>
      </c>
      <c r="G17" s="126"/>
      <c r="H17" s="126"/>
      <c r="I17" s="126"/>
      <c r="K17" s="127"/>
      <c r="L17" s="126"/>
    </row>
    <row r="18" spans="2:12" ht="17.25" thickBot="1" x14ac:dyDescent="0.35">
      <c r="B18" s="804"/>
      <c r="C18" s="781"/>
      <c r="D18" s="781"/>
      <c r="E18" s="788"/>
      <c r="F18" s="805"/>
      <c r="G18" s="126"/>
      <c r="H18" s="126"/>
      <c r="I18" s="126"/>
      <c r="K18" s="127"/>
      <c r="L18" s="126"/>
    </row>
    <row r="19" spans="2:12" ht="17.25" x14ac:dyDescent="0.3">
      <c r="B19" s="820" t="s">
        <v>852</v>
      </c>
      <c r="C19" s="821"/>
      <c r="D19" s="821"/>
      <c r="E19" s="821"/>
      <c r="F19" s="823"/>
      <c r="G19" s="126"/>
      <c r="H19" s="126"/>
      <c r="I19" s="126"/>
      <c r="K19" s="127"/>
      <c r="L19" s="126"/>
    </row>
    <row r="20" spans="2:12" ht="18" x14ac:dyDescent="0.3">
      <c r="B20" s="808" t="s">
        <v>417</v>
      </c>
      <c r="C20" s="795" t="s">
        <v>482</v>
      </c>
      <c r="D20" s="796" t="str">
        <f>IF(OR($D$14="Unknown",D14="11.1"),"11.2",$D$14) &amp; ".8.1"</f>
        <v>11.2.8.1</v>
      </c>
      <c r="E20" s="506" t="str">
        <f>IF($D$14&lt;&gt;$E$14,"N/A",Nameplate_Maximum_Input*3412.142)</f>
        <v>N/A</v>
      </c>
      <c r="F20" s="807" t="s">
        <v>37</v>
      </c>
      <c r="G20" s="126"/>
      <c r="H20" s="126"/>
      <c r="I20" s="126"/>
      <c r="K20" s="127"/>
      <c r="L20" s="126"/>
    </row>
    <row r="21" spans="2:12" ht="18" x14ac:dyDescent="0.3">
      <c r="B21" s="691" t="s">
        <v>409</v>
      </c>
      <c r="C21" s="134" t="s">
        <v>483</v>
      </c>
      <c r="D21" s="628" t="str">
        <f>IF(D14="11.1","11.1",
IF($D$14="Unknown","11.2",$D$14) &amp; ".8.1")</f>
        <v>11.2.8.1</v>
      </c>
      <c r="E21" s="486" t="str">
        <f>IF($D$14&lt;&gt;E$14,"N/A",IF('Cyclic Timing Calculations'!Jacket_Loss_Factor="","",'Cyclic Timing Calculations'!Jacket_Loss_Factor))</f>
        <v>N/A</v>
      </c>
      <c r="F21" s="132" t="s">
        <v>273</v>
      </c>
      <c r="G21" s="126"/>
      <c r="H21" s="126"/>
      <c r="I21" s="126"/>
      <c r="K21" s="127"/>
      <c r="L21" s="126"/>
    </row>
    <row r="22" spans="2:12" x14ac:dyDescent="0.3">
      <c r="B22" s="691" t="s">
        <v>419</v>
      </c>
      <c r="C22" s="134" t="s">
        <v>58</v>
      </c>
      <c r="D22" s="628" t="str">
        <f>IF(OR($D$14="Unknown",D14="11.1"),"11.2",$D$14) &amp; ".8.1"</f>
        <v>11.2.8.1</v>
      </c>
      <c r="E22" s="179" t="str">
        <f>IF($D$14&lt;&gt;E$14,"N/A",
IF(OR(FinnedTube_Boiler="",'Sys. # &amp; Product Characteristic'!$C$43=""),"",
IF('Sys. # &amp; Product Characteristic'!$C$43="Indoor",0,
IF('Sys. # &amp; Product Characteristic'!$C$43="Isolated Combustion System",1.7,
IF('Sys. # &amp; Product Characteristic'!$C$39="No",3.3,1)))))</f>
        <v>N/A</v>
      </c>
      <c r="F22" s="132" t="s">
        <v>175</v>
      </c>
      <c r="G22" s="126"/>
      <c r="H22" s="126"/>
      <c r="I22" s="126"/>
      <c r="K22" s="127"/>
      <c r="L22" s="126"/>
    </row>
    <row r="23" spans="2:12" ht="18" x14ac:dyDescent="0.3">
      <c r="B23" s="691" t="s">
        <v>1055</v>
      </c>
      <c r="C23" s="134" t="s">
        <v>484</v>
      </c>
      <c r="D23" s="628" t="str">
        <f>IF(OR($D$14="Unknown",D14="11.1"),"11.2",$D$14) &amp; ".8.1"</f>
        <v>11.2.8.1</v>
      </c>
      <c r="E23" s="500" t="str">
        <f>IF($D$14&lt;&gt;E$14,"N/A",IFERROR(ROUND(Q.IN*(Effy.SS-K*L.J)/100,-3),""))</f>
        <v>N/A</v>
      </c>
      <c r="F23" s="627" t="s">
        <v>37</v>
      </c>
      <c r="G23" s="126"/>
      <c r="H23" s="126"/>
      <c r="I23" s="126"/>
      <c r="K23" s="127"/>
      <c r="L23" s="126"/>
    </row>
    <row r="24" spans="2:12" ht="17.25" thickBot="1" x14ac:dyDescent="0.35">
      <c r="B24" s="693" t="s">
        <v>55</v>
      </c>
      <c r="C24" s="694" t="s">
        <v>54</v>
      </c>
      <c r="D24" s="695" t="str">
        <f>IF(OR($D$14="Unknown",D14="11.1"),"DOE 10",$D$14) &amp; ".4.1"</f>
        <v>DOE 10.4.1</v>
      </c>
      <c r="E24" s="1230" t="str">
        <f ca="1">IF($D$14&lt;&gt;E$14,"N/A",IF(Q.OUT="","",OFFSET('Drop-Downs and Tables'!$D$194,COUNTIF('Drop-Downs and Tables'!$B$195:$B$208,"&lt;=" &amp; Q.OUT),0)*1000))</f>
        <v>N/A</v>
      </c>
      <c r="F24" s="699" t="s">
        <v>37</v>
      </c>
      <c r="G24" s="126"/>
      <c r="H24" s="126"/>
      <c r="I24" s="126"/>
      <c r="K24" s="127"/>
      <c r="L24" s="126"/>
    </row>
    <row r="25" spans="2:12" ht="17.25" thickBot="1" x14ac:dyDescent="0.35">
      <c r="B25" s="804"/>
      <c r="C25" s="781"/>
      <c r="D25" s="781"/>
      <c r="E25" s="781"/>
      <c r="F25" s="805"/>
      <c r="G25" s="126"/>
      <c r="H25" s="126"/>
      <c r="I25" s="126"/>
      <c r="K25" s="1133"/>
      <c r="L25" s="126"/>
    </row>
    <row r="26" spans="2:12" ht="17.25" x14ac:dyDescent="0.3">
      <c r="B26" s="820" t="s">
        <v>150</v>
      </c>
      <c r="C26" s="821"/>
      <c r="D26" s="821"/>
      <c r="E26" s="821"/>
      <c r="F26" s="823"/>
      <c r="G26" s="126"/>
      <c r="H26" s="126"/>
      <c r="I26" s="126"/>
      <c r="K26" s="1133"/>
      <c r="L26" s="126"/>
    </row>
    <row r="27" spans="2:12" ht="18.75" thickBot="1" x14ac:dyDescent="0.35">
      <c r="B27" s="693" t="s">
        <v>150</v>
      </c>
      <c r="C27" s="694" t="s">
        <v>661</v>
      </c>
      <c r="D27" s="695" t="str">
        <f>IF(D14="11.1","11.1",IF($D$14="Unknown","11.2",$D$14) &amp; ".11")</f>
        <v>11.2.11</v>
      </c>
      <c r="E27" s="853" t="str">
        <f>IF($D$14&lt;&gt;$E$14,"N/A",
IF('Sys. # &amp; Product Characteristic'!$C$43="Indoor",100,
IF('Sys. # &amp; Product Characteristic'!$C$43="Outdoor",100-4.7*L.J,
100-2.4*L.J)))</f>
        <v>N/A</v>
      </c>
      <c r="F27" s="699" t="s">
        <v>211</v>
      </c>
      <c r="G27" s="126"/>
      <c r="H27" s="126"/>
      <c r="I27" s="126"/>
      <c r="K27" s="1133"/>
      <c r="L27" s="126"/>
    </row>
    <row r="28" spans="2:12" ht="17.25" thickBot="1" x14ac:dyDescent="0.35">
      <c r="B28" s="804"/>
      <c r="C28" s="781"/>
      <c r="D28" s="781"/>
      <c r="E28" s="630"/>
      <c r="F28" s="805"/>
      <c r="G28" s="126"/>
      <c r="H28" s="126"/>
      <c r="I28" s="126"/>
      <c r="K28" s="1133"/>
      <c r="L28" s="126"/>
    </row>
    <row r="29" spans="2:12" ht="17.25" x14ac:dyDescent="0.3">
      <c r="B29" s="820" t="s">
        <v>151</v>
      </c>
      <c r="C29" s="821"/>
      <c r="D29" s="821"/>
      <c r="E29" s="821"/>
      <c r="F29" s="823"/>
      <c r="G29" s="126"/>
      <c r="H29" s="126"/>
      <c r="I29" s="126"/>
      <c r="K29" s="1133"/>
      <c r="L29" s="126"/>
    </row>
    <row r="30" spans="2:12" x14ac:dyDescent="0.3">
      <c r="B30" s="691" t="s">
        <v>675</v>
      </c>
      <c r="C30" s="134" t="s">
        <v>175</v>
      </c>
      <c r="D30" s="628" t="str">
        <f>IF(D11="11.1","11.1",IF($D$14="Unknown","11.2",$D$14) &amp; ".12")</f>
        <v>11.2.12</v>
      </c>
      <c r="E30" s="684" t="str">
        <f>IF($D$14&lt;&gt;E$14,"N/A",4600)</f>
        <v>N/A</v>
      </c>
      <c r="F30" s="132" t="s">
        <v>676</v>
      </c>
      <c r="G30" s="126"/>
      <c r="H30" s="126"/>
      <c r="I30" s="126"/>
      <c r="K30" s="1133"/>
      <c r="L30" s="126"/>
    </row>
    <row r="31" spans="2:12" x14ac:dyDescent="0.3">
      <c r="B31" s="691" t="s">
        <v>151</v>
      </c>
      <c r="C31" s="134" t="s">
        <v>32</v>
      </c>
      <c r="D31" s="628" t="str">
        <f>IF(D14="11.1","11.1",IF($D$14="Unknown","11.2",$D$14) &amp; ".12")</f>
        <v>11.2.12</v>
      </c>
      <c r="E31" s="629" t="str">
        <f>IF($D$14&lt;&gt;$E$14,"N/A",Effy.HS)</f>
        <v>N/A</v>
      </c>
      <c r="F31" s="132" t="s">
        <v>211</v>
      </c>
      <c r="G31" s="126"/>
      <c r="H31" s="126"/>
      <c r="I31" s="126"/>
      <c r="K31" s="1133"/>
      <c r="L31" s="126"/>
    </row>
    <row r="32" spans="2:12" ht="33.75" thickBot="1" x14ac:dyDescent="0.35">
      <c r="B32" s="693" t="s">
        <v>1316</v>
      </c>
      <c r="C32" s="694" t="s">
        <v>32</v>
      </c>
      <c r="D32" s="695" t="str">
        <f>IF($D$14="Unknown","11.2",$D$14)&amp;".12"</f>
        <v>11.2.12</v>
      </c>
      <c r="E32" s="1509"/>
      <c r="F32" s="699" t="s">
        <v>211</v>
      </c>
      <c r="G32" s="126"/>
      <c r="H32" s="126"/>
      <c r="I32" s="126"/>
      <c r="K32" s="1133"/>
      <c r="L32" s="126"/>
    </row>
    <row r="33" spans="2:12" ht="17.25" thickBot="1" x14ac:dyDescent="0.35">
      <c r="B33" s="804"/>
      <c r="C33" s="781"/>
      <c r="D33" s="781"/>
      <c r="E33" s="630"/>
      <c r="F33" s="805"/>
      <c r="G33" s="126"/>
      <c r="H33" s="126"/>
      <c r="I33" s="126"/>
      <c r="K33" s="1133"/>
      <c r="L33" s="126"/>
    </row>
    <row r="34" spans="2:12" ht="17.25" x14ac:dyDescent="0.3">
      <c r="B34" s="1363" t="s">
        <v>761</v>
      </c>
      <c r="C34" s="862"/>
      <c r="D34" s="862"/>
      <c r="E34" s="862"/>
      <c r="F34" s="863"/>
      <c r="G34" s="126"/>
      <c r="H34" s="126"/>
      <c r="I34" s="126"/>
      <c r="K34" s="1133"/>
      <c r="L34" s="126"/>
    </row>
    <row r="35" spans="2:12" x14ac:dyDescent="0.3">
      <c r="B35" s="1350" t="s">
        <v>693</v>
      </c>
      <c r="C35" s="1351" t="s">
        <v>175</v>
      </c>
      <c r="D35" s="1352" t="s">
        <v>1242</v>
      </c>
      <c r="E35" s="486" t="str">
        <f>IF($D$14&lt;&gt;E$14,"N/A",2080)</f>
        <v>N/A</v>
      </c>
      <c r="F35" s="132" t="s">
        <v>694</v>
      </c>
      <c r="G35" s="126"/>
      <c r="H35" s="126"/>
      <c r="I35" s="126"/>
      <c r="K35" s="1133"/>
      <c r="L35" s="126"/>
    </row>
    <row r="36" spans="2:12" ht="33.75" thickBot="1" x14ac:dyDescent="0.35">
      <c r="B36" s="693" t="s">
        <v>695</v>
      </c>
      <c r="C36" s="694" t="s">
        <v>175</v>
      </c>
      <c r="D36" s="695" t="s">
        <v>1242</v>
      </c>
      <c r="E36" s="853" t="str">
        <f>IF($D$14&lt;&gt;E$14,"N/A",0.77)</f>
        <v>N/A</v>
      </c>
      <c r="F36" s="699" t="s">
        <v>175</v>
      </c>
      <c r="G36" s="126"/>
      <c r="H36" s="126"/>
      <c r="I36" s="126"/>
      <c r="K36" s="1133"/>
      <c r="L36" s="126"/>
    </row>
    <row r="37" spans="2:12" ht="17.25" thickBot="1" x14ac:dyDescent="0.35">
      <c r="B37" s="804"/>
      <c r="C37" s="781"/>
      <c r="D37" s="781"/>
      <c r="E37" s="669"/>
      <c r="F37" s="805"/>
      <c r="G37" s="126"/>
      <c r="H37" s="126"/>
      <c r="I37" s="126"/>
      <c r="K37" s="1133"/>
      <c r="L37" s="126"/>
    </row>
    <row r="38" spans="2:12" ht="17.25" x14ac:dyDescent="0.3">
      <c r="B38" s="861" t="s">
        <v>859</v>
      </c>
      <c r="C38" s="862"/>
      <c r="D38" s="862"/>
      <c r="E38" s="862"/>
      <c r="F38" s="863"/>
      <c r="G38" s="126"/>
      <c r="H38" s="126"/>
      <c r="I38" s="126"/>
      <c r="K38" s="1133"/>
      <c r="L38" s="126"/>
    </row>
    <row r="39" spans="2:12" ht="18.75" thickBot="1" x14ac:dyDescent="0.35">
      <c r="B39" s="865" t="s">
        <v>776</v>
      </c>
      <c r="C39" s="866" t="s">
        <v>775</v>
      </c>
      <c r="D39" s="695" t="s">
        <v>777</v>
      </c>
      <c r="E39" s="871" t="str">
        <f>IF($D$14&lt;&gt;$E$14,"N/A",100*Avg_Heating_Load_Hours*DHR_Adjust*(Q.OUT/(1+0.7))/(3.412*AFUE)+E.SO)</f>
        <v>N/A</v>
      </c>
      <c r="F39" s="868" t="s">
        <v>801</v>
      </c>
      <c r="G39" s="126"/>
      <c r="H39" s="126"/>
      <c r="I39" s="126"/>
      <c r="K39" s="1133"/>
      <c r="L39" s="126"/>
    </row>
    <row r="40" spans="2:12" ht="17.25" thickBot="1" x14ac:dyDescent="0.35">
      <c r="B40" s="804"/>
      <c r="C40" s="781"/>
      <c r="D40" s="781"/>
      <c r="E40" s="630"/>
      <c r="F40" s="805"/>
      <c r="G40" s="126"/>
      <c r="H40" s="126"/>
      <c r="I40" s="126"/>
      <c r="K40" s="1133"/>
      <c r="L40" s="126"/>
    </row>
    <row r="41" spans="2:12" ht="17.25" x14ac:dyDescent="0.3">
      <c r="B41" s="861" t="s">
        <v>778</v>
      </c>
      <c r="C41" s="862"/>
      <c r="D41" s="862"/>
      <c r="E41" s="862"/>
      <c r="F41" s="863"/>
      <c r="G41" s="126"/>
      <c r="H41" s="126"/>
      <c r="I41" s="126"/>
      <c r="K41" s="1133"/>
      <c r="L41" s="126"/>
    </row>
    <row r="42" spans="2:12" ht="17.25" thickBot="1" x14ac:dyDescent="0.35">
      <c r="B42" s="865" t="s">
        <v>778</v>
      </c>
      <c r="C42" s="866" t="s">
        <v>770</v>
      </c>
      <c r="D42" s="695" t="str">
        <f>"DOE 10.6" &amp; IF('General Info &amp; Test Results'!C45="Electricity",".2",".1")</f>
        <v>DOE 10.6.1</v>
      </c>
      <c r="E42" s="869" t="str">
        <f>IF($D$14&lt;&gt;$E$14,"N/A",AFUE)</f>
        <v>N/A</v>
      </c>
      <c r="F42" s="868" t="s">
        <v>211</v>
      </c>
      <c r="G42" s="126"/>
      <c r="H42" s="126"/>
      <c r="I42" s="126"/>
      <c r="K42" s="1133"/>
      <c r="L42" s="126"/>
    </row>
    <row r="43" spans="2:12" ht="17.25" thickBot="1" x14ac:dyDescent="0.35">
      <c r="B43" s="804"/>
      <c r="C43" s="781"/>
      <c r="D43" s="781"/>
      <c r="E43" s="675"/>
      <c r="F43" s="805"/>
      <c r="G43" s="126"/>
      <c r="H43" s="126"/>
      <c r="I43" s="126"/>
      <c r="K43" s="1133"/>
      <c r="L43" s="126"/>
    </row>
    <row r="44" spans="2:12" x14ac:dyDescent="0.3">
      <c r="B44" s="1835" t="s">
        <v>860</v>
      </c>
      <c r="C44" s="1836"/>
      <c r="D44" s="1836"/>
      <c r="E44" s="1836"/>
      <c r="F44" s="1837"/>
      <c r="G44" s="126"/>
      <c r="H44" s="126"/>
      <c r="I44" s="126"/>
      <c r="K44" s="1133"/>
      <c r="L44" s="126"/>
    </row>
    <row r="45" spans="2:12" ht="33" x14ac:dyDescent="0.3">
      <c r="B45" s="689" t="s">
        <v>784</v>
      </c>
      <c r="C45" s="496" t="s">
        <v>786</v>
      </c>
      <c r="D45" s="1352" t="s">
        <v>1250</v>
      </c>
      <c r="E45" s="1159"/>
      <c r="F45" s="810" t="s">
        <v>815</v>
      </c>
      <c r="G45" s="126"/>
      <c r="H45" s="126"/>
      <c r="I45" s="126"/>
      <c r="K45" s="1133"/>
      <c r="L45" s="126"/>
    </row>
    <row r="46" spans="2:12" ht="33" x14ac:dyDescent="0.3">
      <c r="B46" s="691" t="s">
        <v>802</v>
      </c>
      <c r="C46" s="134" t="s">
        <v>799</v>
      </c>
      <c r="D46" s="1352" t="s">
        <v>787</v>
      </c>
      <c r="E46" s="671" t="str">
        <f>IF($D$14&lt;&gt;$E$14,"N/A",(P.WSB*(Avg_Heating_Season_Hrs-BOH*HLH/Avg_Heating_Load_Hours)+Avg_NonHeating_Season_Hrs*P.WOFF)*K.Conv)</f>
        <v>N/A</v>
      </c>
      <c r="F46" s="132" t="s">
        <v>801</v>
      </c>
      <c r="G46" s="126"/>
      <c r="H46" s="126"/>
      <c r="I46" s="126"/>
      <c r="K46" s="1133"/>
      <c r="L46" s="126"/>
    </row>
    <row r="47" spans="2:12" ht="33.75" thickBot="1" x14ac:dyDescent="0.35">
      <c r="B47" s="693" t="s">
        <v>785</v>
      </c>
      <c r="C47" s="694" t="s">
        <v>781</v>
      </c>
      <c r="D47" s="695" t="s">
        <v>787</v>
      </c>
      <c r="E47" s="872" t="str">
        <f>IF($D$14&lt;&gt;$E$14,"N/A",100*E36*(Q.OUT/(1+0.7))*HLH/(3.412*AFUE)+E.SOR)</f>
        <v>N/A</v>
      </c>
      <c r="F47" s="699" t="s">
        <v>801</v>
      </c>
      <c r="G47" s="126"/>
      <c r="H47" s="126"/>
      <c r="I47" s="126"/>
      <c r="K47" s="1133"/>
      <c r="L47" s="126"/>
    </row>
    <row r="48" spans="2:12" ht="17.25" thickBot="1" x14ac:dyDescent="0.35">
      <c r="B48" s="804"/>
      <c r="C48" s="781"/>
      <c r="D48" s="781"/>
      <c r="E48" s="675"/>
      <c r="F48" s="805"/>
      <c r="G48" s="126"/>
      <c r="H48" s="126"/>
      <c r="I48" s="126"/>
      <c r="K48" s="1133"/>
      <c r="L48" s="126"/>
    </row>
    <row r="49" spans="2:12" ht="17.25" x14ac:dyDescent="0.3">
      <c r="B49" s="864" t="s">
        <v>795</v>
      </c>
      <c r="C49" s="862"/>
      <c r="D49" s="862"/>
      <c r="E49" s="862"/>
      <c r="F49" s="863"/>
      <c r="G49" s="126"/>
      <c r="H49" s="126"/>
      <c r="I49" s="126"/>
      <c r="K49" s="1133"/>
      <c r="L49" s="126"/>
    </row>
    <row r="50" spans="2:12" ht="18" x14ac:dyDescent="0.3">
      <c r="B50" s="689" t="s">
        <v>788</v>
      </c>
      <c r="C50" s="496" t="s">
        <v>790</v>
      </c>
      <c r="D50" s="628" t="s">
        <v>1197</v>
      </c>
      <c r="E50" s="638" t="str">
        <f>IF($D$14&lt;&gt;$E$14,"N/A",IF('Standby &amp; Off Power'!P.WSB="","",'Standby &amp; Off Power'!P.WSB))</f>
        <v>N/A</v>
      </c>
      <c r="F50" s="497" t="s">
        <v>179</v>
      </c>
      <c r="G50" s="126"/>
      <c r="H50" s="126"/>
      <c r="I50" s="126"/>
      <c r="K50" s="1133"/>
      <c r="L50" s="126"/>
    </row>
    <row r="51" spans="2:12" ht="18" x14ac:dyDescent="0.3">
      <c r="B51" s="691" t="s">
        <v>789</v>
      </c>
      <c r="C51" s="134" t="s">
        <v>791</v>
      </c>
      <c r="D51" s="628" t="s">
        <v>1253</v>
      </c>
      <c r="E51" s="670" t="str">
        <f>IF($D$14&lt;&gt;$E$14,"N/A",IF('Standby &amp; Off Power'!P.WSB="","",'Standby &amp; Off Power'!P.WOFF))</f>
        <v>N/A</v>
      </c>
      <c r="F51" s="132" t="s">
        <v>179</v>
      </c>
      <c r="G51" s="126"/>
      <c r="H51" s="126"/>
      <c r="I51" s="126"/>
      <c r="K51" s="1133"/>
      <c r="L51" s="126"/>
    </row>
    <row r="52" spans="2:12" ht="18" x14ac:dyDescent="0.3">
      <c r="B52" s="691"/>
      <c r="C52" s="134" t="s">
        <v>680</v>
      </c>
      <c r="D52" s="628" t="s">
        <v>1254</v>
      </c>
      <c r="E52" s="676" t="str">
        <f>IF($D$14&lt;&gt;$E$14,"N/A",'Max Test'!E.IN)</f>
        <v>N/A</v>
      </c>
      <c r="F52" s="132" t="s">
        <v>57</v>
      </c>
      <c r="G52" s="126"/>
      <c r="H52" s="126"/>
      <c r="I52" s="126"/>
      <c r="K52" s="1133"/>
      <c r="L52" s="126"/>
    </row>
    <row r="53" spans="2:12" x14ac:dyDescent="0.3">
      <c r="B53" s="691" t="s">
        <v>793</v>
      </c>
      <c r="C53" s="134" t="s">
        <v>792</v>
      </c>
      <c r="D53" s="628" t="s">
        <v>1252</v>
      </c>
      <c r="E53" s="670" t="str">
        <f>IF($D$14&lt;&gt;$E$14,"N/A",100*Avg_Heating_Load_Hours*DHR_Adjust*DHR/(E.IN*3.412*AFUE))</f>
        <v>N/A</v>
      </c>
      <c r="F53" s="132" t="s">
        <v>694</v>
      </c>
      <c r="G53" s="126"/>
      <c r="H53" s="126"/>
      <c r="I53" s="126"/>
      <c r="K53" s="1133"/>
      <c r="L53" s="126"/>
    </row>
    <row r="54" spans="2:12" x14ac:dyDescent="0.3">
      <c r="B54" s="691" t="s">
        <v>794</v>
      </c>
      <c r="C54" s="134" t="s">
        <v>175</v>
      </c>
      <c r="D54" s="628" t="s">
        <v>1252</v>
      </c>
      <c r="E54" s="671" t="str">
        <f>IF($D$14&lt;&gt;E$14,"N/A",4160)</f>
        <v>N/A</v>
      </c>
      <c r="F54" s="132" t="s">
        <v>676</v>
      </c>
      <c r="G54" s="126"/>
      <c r="H54" s="126"/>
      <c r="I54" s="126"/>
      <c r="K54" s="1133"/>
      <c r="L54" s="126"/>
    </row>
    <row r="55" spans="2:12" x14ac:dyDescent="0.3">
      <c r="B55" s="691" t="s">
        <v>797</v>
      </c>
      <c r="C55" s="134" t="s">
        <v>58</v>
      </c>
      <c r="D55" s="1374" t="s">
        <v>1252</v>
      </c>
      <c r="E55" s="678" t="str">
        <f>IF($D$14&lt;&gt;E$14,"N/A",0.001)</f>
        <v>N/A</v>
      </c>
      <c r="F55" s="132" t="s">
        <v>798</v>
      </c>
      <c r="G55" s="126"/>
      <c r="H55" s="126"/>
      <c r="I55" s="126"/>
      <c r="K55" s="1133"/>
      <c r="L55" s="126"/>
    </row>
    <row r="56" spans="2:12" ht="18.75" thickBot="1" x14ac:dyDescent="0.35">
      <c r="B56" s="693" t="s">
        <v>795</v>
      </c>
      <c r="C56" s="694" t="s">
        <v>796</v>
      </c>
      <c r="D56" s="1375" t="s">
        <v>787</v>
      </c>
      <c r="E56" s="696" t="str">
        <f>IF($D$14&lt;&gt;$E$14,"N/A",(P.WSB*(Avg_Heating_Season_Hrs-BOH)+Avg_NonHeating_Season_Hrs*P.WOFF)*K.Conv)</f>
        <v>N/A</v>
      </c>
      <c r="F56" s="699" t="s">
        <v>801</v>
      </c>
      <c r="G56" s="126"/>
      <c r="H56" s="126"/>
      <c r="I56" s="126"/>
      <c r="K56" s="1133"/>
      <c r="L56" s="126"/>
    </row>
    <row r="57" spans="2:12" x14ac:dyDescent="0.3">
      <c r="B57" s="126"/>
      <c r="C57" s="126"/>
      <c r="D57" s="126"/>
      <c r="E57" s="126"/>
      <c r="F57" s="126"/>
      <c r="G57" s="126"/>
      <c r="H57" s="126"/>
      <c r="I57" s="126"/>
      <c r="K57" s="1133"/>
      <c r="L57" s="126"/>
    </row>
    <row r="58" spans="2:12" x14ac:dyDescent="0.3">
      <c r="B58" s="126"/>
      <c r="C58" s="126"/>
      <c r="D58" s="126"/>
      <c r="E58" s="126"/>
      <c r="F58" s="126"/>
      <c r="G58" s="126"/>
      <c r="H58" s="126"/>
      <c r="I58" s="126"/>
      <c r="K58" s="1133"/>
      <c r="L58" s="126"/>
    </row>
    <row r="59" spans="2:12" x14ac:dyDescent="0.3">
      <c r="B59" s="126"/>
      <c r="C59" s="126"/>
      <c r="D59" s="126"/>
      <c r="E59" s="126"/>
      <c r="F59" s="126"/>
      <c r="G59" s="126"/>
      <c r="H59" s="126"/>
      <c r="I59" s="126"/>
      <c r="K59" s="1133"/>
      <c r="L59" s="126"/>
    </row>
    <row r="60" spans="2:12" x14ac:dyDescent="0.3">
      <c r="B60" s="126"/>
      <c r="C60" s="126"/>
      <c r="D60" s="126"/>
      <c r="E60" s="126"/>
      <c r="F60" s="126"/>
      <c r="G60" s="126"/>
      <c r="H60" s="126"/>
      <c r="I60" s="126"/>
      <c r="K60" s="1133"/>
      <c r="L60" s="126"/>
    </row>
    <row r="61" spans="2:12" x14ac:dyDescent="0.3">
      <c r="B61" s="126"/>
      <c r="C61" s="126"/>
      <c r="D61" s="126"/>
      <c r="E61" s="126"/>
      <c r="F61" s="126"/>
      <c r="G61" s="126"/>
      <c r="H61" s="126"/>
      <c r="I61" s="126"/>
      <c r="K61" s="1133"/>
      <c r="L61" s="126"/>
    </row>
    <row r="62" spans="2:12" x14ac:dyDescent="0.3">
      <c r="B62" s="126"/>
      <c r="C62" s="126"/>
      <c r="D62" s="126"/>
      <c r="E62" s="126"/>
      <c r="F62" s="126"/>
      <c r="G62" s="126"/>
      <c r="H62" s="126"/>
      <c r="I62" s="126"/>
      <c r="K62" s="1133"/>
      <c r="L62" s="126"/>
    </row>
    <row r="63" spans="2:12" x14ac:dyDescent="0.3">
      <c r="B63" s="126"/>
      <c r="C63" s="126"/>
      <c r="D63" s="126"/>
      <c r="E63" s="126"/>
      <c r="F63" s="126"/>
      <c r="G63" s="126"/>
      <c r="H63" s="126"/>
      <c r="I63" s="126"/>
      <c r="K63" s="1133"/>
      <c r="L63" s="126"/>
    </row>
    <row r="64" spans="2:12" x14ac:dyDescent="0.3">
      <c r="B64" s="126"/>
      <c r="C64" s="126"/>
      <c r="D64" s="126"/>
      <c r="E64" s="126"/>
      <c r="F64" s="126"/>
      <c r="G64" s="126"/>
      <c r="H64" s="126"/>
      <c r="I64" s="126"/>
      <c r="K64" s="1133"/>
      <c r="L64" s="126"/>
    </row>
    <row r="65" spans="1:17" x14ac:dyDescent="0.3">
      <c r="B65" s="126"/>
      <c r="C65" s="126"/>
      <c r="D65" s="126"/>
      <c r="E65" s="126"/>
      <c r="F65" s="126"/>
      <c r="G65" s="126"/>
      <c r="H65" s="126"/>
      <c r="I65" s="126"/>
      <c r="K65" s="1133"/>
      <c r="L65" s="126"/>
    </row>
    <row r="66" spans="1:17" x14ac:dyDescent="0.3">
      <c r="B66" s="126"/>
      <c r="C66" s="126"/>
      <c r="D66" s="126"/>
      <c r="E66" s="591"/>
      <c r="F66" s="591"/>
      <c r="G66" s="591"/>
      <c r="H66" s="591"/>
      <c r="I66" s="591"/>
      <c r="J66" s="591"/>
      <c r="K66" s="1133"/>
      <c r="L66" s="126"/>
    </row>
    <row r="67" spans="1:17" ht="17.25" x14ac:dyDescent="0.3">
      <c r="A67" s="127"/>
      <c r="B67" s="136"/>
      <c r="C67" s="137"/>
      <c r="D67" s="138"/>
      <c r="E67" s="136"/>
      <c r="F67" s="284"/>
      <c r="G67" s="283"/>
      <c r="H67" s="284"/>
      <c r="I67" s="139"/>
      <c r="J67" s="127"/>
      <c r="K67" s="127"/>
      <c r="L67" s="1323"/>
      <c r="M67" s="1134"/>
      <c r="N67" s="1134"/>
      <c r="O67" s="1134"/>
      <c r="P67" s="1134"/>
      <c r="Q67" s="1134"/>
    </row>
  </sheetData>
  <sheetProtection algorithmName="SHA-512" hashValue="7FF02zAtc/oga6MJtYkCP2DaQaL/N4A/KKE0U55og+wZX6ts2PP6qVmAA3dUMFM6O0VAgMbw6uOc0rnxYeyAMw==" saltValue="F6pq7W0H35qRMn1Vzht71g==" spinCount="100000" sheet="1" selectLockedCells="1"/>
  <mergeCells count="9">
    <mergeCell ref="G4:H4"/>
    <mergeCell ref="D12:D13"/>
    <mergeCell ref="F12:F13"/>
    <mergeCell ref="B44:F44"/>
    <mergeCell ref="B2:C2"/>
    <mergeCell ref="B12:B13"/>
    <mergeCell ref="C12:C13"/>
    <mergeCell ref="E12:E13"/>
    <mergeCell ref="D3:E3"/>
  </mergeCells>
  <phoneticPr fontId="28" type="noConversion"/>
  <hyperlinks>
    <hyperlink ref="G4" location="Instructions!C33" display="Back to Instructions tab"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1424D-C4F1-4E78-BF89-907BF59DD7BC}">
  <sheetPr codeName="Sheet10">
    <tabColor rgb="FF0070C0"/>
  </sheetPr>
  <dimension ref="A1:Q1372"/>
  <sheetViews>
    <sheetView showGridLines="0" zoomScale="80" zoomScaleNormal="80" workbookViewId="0">
      <selection activeCell="E30" sqref="E30"/>
    </sheetView>
  </sheetViews>
  <sheetFormatPr defaultColWidth="9" defaultRowHeight="16.5" x14ac:dyDescent="0.3"/>
  <cols>
    <col min="1" max="1" width="3.625" style="126" customWidth="1"/>
    <col min="2" max="2" width="76.5" style="122" customWidth="1"/>
    <col min="3" max="3" width="40.375" style="123" customWidth="1"/>
    <col min="4" max="4" width="19.5" style="124" customWidth="1"/>
    <col min="5" max="5" width="18.875" style="122" customWidth="1"/>
    <col min="6" max="6" width="19.125" style="122" customWidth="1"/>
    <col min="7" max="7" width="17.125" style="122" customWidth="1"/>
    <col min="8" max="8" width="12.125" style="122" customWidth="1"/>
    <col min="9" max="9" width="12.125" style="125" customWidth="1"/>
    <col min="10" max="11" width="12.125" style="126" customWidth="1"/>
    <col min="12" max="12" width="11.875" style="122" customWidth="1"/>
    <col min="13" max="14" width="10.5" style="126" customWidth="1"/>
    <col min="15" max="15" width="11.875" style="126" customWidth="1"/>
    <col min="16" max="16" width="10.5" style="126" customWidth="1"/>
    <col min="17" max="18" width="7.875" style="126" bestFit="1" customWidth="1"/>
    <col min="19" max="19" width="5.625" style="126" bestFit="1" customWidth="1"/>
    <col min="20" max="20" width="14.5" style="126" customWidth="1"/>
    <col min="21" max="21" width="15" style="126" customWidth="1"/>
    <col min="22" max="16384" width="9" style="126"/>
  </cols>
  <sheetData>
    <row r="1" spans="2:17" ht="17.25" thickBot="1" x14ac:dyDescent="0.35">
      <c r="K1" s="1134"/>
      <c r="Q1" s="1133"/>
    </row>
    <row r="2" spans="2:17" ht="18" thickBot="1" x14ac:dyDescent="0.35">
      <c r="B2" s="1838" t="s">
        <v>228</v>
      </c>
      <c r="C2" s="1839"/>
      <c r="D2" s="231"/>
      <c r="E2" s="231"/>
      <c r="F2" s="130"/>
      <c r="H2" s="125"/>
      <c r="I2" s="126"/>
      <c r="K2" s="1323"/>
      <c r="L2" s="126"/>
      <c r="Q2" s="1133"/>
    </row>
    <row r="3" spans="2:17" x14ac:dyDescent="0.3">
      <c r="B3" s="562" t="s">
        <v>229</v>
      </c>
      <c r="C3" s="563" t="str">
        <f>'Version Control'!C3</f>
        <v>Consumer Boiler</v>
      </c>
      <c r="D3" s="1844"/>
      <c r="E3" s="1844"/>
      <c r="F3" s="130"/>
      <c r="G3" s="130"/>
      <c r="K3" s="1134"/>
      <c r="Q3" s="1133"/>
    </row>
    <row r="4" spans="2:17" ht="18" x14ac:dyDescent="0.3">
      <c r="B4" s="564" t="s">
        <v>117</v>
      </c>
      <c r="C4" s="565" t="str">
        <f>'Version Control'!C4</f>
        <v>v2.1</v>
      </c>
      <c r="D4" s="566"/>
      <c r="E4" s="171"/>
      <c r="G4" s="1832" t="s">
        <v>124</v>
      </c>
      <c r="H4" s="1832"/>
      <c r="K4" s="1323"/>
      <c r="L4" s="126"/>
      <c r="Q4" s="1133"/>
    </row>
    <row r="5" spans="2:17" x14ac:dyDescent="0.3">
      <c r="B5" s="564" t="s">
        <v>118</v>
      </c>
      <c r="C5" s="567">
        <f>'Version Control'!C5</f>
        <v>45407</v>
      </c>
      <c r="D5" s="568"/>
      <c r="E5" s="233"/>
      <c r="F5" s="130"/>
      <c r="H5" s="125"/>
      <c r="I5" s="126"/>
      <c r="K5" s="1323"/>
      <c r="L5" s="126"/>
      <c r="Q5" s="1133"/>
    </row>
    <row r="6" spans="2:17" x14ac:dyDescent="0.3">
      <c r="B6" s="569" t="s">
        <v>116</v>
      </c>
      <c r="C6" s="570" t="str">
        <f ca="1">MID(CELL("filename",A1), FIND("]", CELL("filename", A1))+ 1, 255)</f>
        <v xml:space="preserve"> Non-Con, Non-Mod Calculations</v>
      </c>
      <c r="D6" s="571"/>
      <c r="E6" s="171"/>
      <c r="F6" s="130"/>
      <c r="H6" s="125"/>
      <c r="I6" s="126"/>
      <c r="K6" s="1323"/>
      <c r="L6" s="126"/>
      <c r="Q6" s="1133"/>
    </row>
    <row r="7" spans="2:17" x14ac:dyDescent="0.3">
      <c r="B7" s="572" t="s">
        <v>115</v>
      </c>
      <c r="C7" s="573" t="str">
        <f ca="1">'Version Control'!C7</f>
        <v>Consumer Boiler - v2.1.xlsx</v>
      </c>
      <c r="D7" s="571"/>
      <c r="E7" s="171"/>
      <c r="F7" s="130"/>
      <c r="H7" s="125"/>
      <c r="I7" s="126"/>
      <c r="K7" s="1323"/>
      <c r="L7" s="126"/>
      <c r="Q7" s="1133"/>
    </row>
    <row r="8" spans="2:17" ht="17.25" thickBot="1" x14ac:dyDescent="0.35">
      <c r="B8" s="574" t="s">
        <v>119</v>
      </c>
      <c r="C8" s="575" t="str">
        <f>'Version Control'!C8</f>
        <v>[MM/DD/YYYY]</v>
      </c>
      <c r="D8" s="576"/>
      <c r="E8" s="156"/>
      <c r="F8" s="130"/>
      <c r="H8" s="125"/>
      <c r="I8" s="126"/>
      <c r="K8" s="1323"/>
      <c r="L8" s="126"/>
      <c r="Q8" s="1133"/>
    </row>
    <row r="9" spans="2:17" ht="17.25" x14ac:dyDescent="0.35">
      <c r="B9" s="131"/>
      <c r="H9" s="135"/>
      <c r="I9" s="135"/>
      <c r="J9" s="135"/>
      <c r="K9" s="1323"/>
      <c r="Q9" s="1133"/>
    </row>
    <row r="10" spans="2:17" ht="18" thickBot="1" x14ac:dyDescent="0.35">
      <c r="E10" s="176"/>
      <c r="H10" s="125"/>
      <c r="J10" s="122"/>
      <c r="K10" s="1323"/>
      <c r="Q10" s="1133"/>
    </row>
    <row r="11" spans="2:17" ht="18" thickBot="1" x14ac:dyDescent="0.4">
      <c r="B11" s="487" t="s">
        <v>526</v>
      </c>
      <c r="C11" s="534"/>
      <c r="D11" s="535"/>
      <c r="E11" s="488"/>
      <c r="F11" s="536"/>
      <c r="G11" s="1329"/>
      <c r="H11" s="1329"/>
      <c r="I11" s="1329"/>
      <c r="J11" s="1329"/>
      <c r="K11" s="1329"/>
      <c r="L11" s="1329"/>
      <c r="M11" s="559"/>
      <c r="Q11" s="1133"/>
    </row>
    <row r="12" spans="2:17" ht="49.5" customHeight="1" x14ac:dyDescent="0.3">
      <c r="B12" s="1825" t="s">
        <v>71</v>
      </c>
      <c r="C12" s="1827" t="s">
        <v>33</v>
      </c>
      <c r="D12" s="1829" t="s">
        <v>62</v>
      </c>
      <c r="E12" s="1831" t="s">
        <v>527</v>
      </c>
      <c r="F12" s="1823" t="s">
        <v>136</v>
      </c>
      <c r="G12" s="126"/>
      <c r="H12" s="126"/>
      <c r="I12" s="126"/>
      <c r="K12" s="1134"/>
      <c r="L12" s="126"/>
      <c r="Q12" s="1133"/>
    </row>
    <row r="13" spans="2:17" ht="33" customHeight="1" thickBot="1" x14ac:dyDescent="0.35">
      <c r="B13" s="1840"/>
      <c r="C13" s="1841"/>
      <c r="D13" s="1833"/>
      <c r="E13" s="1848"/>
      <c r="F13" s="1834"/>
      <c r="G13" s="126"/>
      <c r="H13" s="126"/>
      <c r="I13" s="126"/>
      <c r="K13" s="1134"/>
      <c r="L13" s="126"/>
      <c r="Q13" s="1133"/>
    </row>
    <row r="14" spans="2:17" ht="18" thickBot="1" x14ac:dyDescent="0.35">
      <c r="B14" s="847" t="s">
        <v>518</v>
      </c>
      <c r="C14" s="848" t="s">
        <v>175</v>
      </c>
      <c r="D14" s="849" t="str">
        <f>IF('Sys. # &amp; Product Characteristic'!Energy_Source="Electricity","11.1",
IF(AND('Sys. # &amp; Product Characteristic'!Control_Type="Single Stage",'Sys. # &amp; Product Characteristic'!Flue_Gas="Non-Condensing"),"11.2",
IF(AND('Sys. # &amp; Product Characteristic'!Control_Type="Single Stage",'Sys. # &amp; Product Characteristic'!Flue_Gas="Condensing"),"11.3",
IF(AND(OR('Sys. # &amp; Product Characteristic'!Control_Type="Step Modulating",'Sys. # &amp; Product Characteristic'!Control_Type="Two-Stage Modulating"),'Sys. # &amp; Product Characteristic'!Flue_Gas="Non-Condensing"),"11.4",
IF(AND(OR('Sys. # &amp; Product Characteristic'!Control_Type="Step Modulating",'Sys. # &amp; Product Characteristic'!Control_Type="Two-Stage Modulating"),'Sys. # &amp; Product Characteristic'!Flue_Gas="Condensing"),"11.5",
"Unknown")))))</f>
        <v>Unknown</v>
      </c>
      <c r="E14" s="850" t="str">
        <f>"11.2"</f>
        <v>11.2</v>
      </c>
      <c r="F14" s="851" t="s">
        <v>175</v>
      </c>
      <c r="G14" s="126"/>
      <c r="H14" s="126"/>
      <c r="I14" s="126"/>
      <c r="K14" s="1134"/>
      <c r="L14" s="126"/>
      <c r="Q14" s="1133"/>
    </row>
    <row r="15" spans="2:17" ht="18" thickBot="1" x14ac:dyDescent="0.35">
      <c r="B15" s="804"/>
      <c r="C15" s="781"/>
      <c r="D15" s="781"/>
      <c r="E15" s="782"/>
      <c r="F15" s="805"/>
      <c r="G15" s="126"/>
      <c r="H15" s="126"/>
      <c r="I15" s="126"/>
      <c r="K15" s="1134"/>
      <c r="L15" s="126"/>
      <c r="Q15" s="1133"/>
    </row>
    <row r="16" spans="2:17" ht="17.25" x14ac:dyDescent="0.3">
      <c r="B16" s="820" t="s">
        <v>856</v>
      </c>
      <c r="C16" s="821"/>
      <c r="D16" s="821"/>
      <c r="E16" s="822"/>
      <c r="F16" s="823"/>
      <c r="G16" s="126"/>
      <c r="H16" s="126"/>
      <c r="I16" s="126"/>
      <c r="K16" s="1134"/>
      <c r="L16" s="126"/>
      <c r="Q16" s="1133"/>
    </row>
    <row r="17" spans="2:17" ht="17.25" thickBot="1" x14ac:dyDescent="0.35">
      <c r="B17" s="842" t="s">
        <v>39</v>
      </c>
      <c r="C17" s="843" t="s">
        <v>175</v>
      </c>
      <c r="D17" s="844" t="str">
        <f>IF(OR($D$14="Unknown",D14="11.1"),"11.2",$D$14) &amp; ".1"</f>
        <v>11.2.1</v>
      </c>
      <c r="E17" s="845" t="str">
        <f>IF($D$14&lt;&gt;E$14,"N/A",'Sys. # &amp; Product Characteristic'!M13)</f>
        <v>N/A</v>
      </c>
      <c r="F17" s="846" t="s">
        <v>175</v>
      </c>
      <c r="G17" s="126"/>
      <c r="H17" s="126"/>
      <c r="I17" s="126"/>
      <c r="K17" s="1134"/>
      <c r="L17" s="126"/>
      <c r="Q17" s="1133"/>
    </row>
    <row r="18" spans="2:17" ht="17.25" thickBot="1" x14ac:dyDescent="0.35">
      <c r="B18" s="804"/>
      <c r="C18" s="781"/>
      <c r="D18" s="781"/>
      <c r="E18" s="495"/>
      <c r="F18" s="805"/>
      <c r="G18" s="126"/>
      <c r="H18" s="126"/>
      <c r="I18" s="126"/>
      <c r="K18" s="1134"/>
      <c r="L18" s="126"/>
      <c r="Q18" s="1133"/>
    </row>
    <row r="19" spans="2:17" ht="17.25" x14ac:dyDescent="0.3">
      <c r="B19" s="820" t="s">
        <v>411</v>
      </c>
      <c r="C19" s="821"/>
      <c r="D19" s="821"/>
      <c r="E19" s="822"/>
      <c r="F19" s="823"/>
      <c r="G19" s="126"/>
      <c r="H19" s="126"/>
      <c r="I19" s="126"/>
      <c r="K19" s="1134"/>
      <c r="L19" s="126"/>
      <c r="Q19" s="1133"/>
    </row>
    <row r="20" spans="2:17" x14ac:dyDescent="0.3">
      <c r="B20" s="806" t="s">
        <v>671</v>
      </c>
      <c r="C20" s="795" t="s">
        <v>44</v>
      </c>
      <c r="D20" s="796" t="str">
        <f>IF(OR($D$14="Unknown",D14="11.1"),"11.2",$D$14) &amp; ".2"</f>
        <v>11.2.2</v>
      </c>
      <c r="E20" s="120" t="str">
        <f>IF($D$14&lt;&gt;E$14,"N/A",'Drop-Downs and Tables'!$F$188)</f>
        <v>N/A</v>
      </c>
      <c r="F20" s="807" t="s">
        <v>175</v>
      </c>
      <c r="G20" s="126"/>
      <c r="H20" s="126"/>
      <c r="I20" s="126"/>
      <c r="K20" s="1134"/>
      <c r="L20" s="126"/>
      <c r="Q20" s="1133"/>
    </row>
    <row r="21" spans="2:17" x14ac:dyDescent="0.3">
      <c r="B21" s="690" t="s">
        <v>671</v>
      </c>
      <c r="C21" s="496" t="s">
        <v>45</v>
      </c>
      <c r="D21" s="628" t="str">
        <f>IF(OR($D$14="Unknown",D14="11.1"),"11.2",$D$14) &amp; ".2"</f>
        <v>11.2.2</v>
      </c>
      <c r="E21" s="120" t="str">
        <f>IF($D$14&lt;&gt;E$14,"N/A",'Drop-Downs and Tables'!$G$188)</f>
        <v>N/A</v>
      </c>
      <c r="F21" s="497" t="s">
        <v>175</v>
      </c>
      <c r="G21" s="126"/>
      <c r="H21" s="126"/>
      <c r="I21" s="126"/>
      <c r="K21" s="1134"/>
      <c r="L21" s="126"/>
      <c r="Q21" s="1133"/>
    </row>
    <row r="22" spans="2:17" ht="18" x14ac:dyDescent="0.3">
      <c r="B22" s="689" t="s">
        <v>519</v>
      </c>
      <c r="C22" s="496" t="s">
        <v>485</v>
      </c>
      <c r="D22" s="628" t="str">
        <f>IF(OR($D$14="Unknown",D14="11.1"),"11.2",$D$14) &amp; ".2"</f>
        <v>11.2.2</v>
      </c>
      <c r="E22" s="1190" t="str">
        <f>IF($D$14&lt;&gt;E$14,"N/A",
IF('Max Test'!X.CO2F_SS="",'Max Test'!X.CO2F_CDP,'Max Test'!X.CO2F_SS))</f>
        <v>N/A</v>
      </c>
      <c r="F22" s="132" t="s">
        <v>211</v>
      </c>
      <c r="G22" s="126"/>
      <c r="H22" s="126"/>
      <c r="I22" s="126"/>
      <c r="K22" s="1134"/>
      <c r="L22" s="126"/>
      <c r="Q22" s="1133"/>
    </row>
    <row r="23" spans="2:17" ht="18.75" thickBot="1" x14ac:dyDescent="0.35">
      <c r="B23" s="693" t="s">
        <v>411</v>
      </c>
      <c r="C23" s="840" t="s">
        <v>473</v>
      </c>
      <c r="D23" s="695" t="str">
        <f>IF(OR($D$14="Unknown",D14="11.1"),"11.2",$D$14) &amp; ".2"</f>
        <v>11.2.2</v>
      </c>
      <c r="E23" s="888" t="str">
        <f>IF($D$14&lt;&gt;E$14,"N/A",IFERROR(A+(B/X.CO2F),""))</f>
        <v>N/A</v>
      </c>
      <c r="F23" s="699" t="s">
        <v>175</v>
      </c>
      <c r="G23" s="126"/>
      <c r="H23" s="126"/>
      <c r="I23" s="126"/>
      <c r="K23" s="1134"/>
      <c r="L23" s="126"/>
      <c r="Q23" s="1133"/>
    </row>
    <row r="24" spans="2:17" ht="17.25" thickBot="1" x14ac:dyDescent="0.35">
      <c r="B24" s="804"/>
      <c r="C24" s="784"/>
      <c r="D24" s="781"/>
      <c r="E24" s="499"/>
      <c r="F24" s="805"/>
      <c r="G24" s="126"/>
      <c r="H24" s="126"/>
      <c r="I24" s="126"/>
      <c r="K24" s="1134"/>
      <c r="L24" s="126"/>
      <c r="Q24" s="1133"/>
    </row>
    <row r="25" spans="2:17" ht="17.25" x14ac:dyDescent="0.3">
      <c r="B25" s="820" t="s">
        <v>410</v>
      </c>
      <c r="C25" s="821"/>
      <c r="D25" s="821"/>
      <c r="E25" s="822"/>
      <c r="F25" s="823"/>
      <c r="G25" s="126"/>
      <c r="H25" s="126"/>
      <c r="I25" s="126"/>
      <c r="K25" s="1134"/>
      <c r="L25" s="126"/>
      <c r="Q25" s="1133"/>
    </row>
    <row r="26" spans="2:17" ht="18" x14ac:dyDescent="0.3">
      <c r="B26" s="808" t="s">
        <v>520</v>
      </c>
      <c r="C26" s="795" t="s">
        <v>486</v>
      </c>
      <c r="D26" s="796" t="str">
        <f>IF(OR($D$14="Unknown",D14="11.1"),"11.2",$D$14) &amp; ".3"</f>
        <v>11.2.3</v>
      </c>
      <c r="E26" s="505" t="str">
        <f>IF($D$14&lt;&gt;E$14,"N/A",
IF('Max Test'!X.CO2S_SS="",'Max Test'!X.CO2S_CDP,'Max Test'!X.CO2S_SS))</f>
        <v>N/A</v>
      </c>
      <c r="F26" s="807" t="s">
        <v>211</v>
      </c>
      <c r="G26" s="126"/>
      <c r="H26" s="126"/>
      <c r="I26" s="126"/>
      <c r="K26" s="1134"/>
      <c r="L26" s="126"/>
      <c r="Q26" s="1133"/>
    </row>
    <row r="27" spans="2:17" ht="18.75" thickBot="1" x14ac:dyDescent="0.35">
      <c r="B27" s="693" t="s">
        <v>410</v>
      </c>
      <c r="C27" s="694" t="s">
        <v>474</v>
      </c>
      <c r="D27" s="695" t="str">
        <f>IF(OR($D$14="Unknown",D14="11.1"),"11.2",$D$14) &amp; ".3"</f>
        <v>11.2.3</v>
      </c>
      <c r="E27" s="1130" t="str">
        <f>IF($D$14&lt;&gt;E$14,"N/A",IFERROR(A+(B/X.CO2S),""))</f>
        <v>N/A</v>
      </c>
      <c r="F27" s="699" t="s">
        <v>175</v>
      </c>
      <c r="G27" s="126"/>
      <c r="H27" s="126"/>
      <c r="I27" s="126"/>
      <c r="K27" s="1134"/>
      <c r="L27" s="126"/>
      <c r="Q27" s="1133"/>
    </row>
    <row r="28" spans="2:17" ht="17.25" thickBot="1" x14ac:dyDescent="0.35">
      <c r="B28" s="804"/>
      <c r="C28" s="781"/>
      <c r="D28" s="781"/>
      <c r="E28" s="499"/>
      <c r="F28" s="805"/>
      <c r="G28" s="126"/>
      <c r="H28" s="126"/>
      <c r="I28" s="126"/>
      <c r="K28" s="1134"/>
      <c r="L28" s="126"/>
      <c r="Q28" s="1133"/>
    </row>
    <row r="29" spans="2:17" ht="17.25" x14ac:dyDescent="0.3">
      <c r="B29" s="820" t="s">
        <v>850</v>
      </c>
      <c r="C29" s="821"/>
      <c r="D29" s="821"/>
      <c r="E29" s="822"/>
      <c r="F29" s="823"/>
      <c r="G29" s="126"/>
      <c r="H29" s="126"/>
      <c r="I29" s="126"/>
      <c r="K29" s="1134"/>
      <c r="L29" s="126"/>
      <c r="Q29" s="1133"/>
    </row>
    <row r="30" spans="2:17" x14ac:dyDescent="0.3">
      <c r="B30" s="808" t="str">
        <f>IF(AND('General Info &amp; Test Results'!C53="Yes",
OR(NOT(ISERROR(FIND("Fuel Oil",'General Info &amp; Test Results'!C46))),
AND(NOT(ISERROR(FIND("Gas",'General Info &amp; Test Results'!C46))),'General Info &amp; Test Results'!C49="Power"))),
"Use test data to calculate S/F?","NOT REQUIRED FOR THIS TEST")</f>
        <v>NOT REQUIRED FOR THIS TEST</v>
      </c>
      <c r="C30" s="795" t="s">
        <v>175</v>
      </c>
      <c r="D30" s="796" t="str">
        <f>IF(OR($D$14="Unknown",D14="11.1"),"11.2",$D$14) &amp; ".4"</f>
        <v>11.2.4</v>
      </c>
      <c r="E30" s="1150"/>
      <c r="F30" s="807" t="s">
        <v>175</v>
      </c>
      <c r="G30" s="126"/>
      <c r="H30" s="126"/>
      <c r="I30" s="126"/>
      <c r="K30" s="1134"/>
      <c r="L30" s="126"/>
      <c r="Q30" s="1133"/>
    </row>
    <row r="31" spans="2:17" ht="17.25" thickBot="1" x14ac:dyDescent="0.35">
      <c r="B31" s="693" t="s">
        <v>412</v>
      </c>
      <c r="C31" s="694" t="s">
        <v>60</v>
      </c>
      <c r="D31" s="695" t="str">
        <f>IF(OR($D$14="Unknown",D14="11.1"),"11.2",$D$14) &amp; ".4"</f>
        <v>11.2.4</v>
      </c>
      <c r="E31" s="837" t="str">
        <f>IF($D$14&lt;&gt;E$14,"N/A",
IF(OR('Sys. # &amp; Product Characteristic'!Heating_Fuel_Used="",'Sys. # &amp; Product Characteristic'!Ignition="",'Sys. # &amp; Product Characteristic'!Burner_Type=""),"",
IF(AND('Sys. # &amp; Product Characteristic'!Energy_Source&lt;&gt;"Electricity",'Sys. # &amp; Product Characteristic'!$C$16="Yes"),1,
IF(OR(NOT(ISERROR(FIND("Fuel Oil",'Sys. # &amp; Product Characteristic'!Heating_Fuel_Used))),AND(NOT(ISERROR(FIND("Gas",'Sys. # &amp; Product Characteristic'!Heating_Fuel_Used))),'Sys. # &amp; Product Characteristic'!Burner_Type="Power")),
IF(OR('Sys. # &amp; Product Characteristic'!Attached_Barometric_Damper="No",'Sys. # &amp; Product Characteristic'!Attached_Barometric_Damper=""),1.4,IF(OR(E30="No",E30=""),1.4,R.TS/R.TF)),
1.3*R.TS/R.TF))))</f>
        <v>N/A</v>
      </c>
      <c r="F31" s="699" t="s">
        <v>175</v>
      </c>
      <c r="G31" s="126"/>
      <c r="H31" s="126"/>
      <c r="I31" s="126"/>
      <c r="K31" s="1134"/>
      <c r="L31" s="126"/>
      <c r="Q31" s="1133"/>
    </row>
    <row r="32" spans="2:17" ht="17.25" thickBot="1" x14ac:dyDescent="0.35">
      <c r="B32" s="804"/>
      <c r="C32" s="781"/>
      <c r="D32" s="781"/>
      <c r="E32" s="786"/>
      <c r="F32" s="805"/>
      <c r="G32" s="126"/>
      <c r="H32" s="126"/>
      <c r="I32" s="126"/>
      <c r="K32" s="1134"/>
      <c r="L32" s="126"/>
      <c r="Q32" s="1133"/>
    </row>
    <row r="33" spans="2:17" ht="17.25" x14ac:dyDescent="0.3">
      <c r="B33" s="820" t="s">
        <v>851</v>
      </c>
      <c r="C33" s="821"/>
      <c r="D33" s="821"/>
      <c r="E33" s="822"/>
      <c r="F33" s="823"/>
      <c r="G33" s="126"/>
      <c r="H33" s="126"/>
      <c r="I33" s="126"/>
      <c r="K33" s="1134"/>
      <c r="L33" s="126"/>
      <c r="Q33" s="1133"/>
    </row>
    <row r="34" spans="2:17" ht="18" x14ac:dyDescent="0.3">
      <c r="B34" s="806" t="s">
        <v>424</v>
      </c>
      <c r="C34" s="798" t="s">
        <v>475</v>
      </c>
      <c r="D34" s="796" t="str">
        <f>IF(OR($D$14="Unknown",D14="11.1"),"11.2",$D$14) &amp; ".5"</f>
        <v>11.2.5</v>
      </c>
      <c r="E34" s="192" t="str">
        <f>IF($D$14&lt;&gt;E$14,"N/A",'Max Test'!T.RA_SS)</f>
        <v>N/A</v>
      </c>
      <c r="F34" s="807" t="s">
        <v>51</v>
      </c>
      <c r="G34" s="126"/>
      <c r="H34" s="126"/>
      <c r="I34" s="126"/>
      <c r="K34" s="1134"/>
      <c r="L34" s="126"/>
      <c r="Q34" s="1133"/>
    </row>
    <row r="35" spans="2:17" ht="18" x14ac:dyDescent="0.3">
      <c r="B35" s="692" t="s">
        <v>423</v>
      </c>
      <c r="C35" s="498" t="s">
        <v>476</v>
      </c>
      <c r="D35" s="628" t="str">
        <f>IF(OR($D$14="Unknown",D14="11.1"),"11.2",$D$14) &amp; ".5"</f>
        <v>11.2.5</v>
      </c>
      <c r="E35" s="505" t="str">
        <f>IF($D$14&lt;&gt;E$14,"N/A",'Max Test'!T.SSSX_SS)</f>
        <v>N/A</v>
      </c>
      <c r="F35" s="627" t="s">
        <v>51</v>
      </c>
      <c r="G35" s="126"/>
      <c r="H35" s="126"/>
      <c r="I35" s="126"/>
      <c r="K35" s="1134"/>
      <c r="L35" s="126"/>
      <c r="Q35" s="1133"/>
    </row>
    <row r="36" spans="2:17" ht="18" x14ac:dyDescent="0.3">
      <c r="B36" s="692" t="s">
        <v>413</v>
      </c>
      <c r="C36" s="498" t="s">
        <v>477</v>
      </c>
      <c r="D36" s="628" t="str">
        <f>IF(OR($D$14="Unknown",D14="11.1"),"11.2",$D$14) &amp; ".5"</f>
        <v>11.2.5</v>
      </c>
      <c r="E36" s="519" t="str">
        <f>IF($D$14&lt;&gt;E$14,"N/A",IF('Sys. # &amp; Product Characteristic'!$C$17&lt;&gt;"Integral Draft Diverter",T.SSSX-T.RA,"N/A"))</f>
        <v>N/A</v>
      </c>
      <c r="F36" s="132" t="s">
        <v>51</v>
      </c>
      <c r="G36" s="126"/>
      <c r="H36" s="126"/>
      <c r="I36" s="126"/>
      <c r="K36" s="1134"/>
      <c r="L36" s="126"/>
      <c r="Q36" s="1133"/>
    </row>
    <row r="37" spans="2:17" ht="18" x14ac:dyDescent="0.3">
      <c r="B37" s="692" t="s">
        <v>425</v>
      </c>
      <c r="C37" s="498" t="s">
        <v>478</v>
      </c>
      <c r="D37" s="628" t="str">
        <f>IF(OR($D$14="Unknown",D14="11.1"),"11.2",$D$14) &amp; ".5"</f>
        <v>11.2.5</v>
      </c>
      <c r="E37" s="192" t="str">
        <f>IF($D$14&lt;&gt;E$14,"N/A",
IF('Max Test'!T.FSS_SS="", 'Max Test'!T.FSS_CDP,'Max Test'!T.FSS_SS))</f>
        <v>N/A</v>
      </c>
      <c r="F37" s="132" t="s">
        <v>51</v>
      </c>
      <c r="G37" s="126"/>
      <c r="H37" s="126"/>
      <c r="I37" s="126"/>
      <c r="K37" s="1134"/>
      <c r="L37" s="126"/>
      <c r="Q37" s="1133"/>
    </row>
    <row r="38" spans="2:17" ht="18.75" thickBot="1" x14ac:dyDescent="0.35">
      <c r="B38" s="834" t="s">
        <v>414</v>
      </c>
      <c r="C38" s="835" t="s">
        <v>479</v>
      </c>
      <c r="D38" s="695" t="str">
        <f>IF(OR($D$14="Unknown",D14="11.1"),"11.2",$D$14) &amp; ".5"</f>
        <v>11.2.5</v>
      </c>
      <c r="E38" s="836" t="str">
        <f>IF($D$14&lt;&gt;E$14,"N/A",IF('Sys. # &amp; Product Characteristic'!$C$17&lt;&gt;"Integral Draft Diverter","",T.FSS-T.RA))</f>
        <v>N/A</v>
      </c>
      <c r="F38" s="699" t="s">
        <v>51</v>
      </c>
      <c r="G38" s="126"/>
      <c r="H38" s="126"/>
      <c r="I38" s="126"/>
      <c r="K38" s="1134"/>
      <c r="L38" s="126"/>
      <c r="Q38" s="1133"/>
    </row>
    <row r="39" spans="2:17" ht="17.25" thickBot="1" x14ac:dyDescent="0.35">
      <c r="B39" s="804"/>
      <c r="C39" s="781"/>
      <c r="D39" s="781"/>
      <c r="E39" s="520"/>
      <c r="F39" s="805"/>
      <c r="G39" s="126"/>
      <c r="H39" s="126"/>
      <c r="I39" s="126"/>
      <c r="K39" s="1134"/>
      <c r="L39" s="126"/>
      <c r="Q39" s="1133"/>
    </row>
    <row r="40" spans="2:17" ht="17.25" x14ac:dyDescent="0.3">
      <c r="B40" s="820" t="s">
        <v>415</v>
      </c>
      <c r="C40" s="821"/>
      <c r="D40" s="821"/>
      <c r="E40" s="822"/>
      <c r="F40" s="823"/>
      <c r="G40" s="126"/>
      <c r="H40" s="126"/>
      <c r="I40" s="126"/>
      <c r="K40" s="1134"/>
      <c r="L40" s="126"/>
      <c r="Q40" s="1133"/>
    </row>
    <row r="41" spans="2:17" ht="18" x14ac:dyDescent="0.3">
      <c r="B41" s="806" t="s">
        <v>523</v>
      </c>
      <c r="C41" s="798" t="s">
        <v>487</v>
      </c>
      <c r="D41" s="796" t="str">
        <f>IF(OR($D$14="Unknown",D14="11.1"),"11.2",$D$14) &amp; ".9.1"</f>
        <v>11.2.9.1</v>
      </c>
      <c r="E41" s="120" t="str">
        <f>IF($D$14&lt;&gt;E$14,"N/A",'Drop-Downs and Tables'!$C$188)</f>
        <v>N/A</v>
      </c>
      <c r="F41" s="807" t="s">
        <v>236</v>
      </c>
      <c r="G41" s="126"/>
      <c r="H41" s="126"/>
      <c r="I41" s="126"/>
      <c r="K41" s="1134"/>
      <c r="L41" s="126"/>
      <c r="Q41" s="1133"/>
    </row>
    <row r="42" spans="2:17" x14ac:dyDescent="0.3">
      <c r="B42" s="692" t="s">
        <v>521</v>
      </c>
      <c r="C42" s="498" t="s">
        <v>43</v>
      </c>
      <c r="D42" s="628" t="str">
        <f>IF(OR($D$14="Unknown",D14="11.1"),"11.2",$D$14) &amp; ".9.1"</f>
        <v>11.2.9.1</v>
      </c>
      <c r="E42" s="120" t="str">
        <f>IF($D$14&lt;&gt;E$14,"N/A",'Drop-Downs and Tables'!$D$188)</f>
        <v>N/A</v>
      </c>
      <c r="F42" s="132" t="s">
        <v>175</v>
      </c>
      <c r="G42" s="126"/>
      <c r="H42" s="126"/>
      <c r="I42" s="126"/>
      <c r="K42" s="1134"/>
      <c r="L42" s="126"/>
      <c r="Q42" s="1133"/>
    </row>
    <row r="43" spans="2:17" ht="18.75" thickBot="1" x14ac:dyDescent="0.35">
      <c r="B43" s="693" t="s">
        <v>415</v>
      </c>
      <c r="C43" s="694" t="s">
        <v>480</v>
      </c>
      <c r="D43" s="695" t="str">
        <f>IF(OR($D$14="Unknown",D14="11.1"),"11.2",$D$14) &amp; ".6"</f>
        <v>11.2.6</v>
      </c>
      <c r="E43" s="833" t="str" cm="1">
        <f t="array" ref="E43">IF($D$14&lt;&gt;E$14,"N/A",
100/HHV.A*
(SUM(((1+AF)*('Drop-Downs and Tables'!$H$188:$L$188)+AF*(IF(AND(System_Number=5, 'Sys. # &amp; Product Characteristic'!C17="Draft Hood"), (R.TF-1),(IF(R.TS="",R.TF,R.TS)-1)))*('Drop-Downs and Tables'!$H$187:$L$187))*((IF(T.SSSX="",T.FSS,T.SSSX) + 460)^('Drop-Downs and Tables'!$H$179:$L$179)-(T.RA+460)^('Drop-Downs and Tables'!$H$179:$L$179)))))</f>
        <v>N/A</v>
      </c>
      <c r="F43" s="699" t="s">
        <v>211</v>
      </c>
      <c r="G43" s="126"/>
      <c r="H43" s="126"/>
      <c r="I43" s="126"/>
      <c r="K43" s="1134"/>
      <c r="L43" s="126"/>
      <c r="Q43" s="1133"/>
    </row>
    <row r="44" spans="2:17" ht="17.25" thickBot="1" x14ac:dyDescent="0.35">
      <c r="B44" s="804"/>
      <c r="C44" s="781"/>
      <c r="D44" s="781"/>
      <c r="E44" s="787"/>
      <c r="F44" s="805"/>
      <c r="G44" s="126"/>
      <c r="H44" s="126"/>
      <c r="I44" s="126"/>
      <c r="K44" s="1134"/>
      <c r="L44" s="126"/>
      <c r="Q44" s="1133"/>
    </row>
    <row r="45" spans="2:17" ht="17.25" x14ac:dyDescent="0.3">
      <c r="B45" s="820" t="s">
        <v>416</v>
      </c>
      <c r="C45" s="821"/>
      <c r="D45" s="821"/>
      <c r="E45" s="822"/>
      <c r="F45" s="823"/>
      <c r="G45" s="126"/>
      <c r="H45" s="126"/>
      <c r="I45" s="126"/>
      <c r="K45" s="1134"/>
      <c r="L45" s="126"/>
      <c r="Q45" s="1133"/>
    </row>
    <row r="46" spans="2:17" ht="18" x14ac:dyDescent="0.3">
      <c r="B46" s="808" t="s">
        <v>522</v>
      </c>
      <c r="C46" s="795" t="s">
        <v>490</v>
      </c>
      <c r="D46" s="796" t="str">
        <f>IF(OR($D$14="Unknown",D14="11.1"),"11.2",$D$14) &amp; ".7"</f>
        <v>11.2.7</v>
      </c>
      <c r="E46" s="187" t="str">
        <f>IF($D$14&lt;&gt;E$14,"N/A",'Drop-Downs and Tables'!$E$188)</f>
        <v>N/A</v>
      </c>
      <c r="F46" s="807" t="s">
        <v>211</v>
      </c>
      <c r="G46" s="126"/>
      <c r="H46" s="126"/>
      <c r="I46" s="126"/>
      <c r="K46" s="1134"/>
      <c r="L46" s="126"/>
      <c r="Q46" s="1133"/>
    </row>
    <row r="47" spans="2:17" ht="18.75" thickBot="1" x14ac:dyDescent="0.35">
      <c r="B47" s="693" t="s">
        <v>416</v>
      </c>
      <c r="C47" s="694" t="s">
        <v>481</v>
      </c>
      <c r="D47" s="695" t="str">
        <f>IF(OR($D$14="Unknown",D14="11.1"),"11.2",$D$14) &amp; ".7"</f>
        <v>11.2.7</v>
      </c>
      <c r="E47" s="1131" t="str">
        <f>IF($D$14&lt;&gt;E$14,"N/A",IFERROR(100-L.LA-L.SSS,""))</f>
        <v>N/A</v>
      </c>
      <c r="F47" s="699" t="s">
        <v>211</v>
      </c>
      <c r="G47" s="126"/>
      <c r="H47" s="126"/>
      <c r="I47" s="126"/>
      <c r="K47" s="1134"/>
      <c r="L47" s="126"/>
      <c r="Q47" s="1133"/>
    </row>
    <row r="48" spans="2:17" ht="17.25" thickBot="1" x14ac:dyDescent="0.35">
      <c r="B48" s="804"/>
      <c r="C48" s="781"/>
      <c r="D48" s="781"/>
      <c r="E48" s="789"/>
      <c r="F48" s="805"/>
      <c r="G48" s="126"/>
      <c r="H48" s="126"/>
      <c r="I48" s="126"/>
      <c r="K48" s="1134"/>
      <c r="L48" s="126"/>
      <c r="Q48" s="1133"/>
    </row>
    <row r="49" spans="2:17" ht="17.25" x14ac:dyDescent="0.3">
      <c r="B49" s="820" t="s">
        <v>852</v>
      </c>
      <c r="C49" s="821"/>
      <c r="D49" s="821"/>
      <c r="E49" s="822"/>
      <c r="F49" s="823"/>
      <c r="G49" s="126"/>
      <c r="H49" s="126"/>
      <c r="I49" s="126"/>
      <c r="K49" s="1134"/>
      <c r="L49" s="126"/>
      <c r="Q49" s="1133"/>
    </row>
    <row r="50" spans="2:17" ht="18" x14ac:dyDescent="0.3">
      <c r="B50" s="808" t="s">
        <v>417</v>
      </c>
      <c r="C50" s="795" t="s">
        <v>482</v>
      </c>
      <c r="D50" s="796" t="str">
        <f>IF(OR($D$14="Unknown",D14="11.1"),"11.2",$D$14) &amp; ".8.1"</f>
        <v>11.2.8.1</v>
      </c>
      <c r="E50" s="506" t="str">
        <f>IF($D$14&lt;&gt;E$14,"N/A",'General Info &amp; Test Results'!Nameplate_Maximum_Input)</f>
        <v>N/A</v>
      </c>
      <c r="F50" s="807" t="s">
        <v>37</v>
      </c>
      <c r="G50" s="126"/>
      <c r="H50" s="126"/>
      <c r="I50" s="126"/>
      <c r="K50" s="1134"/>
      <c r="L50" s="126"/>
      <c r="Q50" s="1133"/>
    </row>
    <row r="51" spans="2:17" ht="18" x14ac:dyDescent="0.3">
      <c r="B51" s="691" t="s">
        <v>409</v>
      </c>
      <c r="C51" s="134" t="s">
        <v>483</v>
      </c>
      <c r="D51" s="628" t="str">
        <f>IF(D14="11.1","11.1",
IF($D$14="Unknown","11.2",$D$14) &amp; ".8.1")</f>
        <v>11.2.8.1</v>
      </c>
      <c r="E51" s="486" t="str">
        <f>IF($D$14&lt;&gt;E$14,"N/A",IF('Test Conditions'!Jacket_Loss_Factor="","",'Test Conditions'!Jacket_Loss_Factor))</f>
        <v>N/A</v>
      </c>
      <c r="F51" s="132" t="s">
        <v>273</v>
      </c>
      <c r="G51" s="126"/>
      <c r="H51" s="126"/>
      <c r="I51" s="126"/>
      <c r="K51" s="1134"/>
      <c r="L51" s="126"/>
      <c r="Q51" s="1133"/>
    </row>
    <row r="52" spans="2:17" x14ac:dyDescent="0.3">
      <c r="B52" s="691" t="s">
        <v>419</v>
      </c>
      <c r="C52" s="134" t="s">
        <v>58</v>
      </c>
      <c r="D52" s="628" t="str">
        <f>IF(OR($D$14="Unknown",D14="11.1"),"11.2",$D$14) &amp; ".8.1"</f>
        <v>11.2.8.1</v>
      </c>
      <c r="E52" s="179" t="str">
        <f>IF($D$14&lt;&gt;E$14,"N/A",
IF(OR(Finned_Tube_Boiler="",'Sys. # &amp; Product Characteristic'!Installation=""),"",
IF('Sys. # &amp; Product Characteristic'!Installation="Indoor",0,
IF('Sys. # &amp; Product Characteristic'!Installation="Isolated Combustion System",1.7,
IF(Finned_Tube_Boiler="No",3.3,1)))))</f>
        <v>N/A</v>
      </c>
      <c r="F52" s="132" t="s">
        <v>175</v>
      </c>
      <c r="G52" s="126"/>
      <c r="H52" s="126"/>
      <c r="I52" s="126"/>
      <c r="K52" s="1134"/>
      <c r="L52" s="126"/>
      <c r="Q52" s="1133"/>
    </row>
    <row r="53" spans="2:17" ht="18" x14ac:dyDescent="0.3">
      <c r="B53" s="691" t="s">
        <v>1055</v>
      </c>
      <c r="C53" s="134" t="s">
        <v>484</v>
      </c>
      <c r="D53" s="628" t="str">
        <f>IF(OR($D$14="Unknown",D14="11.1"),"11.2",$D$14) &amp; ".8.1"</f>
        <v>11.2.8.1</v>
      </c>
      <c r="E53" s="500" t="str">
        <f>IF($D$14&lt;&gt;E$14,"N/A",IFERROR(ROUND(Q.IN*(Effy.SS-K*L.J)/100,-3),""))</f>
        <v>N/A</v>
      </c>
      <c r="F53" s="627" t="s">
        <v>37</v>
      </c>
      <c r="G53" s="126"/>
      <c r="H53" s="126"/>
      <c r="I53" s="126"/>
      <c r="K53" s="1134"/>
      <c r="L53" s="126"/>
      <c r="Q53" s="1133"/>
    </row>
    <row r="54" spans="2:17" x14ac:dyDescent="0.3">
      <c r="B54" s="691" t="s">
        <v>420</v>
      </c>
      <c r="C54" s="1298" t="s">
        <v>38</v>
      </c>
      <c r="D54" s="628" t="str">
        <f>IF(OR($D$14="Unknown",D14="11.1"),"11.2",$D$14) &amp; ".8.2"</f>
        <v>11.2.8.2</v>
      </c>
      <c r="E54" s="120" t="str">
        <f>IF($D$14&lt;&gt;E$14,"N/A",0.7)</f>
        <v>N/A</v>
      </c>
      <c r="F54" s="132" t="s">
        <v>175</v>
      </c>
      <c r="G54" s="126"/>
      <c r="H54" s="126"/>
      <c r="I54" s="126"/>
      <c r="K54" s="1134"/>
      <c r="L54" s="126"/>
      <c r="Q54" s="1133"/>
    </row>
    <row r="55" spans="2:17" ht="18.75" thickBot="1" x14ac:dyDescent="0.35">
      <c r="B55" s="1340" t="s">
        <v>1042</v>
      </c>
      <c r="C55" s="1341" t="s">
        <v>586</v>
      </c>
      <c r="D55" s="1342" t="str">
        <f>IF(OR($D$14="Unknown",D14="11.1"),"11.2",$D$14) &amp; ".8.3"</f>
        <v>11.2.8.3</v>
      </c>
      <c r="E55" s="1343" t="str">
        <f>IF($D$14&lt;&gt;E$14,"N/A",42)</f>
        <v>N/A</v>
      </c>
      <c r="F55" s="1344" t="s">
        <v>51</v>
      </c>
      <c r="G55" s="126"/>
      <c r="H55" s="126"/>
      <c r="I55" s="126"/>
      <c r="K55" s="1134"/>
      <c r="L55" s="126"/>
      <c r="Q55" s="1133"/>
    </row>
    <row r="56" spans="2:17" ht="17.25" thickBot="1" x14ac:dyDescent="0.35">
      <c r="B56" s="804"/>
      <c r="C56" s="781"/>
      <c r="D56" s="781"/>
      <c r="E56" s="495"/>
      <c r="F56" s="805"/>
      <c r="G56" s="126"/>
      <c r="H56" s="126"/>
      <c r="I56" s="126"/>
      <c r="K56" s="1134"/>
      <c r="L56" s="126"/>
      <c r="Q56" s="1133"/>
    </row>
    <row r="57" spans="2:17" ht="17.25" x14ac:dyDescent="0.3">
      <c r="B57" s="820" t="s">
        <v>1050</v>
      </c>
      <c r="C57" s="821"/>
      <c r="D57" s="821"/>
      <c r="E57" s="822"/>
      <c r="F57" s="823"/>
      <c r="G57" s="126"/>
      <c r="H57" s="126"/>
      <c r="I57" s="126"/>
      <c r="K57" s="1134"/>
      <c r="L57" s="126"/>
      <c r="Q57" s="1133"/>
    </row>
    <row r="58" spans="2:17" ht="18" x14ac:dyDescent="0.3">
      <c r="B58" s="808" t="s">
        <v>214</v>
      </c>
      <c r="C58" s="795" t="s">
        <v>593</v>
      </c>
      <c r="D58" s="796" t="str">
        <f>IF(OR($D$14="Unknown",D14="11.1"),"11.2",$D$14) &amp; ".9.1"</f>
        <v>11.2.9.1</v>
      </c>
      <c r="E58" s="491" t="str">
        <f>IF($D$14&lt;&gt;E$14,"N/A",0.24)</f>
        <v>N/A</v>
      </c>
      <c r="F58" s="807" t="s">
        <v>508</v>
      </c>
      <c r="G58" s="126"/>
      <c r="H58" s="126"/>
      <c r="I58" s="126"/>
      <c r="K58" s="1134"/>
      <c r="L58" s="126"/>
      <c r="Q58" s="1133"/>
    </row>
    <row r="59" spans="2:17" ht="18" x14ac:dyDescent="0.3">
      <c r="B59" s="691" t="s">
        <v>421</v>
      </c>
      <c r="C59" s="134" t="s">
        <v>594</v>
      </c>
      <c r="D59" s="628" t="str">
        <f>IF(OR($D$14="Unknown",D14="11.1"),"11.2",$D$14) &amp; ".9.1"</f>
        <v>11.2.9.1</v>
      </c>
      <c r="E59" s="703" t="str">
        <f>IF($D$14&lt;&gt;E$14,"N/A",
IFERROR(100*E58*(1+R.TF*AF)/HHV.A,""))</f>
        <v>N/A</v>
      </c>
      <c r="F59" s="132" t="s">
        <v>175</v>
      </c>
      <c r="G59" s="126"/>
      <c r="H59" s="126"/>
      <c r="I59" s="126"/>
      <c r="K59" s="1134"/>
      <c r="L59" s="126"/>
      <c r="Q59" s="1133"/>
    </row>
    <row r="60" spans="2:17" x14ac:dyDescent="0.3">
      <c r="B60" s="691" t="s">
        <v>221</v>
      </c>
      <c r="C60" s="134" t="s">
        <v>222</v>
      </c>
      <c r="D60" s="628" t="str">
        <f>IF(OR($D$14="Unknown",D14="11.1"),"11.2",$D$14) &amp; ".9.2"</f>
        <v>11.2.9.2</v>
      </c>
      <c r="E60" s="492" t="str">
        <f>IF($D$14&lt;&gt;E$14,"N/A",0.7)</f>
        <v>N/A</v>
      </c>
      <c r="F60" s="132" t="s">
        <v>175</v>
      </c>
      <c r="G60" s="126"/>
      <c r="H60" s="126"/>
      <c r="I60" s="126"/>
      <c r="K60" s="1134"/>
      <c r="L60" s="126"/>
      <c r="Q60" s="1133"/>
    </row>
    <row r="61" spans="2:17" ht="18" x14ac:dyDescent="0.3">
      <c r="B61" s="691" t="s">
        <v>422</v>
      </c>
      <c r="C61" s="134" t="s">
        <v>595</v>
      </c>
      <c r="D61" s="628" t="str">
        <f>IF(OR($D$14="Unknown",D14="11.1"),"11.2",$D$14) &amp; ".9.2"</f>
        <v>11.2.9.2</v>
      </c>
      <c r="E61" s="886" t="str">
        <f>IF($D$14&lt;&gt;E$14,"N/A",
IF(E17&gt;=9,0,
IF(OR(SF="",K.SON=""),"",Phi*SF*K.SON)))</f>
        <v>N/A</v>
      </c>
      <c r="F61" s="132" t="s">
        <v>175</v>
      </c>
      <c r="G61" s="126"/>
      <c r="H61" s="126"/>
      <c r="I61" s="126"/>
      <c r="K61" s="1134"/>
      <c r="L61" s="126"/>
      <c r="Q61" s="1133"/>
    </row>
    <row r="62" spans="2:17" ht="18" x14ac:dyDescent="0.3">
      <c r="B62" s="691" t="s">
        <v>1210</v>
      </c>
      <c r="C62" s="134" t="s">
        <v>598</v>
      </c>
      <c r="D62" s="628" t="str">
        <f>IF(OR($D$14="Unknown",D14="11.1"),"11.2",$D$14) &amp; ".9.3"</f>
        <v>11.2.9.3</v>
      </c>
      <c r="E62" s="1332" t="str">
        <f>IF($D$14&lt;&gt;E$14,"N/A",
IF('Sys. # &amp; Product Characteristic'!$C$17="Integral Draft Diverter",T.SSSX,
IFERROR((T.FSS-T.RA)/SF+T.RA,"")))</f>
        <v>N/A</v>
      </c>
      <c r="F62" s="132" t="s">
        <v>51</v>
      </c>
      <c r="G62" s="126"/>
      <c r="H62" s="126"/>
      <c r="I62" s="126"/>
      <c r="K62" s="1134"/>
      <c r="L62" s="126"/>
      <c r="Q62" s="1133"/>
    </row>
    <row r="63" spans="2:17" ht="18" x14ac:dyDescent="0.3">
      <c r="B63" s="691"/>
      <c r="C63" s="134" t="s">
        <v>599</v>
      </c>
      <c r="D63" s="628" t="str">
        <f>IF(OR($D$14="Unknown",D14="11.1"),"11.2",$D$14) &amp; ".9.4"</f>
        <v>11.2.9.4</v>
      </c>
      <c r="E63" s="491" t="str">
        <f>IF($D$14&lt;&gt;E$14,"N/A",1)</f>
        <v>N/A</v>
      </c>
      <c r="F63" s="132" t="s">
        <v>36</v>
      </c>
      <c r="G63" s="126"/>
      <c r="H63" s="126"/>
      <c r="I63" s="126"/>
      <c r="K63" s="1134"/>
      <c r="L63" s="126"/>
      <c r="Q63" s="1133"/>
    </row>
    <row r="64" spans="2:17" ht="18" x14ac:dyDescent="0.3">
      <c r="B64" s="691"/>
      <c r="C64" s="134" t="s">
        <v>600</v>
      </c>
      <c r="D64" s="628" t="str">
        <f>IF(OR($D$14="Unknown",D14="11.1"),"11.2",$D$14) &amp; ".9.4"</f>
        <v>11.2.9.4</v>
      </c>
      <c r="E64" s="491" t="str">
        <f>IF($D$14&lt;&gt;E$14,"N/A",5.5)</f>
        <v>N/A</v>
      </c>
      <c r="F64" s="132" t="s">
        <v>36</v>
      </c>
      <c r="G64" s="126"/>
      <c r="H64" s="126"/>
      <c r="I64" s="126"/>
      <c r="K64" s="1134"/>
      <c r="L64" s="126"/>
      <c r="Q64" s="1133"/>
    </row>
    <row r="65" spans="2:17" ht="18" x14ac:dyDescent="0.3">
      <c r="B65" s="691" t="s">
        <v>427</v>
      </c>
      <c r="C65" s="134" t="s">
        <v>601</v>
      </c>
      <c r="D65" s="628" t="str">
        <f>IF(OR($D$14="Unknown",D14="11.1"),"11.2",$D$14) &amp; ".9.4"</f>
        <v>11.2.9.4</v>
      </c>
      <c r="E65" s="491" t="str">
        <f>IF($D$14&lt;&gt;E$14,"N/A",
IF('Max Test'!T.FON.t1&gt;=T.FSS,T.FSS-0.2,
IF('Max Test'!T.FON.t1&gt;='Max Test'!T.FON.t2,T.FON.t2-0.1,'Max Test'!T.FON.t1
)))</f>
        <v>N/A</v>
      </c>
      <c r="F65" s="132" t="s">
        <v>51</v>
      </c>
      <c r="G65" s="126"/>
      <c r="H65" s="126"/>
      <c r="I65" s="126"/>
      <c r="K65" s="1134"/>
      <c r="L65" s="126"/>
      <c r="Q65" s="1133"/>
    </row>
    <row r="66" spans="2:17" ht="18" x14ac:dyDescent="0.3">
      <c r="B66" s="691" t="s">
        <v>428</v>
      </c>
      <c r="C66" s="134" t="s">
        <v>602</v>
      </c>
      <c r="D66" s="628" t="str">
        <f>IF(OR($D$14="Unknown",D14="11.1"),"11.2",$D$14) &amp; ".9.4"</f>
        <v>11.2.9.4</v>
      </c>
      <c r="E66" s="491" t="str">
        <f>IF($D$14&lt;&gt;E$14,"N/A",
IF('Max Test'!T.FON.t2&gt;=T.FSS,T.FSS-0.1,'Max Test'!T.FON.t2
))</f>
        <v>N/A</v>
      </c>
      <c r="F66" s="132" t="s">
        <v>51</v>
      </c>
      <c r="G66" s="126"/>
      <c r="H66" s="126"/>
      <c r="I66" s="126"/>
      <c r="K66" s="1134"/>
      <c r="L66" s="126"/>
      <c r="Q66" s="1133"/>
    </row>
    <row r="67" spans="2:17" ht="18" x14ac:dyDescent="0.3">
      <c r="B67" s="691" t="s">
        <v>429</v>
      </c>
      <c r="C67" s="134" t="s">
        <v>603</v>
      </c>
      <c r="D67" s="628" t="str">
        <f>IF(OR($D$14="Unknown",D14="11.1"),"11.2",$D$14) &amp; ".9.4"</f>
        <v>11.2.9.4</v>
      </c>
      <c r="E67" s="491" t="str">
        <f>IF($D$14&lt;&gt;E$14,"N/A",(t.2-t.1)/LN((T.FSS-T.FON.t1)/(T.FSS-T.FON.t2)))</f>
        <v>N/A</v>
      </c>
      <c r="F67" s="132" t="s">
        <v>36</v>
      </c>
      <c r="G67" s="126"/>
      <c r="H67" s="126"/>
      <c r="I67" s="126"/>
      <c r="K67" s="1134"/>
      <c r="L67" s="126"/>
      <c r="Q67" s="1133"/>
    </row>
    <row r="68" spans="2:17" ht="18" x14ac:dyDescent="0.3">
      <c r="B68" s="691" t="s">
        <v>430</v>
      </c>
      <c r="C68" s="134" t="s">
        <v>604</v>
      </c>
      <c r="D68" s="628" t="str">
        <f>IF(OR($D$14="Unknown",D14="11.1"),"11.2",$D$14) &amp; ".9.5"</f>
        <v>11.2.9.5</v>
      </c>
      <c r="E68" s="491" t="str">
        <f>IF($D$14&lt;&gt;E$14,"N/A",(T.FSS-T.FON.t1)*EXP(t.1/Tau.ON))</f>
        <v>N/A</v>
      </c>
      <c r="F68" s="132" t="s">
        <v>36</v>
      </c>
      <c r="G68" s="126"/>
      <c r="H68" s="126"/>
      <c r="I68" s="126"/>
      <c r="K68" s="1134"/>
      <c r="L68" s="126"/>
      <c r="Q68" s="1133"/>
    </row>
    <row r="69" spans="2:17" ht="18" x14ac:dyDescent="0.3">
      <c r="B69" s="691"/>
      <c r="C69" s="134" t="s">
        <v>605</v>
      </c>
      <c r="D69" s="628" t="str">
        <f>IF(OR($D$14="Unknown",D14="11.1"),"11.2",$D$14) &amp; ".9.6"</f>
        <v>11.2.9.6</v>
      </c>
      <c r="E69" s="512" t="str">
        <f>IF($D$14&lt;&gt;E$14,"N/A",IF('Max Test'!Does_the_boiler_employ_a_post_purge?="Yes",t.p+3.75,3.75))</f>
        <v>N/A</v>
      </c>
      <c r="F69" s="132" t="s">
        <v>36</v>
      </c>
      <c r="G69" s="126"/>
      <c r="H69" s="126"/>
      <c r="I69" s="126"/>
      <c r="K69" s="1134"/>
      <c r="L69" s="126"/>
      <c r="Q69" s="1133"/>
    </row>
    <row r="70" spans="2:17" ht="18" x14ac:dyDescent="0.3">
      <c r="B70" s="691"/>
      <c r="C70" s="134" t="s">
        <v>606</v>
      </c>
      <c r="D70" s="628" t="str">
        <f>IF(OR($D$14="Unknown",D14="11.1"),"11.2",$D$14) &amp; ".9.6"</f>
        <v>11.2.9.6</v>
      </c>
      <c r="E70" s="512" t="str">
        <f>IF($D$14&lt;&gt;E$14,"N/A",IF('Max Test'!Does_the_boiler_employ_a_post_purge?="Yes",t.p+22.5,22.5))</f>
        <v>N/A</v>
      </c>
      <c r="F70" s="132" t="s">
        <v>36</v>
      </c>
      <c r="G70" s="126"/>
      <c r="H70" s="126"/>
      <c r="I70" s="126"/>
      <c r="K70" s="1134"/>
      <c r="L70" s="126"/>
      <c r="Q70" s="1133"/>
    </row>
    <row r="71" spans="2:17" ht="18" x14ac:dyDescent="0.3">
      <c r="B71" s="691"/>
      <c r="C71" s="134" t="s">
        <v>607</v>
      </c>
      <c r="D71" s="628" t="str">
        <f>IF(OR($D$14="Unknown",D14="11.1"),"11.2",$D$14) &amp; ".9.6"</f>
        <v>11.2.9.6</v>
      </c>
      <c r="E71" s="512" t="str">
        <f>IF($D$14&lt;&gt;E$14,"N/A",45)</f>
        <v>N/A</v>
      </c>
      <c r="F71" s="132" t="s">
        <v>36</v>
      </c>
      <c r="G71" s="126"/>
      <c r="H71" s="126"/>
      <c r="I71" s="126"/>
      <c r="K71" s="1134"/>
      <c r="L71" s="126"/>
      <c r="Q71" s="1133"/>
    </row>
    <row r="72" spans="2:17" ht="18" x14ac:dyDescent="0.3">
      <c r="B72" s="691" t="s">
        <v>431</v>
      </c>
      <c r="C72" s="134" t="s">
        <v>608</v>
      </c>
      <c r="D72" s="628" t="str">
        <f>IF(OR($D$14="Unknown",D14="11.1"),"11.2",$D$14) &amp; ".9.6"</f>
        <v>11.2.9.6</v>
      </c>
      <c r="E72" s="493" t="str">
        <f>IF($D$14&lt;&gt;E$14,"N/A",'Max Test'!tp/60)</f>
        <v>N/A</v>
      </c>
      <c r="F72" s="132" t="s">
        <v>36</v>
      </c>
      <c r="G72" s="126"/>
      <c r="H72" s="126"/>
      <c r="I72" s="126"/>
      <c r="K72" s="1134"/>
      <c r="L72" s="126"/>
      <c r="Q72" s="1133"/>
    </row>
    <row r="73" spans="2:17" ht="18" x14ac:dyDescent="0.3">
      <c r="B73" s="691" t="s">
        <v>432</v>
      </c>
      <c r="C73" s="134" t="s">
        <v>609</v>
      </c>
      <c r="D73" s="628" t="str">
        <f>IF(OR($D$14="Unknown",D14="11.1"),"11.2",$D$14) &amp; ".9.6"</f>
        <v>11.2.9.6</v>
      </c>
      <c r="E73" s="491" t="str">
        <f>IF($D$14&lt;&gt;E$14,"N/A",
IF('Max Test'!T.FOFF.t3&lt;='Max Test'!T.FOFF.t5,'Max Test'!T.FOFF.t5+0.2,
IF('Max Test'!T.FOFF.t3&lt;='Max Test'!T.FOFF.t4,'Max Test'!T.FOFF.t4+0.1,
'Max Test'!T.FOFF.t3)))</f>
        <v>N/A</v>
      </c>
      <c r="F73" s="132" t="s">
        <v>51</v>
      </c>
      <c r="G73" s="126"/>
      <c r="H73" s="126"/>
      <c r="I73" s="126"/>
      <c r="K73" s="1134"/>
      <c r="L73" s="126"/>
      <c r="Q73" s="1133"/>
    </row>
    <row r="74" spans="2:17" ht="18" x14ac:dyDescent="0.3">
      <c r="B74" s="691" t="s">
        <v>433</v>
      </c>
      <c r="C74" s="134" t="s">
        <v>610</v>
      </c>
      <c r="D74" s="628" t="str">
        <f>IF(OR($D$14="Unknown",D14="11.1"),"11.2",$D$14) &amp; ".9.6"</f>
        <v>11.2.9.6</v>
      </c>
      <c r="E74" s="491" t="str">
        <f>IF($D$14&lt;&gt;E$14,"N/A",
IF('Max Test'!T.FOFF.t4&lt;='Max Test'!T.FOFF.t5,'Max Test'!T.FOFF.t5+0.1,
'Max Test'!T.FOFF.t4))</f>
        <v>N/A</v>
      </c>
      <c r="F74" s="132" t="s">
        <v>51</v>
      </c>
      <c r="G74" s="126"/>
      <c r="H74" s="126"/>
      <c r="I74" s="126"/>
      <c r="K74" s="1134"/>
      <c r="L74" s="126"/>
      <c r="Q74" s="1133"/>
    </row>
    <row r="75" spans="2:17" ht="18" x14ac:dyDescent="0.3">
      <c r="B75" s="691" t="s">
        <v>434</v>
      </c>
      <c r="C75" s="134" t="s">
        <v>611</v>
      </c>
      <c r="D75" s="628" t="str">
        <f>IF(OR($D$14="Unknown",D14="11.1"),"11.2",$D$14) &amp; ".9.6"</f>
        <v>11.2.9.6</v>
      </c>
      <c r="E75" s="491" t="str">
        <f>IF($D$14&lt;&gt;E$14,"N/A",'Max Test'!T.FOFF.t5)</f>
        <v>N/A</v>
      </c>
      <c r="F75" s="132" t="s">
        <v>51</v>
      </c>
      <c r="G75" s="126"/>
      <c r="H75" s="126"/>
      <c r="I75" s="126"/>
      <c r="K75" s="1134"/>
      <c r="L75" s="126"/>
      <c r="Q75" s="1133"/>
    </row>
    <row r="76" spans="2:17" ht="18" x14ac:dyDescent="0.3">
      <c r="B76" s="691" t="s">
        <v>435</v>
      </c>
      <c r="C76" s="134" t="s">
        <v>612</v>
      </c>
      <c r="D76" s="628" t="str">
        <f>IF(OR($D$14="Unknown",D14="11.1"),"11.2",$D$14) &amp; ".9.6"</f>
        <v>11.2.9.6</v>
      </c>
      <c r="E76" s="490" t="str">
        <f>IF($D$14&lt;&gt;E$14,"N/A",(t.4-t.3)/LN((T.FOFF.t3-T.FOFF.t5)/(T.FOFF.t4-T.FOFF.t5)))</f>
        <v>N/A</v>
      </c>
      <c r="F76" s="132" t="s">
        <v>36</v>
      </c>
      <c r="G76" s="126"/>
      <c r="H76" s="126"/>
      <c r="I76" s="126"/>
      <c r="K76" s="1134"/>
      <c r="L76" s="126"/>
      <c r="Q76" s="1133"/>
    </row>
    <row r="77" spans="2:17" ht="18" x14ac:dyDescent="0.3">
      <c r="B77" s="691" t="s">
        <v>436</v>
      </c>
      <c r="C77" s="134" t="s">
        <v>613</v>
      </c>
      <c r="D77" s="628" t="str">
        <f>IF(OR($D$14="Unknown",D14="11.1"),"11.2",$D$14) &amp; ".9.7"</f>
        <v>11.2.9.7</v>
      </c>
      <c r="E77" s="490" t="str">
        <f>IF($D$14&lt;&gt;E$14,"N/A",(T.FOFF.t3-T.FOFF.t5)*EXP(t.3/Tau.OFF))</f>
        <v>N/A</v>
      </c>
      <c r="F77" s="132" t="s">
        <v>51</v>
      </c>
      <c r="G77" s="126"/>
      <c r="H77" s="126"/>
      <c r="I77" s="126"/>
      <c r="K77" s="1134"/>
      <c r="L77" s="126"/>
      <c r="Q77" s="1133"/>
    </row>
    <row r="78" spans="2:17" ht="18" x14ac:dyDescent="0.3">
      <c r="B78" s="783" t="s">
        <v>437</v>
      </c>
      <c r="C78" s="785" t="s">
        <v>614</v>
      </c>
      <c r="D78" s="779" t="str">
        <f>IF(OR($D$14="Unknown",D14="11.1"),"11.2",$D$14) &amp; ".9.8"</f>
        <v>11.2.9.8</v>
      </c>
      <c r="E78" s="491" t="str">
        <f>IF($D$14&lt;&gt;E$14,"N/A",T.FOFF.t5-T.RA)</f>
        <v>N/A</v>
      </c>
      <c r="F78" s="132" t="s">
        <v>51</v>
      </c>
      <c r="G78" s="126"/>
      <c r="H78" s="126"/>
      <c r="I78" s="126"/>
      <c r="K78" s="1134"/>
      <c r="L78" s="126"/>
      <c r="Q78" s="1133"/>
    </row>
    <row r="79" spans="2:17" ht="18" x14ac:dyDescent="0.3">
      <c r="B79" s="809" t="s">
        <v>810</v>
      </c>
      <c r="C79" s="802" t="s">
        <v>619</v>
      </c>
      <c r="D79" s="803" t="str">
        <f>IF(OR($D$14="Unknown",D14="11.1"),"11.2",$D$14) &amp; ".9.9"</f>
        <v>11.2.9.9</v>
      </c>
      <c r="E79" s="873" t="str">
        <f>IF($D$14&lt;&gt;E$14,"N/A",
IFERROR(IF('Test Conditions'!D67="No",0.05,
IF(OR(Sys_Num=1,AND(Sys_Num=9,'Sys. # &amp; Product Characteristic'!Installation="Isolated Combustion System")),D.P_Draft_Hood_Diverter,D.P_Power_Burner_Direct_Vent)),""))</f>
        <v>N/A</v>
      </c>
      <c r="F79" s="132" t="s">
        <v>175</v>
      </c>
      <c r="G79" s="126"/>
      <c r="H79" s="126"/>
      <c r="I79" s="126"/>
      <c r="K79" s="1134"/>
      <c r="L79" s="126"/>
      <c r="Q79" s="1133"/>
    </row>
    <row r="80" spans="2:17" ht="18" x14ac:dyDescent="0.3">
      <c r="B80" s="691" t="s">
        <v>811</v>
      </c>
      <c r="C80" s="498" t="s">
        <v>620</v>
      </c>
      <c r="D80" s="628" t="str">
        <f>IF(OR($D$14="Unknown",D14="11.1"),"11.2",$D$14) &amp; ".9.9"</f>
        <v>11.2.9.9</v>
      </c>
      <c r="E80" s="706" t="str">
        <f ca="1">IF($D$14&lt;&gt;E$14,"N/A",
IF('Test Conditions'!$D$67="No",0.05,
IF('Test Conditions'!$D$66="Yes",E79,
OFFSET('Drop-Downs and Tables'!$B$167,0,MATCH(E17,'Drop-Downs and Tables'!$C$157:$K$157,0)))))</f>
        <v>N/A</v>
      </c>
      <c r="F80" s="132" t="s">
        <v>175</v>
      </c>
      <c r="G80" s="126"/>
      <c r="H80" s="126"/>
      <c r="I80" s="126"/>
      <c r="K80" s="1134"/>
      <c r="L80" s="126"/>
      <c r="Q80" s="1133"/>
    </row>
    <row r="81" spans="2:17" ht="18" x14ac:dyDescent="0.3">
      <c r="B81" s="691" t="s">
        <v>73</v>
      </c>
      <c r="C81" s="498" t="s">
        <v>623</v>
      </c>
      <c r="D81" s="628" t="str">
        <f>IF(OR($D$14="Unknown",D14="11.1"),"11.2",$D$14) &amp; ".9.9"</f>
        <v>11.2.9.9</v>
      </c>
      <c r="E81" s="192" t="str">
        <f>IF($D$14&lt;&gt;E$14,"N/A",
IF(OR(Sys_Num=1,Sys_Num=2,Sys_Num=5,Sys_Num=6),1,
IF(Sys_Num=3,0.4,
IF(OR(Sys_Num=4,Sys_Num=8),IF('Test Conditions'!$D$66="No",0.85,(0.79+D.P)/1.4),"N/A"))))</f>
        <v>N/A</v>
      </c>
      <c r="F81" s="132" t="s">
        <v>175</v>
      </c>
      <c r="G81" s="126"/>
      <c r="H81" s="126"/>
      <c r="I81" s="126"/>
      <c r="K81" s="1134"/>
      <c r="L81" s="126"/>
      <c r="Q81" s="1133"/>
    </row>
    <row r="82" spans="2:17" ht="18" x14ac:dyDescent="0.3">
      <c r="B82" s="691" t="s">
        <v>1293</v>
      </c>
      <c r="C82" s="498" t="s">
        <v>624</v>
      </c>
      <c r="D82" s="628" t="str">
        <f>IF(OR($D$14="Unknown",D14="11.1"),"11.2",$D$14) &amp; ".9.9"</f>
        <v>11.2.9.9</v>
      </c>
      <c r="E82" s="491" t="str">
        <f>IF($D$14&lt;&gt;E$14,"N/A",
IFERROR(IF(OR(Sys_Num=9,Sys_Num=10),"N/A",
IF(OR(Sys_Num&lt;=4,AND(Sys_Num&gt;=5,Sys_Num&lt;=8,SF*DO.S&gt;D.F)),D.F*Psi.FIX/(SF*DO.S),
IF(AND(Sys_Num&gt;=5,Sys_Num&lt;=8,SF*DO.S&lt;=D.F),Psi.FIX,""))),""))</f>
        <v>N/A</v>
      </c>
      <c r="F82" s="132" t="s">
        <v>51</v>
      </c>
      <c r="G82" s="126"/>
      <c r="H82" s="126"/>
      <c r="I82" s="126"/>
      <c r="K82" s="1134"/>
      <c r="L82" s="126"/>
      <c r="Q82" s="1133"/>
    </row>
    <row r="83" spans="2:17" ht="18" x14ac:dyDescent="0.3">
      <c r="B83" s="691" t="s">
        <v>440</v>
      </c>
      <c r="C83" s="498" t="s">
        <v>625</v>
      </c>
      <c r="D83" s="628" t="str">
        <f>IF(OR($D$14="Unknown",D14="11.1"),"11.2",$D$14) &amp; ".9.10"</f>
        <v>11.2.9.10</v>
      </c>
      <c r="E83" s="490" t="str">
        <f>IF($D$14&lt;&gt;E$14,"N/A",
IFERROR(IF(OR(Sys_Num=9,Sys_Num=10),"",
IF(OR(Sys_Num&lt;=4,AND(Sys_Num&gt;=5,Sys_Num&lt;=8,SF*DO.S&gt;D.F)),D.F*Psi.FOX/(SF*DO.S),
IF(AND(Sys_Num&gt;=5,Sys_Num&lt;=8,SF*DO.S&lt;=D.F),Psi.FOX,""))),""))</f>
        <v>N/A</v>
      </c>
      <c r="F83" s="132" t="s">
        <v>51</v>
      </c>
      <c r="G83" s="126"/>
      <c r="H83" s="126"/>
      <c r="I83" s="126"/>
      <c r="K83" s="1134"/>
      <c r="L83" s="126"/>
      <c r="Q83" s="1133"/>
    </row>
    <row r="84" spans="2:17" ht="18" x14ac:dyDescent="0.3">
      <c r="B84" s="691" t="s">
        <v>442</v>
      </c>
      <c r="C84" s="498" t="s">
        <v>626</v>
      </c>
      <c r="D84" s="628" t="str">
        <f>IF(OR($D$14="Unknown",D14="11.1"),"11.2",$D$14) &amp; ".9.11"</f>
        <v>11.2.9.11</v>
      </c>
      <c r="E84" s="491" t="str">
        <f>IF($D$14&lt;&gt;E$14,"N/A",9.68)</f>
        <v>N/A</v>
      </c>
      <c r="F84" s="132" t="s">
        <v>36</v>
      </c>
      <c r="G84" s="126"/>
      <c r="H84" s="126"/>
      <c r="I84" s="126"/>
      <c r="K84" s="1134"/>
      <c r="L84" s="126"/>
      <c r="Q84" s="1133"/>
    </row>
    <row r="85" spans="2:17" ht="18" x14ac:dyDescent="0.3">
      <c r="B85" s="691" t="s">
        <v>441</v>
      </c>
      <c r="C85" s="498" t="s">
        <v>627</v>
      </c>
      <c r="D85" s="628" t="str">
        <f>IF(OR($D$14="Unknown",D14="11.1"),"11.2",$D$14) &amp; ".9.11"</f>
        <v>11.2.9.11</v>
      </c>
      <c r="E85" s="491" t="str">
        <f>IF($D$14&lt;&gt;E$14,"N/A",t.ON/Tau.ON)</f>
        <v>N/A</v>
      </c>
      <c r="F85" s="132" t="s">
        <v>175</v>
      </c>
      <c r="G85" s="126"/>
      <c r="H85" s="126"/>
      <c r="I85" s="126"/>
      <c r="K85" s="1134"/>
      <c r="L85" s="126"/>
      <c r="Q85" s="1133"/>
    </row>
    <row r="86" spans="2:17" ht="18" x14ac:dyDescent="0.3">
      <c r="B86" s="691" t="s">
        <v>443</v>
      </c>
      <c r="C86" s="498" t="s">
        <v>628</v>
      </c>
      <c r="D86" s="628" t="str">
        <f>IF(OR($D$14="Unknown",D14="11.1"),"11.2",$D$14) &amp; ".9.12"</f>
        <v>11.2.9.12</v>
      </c>
      <c r="E86" s="491" t="str">
        <f>IF($D$14&lt;&gt;E$14,"N/A",33.26)</f>
        <v>N/A</v>
      </c>
      <c r="F86" s="132" t="s">
        <v>36</v>
      </c>
      <c r="G86" s="126"/>
      <c r="H86" s="126"/>
      <c r="I86" s="126"/>
      <c r="K86" s="1134"/>
      <c r="L86" s="126"/>
      <c r="Q86" s="1133"/>
    </row>
    <row r="87" spans="2:17" ht="18" x14ac:dyDescent="0.3">
      <c r="B87" s="691" t="s">
        <v>444</v>
      </c>
      <c r="C87" s="498" t="s">
        <v>629</v>
      </c>
      <c r="D87" s="628" t="str">
        <f>IF(OR($D$14="Unknown",D14="11.1"),"11.2",$D$14) &amp; ".9.12"</f>
        <v>11.2.9.12</v>
      </c>
      <c r="E87" s="490" t="str">
        <f>IF($D$14&lt;&gt;E$14,"N/A",t.OFF/Tau.OFF)</f>
        <v>N/A</v>
      </c>
      <c r="F87" s="132" t="s">
        <v>175</v>
      </c>
      <c r="G87" s="126"/>
      <c r="H87" s="126"/>
      <c r="I87" s="126"/>
      <c r="K87" s="1134"/>
      <c r="L87" s="126"/>
      <c r="Q87" s="1133"/>
    </row>
    <row r="88" spans="2:17" ht="18" x14ac:dyDescent="0.3">
      <c r="B88" s="691" t="s">
        <v>445</v>
      </c>
      <c r="C88" s="498" t="s">
        <v>630</v>
      </c>
      <c r="D88" s="628" t="str">
        <f>IF(OR($D$14="Unknown",D14="11.1"),"11.2",$D$14) &amp; ".9.13"</f>
        <v>11.2.9.13</v>
      </c>
      <c r="E88" s="733" t="str">
        <f>IF($D$14&lt;&gt;E$14,"N/A",(1-Psi.FOX*EXP(-R.OFF)/(T.FSS-T.FOFF.t5))/
(1-Theta.FOX*Psi.FOX*EXP(-(R.ON+R.OFF))/((T.FSS-T.FOFF.t5)^2)))</f>
        <v>N/A</v>
      </c>
      <c r="F88" s="132" t="s">
        <v>175</v>
      </c>
      <c r="G88" s="126"/>
      <c r="H88" s="126"/>
      <c r="I88" s="126"/>
      <c r="K88" s="1134"/>
      <c r="L88" s="126"/>
      <c r="Q88" s="1133"/>
    </row>
    <row r="89" spans="2:17" ht="18" x14ac:dyDescent="0.3">
      <c r="B89" s="691" t="s">
        <v>447</v>
      </c>
      <c r="C89" s="498" t="s">
        <v>631</v>
      </c>
      <c r="D89" s="628" t="str">
        <f>IF(OR($D$14="Unknown",D14="11.1"),"11.2",$D$14) &amp; ".9.14"</f>
        <v>11.2.9.14</v>
      </c>
      <c r="E89" s="492" t="str">
        <f>IF($D$14&lt;&gt;E$14,"N/A",IF('Sys. # &amp; Product Characteristic'!Ignition="","",IF('Sys. # &amp; Product Characteristic'!Ignition="Continuous Burning Pilot",1,0.9)))</f>
        <v>N/A</v>
      </c>
      <c r="F89" s="132" t="s">
        <v>175</v>
      </c>
      <c r="G89" s="126"/>
      <c r="H89" s="126"/>
      <c r="I89" s="126"/>
      <c r="K89" s="1134"/>
      <c r="L89" s="126"/>
      <c r="Q89" s="1133"/>
    </row>
    <row r="90" spans="2:17" ht="18" x14ac:dyDescent="0.3">
      <c r="B90" s="691" t="s">
        <v>446</v>
      </c>
      <c r="C90" s="498" t="s">
        <v>632</v>
      </c>
      <c r="D90" s="628" t="str">
        <f>IF(OR($D$14="Unknown",D14="11.1"),"11.2",$D$14) &amp; ".9.14"</f>
        <v>11.2.9.14</v>
      </c>
      <c r="E90" s="733" t="str">
        <f>IF($D$14&lt;&gt;E$14,"N/A",
C.IID*
(1-Theta.FOX*EXP(-R.ON)/(T.FSS-T.FOFF.t5))/
(1-Theta.FOX*Psi.FOX*EXP(-(R.ON+R.OFF))/((T.FSS-T.FOFF.t5)^2)))</f>
        <v>N/A</v>
      </c>
      <c r="F90" s="132" t="s">
        <v>175</v>
      </c>
      <c r="G90" s="126"/>
      <c r="H90" s="126"/>
      <c r="I90" s="126"/>
      <c r="K90" s="1134"/>
      <c r="L90" s="126"/>
      <c r="Q90" s="1133"/>
    </row>
    <row r="91" spans="2:17" ht="33" x14ac:dyDescent="0.3">
      <c r="B91" s="691" t="s">
        <v>448</v>
      </c>
      <c r="C91" s="498" t="s">
        <v>633</v>
      </c>
      <c r="D91" s="628" t="str">
        <f>IF(OR($D$14="Unknown",D14="11.1"),"11.2",$D$14) &amp; ".9.15"</f>
        <v>11.2.9.15</v>
      </c>
      <c r="E91" s="491" t="str">
        <f>IF($D$14&lt;&gt;E$14,"N/A",IF(OR(Sys_Num&lt;=8,Sys_Num=""),"N/A",1.22))</f>
        <v>N/A</v>
      </c>
      <c r="F91" s="132" t="s">
        <v>175</v>
      </c>
      <c r="G91" s="126"/>
      <c r="H91" s="126"/>
      <c r="I91" s="126"/>
      <c r="K91" s="1134"/>
      <c r="L91" s="126"/>
      <c r="Q91" s="1133"/>
    </row>
    <row r="92" spans="2:17" ht="33" x14ac:dyDescent="0.3">
      <c r="B92" s="691" t="s">
        <v>449</v>
      </c>
      <c r="C92" s="498" t="s">
        <v>634</v>
      </c>
      <c r="D92" s="628" t="str">
        <f>IF(OR($D$14="Unknown",D14="11.1"),"11.2",$D$14) &amp; ".9.15"</f>
        <v>11.2.9.15</v>
      </c>
      <c r="E92" s="491" t="str">
        <f>IF($D$14&lt;&gt;E$14,"N/A",
IF(Sys_Num&lt;=8,Psi.FOX*C.TOFF,
C.TOFF*C1.S*Psi.FOX))</f>
        <v>N/A</v>
      </c>
      <c r="F92" s="132" t="s">
        <v>51</v>
      </c>
      <c r="G92" s="126"/>
      <c r="H92" s="126"/>
      <c r="I92" s="126"/>
      <c r="K92" s="1134"/>
      <c r="L92" s="126"/>
      <c r="Q92" s="1133"/>
    </row>
    <row r="93" spans="2:17" ht="33" x14ac:dyDescent="0.3">
      <c r="B93" s="691" t="s">
        <v>1294</v>
      </c>
      <c r="C93" s="498" t="s">
        <v>635</v>
      </c>
      <c r="D93" s="628" t="str">
        <f>IF(OR($D$14="Unknown",D14="11.1"),"11.2",$D$14) &amp; ".9.16"</f>
        <v>11.2.9.16</v>
      </c>
      <c r="E93" s="491" t="str">
        <f>IF($D$14&lt;&gt;E$14,"N/A",IF(Sys_Num&lt;=8,Psi.FIX,C1.S*Psi.FIX))</f>
        <v>N/A</v>
      </c>
      <c r="F93" s="132" t="s">
        <v>51</v>
      </c>
      <c r="G93" s="126"/>
      <c r="H93" s="126"/>
      <c r="I93" s="126"/>
      <c r="K93" s="1134"/>
      <c r="L93" s="126"/>
      <c r="Q93" s="1133"/>
    </row>
    <row r="94" spans="2:17" ht="33" x14ac:dyDescent="0.3">
      <c r="B94" s="691" t="s">
        <v>450</v>
      </c>
      <c r="C94" s="498" t="s">
        <v>636</v>
      </c>
      <c r="D94" s="628" t="str">
        <f>IF(OR($D$14="Unknown",D14="11.1"),"11.2",$D$14) &amp; ".9.17"</f>
        <v>11.2.9.17</v>
      </c>
      <c r="E94" s="491" t="str">
        <f>IF($D$14&lt;&gt;E$14,"N/A",IF(Sys_Num&lt;=8,Psi.SOX*C.TOFF,""))</f>
        <v>N/A</v>
      </c>
      <c r="F94" s="132" t="s">
        <v>51</v>
      </c>
      <c r="G94" s="126"/>
      <c r="H94" s="126"/>
      <c r="I94" s="126"/>
      <c r="K94" s="1134"/>
      <c r="L94" s="126"/>
      <c r="Q94" s="1133"/>
    </row>
    <row r="95" spans="2:17" ht="18" x14ac:dyDescent="0.3">
      <c r="B95" s="691" t="s">
        <v>451</v>
      </c>
      <c r="C95" s="498" t="s">
        <v>637</v>
      </c>
      <c r="D95" s="628" t="str">
        <f>IF(OR($D$14="Unknown",D14="11.1"),"11.2",$D$14) &amp; ".9.18"</f>
        <v>11.2.9.18</v>
      </c>
      <c r="E95" s="732" t="str">
        <f>IF(OR(Sys_Num=5,Sys_Num=6,Sys_Num=8),$C$230,"N/A")</f>
        <v>N/A</v>
      </c>
      <c r="F95" s="132" t="s">
        <v>175</v>
      </c>
      <c r="G95" s="126"/>
      <c r="H95" s="126"/>
      <c r="I95" s="126"/>
      <c r="K95" s="1134"/>
      <c r="L95" s="126"/>
      <c r="Q95" s="1133"/>
    </row>
    <row r="96" spans="2:17" ht="18" x14ac:dyDescent="0.3">
      <c r="B96" s="691" t="s">
        <v>452</v>
      </c>
      <c r="C96" s="498" t="s">
        <v>638</v>
      </c>
      <c r="D96" s="628" t="str">
        <f>IF(OR($D$14="Unknown",D14="11.1"),"11.2",$D$14) &amp; ".9.18"</f>
        <v>11.2.9.18</v>
      </c>
      <c r="E96" s="546" t="str">
        <f>IF(OR(Sys_Num=5,Sys_Num=6,Sys_Num=8),$C$231,"N/A")</f>
        <v>N/A</v>
      </c>
      <c r="F96" s="132" t="s">
        <v>175</v>
      </c>
      <c r="G96" s="126"/>
      <c r="H96" s="126"/>
      <c r="I96" s="126"/>
      <c r="K96" s="1134"/>
      <c r="L96" s="126"/>
      <c r="Q96" s="1133"/>
    </row>
    <row r="97" spans="2:17" ht="18" x14ac:dyDescent="0.3">
      <c r="B97" s="691" t="s">
        <v>73</v>
      </c>
      <c r="C97" s="498" t="s">
        <v>621</v>
      </c>
      <c r="D97" s="628" t="str">
        <f>IF(OR($D$14="Unknown",D14="11.1"),"11.2",$D$14) &amp; ".9.18"</f>
        <v>11.2.9.18</v>
      </c>
      <c r="E97" s="546" t="str">
        <f>IF(E17&gt;=9,"N/A",
IF(OR(Sys_Num=1,Sys_Num=2),1,
IF(Sys_Num=3,D.F,
IF(Sys_Num=4,IF('Test Conditions'!$D$66="No",0.85,(0.79+D.P)/1.4),
IF(OR(Sys_Num=5,Sys_Num=6),D.O,
IF('Test Conditions'!$D$66="No",0.85*D.O,(0.79+D.P)/1.4*D.O))))))</f>
        <v>N/A</v>
      </c>
      <c r="F97" s="132" t="s">
        <v>175</v>
      </c>
      <c r="G97" s="126"/>
      <c r="H97" s="126"/>
      <c r="I97" s="126"/>
      <c r="K97" s="1134"/>
      <c r="L97" s="126"/>
      <c r="Q97" s="1133"/>
    </row>
    <row r="98" spans="2:17" ht="18" x14ac:dyDescent="0.3">
      <c r="B98" s="691" t="s">
        <v>812</v>
      </c>
      <c r="C98" s="498" t="s">
        <v>621</v>
      </c>
      <c r="D98" s="680" t="str">
        <f>IF(OR($D$14="Unknown",D14="11.1"),"11.2",$D$14) &amp; ".9.18" &amp; " or 11.7.2"</f>
        <v>11.2.9.18 or 11.7.2</v>
      </c>
      <c r="E98" s="1151" t="str">
        <f>IF($D$14&lt;&gt;E$14,"N/A",
    IF('Test Conditions'!$D$66="Yes",D.S_Power_Vent_Direct_Vent,D.S_1))</f>
        <v>N/A</v>
      </c>
      <c r="F98" s="132" t="s">
        <v>175</v>
      </c>
      <c r="G98" s="126"/>
      <c r="H98" s="126"/>
      <c r="I98" s="126"/>
      <c r="K98" s="1134"/>
      <c r="L98" s="126"/>
      <c r="Q98" s="1133"/>
    </row>
    <row r="99" spans="2:17" x14ac:dyDescent="0.3">
      <c r="B99" s="691" t="s">
        <v>453</v>
      </c>
      <c r="C99" s="134" t="s">
        <v>454</v>
      </c>
      <c r="D99" s="628" t="str">
        <f>IF(OR($D$14="Unknown",D14="11.1"),"11.2",$D$14) &amp; ".9.19"</f>
        <v>11.2.9.19</v>
      </c>
      <c r="E99" s="546" t="str">
        <f t="shared" ref="E99:E104" si="0">IF($D$14&lt;&gt;E$14,"N/A",$G353)</f>
        <v>N/A</v>
      </c>
      <c r="F99" s="132" t="s">
        <v>175</v>
      </c>
      <c r="G99" s="126"/>
      <c r="H99" s="126"/>
      <c r="I99" s="126"/>
      <c r="K99" s="1134"/>
      <c r="L99" s="126"/>
      <c r="Q99" s="1133"/>
    </row>
    <row r="100" spans="2:17" x14ac:dyDescent="0.3">
      <c r="B100" s="691" t="s">
        <v>453</v>
      </c>
      <c r="C100" s="134" t="s">
        <v>455</v>
      </c>
      <c r="D100" s="628" t="str">
        <f>IF(OR($D$14="Unknown",D14="11.1"),"11.2",$D$14) &amp; ".9.19"</f>
        <v>11.2.9.19</v>
      </c>
      <c r="E100" s="546" t="str">
        <f t="shared" si="0"/>
        <v>N/A</v>
      </c>
      <c r="F100" s="132" t="s">
        <v>175</v>
      </c>
      <c r="G100" s="126"/>
      <c r="H100" s="126"/>
      <c r="I100" s="126"/>
      <c r="K100" s="1134"/>
      <c r="L100" s="126"/>
      <c r="Q100" s="1133"/>
    </row>
    <row r="101" spans="2:17" x14ac:dyDescent="0.3">
      <c r="B101" s="691" t="s">
        <v>453</v>
      </c>
      <c r="C101" s="498" t="s">
        <v>456</v>
      </c>
      <c r="D101" s="628" t="str">
        <f>IF(OR($D$14="Unknown",D14="11.1"),"11.2",$D$14) &amp; ".9.19"</f>
        <v>11.2.9.19</v>
      </c>
      <c r="E101" s="546" t="str">
        <f t="shared" si="0"/>
        <v>N/A</v>
      </c>
      <c r="F101" s="132" t="s">
        <v>175</v>
      </c>
      <c r="G101" s="126"/>
      <c r="H101" s="126"/>
      <c r="I101" s="126"/>
      <c r="K101" s="1134"/>
      <c r="L101" s="126"/>
      <c r="Q101" s="1133"/>
    </row>
    <row r="102" spans="2:17" x14ac:dyDescent="0.3">
      <c r="B102" s="691" t="s">
        <v>453</v>
      </c>
      <c r="C102" s="498" t="s">
        <v>457</v>
      </c>
      <c r="D102" s="628" t="str">
        <f>IF(OR($D$14="Unknown",D14="11.1"),"11.2",$D$14) &amp; ".9.19"</f>
        <v>11.2.9.19</v>
      </c>
      <c r="E102" s="546" t="str">
        <f t="shared" si="0"/>
        <v>N/A</v>
      </c>
      <c r="F102" s="132" t="s">
        <v>175</v>
      </c>
      <c r="G102" s="126"/>
      <c r="H102" s="126"/>
      <c r="I102" s="126"/>
      <c r="K102" s="1134"/>
      <c r="L102" s="126"/>
      <c r="Q102" s="1133"/>
    </row>
    <row r="103" spans="2:17" x14ac:dyDescent="0.3">
      <c r="B103" s="691" t="s">
        <v>459</v>
      </c>
      <c r="C103" s="498" t="s">
        <v>458</v>
      </c>
      <c r="D103" s="628" t="str">
        <f>IF(OR($D$14="Unknown",D14="11.1"),"11.2",$D$14) &amp; ".9.20"</f>
        <v>11.2.9.20</v>
      </c>
      <c r="E103" s="546" t="str">
        <f t="shared" si="0"/>
        <v>N/A</v>
      </c>
      <c r="F103" s="132" t="s">
        <v>175</v>
      </c>
      <c r="G103" s="126"/>
      <c r="H103" s="126"/>
      <c r="I103" s="126"/>
      <c r="K103" s="1134"/>
      <c r="L103" s="126"/>
      <c r="Q103" s="1133"/>
    </row>
    <row r="104" spans="2:17" ht="17.25" thickBot="1" x14ac:dyDescent="0.35">
      <c r="B104" s="693" t="s">
        <v>459</v>
      </c>
      <c r="C104" s="835" t="s">
        <v>460</v>
      </c>
      <c r="D104" s="695" t="str">
        <f>IF(OR($D$14="Unknown",D14="11.1"),"11.2",$D$14) &amp; ".9.20"</f>
        <v>11.2.9.20</v>
      </c>
      <c r="E104" s="827" t="str">
        <f t="shared" si="0"/>
        <v>N/A</v>
      </c>
      <c r="F104" s="699" t="s">
        <v>175</v>
      </c>
      <c r="G104" s="126"/>
      <c r="H104" s="126"/>
      <c r="I104" s="126"/>
      <c r="K104" s="1134"/>
      <c r="L104" s="126"/>
      <c r="Q104" s="1133"/>
    </row>
    <row r="105" spans="2:17" ht="17.25" thickBot="1" x14ac:dyDescent="0.35">
      <c r="B105" s="804"/>
      <c r="C105" s="781"/>
      <c r="D105" s="781"/>
      <c r="E105" s="793"/>
      <c r="F105" s="805"/>
      <c r="G105" s="126"/>
      <c r="H105" s="126"/>
      <c r="I105" s="126"/>
      <c r="K105" s="1134"/>
      <c r="L105" s="126"/>
      <c r="Q105" s="1133"/>
    </row>
    <row r="106" spans="2:17" ht="17.25" x14ac:dyDescent="0.3">
      <c r="B106" s="820" t="s">
        <v>853</v>
      </c>
      <c r="C106" s="821"/>
      <c r="D106" s="821"/>
      <c r="E106" s="822"/>
      <c r="F106" s="823"/>
      <c r="G106" s="126"/>
      <c r="H106" s="126"/>
      <c r="I106" s="126"/>
      <c r="K106" s="1134"/>
      <c r="L106" s="126"/>
      <c r="Q106" s="1133"/>
    </row>
    <row r="107" spans="2:17" ht="18" x14ac:dyDescent="0.3">
      <c r="B107" s="808" t="s">
        <v>533</v>
      </c>
      <c r="C107" s="795" t="s">
        <v>639</v>
      </c>
      <c r="D107" s="796" t="str">
        <f>IF(OR($D$14="Unknown",D14="11.1"),"11.2",$D$14) &amp; ".10.1"</f>
        <v>11.2.10.1</v>
      </c>
      <c r="E107" s="491" t="str">
        <f>IF($D$14&lt;&gt;E$14,"N/A",IF(Sys_Num&gt;=9,1+(70-T.OA)*Effy.SS/((T.FSS-T.RA)*100),"N/A"))</f>
        <v>N/A</v>
      </c>
      <c r="F107" s="807" t="s">
        <v>175</v>
      </c>
      <c r="G107" s="126"/>
      <c r="H107" s="126"/>
      <c r="I107" s="126"/>
      <c r="K107" s="1134"/>
      <c r="L107" s="126"/>
      <c r="Q107" s="1133"/>
    </row>
    <row r="108" spans="2:17" ht="33" x14ac:dyDescent="0.3">
      <c r="B108" s="691" t="s">
        <v>461</v>
      </c>
      <c r="C108" s="134" t="s">
        <v>640</v>
      </c>
      <c r="D108" s="628" t="str">
        <f>IF(OR($D$14="Unknown",D14="11.1"),"11.2",$D$14) &amp; ".10.2"</f>
        <v>11.2.10.2</v>
      </c>
      <c r="E108" s="490" t="str">
        <f>IF($D$14&lt;&gt;E$14,"N/A",IF(Sys_Num&lt;=8,C.TON*Theta.FOX,C.TON*C.S*Theta.FOX))</f>
        <v>N/A</v>
      </c>
      <c r="F108" s="132" t="s">
        <v>51</v>
      </c>
      <c r="G108" s="126"/>
      <c r="H108" s="126"/>
      <c r="I108" s="126"/>
      <c r="K108" s="1134"/>
      <c r="L108" s="126"/>
      <c r="Q108" s="1133"/>
    </row>
    <row r="109" spans="2:17" ht="18" x14ac:dyDescent="0.3">
      <c r="B109" s="691" t="s">
        <v>462</v>
      </c>
      <c r="C109" s="498" t="s">
        <v>641</v>
      </c>
      <c r="D109" s="628" t="str">
        <f>IF(OR($D$14="Unknown",D14="11.1"),"11.2",$D$14) &amp; ".10.3"</f>
        <v>11.2.10.3</v>
      </c>
      <c r="E109" s="490" t="str">
        <f>IF($D$14&lt;&gt;E$14,"N/A",IFERROR(
IF(Sys_Num&lt;=4,(T.FSS-T.RA+530)^1.19*D.F*K.SON/((T.FSS-T.RA)^0.56),
IF(Sys_Num&lt;=8,(T.SSS-T.RA+530)^1.19*D.S_1*SF*K.SON/((T.SSS-T.RA+70-T.OA)^0.56),
(T.FSS-T.RA+530)^1.19*K.SON*D.F/((T.FSS-T.RA+70-T.OA)^0.56))),""))</f>
        <v>N/A</v>
      </c>
      <c r="F109" s="132" t="s">
        <v>175</v>
      </c>
      <c r="G109" s="126"/>
      <c r="H109" s="126"/>
      <c r="I109" s="126"/>
      <c r="K109" s="1134"/>
      <c r="L109" s="126"/>
      <c r="Q109" s="1133"/>
    </row>
    <row r="110" spans="2:17" ht="18" x14ac:dyDescent="0.3">
      <c r="B110" s="691" t="s">
        <v>463</v>
      </c>
      <c r="C110" s="498" t="s">
        <v>642</v>
      </c>
      <c r="D110" s="628" t="str">
        <f>IF(OR($D$14="Unknown",D14="11.1"),"11.2",$D$14) &amp; ".10.4"</f>
        <v>11.2.10.4</v>
      </c>
      <c r="E110" s="490" t="str">
        <f>IF($D$14&lt;&gt;E$14,"N/A",
IF(OR(Sys_Num=1,Sys_Num=2,Sys_Num=4),(T.SSS-T.RA+530)^1.19*K.ION*D.S_1/((T.SSS-T.RA+70-T.OA)^0.56),
IF(AND(Sys_Num&gt;=5,Sys_Num&lt;=8),(T.SSS-T.RA+530)^1.19*K.ION*D.S_2/((T.SSS-T.RA+70-T.OA)^0.56)*D.OI/D.O,
IF(Sys_Num=3,(T.FSS-T.RA+530)^1.19*K.ION*D.S_2/((T.FSS-T.RA+70-T.OA)^0.56),
0))))</f>
        <v>N/A</v>
      </c>
      <c r="F110" s="132" t="s">
        <v>175</v>
      </c>
      <c r="G110" s="126"/>
      <c r="H110" s="126"/>
      <c r="I110" s="126"/>
      <c r="K110" s="1134"/>
      <c r="L110" s="126"/>
      <c r="Q110" s="1133"/>
    </row>
    <row r="111" spans="2:17" ht="18" x14ac:dyDescent="0.3">
      <c r="B111" s="691" t="s">
        <v>464</v>
      </c>
      <c r="C111" s="498" t="s">
        <v>643</v>
      </c>
      <c r="D111" s="628" t="str">
        <f>IF(OR($D$14="Unknown",D14="11.1"),"11.2",$D$14) &amp; ".10.5"</f>
        <v>11.2.10.5</v>
      </c>
      <c r="E111" s="1132" t="str">
        <f>IF($D$14&lt;&gt;E$14,"N/A",
IF(Sys_Num&lt;=8,L.SSS-K.SON*Theta.FO*((1/R.ON)*(1-EXP(-R.ON))),
C.S*L.SSS-K.SON*Theta.FO*((1/R.ON)*(1-EXP(-R.ON)))))</f>
        <v>N/A</v>
      </c>
      <c r="F111" s="132" t="s">
        <v>211</v>
      </c>
      <c r="G111" s="126"/>
      <c r="H111" s="126"/>
      <c r="I111" s="126"/>
      <c r="K111" s="1134"/>
      <c r="L111" s="126"/>
      <c r="Q111" s="1133"/>
    </row>
    <row r="112" spans="2:17" x14ac:dyDescent="0.3">
      <c r="B112" s="691" t="s">
        <v>386</v>
      </c>
      <c r="C112" s="134" t="s">
        <v>175</v>
      </c>
      <c r="D112" s="628" t="str">
        <f>IF(OR($D$14="Unknown",D14="11.1"),"11.2",$D$14) &amp; ".10.6"</f>
        <v>11.2.10.6</v>
      </c>
      <c r="E112" s="517" t="str">
        <f>IF($D$14&lt;&gt;E$14,"N/A",'Max Test'!Does_the_boiler_employ_a_post_purge?)</f>
        <v>N/A</v>
      </c>
      <c r="F112" s="132" t="s">
        <v>175</v>
      </c>
      <c r="G112" s="126"/>
      <c r="H112" s="126"/>
      <c r="I112" s="126"/>
      <c r="K112" s="1134"/>
      <c r="L112" s="126"/>
      <c r="Q112" s="1133"/>
    </row>
    <row r="113" spans="2:17" ht="33" x14ac:dyDescent="0.3">
      <c r="B113" s="692" t="s">
        <v>672</v>
      </c>
      <c r="C113" s="134" t="s">
        <v>644</v>
      </c>
      <c r="D113" s="628" t="str">
        <f>IF(OR($D$14="Unknown",D14="11.1"),"11.2",$D$14) &amp; ".10.6"</f>
        <v>11.2.10.6</v>
      </c>
      <c r="E113" s="493" t="str">
        <f>IF($D$14&lt;&gt;E$14,"N/A",IF(Post_Purge?="No","N/A",
IF(OR(Sys_Num=2,Sys_Num=3,Sys_Num=4),C.TOFF,
IF(Sys_Num=10,C.TOFF*C1.S,
"N/A"))))</f>
        <v>N/A</v>
      </c>
      <c r="F113" s="132" t="s">
        <v>175</v>
      </c>
      <c r="G113" s="126"/>
      <c r="H113" s="126"/>
      <c r="I113" s="126"/>
      <c r="K113" s="1134"/>
      <c r="L113" s="126"/>
      <c r="Q113" s="1133"/>
    </row>
    <row r="114" spans="2:17" ht="18" x14ac:dyDescent="0.3">
      <c r="B114" s="691" t="s">
        <v>511</v>
      </c>
      <c r="C114" s="134" t="s">
        <v>645</v>
      </c>
      <c r="D114" s="628" t="str">
        <f>IF(OR($D$14="Unknown",D14="11.1"),"11.2",$D$14) &amp; ".10.8"</f>
        <v>11.2.10.8</v>
      </c>
      <c r="E114" s="493" t="str">
        <f>IF($D$14&lt;&gt;E$14,"N/A",IF(Post_Purge?="No","N/A",'Max Test'!T.FOFF.tp))</f>
        <v>N/A</v>
      </c>
      <c r="F114" s="132" t="s">
        <v>51</v>
      </c>
      <c r="G114" s="126"/>
      <c r="H114" s="126"/>
      <c r="I114" s="126"/>
      <c r="K114" s="1134"/>
      <c r="L114" s="126"/>
      <c r="Q114" s="1133"/>
    </row>
    <row r="115" spans="2:17" ht="18" x14ac:dyDescent="0.3">
      <c r="B115" s="691" t="s">
        <v>509</v>
      </c>
      <c r="C115" s="134" t="s">
        <v>646</v>
      </c>
      <c r="D115" s="628" t="str">
        <f>IF(OR($D$14="Unknown",D14="11.1"),"11.2",$D$14) &amp; ".10.6"</f>
        <v>11.2.10.6</v>
      </c>
      <c r="E115" s="517" t="str">
        <f>IF($D$14&lt;&gt;E$14,"N/A",IF(Post_Purge?="No","N/A",
100*C.P*M.FON*t.p*(T.FSS+460)*(1/(t.ON*Q.IN/60))*(1+(T.RA+460)/(C.TS*(T.FSS-T.FOFF.tp))*LN((T.RA+460+E113*(T.FOFF.tp-T.RA))/(T.RA+460+C.TS*(T.FSS-T.RA))))))</f>
        <v>N/A</v>
      </c>
      <c r="F115" s="132" t="s">
        <v>211</v>
      </c>
      <c r="G115" s="126"/>
      <c r="H115" s="126"/>
      <c r="I115" s="126"/>
      <c r="K115" s="1134"/>
      <c r="L115" s="126"/>
      <c r="Q115" s="1133"/>
    </row>
    <row r="116" spans="2:17" ht="18" x14ac:dyDescent="0.3">
      <c r="B116" s="691" t="s">
        <v>510</v>
      </c>
      <c r="C116" s="134" t="s">
        <v>647</v>
      </c>
      <c r="D116" s="628" t="str">
        <f>IF(OR($D$14="Unknown",D14="11.1"),"11.2",$D$14) &amp; ".10.6"</f>
        <v>11.2.10.6</v>
      </c>
      <c r="E116" s="493" t="str">
        <f>IF($D$14&lt;&gt;E$14,"N/A",IF(Post_Purge?="No","N/A",
IF(OR(Sys_Num=2,Sys_Num=3,Sys_Num=4),K.SOFF*((t.OFF-t.p)/t.ON)*(F_3+Psi.FO*F_4),
IF(Sys_Num=10,K.SOFF*((t.OFF-t.p)/t.ON)*(F_5+Psi.FI*F_6),"N/A"))))</f>
        <v>N/A</v>
      </c>
      <c r="F116" s="132" t="s">
        <v>211</v>
      </c>
      <c r="G116" s="126"/>
      <c r="H116" s="126"/>
      <c r="I116" s="126"/>
      <c r="K116" s="1134"/>
      <c r="L116" s="126"/>
      <c r="Q116" s="1133"/>
    </row>
    <row r="117" spans="2:17" ht="18" x14ac:dyDescent="0.3">
      <c r="B117" s="691" t="s">
        <v>465</v>
      </c>
      <c r="C117" s="498" t="s">
        <v>648</v>
      </c>
      <c r="D117" s="628" t="str">
        <f>IF(OR($D$14="Unknown",D14="11.1"),"11.2",$D$14) &amp; ".10.6"</f>
        <v>11.2.10.6</v>
      </c>
      <c r="E117" s="733" t="str">
        <f>IF($D$14&lt;&gt;E$14,"N/A",IFERROR(IF(Post_Purge?="No",
IF(Sys_Num&lt;=4,K.SOFF*(t.OFF/t.ON)*(F_3+Psi.FI*F_4),
IF(Sys_Num&lt;=8,K.SOFF*(t.OFF/t.ON)*(F_5+Psi.SIX*F_6),
K.SOFF*(t.OFF/t.ON)*(F_5+Psi.FI*F_6))),
L.SOFF1+L.SOFF2),""))</f>
        <v>N/A</v>
      </c>
      <c r="F117" s="132" t="s">
        <v>211</v>
      </c>
      <c r="G117" s="126"/>
      <c r="H117" s="126"/>
      <c r="I117" s="126"/>
      <c r="K117" s="1134"/>
      <c r="L117" s="126"/>
      <c r="Q117" s="1133"/>
    </row>
    <row r="118" spans="2:17" ht="18" x14ac:dyDescent="0.3">
      <c r="B118" s="691" t="s">
        <v>466</v>
      </c>
      <c r="C118" s="134" t="s">
        <v>649</v>
      </c>
      <c r="D118" s="628" t="str">
        <f>IF(OR($D$14="Unknown",D14="11.1"),"11.2",$D$14) &amp; ".10.7"</f>
        <v>11.2.10.7</v>
      </c>
      <c r="E118" s="886" t="str">
        <f>IF($D$14&lt;&gt;E$14,"N/A",IF(Sys_Num&lt;=8,K.ION*(70-T.OA),0))</f>
        <v>N/A</v>
      </c>
      <c r="F118" s="132" t="s">
        <v>211</v>
      </c>
      <c r="G118" s="126"/>
      <c r="H118" s="126"/>
      <c r="I118" s="126"/>
      <c r="K118" s="1134"/>
      <c r="L118" s="126"/>
      <c r="Q118" s="1133"/>
    </row>
    <row r="119" spans="2:17" ht="18" x14ac:dyDescent="0.3">
      <c r="B119" s="691" t="s">
        <v>512</v>
      </c>
      <c r="C119" s="134" t="s">
        <v>650</v>
      </c>
      <c r="D119" s="628" t="str">
        <f>IF(OR($D$14="Unknown",D14="11.1"),"11.2",$D$14) &amp; ".10.8"</f>
        <v>11.2.10.8</v>
      </c>
      <c r="E119" s="517" t="str">
        <f>IF($D$14&lt;&gt;E$14,"N/A",IF(Post_Purge?="No","N/A",
IF(OR(Sys_Num=2,Sys_Num=3,Sys_Num=4),100*C.P*M.FON*t.p*(T.FSS+460)*(1/(t.ON*Q.IN/60))*((70-T.OA)/(C.TOFF*(T.FSS-T.FOFF.tp))*LN((T.RA+460+C.TOFF*(T.FSS-T.RA))/(T.RA+460+C.TOFF*(T.FOFF.tp-T.RA)))),
IF(Sys_Num=10,0,
"N/A"))))</f>
        <v>N/A</v>
      </c>
      <c r="F119" s="132" t="s">
        <v>211</v>
      </c>
      <c r="G119" s="126"/>
      <c r="H119" s="126"/>
      <c r="I119" s="126"/>
      <c r="K119" s="1134"/>
      <c r="L119" s="126"/>
      <c r="Q119" s="1133"/>
    </row>
    <row r="120" spans="2:17" ht="18" x14ac:dyDescent="0.3">
      <c r="B120" s="691" t="s">
        <v>513</v>
      </c>
      <c r="C120" s="134" t="s">
        <v>651</v>
      </c>
      <c r="D120" s="628" t="str">
        <f>IF(OR($D$14="Unknown",D14="11.1"),"11.2",$D$14) &amp; ".10.8"</f>
        <v>11.2.10.8</v>
      </c>
      <c r="E120" s="504" t="str">
        <f>IF($D$14&lt;&gt;E$14,"N/A",IF(Post_Purge?="No","N/A",
IF(Sys_Num=10,0,
IF(OR(Sys_Num=2,Sys_Num=4),K.IOFF*(70-T.OA)*((t.OFF-t.p)/t.ON)*(F_7+Psi.SIX*F_8),
K.IOFF*(70-T.OA)*((t.OFF-t.p)/t.ON)*(F_7+Psi.FI*F_8)))))</f>
        <v>N/A</v>
      </c>
      <c r="F120" s="132" t="s">
        <v>211</v>
      </c>
      <c r="G120" s="126"/>
      <c r="H120" s="126"/>
      <c r="I120" s="126"/>
      <c r="K120" s="1134"/>
      <c r="L120" s="126"/>
      <c r="Q120" s="1133"/>
    </row>
    <row r="121" spans="2:17" ht="18.75" thickBot="1" x14ac:dyDescent="0.35">
      <c r="B121" s="693" t="s">
        <v>467</v>
      </c>
      <c r="C121" s="835" t="s">
        <v>652</v>
      </c>
      <c r="D121" s="695" t="str">
        <f>IF(OR($D$14="Unknown",D14="11.1"),"11.2",$D$14) &amp; ".10.8"</f>
        <v>11.2.10.8</v>
      </c>
      <c r="E121" s="837" t="str">
        <f>IF($D$14&lt;&gt;E$14,"N/A",IF(Post_Purge?="No",
IF(Sys_Num=3,K.IOFF*(70-T.OA)*(t.OFF/t.ON)*(F_7+Psi.FI*F_8),
IF(OR(Sys_Num=9,Sys_Num=10),0,
K.IOFF*(70-T.OA)*(t.OFF/t.ON)*(F_7+Psi.SIX*F_8))),
L.IOFF1+L.IOFF2))</f>
        <v>N/A</v>
      </c>
      <c r="F121" s="699" t="s">
        <v>211</v>
      </c>
      <c r="G121" s="126"/>
      <c r="H121" s="126"/>
      <c r="I121" s="126"/>
      <c r="K121" s="1134"/>
      <c r="L121" s="126"/>
      <c r="Q121" s="1133"/>
    </row>
    <row r="122" spans="2:17" ht="17.25" thickBot="1" x14ac:dyDescent="0.35">
      <c r="B122" s="804"/>
      <c r="C122" s="781"/>
      <c r="D122" s="781"/>
      <c r="E122" s="786"/>
      <c r="F122" s="805"/>
      <c r="G122" s="126"/>
      <c r="H122" s="126"/>
      <c r="I122" s="126"/>
      <c r="K122" s="1134"/>
      <c r="L122" s="126"/>
      <c r="Q122" s="1133"/>
    </row>
    <row r="123" spans="2:17" ht="17.25" x14ac:dyDescent="0.3">
      <c r="B123" s="820" t="s">
        <v>150</v>
      </c>
      <c r="C123" s="821"/>
      <c r="D123" s="821"/>
      <c r="E123" s="822"/>
      <c r="F123" s="823"/>
      <c r="G123" s="126"/>
      <c r="H123" s="126"/>
      <c r="I123" s="126"/>
      <c r="K123" s="1134"/>
      <c r="L123" s="126"/>
      <c r="Q123" s="1133"/>
    </row>
    <row r="124" spans="2:17" ht="18" x14ac:dyDescent="0.3">
      <c r="B124" s="808" t="s">
        <v>212</v>
      </c>
      <c r="C124" s="795" t="s">
        <v>653</v>
      </c>
      <c r="D124" s="796" t="str">
        <f>IF(OR($D$14="Unknown",D14="11.1"),"11.2",$D$14) &amp; ".11"</f>
        <v>11.2.11</v>
      </c>
      <c r="E124" s="492" t="str">
        <f>IF($D$14&lt;&gt;E$14,"N/A",IF('Sys. # &amp; Product Characteristic'!Installation="Indoor",0,
IF('Sys. # &amp; Product Characteristic'!Installation="Outdoor",IF(Finned_Tube_Boiler="Yes",1,4.7),
IF(Finned_Tube_Boiler="Yes",0.5,2.4))))</f>
        <v>N/A</v>
      </c>
      <c r="F124" s="807" t="s">
        <v>175</v>
      </c>
      <c r="G124" s="126"/>
      <c r="H124" s="126"/>
      <c r="I124" s="126"/>
      <c r="K124" s="1134"/>
      <c r="L124" s="126"/>
      <c r="Q124" s="1133"/>
    </row>
    <row r="125" spans="2:17" ht="18" x14ac:dyDescent="0.3">
      <c r="B125" s="691" t="s">
        <v>468</v>
      </c>
      <c r="C125" s="134" t="s">
        <v>654</v>
      </c>
      <c r="D125" s="628" t="str">
        <f>IF(OR($D$14="Unknown",D14="11.1"),"11.2",$D$14) &amp; ".11"</f>
        <v>11.2.11</v>
      </c>
      <c r="E125" s="504" t="str">
        <f>IF($D$14&lt;&gt;E$14,"N/A",'Max Test'!Q.P)</f>
        <v>N/A</v>
      </c>
      <c r="F125" s="132" t="s">
        <v>37</v>
      </c>
      <c r="G125" s="126"/>
      <c r="H125" s="126"/>
      <c r="I125" s="126"/>
      <c r="K125" s="1134"/>
      <c r="L125" s="126"/>
      <c r="Q125" s="1133"/>
    </row>
    <row r="126" spans="2:17" ht="18.75" thickBot="1" x14ac:dyDescent="0.35">
      <c r="B126" s="693" t="s">
        <v>150</v>
      </c>
      <c r="C126" s="694" t="s">
        <v>661</v>
      </c>
      <c r="D126" s="695" t="str">
        <f>IF(D14="11.1","11.1",IF($D$14="Unknown","11.2",$D$14) &amp; ".11")</f>
        <v>11.2.11</v>
      </c>
      <c r="E126" s="854" t="str">
        <f>IF($D$14&lt;&gt;E$14,"N/A",IFERROR(100-L.LA-C.J*L.J-(t.ON/(t.ON+(Q.P/Q.IN)*t.OFF))*(L.SON+L.SOFF+L.ION+L.IOFF),""))</f>
        <v>N/A</v>
      </c>
      <c r="F126" s="699" t="s">
        <v>211</v>
      </c>
      <c r="G126" s="126"/>
      <c r="H126" s="126"/>
      <c r="I126" s="126"/>
      <c r="K126" s="1134"/>
      <c r="L126" s="126"/>
      <c r="Q126" s="1133"/>
    </row>
    <row r="127" spans="2:17" ht="17.25" thickBot="1" x14ac:dyDescent="0.35">
      <c r="B127" s="804"/>
      <c r="C127" s="781"/>
      <c r="D127" s="781"/>
      <c r="E127" s="513"/>
      <c r="F127" s="805"/>
      <c r="G127" s="126"/>
      <c r="H127" s="126"/>
      <c r="I127" s="126"/>
      <c r="K127" s="1134"/>
      <c r="L127" s="126"/>
      <c r="Q127" s="1133"/>
    </row>
    <row r="128" spans="2:17" ht="17.25" x14ac:dyDescent="0.3">
      <c r="B128" s="820" t="s">
        <v>151</v>
      </c>
      <c r="C128" s="821"/>
      <c r="D128" s="821"/>
      <c r="E128" s="822"/>
      <c r="F128" s="823"/>
      <c r="G128" s="126"/>
      <c r="H128" s="126"/>
      <c r="I128" s="126"/>
      <c r="K128" s="1134"/>
      <c r="L128" s="126"/>
      <c r="Q128" s="1133"/>
    </row>
    <row r="129" spans="2:17" x14ac:dyDescent="0.3">
      <c r="B129" s="808" t="s">
        <v>673</v>
      </c>
      <c r="C129" s="795" t="s">
        <v>1113</v>
      </c>
      <c r="D129" s="796" t="str">
        <f>IF(D10="11.1","11.1",IF($D$14="Unknown","11.2",$D$14) &amp; ".12")</f>
        <v>11.2.12</v>
      </c>
      <c r="E129" s="800" t="str">
        <f>IF($D$14&lt;&gt;E$14,"N/A",5200)</f>
        <v>N/A</v>
      </c>
      <c r="F129" s="807" t="s">
        <v>674</v>
      </c>
      <c r="G129" s="126"/>
      <c r="H129" s="126"/>
      <c r="I129" s="126"/>
      <c r="K129" s="1134"/>
      <c r="L129" s="126"/>
      <c r="Q129" s="1133"/>
    </row>
    <row r="130" spans="2:17" x14ac:dyDescent="0.3">
      <c r="B130" s="691" t="s">
        <v>675</v>
      </c>
      <c r="C130" s="134" t="s">
        <v>175</v>
      </c>
      <c r="D130" s="628" t="str">
        <f>IF(D11="11.1","11.1",IF($D$14="Unknown","11.2",$D$14) &amp; ".12")</f>
        <v>11.2.12</v>
      </c>
      <c r="E130" s="684" t="str">
        <f>IF($D$14&lt;&gt;E$14,"N/A",4600)</f>
        <v>N/A</v>
      </c>
      <c r="F130" s="132" t="s">
        <v>676</v>
      </c>
      <c r="G130" s="126"/>
      <c r="H130" s="126"/>
      <c r="I130" s="126"/>
      <c r="K130" s="1134"/>
      <c r="L130" s="126"/>
      <c r="Q130" s="1133"/>
    </row>
    <row r="131" spans="2:17" x14ac:dyDescent="0.3">
      <c r="B131" s="691" t="s">
        <v>677</v>
      </c>
      <c r="C131" s="134" t="s">
        <v>175</v>
      </c>
      <c r="D131" s="628" t="str">
        <f>IF(D12="11.1","11.1",IF($D$14="Unknown","11.2",$D$14) &amp; ".12")</f>
        <v>11.2.12</v>
      </c>
      <c r="E131" s="711" t="str">
        <f>IF($D$14&lt;&gt;E$14,"N/A",2.5)</f>
        <v>N/A</v>
      </c>
      <c r="F131" s="132" t="s">
        <v>51</v>
      </c>
      <c r="G131" s="126"/>
      <c r="H131" s="126"/>
      <c r="I131" s="126"/>
      <c r="K131" s="1134"/>
      <c r="L131" s="126"/>
      <c r="Q131" s="1133"/>
    </row>
    <row r="132" spans="2:17" x14ac:dyDescent="0.3">
      <c r="B132" s="691" t="s">
        <v>151</v>
      </c>
      <c r="C132" s="134" t="s">
        <v>32</v>
      </c>
      <c r="D132" s="628" t="str">
        <f>IF(D14="11.1","11.1",IF($D$14="Unknown","11.2",$D$14) &amp; ".12")</f>
        <v>11.2.12</v>
      </c>
      <c r="E132" s="491" t="str">
        <f>IF($D$14&lt;&gt;E$14,"N/A",IFERROR(HDD*Effy.SS*Effy.HS/(HDD*Effy.SS+HDD_Per_Day*(1+alpha)*Avg_NonHeating_Season_Hrs*Effy.HS*(Q.P/Q.IN)),""))</f>
        <v>N/A</v>
      </c>
      <c r="F132" s="132" t="s">
        <v>211</v>
      </c>
      <c r="G132" s="126"/>
      <c r="H132" s="126"/>
      <c r="I132" s="126"/>
      <c r="K132" s="1134"/>
      <c r="L132" s="126"/>
      <c r="Q132" s="1133"/>
    </row>
    <row r="133" spans="2:17" ht="33.75" thickBot="1" x14ac:dyDescent="0.35">
      <c r="B133" s="693" t="s">
        <v>1316</v>
      </c>
      <c r="C133" s="694" t="s">
        <v>32</v>
      </c>
      <c r="D133" s="695" t="str">
        <f>IF(D17="11.1","11.1",IF($D$14="Unknown","11.2",$D$14) &amp; ".12")</f>
        <v>11.2.12</v>
      </c>
      <c r="E133" s="1163"/>
      <c r="F133" s="699" t="s">
        <v>211</v>
      </c>
      <c r="G133" s="126"/>
      <c r="H133" s="126"/>
      <c r="I133" s="126"/>
      <c r="K133" s="1134"/>
      <c r="L133" s="126"/>
      <c r="Q133" s="1133"/>
    </row>
    <row r="134" spans="2:17" ht="17.25" thickBot="1" x14ac:dyDescent="0.35">
      <c r="B134" s="804"/>
      <c r="C134" s="781"/>
      <c r="D134" s="781"/>
      <c r="E134" s="513"/>
      <c r="F134" s="805"/>
      <c r="G134" s="126"/>
      <c r="H134" s="126"/>
      <c r="I134" s="126"/>
      <c r="K134" s="1134"/>
      <c r="L134" s="126"/>
      <c r="Q134" s="1133"/>
    </row>
    <row r="135" spans="2:17" ht="18.75" x14ac:dyDescent="0.3">
      <c r="B135" s="856" t="s">
        <v>854</v>
      </c>
      <c r="C135" s="821"/>
      <c r="D135" s="821"/>
      <c r="E135" s="822"/>
      <c r="F135" s="823"/>
      <c r="G135" s="126"/>
      <c r="H135" s="126"/>
      <c r="I135" s="126"/>
      <c r="K135" s="1134"/>
      <c r="L135" s="126"/>
      <c r="Q135" s="1133"/>
    </row>
    <row r="136" spans="2:17" ht="18" x14ac:dyDescent="0.3">
      <c r="B136" s="808" t="s">
        <v>493</v>
      </c>
      <c r="C136" s="795" t="s">
        <v>615</v>
      </c>
      <c r="D136" s="799" t="s">
        <v>237</v>
      </c>
      <c r="E136" s="504" t="str">
        <f>IF($D$14&lt;&gt;E$14,"N/A",(R.TF*AF+1)*Q.IN/(HHV.A*60))</f>
        <v>N/A</v>
      </c>
      <c r="F136" s="807" t="s">
        <v>524</v>
      </c>
      <c r="G136" s="126"/>
      <c r="H136" s="126"/>
      <c r="I136" s="126"/>
      <c r="K136" s="1134"/>
      <c r="L136" s="126"/>
      <c r="Q136" s="1133"/>
    </row>
    <row r="137" spans="2:17" ht="18" x14ac:dyDescent="0.3">
      <c r="B137" s="689" t="s">
        <v>241</v>
      </c>
      <c r="C137" s="496" t="s">
        <v>684</v>
      </c>
      <c r="D137" s="679" t="s">
        <v>238</v>
      </c>
      <c r="E137" s="886" t="str">
        <f>IF($D$14&lt;&gt;E$14,"N/A",IF('Max Test'!V.T="","",'Max Test'!V.T))</f>
        <v>N/A</v>
      </c>
      <c r="F137" s="497" t="s">
        <v>243</v>
      </c>
      <c r="G137" s="126"/>
      <c r="H137" s="126"/>
      <c r="I137" s="126"/>
      <c r="K137" s="1134"/>
      <c r="L137" s="126"/>
      <c r="Q137" s="1133"/>
    </row>
    <row r="138" spans="2:17" ht="18" x14ac:dyDescent="0.3">
      <c r="B138" s="689" t="s">
        <v>240</v>
      </c>
      <c r="C138" s="496" t="s">
        <v>685</v>
      </c>
      <c r="D138" s="679" t="s">
        <v>238</v>
      </c>
      <c r="E138" s="504" t="str">
        <f>IF($D$14&lt;&gt;E$14,"N/A",IF('Max Test'!C.T="","",'Max Test'!C.T))</f>
        <v>N/A</v>
      </c>
      <c r="F138" s="497" t="s">
        <v>211</v>
      </c>
      <c r="G138" s="126"/>
      <c r="H138" s="126"/>
      <c r="I138" s="126"/>
      <c r="K138" s="1134"/>
      <c r="L138" s="126"/>
      <c r="Q138" s="1133"/>
    </row>
    <row r="139" spans="2:17" ht="32.1" customHeight="1" x14ac:dyDescent="0.3">
      <c r="B139" s="689" t="s">
        <v>1287</v>
      </c>
      <c r="C139" s="496" t="s">
        <v>690</v>
      </c>
      <c r="D139" s="679" t="s">
        <v>238</v>
      </c>
      <c r="E139" s="504" t="str">
        <f>IF($D$14&lt;&gt;E$14,"N/A",IF('Max Test'!C.TM="","",'Max Test'!C.TM))</f>
        <v>N/A</v>
      </c>
      <c r="F139" s="497" t="s">
        <v>211</v>
      </c>
      <c r="G139" s="126"/>
      <c r="H139" s="126"/>
      <c r="I139" s="126"/>
      <c r="K139" s="1134"/>
      <c r="L139" s="126"/>
      <c r="Q139" s="1133"/>
    </row>
    <row r="140" spans="2:17" ht="18" x14ac:dyDescent="0.3">
      <c r="B140" s="689" t="s">
        <v>495</v>
      </c>
      <c r="C140" s="874" t="s">
        <v>863</v>
      </c>
      <c r="D140" s="679" t="s">
        <v>238</v>
      </c>
      <c r="E140" s="504" t="str">
        <f>IF($D$14&lt;&gt;E$14,"N/A",IF('Max Test'!Rho.F="","",'Max Test'!Rho.F))</f>
        <v>N/A</v>
      </c>
      <c r="F140" s="497" t="s">
        <v>864</v>
      </c>
      <c r="G140" s="126"/>
      <c r="H140" s="126"/>
      <c r="I140" s="126"/>
      <c r="K140" s="1134"/>
      <c r="L140" s="126"/>
      <c r="Q140" s="1133"/>
    </row>
    <row r="141" spans="2:17" ht="18" x14ac:dyDescent="0.3">
      <c r="B141" s="691" t="s">
        <v>494</v>
      </c>
      <c r="C141" s="134" t="s">
        <v>616</v>
      </c>
      <c r="D141" s="679" t="s">
        <v>238</v>
      </c>
      <c r="E141" s="733" t="str">
        <f>IF($D$14&lt;&gt;E$14,"N/A",IFERROR((C.TM-C.T)*V.T*Rho.F/C.T,""))</f>
        <v>N/A</v>
      </c>
      <c r="F141" s="132" t="s">
        <v>524</v>
      </c>
      <c r="G141" s="126"/>
      <c r="H141" s="126"/>
      <c r="I141" s="126"/>
      <c r="K141" s="1134"/>
      <c r="L141" s="126"/>
      <c r="Q141" s="1133"/>
    </row>
    <row r="142" spans="2:17" x14ac:dyDescent="0.3">
      <c r="B142" s="691" t="s">
        <v>502</v>
      </c>
      <c r="C142" s="134" t="s">
        <v>175</v>
      </c>
      <c r="D142" s="679" t="s">
        <v>239</v>
      </c>
      <c r="E142" s="491" t="str">
        <f>IF($D$14&lt;&gt;E$14,"N/A",IF('Max Test'!Imposed_draft?="","",'Max Test'!Imposed_draft?))</f>
        <v>N/A</v>
      </c>
      <c r="F142" s="132" t="s">
        <v>175</v>
      </c>
      <c r="G142" s="126"/>
      <c r="H142" s="126"/>
      <c r="I142" s="126"/>
      <c r="K142" s="1134"/>
      <c r="L142" s="126"/>
      <c r="Q142" s="1133"/>
    </row>
    <row r="143" spans="2:17" ht="18" x14ac:dyDescent="0.3">
      <c r="B143" s="691" t="s">
        <v>501</v>
      </c>
      <c r="C143" s="134" t="s">
        <v>617</v>
      </c>
      <c r="D143" s="679" t="s">
        <v>239</v>
      </c>
      <c r="E143" s="491" t="str">
        <f>IF($D$14&lt;&gt;E$14,"N/A",IF('Max Test'!T.FOFF="","",'Max Test'!T.FOFF))</f>
        <v>N/A</v>
      </c>
      <c r="F143" s="132" t="s">
        <v>51</v>
      </c>
      <c r="G143" s="126"/>
      <c r="H143" s="126"/>
      <c r="I143" s="126"/>
      <c r="K143" s="1134"/>
      <c r="L143" s="126"/>
      <c r="Q143" s="1133"/>
    </row>
    <row r="144" spans="2:17" ht="18" x14ac:dyDescent="0.3">
      <c r="B144" s="691" t="s">
        <v>500</v>
      </c>
      <c r="C144" s="134" t="s">
        <v>618</v>
      </c>
      <c r="D144" s="679" t="s">
        <v>239</v>
      </c>
      <c r="E144" s="490" t="str">
        <f>IF($D$14&lt;&gt;E$14,"N/A",
IF(Draft_Imposed?="","",
IF(Draft_Imposed?="Yes",M.FM,
M.FM*((T.FSS-T.RA)/(T.FOFF-T.RA))^0.56*((T.FOFF+460)/(T.FSS+460))^1.19
)))</f>
        <v>N/A</v>
      </c>
      <c r="F144" s="132" t="s">
        <v>524</v>
      </c>
      <c r="G144" s="126"/>
      <c r="H144" s="126"/>
      <c r="I144" s="126"/>
      <c r="K144" s="1134"/>
      <c r="L144" s="126"/>
      <c r="Q144" s="1133"/>
    </row>
    <row r="145" spans="2:17" ht="18.75" thickBot="1" x14ac:dyDescent="0.35">
      <c r="B145" s="693" t="s">
        <v>538</v>
      </c>
      <c r="C145" s="694" t="s">
        <v>619</v>
      </c>
      <c r="D145" s="857" t="s">
        <v>537</v>
      </c>
      <c r="E145" s="858" t="str">
        <f>IF($D$14&lt;&gt;E$14,"N/A",IF(Draft_Imposed?="","N/A",IF(M.FOFF/M.FON&lt;0.1,0.05,M.FOFF/M.FON)))</f>
        <v>N/A</v>
      </c>
      <c r="F145" s="699" t="s">
        <v>175</v>
      </c>
      <c r="G145" s="126"/>
      <c r="H145" s="126"/>
      <c r="I145" s="126"/>
      <c r="K145" s="1134"/>
      <c r="L145" s="126"/>
      <c r="Q145" s="1133"/>
    </row>
    <row r="146" spans="2:17" ht="17.25" thickBot="1" x14ac:dyDescent="0.35">
      <c r="B146" s="804"/>
      <c r="C146" s="781"/>
      <c r="D146" s="781"/>
      <c r="E146" s="499"/>
      <c r="F146" s="805"/>
      <c r="G146" s="126"/>
      <c r="H146" s="126"/>
      <c r="I146" s="126"/>
      <c r="K146" s="1134"/>
      <c r="L146" s="126"/>
      <c r="Q146" s="1133"/>
    </row>
    <row r="147" spans="2:17" ht="17.25" x14ac:dyDescent="0.3">
      <c r="B147" s="856" t="s">
        <v>855</v>
      </c>
      <c r="C147" s="821"/>
      <c r="D147" s="821"/>
      <c r="E147" s="822"/>
      <c r="F147" s="823"/>
      <c r="G147" s="126"/>
      <c r="H147" s="126"/>
      <c r="I147" s="126"/>
      <c r="K147" s="1134"/>
      <c r="L147" s="126"/>
      <c r="Q147" s="1133"/>
    </row>
    <row r="148" spans="2:17" ht="18" x14ac:dyDescent="0.3">
      <c r="B148" s="808" t="s">
        <v>540</v>
      </c>
      <c r="C148" s="798" t="s">
        <v>620</v>
      </c>
      <c r="D148" s="799" t="s">
        <v>539</v>
      </c>
      <c r="E148" s="490" t="str">
        <f>IF($D$14&lt;&gt;E$14,"N/A",
IF(OR(Sys_Num=2,Sys_Num=3,Sys_Num=4,Sys_Num=6,Sys_Num=8,Sys_Num=10,AND(Sys_Num=9,'Sys. # &amp; Product Characteristic'!C15&lt;&gt;"No")),D.P_Power_Burner_Direct_Vent,"N/A"))</f>
        <v>N/A</v>
      </c>
      <c r="F148" s="807" t="s">
        <v>175</v>
      </c>
      <c r="G148" s="126"/>
      <c r="H148" s="126"/>
      <c r="I148" s="126"/>
      <c r="K148" s="1134"/>
      <c r="L148" s="126"/>
      <c r="Q148" s="1133"/>
    </row>
    <row r="149" spans="2:17" ht="18.75" thickBot="1" x14ac:dyDescent="0.35">
      <c r="B149" s="693" t="s">
        <v>542</v>
      </c>
      <c r="C149" s="835" t="s">
        <v>621</v>
      </c>
      <c r="D149" s="859" t="s">
        <v>541</v>
      </c>
      <c r="E149" s="860" t="str">
        <f>IF($D$14&lt;&gt;E$14,"N/A",
IF(Sys_Num=2,1,
IF(Sys_Num=3,D.F_Power_Burner_Direct_Vent,
IF(Sys_Num=4,(0.79+D.P_Power_Burner_Direct_Vent)/1.4,
IF(Sys_Num=6,D.O,
IF(Sys_Num=8,((0.79+D.P)/1.4)*D.O,"N/A"))))))</f>
        <v>N/A</v>
      </c>
      <c r="F149" s="699" t="s">
        <v>175</v>
      </c>
      <c r="G149" s="126"/>
      <c r="H149" s="126"/>
      <c r="I149" s="126"/>
      <c r="K149" s="1134"/>
      <c r="L149" s="126"/>
      <c r="Q149" s="1133"/>
    </row>
    <row r="150" spans="2:17" ht="17.25" thickBot="1" x14ac:dyDescent="0.35">
      <c r="B150" s="804"/>
      <c r="C150" s="781"/>
      <c r="D150" s="781"/>
      <c r="E150" s="791"/>
      <c r="F150" s="792"/>
      <c r="G150" s="792"/>
      <c r="H150" s="792"/>
      <c r="I150" s="792"/>
      <c r="J150" s="792"/>
      <c r="K150" s="792"/>
      <c r="L150" s="135"/>
      <c r="M150" s="559"/>
      <c r="Q150" s="1133"/>
    </row>
    <row r="151" spans="2:17" ht="36" customHeight="1" thickBot="1" x14ac:dyDescent="0.35">
      <c r="B151" s="1849" t="s">
        <v>867</v>
      </c>
      <c r="C151" s="1850"/>
      <c r="D151" s="1850"/>
      <c r="E151" s="1850"/>
      <c r="F151" s="1851"/>
      <c r="G151" s="1231"/>
      <c r="H151" s="1231"/>
      <c r="I151" s="1231"/>
      <c r="J151" s="1231"/>
      <c r="K151" s="1231"/>
      <c r="L151" s="1231"/>
      <c r="Q151" s="1133"/>
    </row>
    <row r="152" spans="2:17" ht="18" x14ac:dyDescent="0.3">
      <c r="B152" s="1232" t="s">
        <v>866</v>
      </c>
      <c r="C152" s="1233" t="s">
        <v>692</v>
      </c>
      <c r="D152" s="1234" t="s">
        <v>543</v>
      </c>
      <c r="E152" s="1235" t="str">
        <f>IF($D$14&lt;&gt;E$14,"N/A",IF('Max Test'!Q.SOFF_Closed_TG="","",'Max Test'!Q.SOFF_Closed_TG))</f>
        <v>N/A</v>
      </c>
      <c r="F152" s="1236" t="s">
        <v>175</v>
      </c>
      <c r="G152" s="126"/>
      <c r="H152" s="126"/>
      <c r="I152" s="126"/>
      <c r="K152" s="1134"/>
      <c r="L152" s="126"/>
      <c r="Q152" s="1133"/>
    </row>
    <row r="153" spans="2:17" ht="18" x14ac:dyDescent="0.3">
      <c r="B153" s="778" t="s">
        <v>865</v>
      </c>
      <c r="C153" s="880" t="s">
        <v>692</v>
      </c>
      <c r="D153" s="885" t="s">
        <v>543</v>
      </c>
      <c r="E153" s="491" t="str">
        <f>IF($D$14&lt;&gt;E$14,"N/A",IF([0]!Q.SOFF_Open_TG="","",[0]!Q.SOFF_Open_TG))</f>
        <v>N/A</v>
      </c>
      <c r="F153" s="780" t="s">
        <v>175</v>
      </c>
      <c r="G153" s="126"/>
      <c r="H153" s="126"/>
      <c r="I153" s="126"/>
      <c r="K153" s="1134"/>
      <c r="L153" s="126"/>
      <c r="Q153" s="1133"/>
    </row>
    <row r="154" spans="2:17" ht="18" x14ac:dyDescent="0.3">
      <c r="B154" s="809" t="s">
        <v>544</v>
      </c>
      <c r="C154" s="802" t="s">
        <v>622</v>
      </c>
      <c r="D154" s="882" t="s">
        <v>543</v>
      </c>
      <c r="E154" s="491" t="str">
        <f>IF($D$14&lt;&gt;E$14,"N/A",
IF(AND('Sys. # &amp; Product Characteristic'!Burner_Type="Atmospheric",OR('Sys. # &amp; Product Characteristic'!C17="Integral Draft Diverter",'Sys. # &amp; Product Characteristic'!C17="Draft Hood"),'Sys. # &amp; Product Characteristic'!C22="Yes"),Q.SOFF_Closed/Q.SOFF_Open,"N/A"))</f>
        <v>N/A</v>
      </c>
      <c r="F154" s="884" t="s">
        <v>175</v>
      </c>
      <c r="G154" s="126"/>
      <c r="H154" s="126"/>
      <c r="I154" s="126"/>
      <c r="K154" s="1134"/>
      <c r="L154" s="126"/>
      <c r="Q154" s="1133"/>
    </row>
    <row r="155" spans="2:17" ht="18.75" thickBot="1" x14ac:dyDescent="0.35">
      <c r="B155" s="693" t="s">
        <v>538</v>
      </c>
      <c r="C155" s="835" t="s">
        <v>619</v>
      </c>
      <c r="D155" s="859" t="s">
        <v>545</v>
      </c>
      <c r="E155" s="854" t="str">
        <f>IF($D$14&lt;&gt;E$14,"N/A",IF(OR(Sys_Num=1,AND(Sys_Num=9,'Sys. # &amp; Product Characteristic'!Installation="Isolated Combustion System")),K.L,"N/A"))</f>
        <v>N/A</v>
      </c>
      <c r="F155" s="699" t="s">
        <v>175</v>
      </c>
      <c r="G155" s="126"/>
      <c r="H155" s="126"/>
      <c r="I155" s="126"/>
      <c r="K155" s="1134"/>
      <c r="L155" s="126"/>
      <c r="Q155" s="1133"/>
    </row>
    <row r="156" spans="2:17" ht="17.25" thickBot="1" x14ac:dyDescent="0.35">
      <c r="B156" s="804"/>
      <c r="C156" s="781"/>
      <c r="D156" s="781"/>
      <c r="E156" s="513"/>
      <c r="F156" s="805"/>
      <c r="G156" s="126"/>
      <c r="H156" s="126"/>
      <c r="I156" s="126"/>
      <c r="K156" s="1134"/>
      <c r="L156" s="126"/>
      <c r="Q156" s="1133"/>
    </row>
    <row r="157" spans="2:17" ht="17.25" x14ac:dyDescent="0.3">
      <c r="B157" s="861" t="s">
        <v>761</v>
      </c>
      <c r="C157" s="862"/>
      <c r="D157" s="862"/>
      <c r="E157" s="862"/>
      <c r="F157" s="863"/>
      <c r="G157" s="126"/>
      <c r="H157" s="126"/>
      <c r="I157" s="126"/>
      <c r="K157" s="1134"/>
      <c r="L157" s="126"/>
      <c r="Q157" s="1133"/>
    </row>
    <row r="158" spans="2:17" x14ac:dyDescent="0.3">
      <c r="B158" s="689" t="s">
        <v>699</v>
      </c>
      <c r="C158" s="794" t="s">
        <v>95</v>
      </c>
      <c r="D158" s="734" t="s">
        <v>1242</v>
      </c>
      <c r="E158" s="629" t="str">
        <f>IF($D$14&lt;&gt;E$14,"N/A",IF('Max Test'!PE="","",'Max Test'!PE))</f>
        <v>N/A</v>
      </c>
      <c r="F158" s="497" t="s">
        <v>57</v>
      </c>
      <c r="G158" s="126"/>
      <c r="H158" s="126"/>
      <c r="I158" s="126"/>
      <c r="K158" s="1134"/>
      <c r="L158" s="126"/>
      <c r="Q158" s="1133"/>
    </row>
    <row r="159" spans="2:17" x14ac:dyDescent="0.3">
      <c r="B159" s="691" t="s">
        <v>700</v>
      </c>
      <c r="C159" s="628" t="s">
        <v>96</v>
      </c>
      <c r="D159" s="735" t="s">
        <v>1242</v>
      </c>
      <c r="E159" s="629" t="str">
        <f>IF($D$14&lt;&gt;E$14,"N/A",IF('Max Test'!BE="","",'Max Test'!BE))</f>
        <v>N/A</v>
      </c>
      <c r="F159" s="132" t="s">
        <v>57</v>
      </c>
      <c r="G159" s="126"/>
      <c r="H159" s="126"/>
      <c r="I159" s="126"/>
      <c r="K159" s="1134"/>
      <c r="L159" s="126"/>
      <c r="Q159" s="1133"/>
    </row>
    <row r="160" spans="2:17" ht="18" x14ac:dyDescent="0.3">
      <c r="B160" s="691" t="s">
        <v>696</v>
      </c>
      <c r="C160" s="628" t="s">
        <v>701</v>
      </c>
      <c r="D160" s="735" t="s">
        <v>1242</v>
      </c>
      <c r="E160" s="486" t="str">
        <f>IF($D$14&lt;&gt;E$14,"N/A",IF(Post_Purge?="No",1,
IF(E112="Yes",IF('Sys. # &amp; Product Characteristic'!Control_Type="Single Stage",1+t.p/9.68,1+t.p/15),
"")))</f>
        <v>N/A</v>
      </c>
      <c r="F160" s="132" t="s">
        <v>175</v>
      </c>
      <c r="G160" s="126"/>
      <c r="H160" s="126"/>
      <c r="I160" s="126"/>
      <c r="K160" s="1134"/>
      <c r="L160" s="126"/>
      <c r="Q160" s="1133"/>
    </row>
    <row r="161" spans="2:17" ht="18" x14ac:dyDescent="0.3">
      <c r="B161" s="691" t="s">
        <v>698</v>
      </c>
      <c r="C161" s="628" t="s">
        <v>678</v>
      </c>
      <c r="D161" s="735" t="s">
        <v>1243</v>
      </c>
      <c r="E161" s="486" t="str">
        <f>IF($D$14&lt;&gt;E$14,"N/A",IF('Max Test'!PE.IG="","",'Max Test'!PE.IG))</f>
        <v>N/A</v>
      </c>
      <c r="F161" s="132" t="s">
        <v>57</v>
      </c>
      <c r="G161" s="126"/>
      <c r="H161" s="126"/>
      <c r="I161" s="126"/>
      <c r="K161" s="1134"/>
      <c r="L161" s="126"/>
      <c r="Q161" s="1133"/>
    </row>
    <row r="162" spans="2:17" ht="18" x14ac:dyDescent="0.3">
      <c r="B162" s="691" t="s">
        <v>703</v>
      </c>
      <c r="C162" s="628" t="s">
        <v>679</v>
      </c>
      <c r="D162" s="735" t="s">
        <v>1243</v>
      </c>
      <c r="E162" s="670" t="str">
        <f>IF($D$14&lt;&gt;E$14,"N/A",IF('Max Test'!t.IG="","",'Max Test'!t.IG))</f>
        <v>N/A</v>
      </c>
      <c r="F162" s="132" t="s">
        <v>36</v>
      </c>
      <c r="G162" s="126"/>
      <c r="H162" s="126"/>
      <c r="I162" s="126"/>
      <c r="K162" s="1134"/>
      <c r="L162" s="126"/>
      <c r="Q162" s="1133"/>
    </row>
    <row r="163" spans="2:17" ht="30.95" customHeight="1" x14ac:dyDescent="0.3">
      <c r="B163" s="691" t="s">
        <v>697</v>
      </c>
      <c r="C163" s="628" t="s">
        <v>702</v>
      </c>
      <c r="D163" s="735" t="s">
        <v>1242</v>
      </c>
      <c r="E163" s="670" t="str">
        <f>IF($D$14&lt;&gt;E$14,"N/A",IF('Sys. # &amp; Product Characteristic'!Ignition="Continuously Burning Pilot",0,IF('Sys. # &amp; Product Characteristic'!Control_Type="Single Stage",t.IG/9.68,t.IG/15)))</f>
        <v>N/A</v>
      </c>
      <c r="F163" s="132" t="s">
        <v>175</v>
      </c>
      <c r="G163" s="126"/>
      <c r="H163" s="126"/>
      <c r="I163" s="126"/>
      <c r="K163" s="1134"/>
      <c r="L163" s="126"/>
      <c r="Q163" s="1133"/>
    </row>
    <row r="164" spans="2:17" x14ac:dyDescent="0.3">
      <c r="B164" s="691" t="s">
        <v>387</v>
      </c>
      <c r="C164" s="628" t="s">
        <v>175</v>
      </c>
      <c r="D164" s="628" t="s">
        <v>1245</v>
      </c>
      <c r="E164" s="670" t="str">
        <f>IF($D$14&lt;&gt;E$14,"N/A",IF('Max Test'!Pump_delay?="","",'Max Test'!Pump_delay?))</f>
        <v>N/A</v>
      </c>
      <c r="F164" s="132" t="s">
        <v>175</v>
      </c>
      <c r="G164" s="126"/>
      <c r="H164" s="126"/>
      <c r="I164" s="126"/>
      <c r="K164" s="1134"/>
      <c r="L164" s="126"/>
      <c r="Q164" s="1133"/>
    </row>
    <row r="165" spans="2:17" ht="18" x14ac:dyDescent="0.3">
      <c r="B165" s="691" t="s">
        <v>759</v>
      </c>
      <c r="C165" s="628" t="s">
        <v>760</v>
      </c>
      <c r="D165" s="628" t="s">
        <v>1244</v>
      </c>
      <c r="E165" s="670" t="str">
        <f>IF($D$14&lt;&gt;E$14,"N/A",IF('Max Test'!tplus="","",'Max Test'!tplus))</f>
        <v>N/A</v>
      </c>
      <c r="F165" s="132" t="s">
        <v>36</v>
      </c>
      <c r="G165" s="126"/>
      <c r="H165" s="126"/>
      <c r="I165" s="126"/>
      <c r="K165" s="1134"/>
      <c r="L165" s="126"/>
      <c r="Q165" s="1133"/>
    </row>
    <row r="166" spans="2:17" x14ac:dyDescent="0.3">
      <c r="B166" s="691" t="s">
        <v>758</v>
      </c>
      <c r="C166" s="628" t="s">
        <v>757</v>
      </c>
      <c r="D166" s="628" t="s">
        <v>1242</v>
      </c>
      <c r="E166" s="670" t="str">
        <f>IF($D$14&lt;&gt;E$14,"N/A",IF(E164="No",1,IF('Sys. # &amp; Product Characteristic'!Control_Type="Single Stage",1+tplus/9.68,1+tplus/1.5)))</f>
        <v>N/A</v>
      </c>
      <c r="F166" s="132" t="s">
        <v>175</v>
      </c>
      <c r="G166" s="126"/>
      <c r="H166" s="126"/>
      <c r="I166" s="126"/>
      <c r="K166" s="1134"/>
      <c r="L166" s="126"/>
      <c r="Q166" s="1133"/>
    </row>
    <row r="167" spans="2:17" ht="18" x14ac:dyDescent="0.3">
      <c r="B167" s="691" t="s">
        <v>754</v>
      </c>
      <c r="C167" s="628" t="s">
        <v>756</v>
      </c>
      <c r="D167" s="628" t="s">
        <v>1242</v>
      </c>
      <c r="E167" s="670" t="str">
        <f>IF($D$14&lt;&gt;E$14,"N/A",IF('Test Conditions'!Eff.motor="",0,'Test Conditions'!Eff.motor))</f>
        <v>N/A</v>
      </c>
      <c r="F167" s="132" t="s">
        <v>211</v>
      </c>
      <c r="G167" s="126"/>
      <c r="H167" s="126"/>
      <c r="I167" s="126"/>
      <c r="K167" s="1134"/>
      <c r="L167" s="126"/>
      <c r="Q167" s="1133"/>
    </row>
    <row r="168" spans="2:17" x14ac:dyDescent="0.3">
      <c r="B168" s="691"/>
      <c r="C168" s="134" t="s">
        <v>44</v>
      </c>
      <c r="D168" s="628" t="s">
        <v>1242</v>
      </c>
      <c r="E168" s="705" t="str">
        <f>IF($D$14&lt;&gt;E$14,"N/A",
IF(AND('Sys. # &amp; Product Characteristic'!Installation="Indoor",Power_Burner_Option="Forced Draft"),100000/(341200*(y.p*PE+y.IG*PE.IG+y*BE)+(Q.IN-Q.P)*Effy.HS),
IF(AND('Sys. # &amp; Product Characteristic'!Installation="Isolated Combustion System",Power_Burner_Option="Forced Draft"),100000/(341200*(y.p*PE*Eff.motor/100+y.IG*PE.IG+y*BE)+(Q.IN-Q.P)*Effy.HS),
IF(AND('Sys. # &amp; Product Characteristic'!Installation="Indoor",Power_Burner_Option="Induced Draft"),100000/(341200*(y.p*PE*(1-Eff.motor/100)+y.IG*PE.IG+y*BE)+(Q.IN-Q.P)*Effy.HS),
IF(AND('Sys. # &amp; Product Characteristic'!Installation="Isolated Combustion System",Power_Burner_Option="Induced Draft"),100000/(341200*(y.IG*PE.IG+y*BE)+(Q.IN-Q.P)*Effy.HS),
"Undetermined")))))</f>
        <v>N/A</v>
      </c>
      <c r="F168" s="132" t="s">
        <v>175</v>
      </c>
      <c r="G168" s="126"/>
      <c r="H168" s="126"/>
      <c r="I168" s="126"/>
      <c r="K168" s="1134"/>
      <c r="L168" s="126"/>
      <c r="Q168" s="1133"/>
    </row>
    <row r="169" spans="2:17" x14ac:dyDescent="0.3">
      <c r="B169" s="691"/>
      <c r="C169" s="134" t="s">
        <v>45</v>
      </c>
      <c r="D169" s="628" t="s">
        <v>1242</v>
      </c>
      <c r="E169" s="486" t="str">
        <f>IF($D$14&lt;&gt;E$14,"N/A",2*Q.P*Effy.HS*A/100000)</f>
        <v>N/A</v>
      </c>
      <c r="F169" s="132" t="s">
        <v>175</v>
      </c>
      <c r="G169" s="126"/>
      <c r="H169" s="126"/>
      <c r="I169" s="126"/>
      <c r="K169" s="1134"/>
      <c r="L169" s="126"/>
      <c r="Q169" s="1133"/>
    </row>
    <row r="170" spans="2:17" x14ac:dyDescent="0.3">
      <c r="B170" s="691" t="s">
        <v>693</v>
      </c>
      <c r="C170" s="134" t="s">
        <v>175</v>
      </c>
      <c r="D170" s="628" t="s">
        <v>1242</v>
      </c>
      <c r="E170" s="486" t="str">
        <f>IF($D$14&lt;&gt;E$14,"N/A",2080)</f>
        <v>N/A</v>
      </c>
      <c r="F170" s="132" t="s">
        <v>694</v>
      </c>
      <c r="G170" s="126"/>
      <c r="H170" s="126"/>
      <c r="I170" s="126"/>
      <c r="K170" s="1134"/>
      <c r="L170" s="126"/>
      <c r="Q170" s="1133"/>
    </row>
    <row r="171" spans="2:17" ht="33" x14ac:dyDescent="0.3">
      <c r="B171" s="691" t="s">
        <v>695</v>
      </c>
      <c r="C171" s="134" t="s">
        <v>175</v>
      </c>
      <c r="D171" s="628" t="s">
        <v>1242</v>
      </c>
      <c r="E171" s="486" t="str">
        <f>IF($D$14&lt;&gt;E$14,"N/A",0.77)</f>
        <v>N/A</v>
      </c>
      <c r="F171" s="132" t="s">
        <v>175</v>
      </c>
      <c r="G171" s="126"/>
      <c r="H171" s="126"/>
      <c r="I171" s="126"/>
      <c r="K171" s="1134"/>
      <c r="L171" s="126"/>
      <c r="Q171" s="1133"/>
    </row>
    <row r="172" spans="2:17" ht="18" x14ac:dyDescent="0.3">
      <c r="B172" s="691" t="s">
        <v>761</v>
      </c>
      <c r="C172" s="134" t="s">
        <v>762</v>
      </c>
      <c r="D172" s="628" t="s">
        <v>1242</v>
      </c>
      <c r="E172" s="492" t="str">
        <f>IF($D$14&lt;&gt;E$14,"N/A",Avg_HLH*DHR_Adjust*A_1*(Q.OUT/1000/(1+alpha))-Avg_HLH*B_1)</f>
        <v>N/A</v>
      </c>
      <c r="F172" s="132" t="s">
        <v>694</v>
      </c>
      <c r="G172" s="126"/>
      <c r="H172" s="126"/>
      <c r="I172" s="126"/>
      <c r="K172" s="1134"/>
      <c r="L172" s="126"/>
      <c r="Q172" s="1133"/>
    </row>
    <row r="173" spans="2:17" x14ac:dyDescent="0.3">
      <c r="B173" s="691" t="s">
        <v>763</v>
      </c>
      <c r="C173" s="134" t="s">
        <v>175</v>
      </c>
      <c r="D173" s="628" t="s">
        <v>1247</v>
      </c>
      <c r="E173" s="486" t="str">
        <f>IF($D$14&lt;&gt;E$14,"N/A",8760)</f>
        <v>N/A</v>
      </c>
      <c r="F173" s="132" t="s">
        <v>676</v>
      </c>
      <c r="G173" s="126"/>
      <c r="H173" s="126"/>
      <c r="I173" s="126"/>
      <c r="K173" s="1134"/>
      <c r="L173" s="126"/>
      <c r="Q173" s="1133"/>
    </row>
    <row r="174" spans="2:17" ht="33" x14ac:dyDescent="0.3">
      <c r="B174" s="691" t="s">
        <v>766</v>
      </c>
      <c r="C174" s="134" t="s">
        <v>767</v>
      </c>
      <c r="D174" s="628" t="s">
        <v>1246</v>
      </c>
      <c r="E174" s="486" t="s">
        <v>705</v>
      </c>
      <c r="F174" s="132" t="s">
        <v>694</v>
      </c>
      <c r="G174" s="126"/>
      <c r="H174" s="126"/>
      <c r="I174" s="126"/>
      <c r="K174" s="1134"/>
      <c r="L174" s="126"/>
      <c r="Q174" s="1133"/>
    </row>
    <row r="175" spans="2:17" ht="33" x14ac:dyDescent="0.3">
      <c r="B175" s="691" t="s">
        <v>769</v>
      </c>
      <c r="C175" s="134" t="s">
        <v>768</v>
      </c>
      <c r="D175" s="628" t="s">
        <v>1240</v>
      </c>
      <c r="E175" s="486" t="s">
        <v>705</v>
      </c>
      <c r="F175" s="132" t="s">
        <v>37</v>
      </c>
      <c r="G175" s="126"/>
      <c r="H175" s="126"/>
      <c r="I175" s="126"/>
      <c r="K175" s="1134"/>
      <c r="L175" s="126"/>
      <c r="Q175" s="1133"/>
    </row>
    <row r="176" spans="2:17" ht="33.75" thickBot="1" x14ac:dyDescent="0.35">
      <c r="B176" s="693" t="s">
        <v>764</v>
      </c>
      <c r="C176" s="694" t="s">
        <v>765</v>
      </c>
      <c r="D176" s="695" t="s">
        <v>1240</v>
      </c>
      <c r="E176" s="853" t="s">
        <v>705</v>
      </c>
      <c r="F176" s="699" t="s">
        <v>694</v>
      </c>
      <c r="G176" s="126"/>
      <c r="H176" s="126"/>
      <c r="I176" s="126"/>
      <c r="K176" s="1134"/>
      <c r="L176" s="126"/>
      <c r="Q176" s="1133"/>
    </row>
    <row r="177" spans="2:17" ht="17.25" thickBot="1" x14ac:dyDescent="0.35">
      <c r="B177" s="804"/>
      <c r="C177" s="781"/>
      <c r="D177" s="781"/>
      <c r="E177" s="630"/>
      <c r="F177" s="805"/>
      <c r="G177" s="126"/>
      <c r="H177" s="126"/>
      <c r="I177" s="126"/>
      <c r="K177" s="1134"/>
      <c r="L177" s="126"/>
      <c r="Q177" s="1133"/>
    </row>
    <row r="178" spans="2:17" ht="17.25" x14ac:dyDescent="0.3">
      <c r="B178" s="864" t="s">
        <v>857</v>
      </c>
      <c r="C178" s="862"/>
      <c r="D178" s="862"/>
      <c r="E178" s="862"/>
      <c r="F178" s="863"/>
      <c r="G178" s="126"/>
      <c r="H178" s="126"/>
      <c r="I178" s="126"/>
      <c r="K178" s="1134"/>
      <c r="L178" s="126"/>
      <c r="Q178" s="1133"/>
    </row>
    <row r="179" spans="2:17" ht="18.75" thickBot="1" x14ac:dyDescent="0.35">
      <c r="B179" s="865" t="s">
        <v>771</v>
      </c>
      <c r="C179" s="866" t="s">
        <v>772</v>
      </c>
      <c r="D179" s="695" t="str">
        <f>"DOE 10.2.2" &amp; IF(OR('General Info &amp; Test Results'!$C$59="Step Modulating",'General Info &amp; Test Results'!$C$59="Two-Stage Modulating"),".1","")</f>
        <v>DOE 10.2.2</v>
      </c>
      <c r="E179" s="867" t="str">
        <f>IF($D$14&lt;&gt;E$14,"N/A",BOH.SS*(Q.IN-Q.P)+hrs_per_yr*Q.P)</f>
        <v>N/A</v>
      </c>
      <c r="F179" s="868" t="s">
        <v>800</v>
      </c>
      <c r="G179" s="126"/>
      <c r="H179" s="126"/>
      <c r="I179" s="126"/>
      <c r="K179" s="1134"/>
      <c r="L179" s="126"/>
      <c r="Q179" s="1133"/>
    </row>
    <row r="180" spans="2:17" ht="17.25" thickBot="1" x14ac:dyDescent="0.35">
      <c r="B180" s="804"/>
      <c r="C180" s="781"/>
      <c r="D180" s="781"/>
      <c r="E180" s="673"/>
      <c r="F180" s="805"/>
      <c r="G180" s="126"/>
      <c r="H180" s="126"/>
      <c r="I180" s="126"/>
      <c r="K180" s="1134"/>
      <c r="L180" s="126"/>
      <c r="Q180" s="1133"/>
    </row>
    <row r="181" spans="2:17" ht="34.5" x14ac:dyDescent="0.3">
      <c r="B181" s="861" t="s">
        <v>858</v>
      </c>
      <c r="C181" s="862"/>
      <c r="D181" s="862"/>
      <c r="E181" s="862"/>
      <c r="F181" s="863"/>
      <c r="G181" s="126"/>
      <c r="H181" s="126"/>
      <c r="I181" s="126"/>
      <c r="K181" s="1134"/>
      <c r="L181" s="126"/>
      <c r="Q181" s="1133"/>
    </row>
    <row r="182" spans="2:17" ht="18.75" thickBot="1" x14ac:dyDescent="0.35">
      <c r="B182" s="865" t="s">
        <v>773</v>
      </c>
      <c r="C182" s="866" t="s">
        <v>774</v>
      </c>
      <c r="D182" s="695" t="str">
        <f>"DOE 10.2.3" &amp; IF(OR('General Info &amp; Test Results'!$C$59="Step Modulating",'General Info &amp; Test Results'!$C$59="Two-Stage Modulating"),".1","")</f>
        <v>DOE 10.2.3</v>
      </c>
      <c r="E182" s="869" t="str">
        <f>IF($D$14&lt;&gt;E$14,"N/A",BOH.SS*(y.p*PE+y.IG*PE.IG+y*BE)+E.SO)</f>
        <v>N/A</v>
      </c>
      <c r="F182" s="868" t="s">
        <v>801</v>
      </c>
      <c r="G182" s="126"/>
      <c r="H182" s="126"/>
      <c r="I182" s="126"/>
      <c r="K182" s="1134"/>
      <c r="L182" s="126"/>
      <c r="Q182" s="1133"/>
    </row>
    <row r="183" spans="2:17" ht="17.25" thickBot="1" x14ac:dyDescent="0.35">
      <c r="B183" s="804"/>
      <c r="C183" s="781"/>
      <c r="D183" s="781"/>
      <c r="E183" s="675"/>
      <c r="F183" s="805"/>
      <c r="G183" s="126"/>
      <c r="H183" s="126"/>
      <c r="I183" s="126"/>
      <c r="K183" s="1134"/>
      <c r="L183" s="126"/>
      <c r="Q183" s="1133"/>
    </row>
    <row r="184" spans="2:17" ht="17.25" x14ac:dyDescent="0.3">
      <c r="B184" s="861" t="s">
        <v>778</v>
      </c>
      <c r="C184" s="862"/>
      <c r="D184" s="862"/>
      <c r="E184" s="862"/>
      <c r="F184" s="863"/>
      <c r="G184" s="126"/>
      <c r="H184" s="126"/>
      <c r="I184" s="126"/>
      <c r="K184" s="1134"/>
      <c r="L184" s="126"/>
      <c r="Q184" s="1133"/>
    </row>
    <row r="185" spans="2:17" ht="17.25" thickBot="1" x14ac:dyDescent="0.35">
      <c r="B185" s="865" t="s">
        <v>778</v>
      </c>
      <c r="C185" s="866" t="s">
        <v>770</v>
      </c>
      <c r="D185" s="695" t="str">
        <f>"DOE 10.6" &amp; IF('General Info &amp; Test Results'!C45="Electricity",".2",".1")</f>
        <v>DOE 10.6.1</v>
      </c>
      <c r="E185" s="869" t="str">
        <f>IF($D$14&lt;&gt;E$14,"N/A",(E.F-Avg_NonHeating_Season_Hrs*Q.P)*Effy.HS/(E.F+3412*E.AE))</f>
        <v>N/A</v>
      </c>
      <c r="F185" s="868" t="s">
        <v>211</v>
      </c>
      <c r="G185" s="126"/>
      <c r="H185" s="126"/>
      <c r="I185" s="126"/>
      <c r="K185" s="1134"/>
      <c r="L185" s="126"/>
      <c r="Q185" s="1133"/>
    </row>
    <row r="186" spans="2:17" ht="17.25" thickBot="1" x14ac:dyDescent="0.35">
      <c r="B186" s="804"/>
      <c r="C186" s="781"/>
      <c r="D186" s="781"/>
      <c r="E186" s="675"/>
      <c r="F186" s="805"/>
      <c r="G186" s="126"/>
      <c r="H186" s="126"/>
      <c r="I186" s="126"/>
      <c r="K186" s="1134"/>
      <c r="L186" s="126"/>
      <c r="Q186" s="1133"/>
    </row>
    <row r="187" spans="2:17" ht="17.25" x14ac:dyDescent="0.3">
      <c r="B187" s="864" t="s">
        <v>860</v>
      </c>
      <c r="C187" s="862"/>
      <c r="D187" s="862"/>
      <c r="E187" s="862"/>
      <c r="F187" s="863"/>
      <c r="G187" s="126"/>
      <c r="H187" s="126"/>
      <c r="I187" s="126"/>
      <c r="K187" s="1134"/>
      <c r="L187" s="126"/>
      <c r="Q187" s="1133"/>
    </row>
    <row r="188" spans="2:17" ht="33" x14ac:dyDescent="0.3">
      <c r="B188" s="1367" t="s">
        <v>784</v>
      </c>
      <c r="C188" s="1368" t="s">
        <v>786</v>
      </c>
      <c r="D188" s="1352" t="s">
        <v>1250</v>
      </c>
      <c r="E188" s="1159"/>
      <c r="F188" s="1369" t="s">
        <v>815</v>
      </c>
      <c r="G188" s="126"/>
      <c r="H188" s="126"/>
      <c r="I188" s="126"/>
      <c r="K188" s="1134"/>
      <c r="L188" s="126"/>
      <c r="Q188" s="1133"/>
    </row>
    <row r="189" spans="2:17" ht="33" x14ac:dyDescent="0.3">
      <c r="B189" s="1350" t="s">
        <v>783</v>
      </c>
      <c r="C189" s="1351" t="s">
        <v>779</v>
      </c>
      <c r="D189" s="1352" t="s">
        <v>1250</v>
      </c>
      <c r="E189" s="1373" t="str">
        <f>IF($D$14&lt;&gt;E$14,"N/A",(E.F-8760*Q.P)*(HLH/Avg_HLH)+hrs_per_yr*Q.P)</f>
        <v>N/A</v>
      </c>
      <c r="F189" s="132" t="s">
        <v>800</v>
      </c>
      <c r="G189" s="126"/>
      <c r="H189" s="126"/>
      <c r="I189" s="126"/>
      <c r="K189" s="1134"/>
      <c r="L189" s="126"/>
      <c r="Q189" s="1133"/>
    </row>
    <row r="190" spans="2:17" ht="18" x14ac:dyDescent="0.3">
      <c r="B190" s="1350" t="s">
        <v>802</v>
      </c>
      <c r="C190" s="1351" t="s">
        <v>799</v>
      </c>
      <c r="D190" s="1352" t="s">
        <v>787</v>
      </c>
      <c r="E190" s="671" t="str">
        <f>IF($D$14&lt;&gt;E$14,"N/A",(P.WSB*(Avg_Heating_Season_Hrs-BOH*HLH/Avg_HLH)+Avg_NonHeating_Season_Hrs*P.WOFF)*K)</f>
        <v>N/A</v>
      </c>
      <c r="F190" s="132" t="s">
        <v>801</v>
      </c>
      <c r="G190" s="126"/>
      <c r="H190" s="126"/>
      <c r="I190" s="126"/>
      <c r="K190" s="1134"/>
      <c r="L190" s="126"/>
      <c r="Q190" s="1133"/>
    </row>
    <row r="191" spans="2:17" ht="33.75" thickBot="1" x14ac:dyDescent="0.35">
      <c r="B191" s="693" t="s">
        <v>782</v>
      </c>
      <c r="C191" s="694" t="s">
        <v>780</v>
      </c>
      <c r="D191" s="695" t="s">
        <v>1251</v>
      </c>
      <c r="E191" s="872" t="str">
        <f>IF($D$14&lt;&gt;E$14,"N/A",(E.AE-E.SO)*(HLH/Avg_HLH)+E.SOR)</f>
        <v>N/A</v>
      </c>
      <c r="F191" s="699" t="s">
        <v>801</v>
      </c>
      <c r="G191" s="126"/>
      <c r="H191" s="126"/>
      <c r="I191" s="126"/>
      <c r="K191" s="1134"/>
      <c r="L191" s="126"/>
      <c r="Q191" s="1133"/>
    </row>
    <row r="192" spans="2:17" ht="17.25" thickBot="1" x14ac:dyDescent="0.35">
      <c r="B192" s="804"/>
      <c r="C192" s="781"/>
      <c r="D192" s="781"/>
      <c r="E192" s="675"/>
      <c r="F192" s="805"/>
      <c r="G192" s="126"/>
      <c r="H192" s="126"/>
      <c r="I192" s="126"/>
      <c r="K192" s="1134"/>
      <c r="L192" s="126"/>
      <c r="Q192" s="1133"/>
    </row>
    <row r="193" spans="2:17" ht="17.25" x14ac:dyDescent="0.3">
      <c r="B193" s="864" t="s">
        <v>795</v>
      </c>
      <c r="C193" s="862"/>
      <c r="D193" s="862"/>
      <c r="E193" s="862"/>
      <c r="F193" s="863"/>
      <c r="G193" s="126"/>
      <c r="H193" s="126"/>
      <c r="I193" s="126"/>
      <c r="K193" s="1134"/>
      <c r="L193" s="126"/>
      <c r="Q193" s="1133"/>
    </row>
    <row r="194" spans="2:17" ht="18" x14ac:dyDescent="0.3">
      <c r="B194" s="689" t="s">
        <v>788</v>
      </c>
      <c r="C194" s="496" t="s">
        <v>790</v>
      </c>
      <c r="D194" s="628" t="s">
        <v>1197</v>
      </c>
      <c r="E194" s="638" t="str">
        <f>IF($D$14&lt;&gt;E$14,"N/A",IF('Standby &amp; Off Power'!P.WSB="","",'Standby &amp; Off Power'!P.WOFF))</f>
        <v>N/A</v>
      </c>
      <c r="F194" s="497" t="s">
        <v>179</v>
      </c>
      <c r="G194" s="126"/>
      <c r="H194" s="126"/>
      <c r="I194" s="126"/>
      <c r="K194" s="1134"/>
      <c r="L194" s="126"/>
      <c r="Q194" s="1133"/>
    </row>
    <row r="195" spans="2:17" ht="18" x14ac:dyDescent="0.3">
      <c r="B195" s="691" t="s">
        <v>789</v>
      </c>
      <c r="C195" s="134" t="s">
        <v>791</v>
      </c>
      <c r="D195" s="628" t="s">
        <v>1253</v>
      </c>
      <c r="E195" s="677" t="str">
        <f>IF($D$14&lt;&gt;E$14,"N/A",IF('Standby &amp; Off Power'!P.WOFF="","",'Standby &amp; Off Power'!P.WOFF))</f>
        <v>N/A</v>
      </c>
      <c r="F195" s="132" t="s">
        <v>179</v>
      </c>
      <c r="G195" s="126"/>
      <c r="H195" s="126"/>
      <c r="I195" s="126"/>
      <c r="K195" s="1134"/>
      <c r="L195" s="126"/>
      <c r="Q195" s="1133"/>
    </row>
    <row r="196" spans="2:17" x14ac:dyDescent="0.3">
      <c r="B196" s="691" t="s">
        <v>793</v>
      </c>
      <c r="C196" s="134" t="s">
        <v>792</v>
      </c>
      <c r="D196" s="628" t="s">
        <v>1254</v>
      </c>
      <c r="E196" s="670" t="str">
        <f>IF($D$14&lt;&gt;E$14,"N/A",BOH.SS)</f>
        <v>N/A</v>
      </c>
      <c r="F196" s="132" t="s">
        <v>694</v>
      </c>
      <c r="G196" s="126"/>
      <c r="H196" s="126"/>
      <c r="I196" s="126"/>
      <c r="K196" s="1134"/>
      <c r="L196" s="126"/>
      <c r="Q196" s="1133"/>
    </row>
    <row r="197" spans="2:17" x14ac:dyDescent="0.3">
      <c r="B197" s="691" t="s">
        <v>794</v>
      </c>
      <c r="C197" s="134" t="s">
        <v>175</v>
      </c>
      <c r="D197" s="628" t="s">
        <v>1252</v>
      </c>
      <c r="E197" s="671" t="str">
        <f>IF($D$14&lt;&gt;E$14,"N/A",4160)</f>
        <v>N/A</v>
      </c>
      <c r="F197" s="132" t="s">
        <v>676</v>
      </c>
      <c r="G197" s="126"/>
      <c r="H197" s="126"/>
      <c r="I197" s="126"/>
      <c r="K197" s="1134"/>
      <c r="L197" s="126"/>
      <c r="Q197" s="1133"/>
    </row>
    <row r="198" spans="2:17" x14ac:dyDescent="0.3">
      <c r="B198" s="691" t="s">
        <v>797</v>
      </c>
      <c r="C198" s="134" t="s">
        <v>58</v>
      </c>
      <c r="D198" s="628" t="s">
        <v>1252</v>
      </c>
      <c r="E198" s="678" t="str">
        <f>IF($D$14&lt;&gt;E$14,"N/A",0.001)</f>
        <v>N/A</v>
      </c>
      <c r="F198" s="132" t="s">
        <v>798</v>
      </c>
      <c r="G198" s="126"/>
      <c r="H198" s="126"/>
      <c r="I198" s="126"/>
      <c r="K198" s="1134"/>
      <c r="L198" s="126"/>
      <c r="Q198" s="1133"/>
    </row>
    <row r="199" spans="2:17" ht="18.75" thickBot="1" x14ac:dyDescent="0.35">
      <c r="B199" s="693" t="s">
        <v>795</v>
      </c>
      <c r="C199" s="694" t="s">
        <v>796</v>
      </c>
      <c r="D199" s="695" t="s">
        <v>1252</v>
      </c>
      <c r="E199" s="696" t="str">
        <f>IF($D$14&lt;&gt;E$14,"N/A",(P.WSB*(Avg_Heating_Season_Hrs-BOH)+Avg_NonHeating_Season_Hrs*P.WOFF)*K)</f>
        <v>N/A</v>
      </c>
      <c r="F199" s="699" t="s">
        <v>801</v>
      </c>
      <c r="G199" s="126"/>
      <c r="H199" s="126"/>
      <c r="I199" s="126"/>
      <c r="K199" s="1134"/>
      <c r="L199" s="126"/>
      <c r="Q199" s="1133"/>
    </row>
    <row r="200" spans="2:17" x14ac:dyDescent="0.3">
      <c r="B200" s="126"/>
      <c r="C200" s="126"/>
      <c r="D200" s="126"/>
      <c r="E200" s="126"/>
      <c r="F200" s="126"/>
      <c r="G200" s="126"/>
      <c r="H200" s="126"/>
      <c r="I200" s="126"/>
      <c r="K200" s="1134"/>
      <c r="L200" s="126"/>
      <c r="Q200" s="1133"/>
    </row>
    <row r="201" spans="2:17" x14ac:dyDescent="0.3">
      <c r="B201" s="126"/>
      <c r="C201" s="126"/>
      <c r="D201" s="126"/>
      <c r="E201" s="126"/>
      <c r="F201" s="126"/>
      <c r="G201" s="126"/>
      <c r="H201" s="126"/>
      <c r="I201" s="126"/>
      <c r="L201" s="126"/>
      <c r="Q201" s="1133"/>
    </row>
    <row r="202" spans="2:17" x14ac:dyDescent="0.3">
      <c r="B202" s="126"/>
      <c r="C202" s="126"/>
      <c r="D202" s="126"/>
      <c r="E202" s="126"/>
      <c r="F202" s="126"/>
      <c r="G202" s="126"/>
      <c r="H202" s="126"/>
      <c r="I202" s="126"/>
      <c r="L202" s="126"/>
      <c r="Q202" s="1133"/>
    </row>
    <row r="203" spans="2:17" x14ac:dyDescent="0.3">
      <c r="B203" s="126"/>
      <c r="C203" s="126"/>
      <c r="D203" s="126"/>
      <c r="E203" s="126"/>
      <c r="F203" s="126"/>
      <c r="G203" s="126"/>
      <c r="H203" s="126"/>
      <c r="I203" s="126"/>
      <c r="L203" s="126"/>
      <c r="Q203" s="1133"/>
    </row>
    <row r="204" spans="2:17" x14ac:dyDescent="0.3">
      <c r="B204" s="126"/>
      <c r="C204" s="126"/>
      <c r="D204" s="126"/>
      <c r="E204" s="126"/>
      <c r="F204" s="126"/>
      <c r="G204" s="126"/>
      <c r="H204" s="126"/>
      <c r="I204" s="126"/>
      <c r="L204" s="126"/>
      <c r="Q204" s="1133"/>
    </row>
    <row r="205" spans="2:17" x14ac:dyDescent="0.3">
      <c r="B205" s="126"/>
      <c r="C205" s="126"/>
      <c r="D205" s="126"/>
      <c r="E205" s="126"/>
      <c r="F205" s="126"/>
      <c r="G205" s="126"/>
      <c r="H205" s="126"/>
      <c r="I205" s="126"/>
      <c r="L205" s="126"/>
      <c r="Q205" s="1133"/>
    </row>
    <row r="206" spans="2:17" x14ac:dyDescent="0.3">
      <c r="B206" s="126"/>
      <c r="C206" s="126"/>
      <c r="D206" s="126"/>
      <c r="E206" s="126"/>
      <c r="F206" s="126"/>
      <c r="G206" s="126"/>
      <c r="H206" s="126"/>
      <c r="I206" s="126"/>
      <c r="L206" s="126"/>
      <c r="Q206" s="1133"/>
    </row>
    <row r="207" spans="2:17" x14ac:dyDescent="0.3">
      <c r="B207" s="126"/>
      <c r="C207" s="126"/>
      <c r="D207" s="126"/>
      <c r="E207" s="126"/>
      <c r="F207" s="126"/>
      <c r="G207" s="126"/>
      <c r="H207" s="126"/>
      <c r="I207" s="126"/>
      <c r="L207" s="126"/>
      <c r="Q207" s="1133"/>
    </row>
    <row r="208" spans="2:17" x14ac:dyDescent="0.3">
      <c r="B208" s="126"/>
      <c r="C208" s="126"/>
      <c r="D208" s="126"/>
      <c r="E208" s="126"/>
      <c r="F208" s="126"/>
      <c r="G208" s="126"/>
      <c r="H208" s="126"/>
      <c r="I208" s="126"/>
      <c r="L208" s="126"/>
      <c r="Q208" s="1133"/>
    </row>
    <row r="209" spans="2:17" ht="18" thickBot="1" x14ac:dyDescent="0.35">
      <c r="B209" s="126"/>
      <c r="C209" s="126"/>
      <c r="D209" s="126"/>
      <c r="E209" s="176"/>
      <c r="J209" s="122"/>
      <c r="K209" s="122"/>
      <c r="Q209" s="1133"/>
    </row>
    <row r="210" spans="2:17" ht="18" thickBot="1" x14ac:dyDescent="0.35">
      <c r="B210" s="126"/>
      <c r="C210" s="487" t="str">
        <f>"For use in ANSI/ASHRAE Section " &amp; D14 &amp; ".9.18: Off-Cycle Stack Gas Draft Factor"</f>
        <v>For use in ANSI/ASHRAE Section Unknown.9.18: Off-Cycle Stack Gas Draft Factor</v>
      </c>
      <c r="D210" s="597"/>
      <c r="E210" s="598"/>
      <c r="F210" s="599"/>
      <c r="G210" s="599"/>
      <c r="H210" s="599"/>
      <c r="I210" s="599"/>
      <c r="J210" s="600"/>
      <c r="K210" s="122"/>
      <c r="Q210" s="1133"/>
    </row>
    <row r="211" spans="2:17" ht="17.25" x14ac:dyDescent="0.3">
      <c r="B211" s="126"/>
      <c r="C211" s="601" t="s">
        <v>34</v>
      </c>
      <c r="D211" s="595" t="s">
        <v>136</v>
      </c>
      <c r="E211" s="596" t="s">
        <v>33</v>
      </c>
      <c r="F211" s="1852" t="s">
        <v>71</v>
      </c>
      <c r="G211" s="1853"/>
      <c r="H211" s="1853"/>
      <c r="I211" s="1853"/>
      <c r="J211" s="1854"/>
      <c r="K211" s="122"/>
      <c r="Q211" s="1133"/>
    </row>
    <row r="212" spans="2:17" x14ac:dyDescent="0.3">
      <c r="B212" s="126"/>
      <c r="C212" s="580" t="str">
        <f>Sys_Num</f>
        <v>N/A</v>
      </c>
      <c r="D212" s="558" t="s">
        <v>175</v>
      </c>
      <c r="E212" s="558" t="s">
        <v>175</v>
      </c>
      <c r="F212" s="1845" t="s">
        <v>39</v>
      </c>
      <c r="G212" s="1846"/>
      <c r="H212" s="1846"/>
      <c r="I212" s="1846"/>
      <c r="J212" s="1847"/>
      <c r="K212" s="122"/>
      <c r="Q212" s="1133"/>
    </row>
    <row r="213" spans="2:17" ht="18" x14ac:dyDescent="0.3">
      <c r="B213" s="126"/>
      <c r="C213" s="582">
        <f>'Test Conditions'!C87</f>
        <v>0</v>
      </c>
      <c r="D213" s="558" t="s">
        <v>36</v>
      </c>
      <c r="E213" s="550" t="s">
        <v>568</v>
      </c>
      <c r="F213" s="1845" t="s">
        <v>561</v>
      </c>
      <c r="G213" s="1846"/>
      <c r="H213" s="1846"/>
      <c r="I213" s="1846"/>
      <c r="J213" s="1847"/>
      <c r="K213" s="122"/>
      <c r="Q213" s="1133"/>
    </row>
    <row r="214" spans="2:17" ht="18" x14ac:dyDescent="0.3">
      <c r="B214" s="126"/>
      <c r="C214" s="582" t="str">
        <f>'Test Conditions'!C89</f>
        <v/>
      </c>
      <c r="D214" s="558" t="s">
        <v>36</v>
      </c>
      <c r="E214" s="550" t="s">
        <v>583</v>
      </c>
      <c r="F214" s="1845" t="s">
        <v>582</v>
      </c>
      <c r="G214" s="1846"/>
      <c r="H214" s="1846"/>
      <c r="I214" s="1846"/>
      <c r="J214" s="1847"/>
      <c r="K214" s="122"/>
      <c r="Q214" s="1133"/>
    </row>
    <row r="215" spans="2:17" ht="18" x14ac:dyDescent="0.3">
      <c r="B215" s="126"/>
      <c r="C215" s="582" t="str">
        <f>t.OFF</f>
        <v>N/A</v>
      </c>
      <c r="D215" s="558" t="s">
        <v>36</v>
      </c>
      <c r="E215" s="558" t="s">
        <v>628</v>
      </c>
      <c r="F215" s="1845" t="s">
        <v>443</v>
      </c>
      <c r="G215" s="1846"/>
      <c r="H215" s="1846"/>
      <c r="I215" s="1846"/>
      <c r="J215" s="1847"/>
      <c r="K215" s="122"/>
      <c r="Q215" s="1133"/>
    </row>
    <row r="216" spans="2:17" ht="18" x14ac:dyDescent="0.3">
      <c r="B216" s="126"/>
      <c r="C216" s="582" t="str">
        <f>Tau.OFF</f>
        <v>N/A</v>
      </c>
      <c r="D216" s="558" t="s">
        <v>36</v>
      </c>
      <c r="E216" s="558" t="s">
        <v>612</v>
      </c>
      <c r="F216" s="1845" t="s">
        <v>435</v>
      </c>
      <c r="G216" s="1846"/>
      <c r="H216" s="1846"/>
      <c r="I216" s="1846"/>
      <c r="J216" s="1847"/>
      <c r="K216" s="122"/>
      <c r="Q216" s="1133"/>
    </row>
    <row r="217" spans="2:17" ht="18" x14ac:dyDescent="0.3">
      <c r="B217" s="126"/>
      <c r="C217" s="580">
        <f>COUNT(C234:C333)</f>
        <v>100</v>
      </c>
      <c r="D217" s="558" t="s">
        <v>175</v>
      </c>
      <c r="E217" s="558" t="s">
        <v>546</v>
      </c>
      <c r="F217" s="1845" t="s">
        <v>662</v>
      </c>
      <c r="G217" s="1846"/>
      <c r="H217" s="1846"/>
      <c r="I217" s="1846"/>
      <c r="J217" s="1847"/>
      <c r="K217" s="122"/>
      <c r="Q217" s="1133"/>
    </row>
    <row r="218" spans="2:17" ht="18" x14ac:dyDescent="0.3">
      <c r="B218" s="126"/>
      <c r="C218" s="602">
        <f>1/n</f>
        <v>0.01</v>
      </c>
      <c r="D218" s="558" t="s">
        <v>175</v>
      </c>
      <c r="E218" s="558" t="s">
        <v>663</v>
      </c>
      <c r="F218" s="1857" t="s">
        <v>585</v>
      </c>
      <c r="G218" s="1857"/>
      <c r="H218" s="1857"/>
      <c r="I218" s="1857"/>
      <c r="J218" s="1858"/>
      <c r="K218" s="122"/>
      <c r="Q218" s="1133"/>
    </row>
    <row r="219" spans="2:17" ht="18" x14ac:dyDescent="0.3">
      <c r="B219" s="126"/>
      <c r="C219" s="581" t="str">
        <f>Psi.SIX</f>
        <v>N/A</v>
      </c>
      <c r="D219" s="558" t="s">
        <v>51</v>
      </c>
      <c r="E219" s="558" t="s">
        <v>624</v>
      </c>
      <c r="F219" s="1857" t="s">
        <v>1293</v>
      </c>
      <c r="G219" s="1857"/>
      <c r="H219" s="1857"/>
      <c r="I219" s="1857"/>
      <c r="J219" s="1858"/>
      <c r="K219" s="122"/>
      <c r="Q219" s="1133"/>
    </row>
    <row r="220" spans="2:17" ht="18" x14ac:dyDescent="0.3">
      <c r="B220" s="126"/>
      <c r="C220" s="581" t="str">
        <f>Psi.SO</f>
        <v>N/A</v>
      </c>
      <c r="D220" s="558" t="s">
        <v>51</v>
      </c>
      <c r="E220" s="558" t="s">
        <v>636</v>
      </c>
      <c r="F220" s="1859" t="s">
        <v>450</v>
      </c>
      <c r="G220" s="1859"/>
      <c r="H220" s="1859"/>
      <c r="I220" s="1859"/>
      <c r="J220" s="1860"/>
      <c r="K220" s="122"/>
      <c r="Q220" s="1133"/>
    </row>
    <row r="221" spans="2:17" ht="18" x14ac:dyDescent="0.3">
      <c r="B221" s="126"/>
      <c r="C221" s="581" t="str">
        <f>Psi.FI</f>
        <v>N/A</v>
      </c>
      <c r="D221" s="558" t="s">
        <v>51</v>
      </c>
      <c r="E221" s="558" t="s">
        <v>635</v>
      </c>
      <c r="F221" s="1859" t="s">
        <v>1294</v>
      </c>
      <c r="G221" s="1859"/>
      <c r="H221" s="1859"/>
      <c r="I221" s="1859"/>
      <c r="J221" s="1860"/>
      <c r="K221" s="122"/>
      <c r="Q221" s="1133"/>
    </row>
    <row r="222" spans="2:17" ht="18" x14ac:dyDescent="0.3">
      <c r="B222" s="126"/>
      <c r="C222" s="581" t="str">
        <f>Psi.FO</f>
        <v>N/A</v>
      </c>
      <c r="D222" s="558" t="s">
        <v>51</v>
      </c>
      <c r="E222" s="134" t="s">
        <v>634</v>
      </c>
      <c r="F222" s="1859" t="s">
        <v>449</v>
      </c>
      <c r="G222" s="1859"/>
      <c r="H222" s="1859"/>
      <c r="I222" s="1859"/>
      <c r="J222" s="1860"/>
      <c r="K222" s="122"/>
      <c r="Q222" s="1133"/>
    </row>
    <row r="223" spans="2:17" ht="18" x14ac:dyDescent="0.3">
      <c r="B223" s="126"/>
      <c r="C223" s="581">
        <f>'Test Conditions'!C82</f>
        <v>0</v>
      </c>
      <c r="D223" s="550" t="s">
        <v>563</v>
      </c>
      <c r="E223" s="550" t="s">
        <v>564</v>
      </c>
      <c r="F223" s="1855" t="s">
        <v>556</v>
      </c>
      <c r="G223" s="1855"/>
      <c r="H223" s="1855"/>
      <c r="I223" s="1855"/>
      <c r="J223" s="1856"/>
      <c r="K223" s="122"/>
      <c r="Q223" s="1133"/>
    </row>
    <row r="224" spans="2:17" ht="18" x14ac:dyDescent="0.3">
      <c r="B224" s="126"/>
      <c r="C224" s="581">
        <f>'Test Conditions'!C83</f>
        <v>0</v>
      </c>
      <c r="D224" s="550" t="s">
        <v>563</v>
      </c>
      <c r="E224" s="550" t="s">
        <v>565</v>
      </c>
      <c r="F224" s="1855" t="s">
        <v>557</v>
      </c>
      <c r="G224" s="1855"/>
      <c r="H224" s="1855"/>
      <c r="I224" s="1855"/>
      <c r="J224" s="1856"/>
      <c r="K224" s="122"/>
      <c r="Q224" s="1133"/>
    </row>
    <row r="225" spans="2:17" x14ac:dyDescent="0.3">
      <c r="B225" s="126"/>
      <c r="C225" s="581">
        <f>'Test Conditions'!C84</f>
        <v>0</v>
      </c>
      <c r="D225" s="550" t="s">
        <v>555</v>
      </c>
      <c r="E225" s="550" t="s">
        <v>554</v>
      </c>
      <c r="F225" s="1855" t="s">
        <v>558</v>
      </c>
      <c r="G225" s="1855"/>
      <c r="H225" s="1855"/>
      <c r="I225" s="1855"/>
      <c r="J225" s="1856"/>
      <c r="K225" s="122"/>
      <c r="Q225" s="1133"/>
    </row>
    <row r="226" spans="2:17" ht="18" x14ac:dyDescent="0.3">
      <c r="B226" s="126"/>
      <c r="C226" s="581" t="str">
        <f>'Test Conditions'!C91</f>
        <v/>
      </c>
      <c r="D226" s="558" t="s">
        <v>36</v>
      </c>
      <c r="E226" s="558" t="s">
        <v>580</v>
      </c>
      <c r="F226" s="1857"/>
      <c r="G226" s="1857"/>
      <c r="H226" s="1857"/>
      <c r="I226" s="1857"/>
      <c r="J226" s="1858"/>
      <c r="K226" s="122"/>
      <c r="Q226" s="1133"/>
    </row>
    <row r="227" spans="2:17" ht="18" x14ac:dyDescent="0.3">
      <c r="B227" s="126"/>
      <c r="C227" s="582" t="str">
        <f ca="1">D.F</f>
        <v>N/A</v>
      </c>
      <c r="D227" s="558" t="s">
        <v>175</v>
      </c>
      <c r="E227" s="558" t="s">
        <v>620</v>
      </c>
      <c r="F227" s="1857" t="s">
        <v>439</v>
      </c>
      <c r="G227" s="1857"/>
      <c r="H227" s="1857"/>
      <c r="I227" s="1857"/>
      <c r="J227" s="1858"/>
      <c r="K227" s="122"/>
      <c r="Q227" s="1133"/>
    </row>
    <row r="228" spans="2:17" ht="18" x14ac:dyDescent="0.3">
      <c r="B228" s="126"/>
      <c r="C228" s="582" t="str">
        <f>DO.S</f>
        <v>N/A</v>
      </c>
      <c r="D228" s="558" t="s">
        <v>175</v>
      </c>
      <c r="E228" s="558" t="s">
        <v>623</v>
      </c>
      <c r="F228" s="1857" t="s">
        <v>73</v>
      </c>
      <c r="G228" s="1857"/>
      <c r="H228" s="1857"/>
      <c r="I228" s="1857"/>
      <c r="J228" s="1858"/>
      <c r="K228" s="122"/>
      <c r="Q228" s="1133"/>
    </row>
    <row r="229" spans="2:17" x14ac:dyDescent="0.3">
      <c r="B229" s="126"/>
      <c r="C229" s="603" t="str">
        <f>SF</f>
        <v>N/A</v>
      </c>
      <c r="D229" s="558" t="s">
        <v>175</v>
      </c>
      <c r="E229" s="558" t="s">
        <v>60</v>
      </c>
      <c r="F229" s="1857" t="s">
        <v>412</v>
      </c>
      <c r="G229" s="1857"/>
      <c r="H229" s="1857"/>
      <c r="I229" s="1857"/>
      <c r="J229" s="1858"/>
      <c r="K229" s="122"/>
      <c r="Q229" s="1133"/>
    </row>
    <row r="230" spans="2:17" ht="18" x14ac:dyDescent="0.3">
      <c r="B230" s="126"/>
      <c r="C230" s="602" t="e">
        <f ca="1">SUMPRODUCT(M234:M333*((100-N234:N333)*I234:I333*J234:J333+N234:N333*K234:K333*L234:L333))*C218/
(SUMPRODUCT(((100-C219)*E234:E333*F234:F333+C219*G234:G333*H234:H333))*C218)</f>
        <v>#VALUE!</v>
      </c>
      <c r="D230" s="558" t="s">
        <v>175</v>
      </c>
      <c r="E230" s="558" t="s">
        <v>637</v>
      </c>
      <c r="F230" s="1857" t="s">
        <v>451</v>
      </c>
      <c r="G230" s="1857"/>
      <c r="H230" s="1857"/>
      <c r="I230" s="1857"/>
      <c r="J230" s="1858"/>
      <c r="K230" s="122"/>
      <c r="Q230" s="1133"/>
    </row>
    <row r="231" spans="2:17" ht="18.75" thickBot="1" x14ac:dyDescent="0.35">
      <c r="B231" s="126"/>
      <c r="C231" s="604" t="e">
        <f ca="1">SUMPRODUCT(M234:M333*((100-N234:N333)*J234:J333+N234:N333*L234:L333))*C218/(
SUMPRODUCT(((100-C219)*F234:F333+C219*H234:H333))*C218)</f>
        <v>#VALUE!</v>
      </c>
      <c r="D231" s="605" t="s">
        <v>175</v>
      </c>
      <c r="E231" s="605" t="s">
        <v>638</v>
      </c>
      <c r="F231" s="1861" t="s">
        <v>452</v>
      </c>
      <c r="G231" s="1861"/>
      <c r="H231" s="1861"/>
      <c r="I231" s="1861"/>
      <c r="J231" s="1862"/>
      <c r="K231" s="122"/>
      <c r="Q231" s="1133"/>
    </row>
    <row r="232" spans="2:17" ht="17.25" thickBot="1" x14ac:dyDescent="0.35">
      <c r="B232" s="126"/>
      <c r="C232" s="606"/>
      <c r="D232" s="559"/>
      <c r="E232" s="585"/>
      <c r="F232" s="585"/>
      <c r="G232" s="585"/>
      <c r="H232" s="585"/>
      <c r="I232" s="585"/>
      <c r="J232" s="542"/>
      <c r="Q232" s="1133"/>
    </row>
    <row r="233" spans="2:17" ht="18" x14ac:dyDescent="0.3">
      <c r="B233" s="126"/>
      <c r="C233" s="631" t="s">
        <v>584</v>
      </c>
      <c r="D233" s="632" t="s">
        <v>547</v>
      </c>
      <c r="E233" s="633" t="s">
        <v>1029</v>
      </c>
      <c r="F233" s="633" t="s">
        <v>1030</v>
      </c>
      <c r="G233" s="633" t="s">
        <v>1031</v>
      </c>
      <c r="H233" s="633" t="s">
        <v>1028</v>
      </c>
      <c r="I233" s="633" t="s">
        <v>1032</v>
      </c>
      <c r="J233" s="633" t="s">
        <v>1033</v>
      </c>
      <c r="K233" s="633" t="s">
        <v>1034</v>
      </c>
      <c r="L233" s="633" t="s">
        <v>1035</v>
      </c>
      <c r="M233" s="634" t="s">
        <v>1027</v>
      </c>
      <c r="N233" s="634" t="s">
        <v>664</v>
      </c>
      <c r="O233" s="635" t="s">
        <v>665</v>
      </c>
      <c r="Q233" s="1133"/>
    </row>
    <row r="234" spans="2:17" x14ac:dyDescent="0.3">
      <c r="B234" s="126"/>
      <c r="C234" s="607">
        <v>1</v>
      </c>
      <c r="D234" s="561" t="str">
        <f>IFERROR(C234*$C$218*$C$215,"")</f>
        <v/>
      </c>
      <c r="E234" s="561" t="str">
        <f>IFERROR($C$220*EXP(-$D234/$C$216),"")</f>
        <v/>
      </c>
      <c r="F234" s="561" t="str">
        <f>IFERROR(($E234+28)^(0.56)/(($E234+530)^(1.19)),"")</f>
        <v/>
      </c>
      <c r="G234" s="561" t="str">
        <f t="shared" ref="G234:G297" si="1">IFERROR(E234+100,"")</f>
        <v/>
      </c>
      <c r="H234" s="561" t="str">
        <f>IFERROR(($E234+128)^(0.56)/(($E234+630)^(1.19)),"")</f>
        <v/>
      </c>
      <c r="I234" s="561" t="str">
        <f ca="1">IFERROR($O234*EXP(-$D234/$C$216),"")</f>
        <v/>
      </c>
      <c r="J234" s="561" t="str">
        <f ca="1">IFERROR(($I234+28)^(0.56)/(($I234+530)^(1.19)),"")</f>
        <v/>
      </c>
      <c r="K234" s="561" t="str">
        <f ca="1">IFERROR(I234+100,"")</f>
        <v/>
      </c>
      <c r="L234" s="561" t="str">
        <f ca="1">IFERROR(($I234+128)^(0.56)/(($I234+630)^(1.19)),"")</f>
        <v/>
      </c>
      <c r="M234" s="560" t="str">
        <f t="shared" ref="M234:M297" si="2">IFERROR(IF(D234&lt;$C$213,1,
IF(D234&lt;$C$214,SQRT(5/(5+(2.6*(($C$224/$C$223)*SIN((PI()/2-$C$225)*(D234-$C$213)/($C$214-$C$213)))^1.58)/((1-($C$224/$C$223)*SIN((PI()/2-$C$225)*(D234-$C$213)/($C$214-$C$213)))^2))),
$C$226)),"")</f>
        <v/>
      </c>
      <c r="N234" s="560" t="str">
        <f t="shared" ref="N234:N297" ca="1" si="3">IFERROR(IF($C$229*$M234*$C$228&gt;$C$227,$C$227*$C$221/($C$229*$M234*$C$228),$C$221),"")</f>
        <v/>
      </c>
      <c r="O234" s="636" t="str">
        <f ca="1">IFERROR(IF($C$229*$M234*$C$228&gt;$C$227,$C$227*$C$222/($C$229*$M234*$C$228),$C$222),"")</f>
        <v/>
      </c>
      <c r="Q234" s="1133"/>
    </row>
    <row r="235" spans="2:17" x14ac:dyDescent="0.3">
      <c r="B235" s="126"/>
      <c r="C235" s="607">
        <v>2</v>
      </c>
      <c r="D235" s="561" t="str">
        <f t="shared" ref="D235:D298" si="4">IFERROR(C235*$C$218*$C$215,"")</f>
        <v/>
      </c>
      <c r="E235" s="561" t="str">
        <f t="shared" ref="E235:E298" si="5">IFERROR($C$220*EXP(-$D235/$C$216),"")</f>
        <v/>
      </c>
      <c r="F235" s="561" t="str">
        <f t="shared" ref="F235:F298" si="6">IFERROR(($E235+28)^(0.56)/(($E235+530)^(1.19)),"")</f>
        <v/>
      </c>
      <c r="G235" s="561" t="str">
        <f t="shared" si="1"/>
        <v/>
      </c>
      <c r="H235" s="561" t="str">
        <f t="shared" ref="H235:H298" si="7">IFERROR(($E235+128)^(0.56)/(($E235+630)^(1.19)),"")</f>
        <v/>
      </c>
      <c r="I235" s="561" t="str">
        <f t="shared" ref="I235:I298" ca="1" si="8">IFERROR($O235*EXP(-$D235/$C$216),"")</f>
        <v/>
      </c>
      <c r="J235" s="561" t="str">
        <f t="shared" ref="J235:J298" ca="1" si="9">IFERROR(($I235+28)^(0.56)/(($I235+530)^(1.19)),"")</f>
        <v/>
      </c>
      <c r="K235" s="561" t="str">
        <f t="shared" ref="K235:K298" ca="1" si="10">IFERROR(I235+100,"")</f>
        <v/>
      </c>
      <c r="L235" s="561" t="str">
        <f t="shared" ref="L235:L298" ca="1" si="11">IFERROR(($I235+128)^(0.56)/(($I235+630)^(1.19)),"")</f>
        <v/>
      </c>
      <c r="M235" s="560" t="str">
        <f t="shared" si="2"/>
        <v/>
      </c>
      <c r="N235" s="560" t="str">
        <f t="shared" ca="1" si="3"/>
        <v/>
      </c>
      <c r="O235" s="636" t="str">
        <f t="shared" ref="O235:O298" ca="1" si="12">IFERROR(IF($C$229*$M235*$C$228&gt;$C$227,$C$227*$C$222/($C$229*$M235*$C$228),$C$222),"")</f>
        <v/>
      </c>
      <c r="Q235" s="1133"/>
    </row>
    <row r="236" spans="2:17" x14ac:dyDescent="0.3">
      <c r="B236" s="126"/>
      <c r="C236" s="607">
        <v>3</v>
      </c>
      <c r="D236" s="561" t="str">
        <f t="shared" si="4"/>
        <v/>
      </c>
      <c r="E236" s="561" t="str">
        <f t="shared" si="5"/>
        <v/>
      </c>
      <c r="F236" s="561" t="str">
        <f t="shared" si="6"/>
        <v/>
      </c>
      <c r="G236" s="561" t="str">
        <f t="shared" si="1"/>
        <v/>
      </c>
      <c r="H236" s="561" t="str">
        <f t="shared" si="7"/>
        <v/>
      </c>
      <c r="I236" s="561" t="str">
        <f t="shared" ca="1" si="8"/>
        <v/>
      </c>
      <c r="J236" s="561" t="str">
        <f t="shared" ca="1" si="9"/>
        <v/>
      </c>
      <c r="K236" s="561" t="str">
        <f t="shared" ca="1" si="10"/>
        <v/>
      </c>
      <c r="L236" s="561" t="str">
        <f t="shared" ca="1" si="11"/>
        <v/>
      </c>
      <c r="M236" s="560" t="str">
        <f t="shared" si="2"/>
        <v/>
      </c>
      <c r="N236" s="560" t="str">
        <f t="shared" ca="1" si="3"/>
        <v/>
      </c>
      <c r="O236" s="636" t="str">
        <f t="shared" ca="1" si="12"/>
        <v/>
      </c>
      <c r="Q236" s="1133"/>
    </row>
    <row r="237" spans="2:17" x14ac:dyDescent="0.3">
      <c r="B237" s="126"/>
      <c r="C237" s="607">
        <v>4</v>
      </c>
      <c r="D237" s="561" t="str">
        <f t="shared" si="4"/>
        <v/>
      </c>
      <c r="E237" s="561" t="str">
        <f t="shared" si="5"/>
        <v/>
      </c>
      <c r="F237" s="561" t="str">
        <f t="shared" si="6"/>
        <v/>
      </c>
      <c r="G237" s="561" t="str">
        <f t="shared" si="1"/>
        <v/>
      </c>
      <c r="H237" s="561" t="str">
        <f t="shared" si="7"/>
        <v/>
      </c>
      <c r="I237" s="561" t="str">
        <f t="shared" ca="1" si="8"/>
        <v/>
      </c>
      <c r="J237" s="561" t="str">
        <f t="shared" ca="1" si="9"/>
        <v/>
      </c>
      <c r="K237" s="561" t="str">
        <f t="shared" ca="1" si="10"/>
        <v/>
      </c>
      <c r="L237" s="561" t="str">
        <f t="shared" ca="1" si="11"/>
        <v/>
      </c>
      <c r="M237" s="560" t="str">
        <f t="shared" si="2"/>
        <v/>
      </c>
      <c r="N237" s="560" t="str">
        <f t="shared" ca="1" si="3"/>
        <v/>
      </c>
      <c r="O237" s="636" t="str">
        <f t="shared" ca="1" si="12"/>
        <v/>
      </c>
      <c r="Q237" s="1133"/>
    </row>
    <row r="238" spans="2:17" x14ac:dyDescent="0.3">
      <c r="B238" s="126"/>
      <c r="C238" s="607">
        <v>5</v>
      </c>
      <c r="D238" s="561" t="str">
        <f t="shared" si="4"/>
        <v/>
      </c>
      <c r="E238" s="561" t="str">
        <f t="shared" si="5"/>
        <v/>
      </c>
      <c r="F238" s="561" t="str">
        <f t="shared" si="6"/>
        <v/>
      </c>
      <c r="G238" s="561" t="str">
        <f t="shared" si="1"/>
        <v/>
      </c>
      <c r="H238" s="561" t="str">
        <f t="shared" si="7"/>
        <v/>
      </c>
      <c r="I238" s="561" t="str">
        <f t="shared" ca="1" si="8"/>
        <v/>
      </c>
      <c r="J238" s="561" t="str">
        <f t="shared" ca="1" si="9"/>
        <v/>
      </c>
      <c r="K238" s="561" t="str">
        <f t="shared" ca="1" si="10"/>
        <v/>
      </c>
      <c r="L238" s="561" t="str">
        <f t="shared" ca="1" si="11"/>
        <v/>
      </c>
      <c r="M238" s="560" t="str">
        <f t="shared" si="2"/>
        <v/>
      </c>
      <c r="N238" s="560" t="str">
        <f t="shared" ca="1" si="3"/>
        <v/>
      </c>
      <c r="O238" s="636" t="str">
        <f t="shared" ca="1" si="12"/>
        <v/>
      </c>
      <c r="Q238" s="1133"/>
    </row>
    <row r="239" spans="2:17" x14ac:dyDescent="0.3">
      <c r="B239" s="126"/>
      <c r="C239" s="607">
        <v>6</v>
      </c>
      <c r="D239" s="561" t="str">
        <f t="shared" si="4"/>
        <v/>
      </c>
      <c r="E239" s="561" t="str">
        <f t="shared" si="5"/>
        <v/>
      </c>
      <c r="F239" s="561" t="str">
        <f t="shared" si="6"/>
        <v/>
      </c>
      <c r="G239" s="561" t="str">
        <f t="shared" si="1"/>
        <v/>
      </c>
      <c r="H239" s="561" t="str">
        <f t="shared" si="7"/>
        <v/>
      </c>
      <c r="I239" s="561" t="str">
        <f t="shared" ca="1" si="8"/>
        <v/>
      </c>
      <c r="J239" s="561" t="str">
        <f t="shared" ca="1" si="9"/>
        <v/>
      </c>
      <c r="K239" s="561" t="str">
        <f t="shared" ca="1" si="10"/>
        <v/>
      </c>
      <c r="L239" s="561" t="str">
        <f t="shared" ca="1" si="11"/>
        <v/>
      </c>
      <c r="M239" s="560" t="str">
        <f t="shared" si="2"/>
        <v/>
      </c>
      <c r="N239" s="560" t="str">
        <f t="shared" ca="1" si="3"/>
        <v/>
      </c>
      <c r="O239" s="636" t="str">
        <f t="shared" ca="1" si="12"/>
        <v/>
      </c>
      <c r="Q239" s="1133"/>
    </row>
    <row r="240" spans="2:17" x14ac:dyDescent="0.3">
      <c r="B240" s="126"/>
      <c r="C240" s="607">
        <v>7</v>
      </c>
      <c r="D240" s="561" t="str">
        <f t="shared" si="4"/>
        <v/>
      </c>
      <c r="E240" s="561" t="str">
        <f t="shared" si="5"/>
        <v/>
      </c>
      <c r="F240" s="561" t="str">
        <f t="shared" si="6"/>
        <v/>
      </c>
      <c r="G240" s="561" t="str">
        <f t="shared" si="1"/>
        <v/>
      </c>
      <c r="H240" s="561" t="str">
        <f t="shared" si="7"/>
        <v/>
      </c>
      <c r="I240" s="561" t="str">
        <f t="shared" ca="1" si="8"/>
        <v/>
      </c>
      <c r="J240" s="561" t="str">
        <f t="shared" ca="1" si="9"/>
        <v/>
      </c>
      <c r="K240" s="561" t="str">
        <f t="shared" ca="1" si="10"/>
        <v/>
      </c>
      <c r="L240" s="561" t="str">
        <f t="shared" ca="1" si="11"/>
        <v/>
      </c>
      <c r="M240" s="560" t="str">
        <f t="shared" si="2"/>
        <v/>
      </c>
      <c r="N240" s="560" t="str">
        <f t="shared" ca="1" si="3"/>
        <v/>
      </c>
      <c r="O240" s="636" t="str">
        <f t="shared" ca="1" si="12"/>
        <v/>
      </c>
      <c r="Q240" s="1133"/>
    </row>
    <row r="241" spans="2:17" x14ac:dyDescent="0.3">
      <c r="B241" s="126"/>
      <c r="C241" s="607">
        <v>8</v>
      </c>
      <c r="D241" s="561" t="str">
        <f t="shared" si="4"/>
        <v/>
      </c>
      <c r="E241" s="561" t="str">
        <f t="shared" si="5"/>
        <v/>
      </c>
      <c r="F241" s="561" t="str">
        <f t="shared" si="6"/>
        <v/>
      </c>
      <c r="G241" s="561" t="str">
        <f t="shared" si="1"/>
        <v/>
      </c>
      <c r="H241" s="561" t="str">
        <f t="shared" si="7"/>
        <v/>
      </c>
      <c r="I241" s="561" t="str">
        <f t="shared" ca="1" si="8"/>
        <v/>
      </c>
      <c r="J241" s="561" t="str">
        <f t="shared" ca="1" si="9"/>
        <v/>
      </c>
      <c r="K241" s="561" t="str">
        <f t="shared" ca="1" si="10"/>
        <v/>
      </c>
      <c r="L241" s="561" t="str">
        <f t="shared" ca="1" si="11"/>
        <v/>
      </c>
      <c r="M241" s="560" t="str">
        <f t="shared" si="2"/>
        <v/>
      </c>
      <c r="N241" s="560" t="str">
        <f t="shared" ca="1" si="3"/>
        <v/>
      </c>
      <c r="O241" s="636" t="str">
        <f t="shared" ca="1" si="12"/>
        <v/>
      </c>
      <c r="Q241" s="1133"/>
    </row>
    <row r="242" spans="2:17" x14ac:dyDescent="0.3">
      <c r="B242" s="126"/>
      <c r="C242" s="607">
        <v>9</v>
      </c>
      <c r="D242" s="561" t="str">
        <f t="shared" si="4"/>
        <v/>
      </c>
      <c r="E242" s="561" t="str">
        <f t="shared" si="5"/>
        <v/>
      </c>
      <c r="F242" s="561" t="str">
        <f t="shared" si="6"/>
        <v/>
      </c>
      <c r="G242" s="561" t="str">
        <f t="shared" si="1"/>
        <v/>
      </c>
      <c r="H242" s="561" t="str">
        <f t="shared" si="7"/>
        <v/>
      </c>
      <c r="I242" s="561" t="str">
        <f t="shared" ca="1" si="8"/>
        <v/>
      </c>
      <c r="J242" s="561" t="str">
        <f t="shared" ca="1" si="9"/>
        <v/>
      </c>
      <c r="K242" s="561" t="str">
        <f t="shared" ca="1" si="10"/>
        <v/>
      </c>
      <c r="L242" s="561" t="str">
        <f t="shared" ca="1" si="11"/>
        <v/>
      </c>
      <c r="M242" s="560" t="str">
        <f t="shared" si="2"/>
        <v/>
      </c>
      <c r="N242" s="560" t="str">
        <f t="shared" ca="1" si="3"/>
        <v/>
      </c>
      <c r="O242" s="636" t="str">
        <f t="shared" ca="1" si="12"/>
        <v/>
      </c>
      <c r="Q242" s="1133"/>
    </row>
    <row r="243" spans="2:17" x14ac:dyDescent="0.3">
      <c r="B243" s="126"/>
      <c r="C243" s="607">
        <v>10</v>
      </c>
      <c r="D243" s="561" t="str">
        <f t="shared" si="4"/>
        <v/>
      </c>
      <c r="E243" s="561" t="str">
        <f t="shared" si="5"/>
        <v/>
      </c>
      <c r="F243" s="561" t="str">
        <f t="shared" si="6"/>
        <v/>
      </c>
      <c r="G243" s="561" t="str">
        <f t="shared" si="1"/>
        <v/>
      </c>
      <c r="H243" s="561" t="str">
        <f t="shared" si="7"/>
        <v/>
      </c>
      <c r="I243" s="561" t="str">
        <f t="shared" ca="1" si="8"/>
        <v/>
      </c>
      <c r="J243" s="561" t="str">
        <f t="shared" ca="1" si="9"/>
        <v/>
      </c>
      <c r="K243" s="561" t="str">
        <f t="shared" ca="1" si="10"/>
        <v/>
      </c>
      <c r="L243" s="561" t="str">
        <f t="shared" ca="1" si="11"/>
        <v/>
      </c>
      <c r="M243" s="560" t="str">
        <f t="shared" si="2"/>
        <v/>
      </c>
      <c r="N243" s="560" t="str">
        <f t="shared" ca="1" si="3"/>
        <v/>
      </c>
      <c r="O243" s="636" t="str">
        <f t="shared" ca="1" si="12"/>
        <v/>
      </c>
      <c r="Q243" s="1133"/>
    </row>
    <row r="244" spans="2:17" x14ac:dyDescent="0.3">
      <c r="B244" s="126"/>
      <c r="C244" s="607">
        <v>11</v>
      </c>
      <c r="D244" s="561" t="str">
        <f t="shared" si="4"/>
        <v/>
      </c>
      <c r="E244" s="561" t="str">
        <f t="shared" si="5"/>
        <v/>
      </c>
      <c r="F244" s="561" t="str">
        <f t="shared" si="6"/>
        <v/>
      </c>
      <c r="G244" s="561" t="str">
        <f t="shared" si="1"/>
        <v/>
      </c>
      <c r="H244" s="561" t="str">
        <f t="shared" si="7"/>
        <v/>
      </c>
      <c r="I244" s="561" t="str">
        <f t="shared" ca="1" si="8"/>
        <v/>
      </c>
      <c r="J244" s="561" t="str">
        <f t="shared" ca="1" si="9"/>
        <v/>
      </c>
      <c r="K244" s="561" t="str">
        <f t="shared" ca="1" si="10"/>
        <v/>
      </c>
      <c r="L244" s="561" t="str">
        <f t="shared" ca="1" si="11"/>
        <v/>
      </c>
      <c r="M244" s="560" t="str">
        <f t="shared" si="2"/>
        <v/>
      </c>
      <c r="N244" s="560" t="str">
        <f t="shared" ca="1" si="3"/>
        <v/>
      </c>
      <c r="O244" s="636" t="str">
        <f t="shared" ca="1" si="12"/>
        <v/>
      </c>
      <c r="Q244" s="1133"/>
    </row>
    <row r="245" spans="2:17" x14ac:dyDescent="0.3">
      <c r="B245" s="126"/>
      <c r="C245" s="607">
        <v>12</v>
      </c>
      <c r="D245" s="561" t="str">
        <f t="shared" si="4"/>
        <v/>
      </c>
      <c r="E245" s="561" t="str">
        <f t="shared" si="5"/>
        <v/>
      </c>
      <c r="F245" s="561" t="str">
        <f t="shared" si="6"/>
        <v/>
      </c>
      <c r="G245" s="561" t="str">
        <f t="shared" si="1"/>
        <v/>
      </c>
      <c r="H245" s="561" t="str">
        <f t="shared" si="7"/>
        <v/>
      </c>
      <c r="I245" s="561" t="str">
        <f t="shared" ca="1" si="8"/>
        <v/>
      </c>
      <c r="J245" s="561" t="str">
        <f t="shared" ca="1" si="9"/>
        <v/>
      </c>
      <c r="K245" s="561" t="str">
        <f t="shared" ca="1" si="10"/>
        <v/>
      </c>
      <c r="L245" s="561" t="str">
        <f t="shared" ca="1" si="11"/>
        <v/>
      </c>
      <c r="M245" s="560" t="str">
        <f t="shared" si="2"/>
        <v/>
      </c>
      <c r="N245" s="560" t="str">
        <f t="shared" ca="1" si="3"/>
        <v/>
      </c>
      <c r="O245" s="636" t="str">
        <f t="shared" ca="1" si="12"/>
        <v/>
      </c>
      <c r="Q245" s="1133"/>
    </row>
    <row r="246" spans="2:17" x14ac:dyDescent="0.3">
      <c r="B246" s="126"/>
      <c r="C246" s="607">
        <v>13</v>
      </c>
      <c r="D246" s="561" t="str">
        <f t="shared" si="4"/>
        <v/>
      </c>
      <c r="E246" s="561" t="str">
        <f t="shared" si="5"/>
        <v/>
      </c>
      <c r="F246" s="561" t="str">
        <f t="shared" si="6"/>
        <v/>
      </c>
      <c r="G246" s="561" t="str">
        <f t="shared" si="1"/>
        <v/>
      </c>
      <c r="H246" s="561" t="str">
        <f t="shared" si="7"/>
        <v/>
      </c>
      <c r="I246" s="561" t="str">
        <f t="shared" ca="1" si="8"/>
        <v/>
      </c>
      <c r="J246" s="561" t="str">
        <f t="shared" ca="1" si="9"/>
        <v/>
      </c>
      <c r="K246" s="561" t="str">
        <f t="shared" ca="1" si="10"/>
        <v/>
      </c>
      <c r="L246" s="561" t="str">
        <f t="shared" ca="1" si="11"/>
        <v/>
      </c>
      <c r="M246" s="560" t="str">
        <f t="shared" si="2"/>
        <v/>
      </c>
      <c r="N246" s="560" t="str">
        <f t="shared" ca="1" si="3"/>
        <v/>
      </c>
      <c r="O246" s="636" t="str">
        <f t="shared" ca="1" si="12"/>
        <v/>
      </c>
      <c r="Q246" s="1133"/>
    </row>
    <row r="247" spans="2:17" x14ac:dyDescent="0.3">
      <c r="B247" s="126"/>
      <c r="C247" s="607">
        <v>14</v>
      </c>
      <c r="D247" s="561" t="str">
        <f t="shared" si="4"/>
        <v/>
      </c>
      <c r="E247" s="561" t="str">
        <f t="shared" si="5"/>
        <v/>
      </c>
      <c r="F247" s="561" t="str">
        <f t="shared" si="6"/>
        <v/>
      </c>
      <c r="G247" s="561" t="str">
        <f t="shared" si="1"/>
        <v/>
      </c>
      <c r="H247" s="561" t="str">
        <f t="shared" si="7"/>
        <v/>
      </c>
      <c r="I247" s="561" t="str">
        <f t="shared" ca="1" si="8"/>
        <v/>
      </c>
      <c r="J247" s="561" t="str">
        <f t="shared" ca="1" si="9"/>
        <v/>
      </c>
      <c r="K247" s="561" t="str">
        <f t="shared" ca="1" si="10"/>
        <v/>
      </c>
      <c r="L247" s="561" t="str">
        <f t="shared" ca="1" si="11"/>
        <v/>
      </c>
      <c r="M247" s="560" t="str">
        <f t="shared" si="2"/>
        <v/>
      </c>
      <c r="N247" s="560" t="str">
        <f t="shared" ca="1" si="3"/>
        <v/>
      </c>
      <c r="O247" s="636" t="str">
        <f t="shared" ca="1" si="12"/>
        <v/>
      </c>
      <c r="Q247" s="1133"/>
    </row>
    <row r="248" spans="2:17" x14ac:dyDescent="0.3">
      <c r="B248" s="126"/>
      <c r="C248" s="607">
        <v>15</v>
      </c>
      <c r="D248" s="561" t="str">
        <f t="shared" si="4"/>
        <v/>
      </c>
      <c r="E248" s="561" t="str">
        <f t="shared" si="5"/>
        <v/>
      </c>
      <c r="F248" s="561" t="str">
        <f t="shared" si="6"/>
        <v/>
      </c>
      <c r="G248" s="561" t="str">
        <f t="shared" si="1"/>
        <v/>
      </c>
      <c r="H248" s="561" t="str">
        <f t="shared" si="7"/>
        <v/>
      </c>
      <c r="I248" s="561" t="str">
        <f t="shared" ca="1" si="8"/>
        <v/>
      </c>
      <c r="J248" s="561" t="str">
        <f t="shared" ca="1" si="9"/>
        <v/>
      </c>
      <c r="K248" s="561" t="str">
        <f t="shared" ca="1" si="10"/>
        <v/>
      </c>
      <c r="L248" s="561" t="str">
        <f t="shared" ca="1" si="11"/>
        <v/>
      </c>
      <c r="M248" s="560" t="str">
        <f t="shared" si="2"/>
        <v/>
      </c>
      <c r="N248" s="560" t="str">
        <f t="shared" ca="1" si="3"/>
        <v/>
      </c>
      <c r="O248" s="636" t="str">
        <f t="shared" ca="1" si="12"/>
        <v/>
      </c>
      <c r="Q248" s="1133"/>
    </row>
    <row r="249" spans="2:17" x14ac:dyDescent="0.3">
      <c r="B249" s="126"/>
      <c r="C249" s="607">
        <v>16</v>
      </c>
      <c r="D249" s="561" t="str">
        <f t="shared" si="4"/>
        <v/>
      </c>
      <c r="E249" s="561" t="str">
        <f t="shared" si="5"/>
        <v/>
      </c>
      <c r="F249" s="561" t="str">
        <f t="shared" si="6"/>
        <v/>
      </c>
      <c r="G249" s="561" t="str">
        <f t="shared" si="1"/>
        <v/>
      </c>
      <c r="H249" s="561" t="str">
        <f t="shared" si="7"/>
        <v/>
      </c>
      <c r="I249" s="561" t="str">
        <f t="shared" ca="1" si="8"/>
        <v/>
      </c>
      <c r="J249" s="561" t="str">
        <f t="shared" ca="1" si="9"/>
        <v/>
      </c>
      <c r="K249" s="561" t="str">
        <f t="shared" ca="1" si="10"/>
        <v/>
      </c>
      <c r="L249" s="561" t="str">
        <f t="shared" ca="1" si="11"/>
        <v/>
      </c>
      <c r="M249" s="560" t="str">
        <f t="shared" si="2"/>
        <v/>
      </c>
      <c r="N249" s="560" t="str">
        <f t="shared" ca="1" si="3"/>
        <v/>
      </c>
      <c r="O249" s="636" t="str">
        <f t="shared" ca="1" si="12"/>
        <v/>
      </c>
      <c r="Q249" s="1133"/>
    </row>
    <row r="250" spans="2:17" x14ac:dyDescent="0.3">
      <c r="B250" s="126"/>
      <c r="C250" s="607">
        <v>17</v>
      </c>
      <c r="D250" s="561" t="str">
        <f t="shared" si="4"/>
        <v/>
      </c>
      <c r="E250" s="561" t="str">
        <f t="shared" si="5"/>
        <v/>
      </c>
      <c r="F250" s="561" t="str">
        <f t="shared" si="6"/>
        <v/>
      </c>
      <c r="G250" s="561" t="str">
        <f t="shared" si="1"/>
        <v/>
      </c>
      <c r="H250" s="561" t="str">
        <f t="shared" si="7"/>
        <v/>
      </c>
      <c r="I250" s="561" t="str">
        <f t="shared" ca="1" si="8"/>
        <v/>
      </c>
      <c r="J250" s="561" t="str">
        <f t="shared" ca="1" si="9"/>
        <v/>
      </c>
      <c r="K250" s="561" t="str">
        <f t="shared" ca="1" si="10"/>
        <v/>
      </c>
      <c r="L250" s="561" t="str">
        <f t="shared" ca="1" si="11"/>
        <v/>
      </c>
      <c r="M250" s="560" t="str">
        <f t="shared" si="2"/>
        <v/>
      </c>
      <c r="N250" s="560" t="str">
        <f t="shared" ca="1" si="3"/>
        <v/>
      </c>
      <c r="O250" s="636" t="str">
        <f t="shared" ca="1" si="12"/>
        <v/>
      </c>
      <c r="Q250" s="1133"/>
    </row>
    <row r="251" spans="2:17" x14ac:dyDescent="0.3">
      <c r="B251" s="126"/>
      <c r="C251" s="607">
        <v>18</v>
      </c>
      <c r="D251" s="561" t="str">
        <f t="shared" si="4"/>
        <v/>
      </c>
      <c r="E251" s="561" t="str">
        <f t="shared" si="5"/>
        <v/>
      </c>
      <c r="F251" s="561" t="str">
        <f t="shared" si="6"/>
        <v/>
      </c>
      <c r="G251" s="561" t="str">
        <f t="shared" si="1"/>
        <v/>
      </c>
      <c r="H251" s="561" t="str">
        <f t="shared" si="7"/>
        <v/>
      </c>
      <c r="I251" s="561" t="str">
        <f t="shared" ca="1" si="8"/>
        <v/>
      </c>
      <c r="J251" s="561" t="str">
        <f t="shared" ca="1" si="9"/>
        <v/>
      </c>
      <c r="K251" s="561" t="str">
        <f t="shared" ca="1" si="10"/>
        <v/>
      </c>
      <c r="L251" s="561" t="str">
        <f t="shared" ca="1" si="11"/>
        <v/>
      </c>
      <c r="M251" s="560" t="str">
        <f t="shared" si="2"/>
        <v/>
      </c>
      <c r="N251" s="560" t="str">
        <f t="shared" ca="1" si="3"/>
        <v/>
      </c>
      <c r="O251" s="636" t="str">
        <f t="shared" ca="1" si="12"/>
        <v/>
      </c>
      <c r="Q251" s="1133"/>
    </row>
    <row r="252" spans="2:17" x14ac:dyDescent="0.3">
      <c r="B252" s="126"/>
      <c r="C252" s="607">
        <v>19</v>
      </c>
      <c r="D252" s="561" t="str">
        <f t="shared" si="4"/>
        <v/>
      </c>
      <c r="E252" s="561" t="str">
        <f t="shared" si="5"/>
        <v/>
      </c>
      <c r="F252" s="561" t="str">
        <f t="shared" si="6"/>
        <v/>
      </c>
      <c r="G252" s="561" t="str">
        <f t="shared" si="1"/>
        <v/>
      </c>
      <c r="H252" s="561" t="str">
        <f t="shared" si="7"/>
        <v/>
      </c>
      <c r="I252" s="561" t="str">
        <f t="shared" ca="1" si="8"/>
        <v/>
      </c>
      <c r="J252" s="561" t="str">
        <f t="shared" ca="1" si="9"/>
        <v/>
      </c>
      <c r="K252" s="561" t="str">
        <f t="shared" ca="1" si="10"/>
        <v/>
      </c>
      <c r="L252" s="561" t="str">
        <f t="shared" ca="1" si="11"/>
        <v/>
      </c>
      <c r="M252" s="560" t="str">
        <f t="shared" si="2"/>
        <v/>
      </c>
      <c r="N252" s="560" t="str">
        <f t="shared" ca="1" si="3"/>
        <v/>
      </c>
      <c r="O252" s="636" t="str">
        <f t="shared" ca="1" si="12"/>
        <v/>
      </c>
      <c r="Q252" s="1133"/>
    </row>
    <row r="253" spans="2:17" x14ac:dyDescent="0.3">
      <c r="B253" s="126"/>
      <c r="C253" s="607">
        <v>20</v>
      </c>
      <c r="D253" s="561" t="str">
        <f t="shared" si="4"/>
        <v/>
      </c>
      <c r="E253" s="561" t="str">
        <f t="shared" si="5"/>
        <v/>
      </c>
      <c r="F253" s="561" t="str">
        <f t="shared" si="6"/>
        <v/>
      </c>
      <c r="G253" s="561" t="str">
        <f t="shared" si="1"/>
        <v/>
      </c>
      <c r="H253" s="561" t="str">
        <f t="shared" si="7"/>
        <v/>
      </c>
      <c r="I253" s="561" t="str">
        <f t="shared" ca="1" si="8"/>
        <v/>
      </c>
      <c r="J253" s="561" t="str">
        <f t="shared" ca="1" si="9"/>
        <v/>
      </c>
      <c r="K253" s="561" t="str">
        <f t="shared" ca="1" si="10"/>
        <v/>
      </c>
      <c r="L253" s="561" t="str">
        <f t="shared" ca="1" si="11"/>
        <v/>
      </c>
      <c r="M253" s="560" t="str">
        <f t="shared" si="2"/>
        <v/>
      </c>
      <c r="N253" s="560" t="str">
        <f t="shared" ca="1" si="3"/>
        <v/>
      </c>
      <c r="O253" s="636" t="str">
        <f t="shared" ca="1" si="12"/>
        <v/>
      </c>
      <c r="Q253" s="1133"/>
    </row>
    <row r="254" spans="2:17" x14ac:dyDescent="0.3">
      <c r="B254" s="126"/>
      <c r="C254" s="607">
        <v>21</v>
      </c>
      <c r="D254" s="561" t="str">
        <f t="shared" si="4"/>
        <v/>
      </c>
      <c r="E254" s="561" t="str">
        <f t="shared" si="5"/>
        <v/>
      </c>
      <c r="F254" s="561" t="str">
        <f t="shared" si="6"/>
        <v/>
      </c>
      <c r="G254" s="561" t="str">
        <f t="shared" si="1"/>
        <v/>
      </c>
      <c r="H254" s="561" t="str">
        <f t="shared" si="7"/>
        <v/>
      </c>
      <c r="I254" s="561" t="str">
        <f t="shared" ca="1" si="8"/>
        <v/>
      </c>
      <c r="J254" s="561" t="str">
        <f t="shared" ca="1" si="9"/>
        <v/>
      </c>
      <c r="K254" s="561" t="str">
        <f t="shared" ca="1" si="10"/>
        <v/>
      </c>
      <c r="L254" s="561" t="str">
        <f t="shared" ca="1" si="11"/>
        <v/>
      </c>
      <c r="M254" s="560" t="str">
        <f t="shared" si="2"/>
        <v/>
      </c>
      <c r="N254" s="560" t="str">
        <f t="shared" ca="1" si="3"/>
        <v/>
      </c>
      <c r="O254" s="636" t="str">
        <f t="shared" ca="1" si="12"/>
        <v/>
      </c>
      <c r="Q254" s="1133"/>
    </row>
    <row r="255" spans="2:17" x14ac:dyDescent="0.3">
      <c r="B255" s="126"/>
      <c r="C255" s="607">
        <v>22</v>
      </c>
      <c r="D255" s="561" t="str">
        <f t="shared" si="4"/>
        <v/>
      </c>
      <c r="E255" s="561" t="str">
        <f t="shared" si="5"/>
        <v/>
      </c>
      <c r="F255" s="561" t="str">
        <f t="shared" si="6"/>
        <v/>
      </c>
      <c r="G255" s="561" t="str">
        <f t="shared" si="1"/>
        <v/>
      </c>
      <c r="H255" s="561" t="str">
        <f t="shared" si="7"/>
        <v/>
      </c>
      <c r="I255" s="561" t="str">
        <f t="shared" ca="1" si="8"/>
        <v/>
      </c>
      <c r="J255" s="561" t="str">
        <f t="shared" ca="1" si="9"/>
        <v/>
      </c>
      <c r="K255" s="561" t="str">
        <f t="shared" ca="1" si="10"/>
        <v/>
      </c>
      <c r="L255" s="561" t="str">
        <f t="shared" ca="1" si="11"/>
        <v/>
      </c>
      <c r="M255" s="560" t="str">
        <f t="shared" si="2"/>
        <v/>
      </c>
      <c r="N255" s="560" t="str">
        <f t="shared" ca="1" si="3"/>
        <v/>
      </c>
      <c r="O255" s="636" t="str">
        <f t="shared" ca="1" si="12"/>
        <v/>
      </c>
      <c r="Q255" s="1133"/>
    </row>
    <row r="256" spans="2:17" x14ac:dyDescent="0.3">
      <c r="B256" s="126"/>
      <c r="C256" s="607">
        <v>23</v>
      </c>
      <c r="D256" s="561" t="str">
        <f t="shared" si="4"/>
        <v/>
      </c>
      <c r="E256" s="561" t="str">
        <f t="shared" si="5"/>
        <v/>
      </c>
      <c r="F256" s="561" t="str">
        <f t="shared" si="6"/>
        <v/>
      </c>
      <c r="G256" s="561" t="str">
        <f t="shared" si="1"/>
        <v/>
      </c>
      <c r="H256" s="561" t="str">
        <f t="shared" si="7"/>
        <v/>
      </c>
      <c r="I256" s="561" t="str">
        <f t="shared" ca="1" si="8"/>
        <v/>
      </c>
      <c r="J256" s="561" t="str">
        <f t="shared" ca="1" si="9"/>
        <v/>
      </c>
      <c r="K256" s="561" t="str">
        <f t="shared" ca="1" si="10"/>
        <v/>
      </c>
      <c r="L256" s="561" t="str">
        <f t="shared" ca="1" si="11"/>
        <v/>
      </c>
      <c r="M256" s="560" t="str">
        <f t="shared" si="2"/>
        <v/>
      </c>
      <c r="N256" s="560" t="str">
        <f t="shared" ca="1" si="3"/>
        <v/>
      </c>
      <c r="O256" s="636" t="str">
        <f t="shared" ca="1" si="12"/>
        <v/>
      </c>
      <c r="Q256" s="1133"/>
    </row>
    <row r="257" spans="2:17" x14ac:dyDescent="0.3">
      <c r="B257" s="126"/>
      <c r="C257" s="607">
        <v>24</v>
      </c>
      <c r="D257" s="561" t="str">
        <f t="shared" si="4"/>
        <v/>
      </c>
      <c r="E257" s="561" t="str">
        <f t="shared" si="5"/>
        <v/>
      </c>
      <c r="F257" s="561" t="str">
        <f t="shared" si="6"/>
        <v/>
      </c>
      <c r="G257" s="561" t="str">
        <f t="shared" si="1"/>
        <v/>
      </c>
      <c r="H257" s="561" t="str">
        <f t="shared" si="7"/>
        <v/>
      </c>
      <c r="I257" s="561" t="str">
        <f t="shared" ca="1" si="8"/>
        <v/>
      </c>
      <c r="J257" s="561" t="str">
        <f t="shared" ca="1" si="9"/>
        <v/>
      </c>
      <c r="K257" s="561" t="str">
        <f t="shared" ca="1" si="10"/>
        <v/>
      </c>
      <c r="L257" s="561" t="str">
        <f t="shared" ca="1" si="11"/>
        <v/>
      </c>
      <c r="M257" s="560" t="str">
        <f t="shared" si="2"/>
        <v/>
      </c>
      <c r="N257" s="560" t="str">
        <f t="shared" ca="1" si="3"/>
        <v/>
      </c>
      <c r="O257" s="636" t="str">
        <f t="shared" ca="1" si="12"/>
        <v/>
      </c>
      <c r="Q257" s="1133"/>
    </row>
    <row r="258" spans="2:17" x14ac:dyDescent="0.3">
      <c r="B258" s="126"/>
      <c r="C258" s="607">
        <v>25</v>
      </c>
      <c r="D258" s="561" t="str">
        <f t="shared" si="4"/>
        <v/>
      </c>
      <c r="E258" s="561" t="str">
        <f t="shared" si="5"/>
        <v/>
      </c>
      <c r="F258" s="561" t="str">
        <f t="shared" si="6"/>
        <v/>
      </c>
      <c r="G258" s="561" t="str">
        <f t="shared" si="1"/>
        <v/>
      </c>
      <c r="H258" s="561" t="str">
        <f t="shared" si="7"/>
        <v/>
      </c>
      <c r="I258" s="561" t="str">
        <f t="shared" ca="1" si="8"/>
        <v/>
      </c>
      <c r="J258" s="561" t="str">
        <f t="shared" ca="1" si="9"/>
        <v/>
      </c>
      <c r="K258" s="561" t="str">
        <f t="shared" ca="1" si="10"/>
        <v/>
      </c>
      <c r="L258" s="561" t="str">
        <f t="shared" ca="1" si="11"/>
        <v/>
      </c>
      <c r="M258" s="560" t="str">
        <f t="shared" si="2"/>
        <v/>
      </c>
      <c r="N258" s="560" t="str">
        <f t="shared" ca="1" si="3"/>
        <v/>
      </c>
      <c r="O258" s="636" t="str">
        <f t="shared" ca="1" si="12"/>
        <v/>
      </c>
      <c r="Q258" s="1133"/>
    </row>
    <row r="259" spans="2:17" x14ac:dyDescent="0.3">
      <c r="B259" s="126"/>
      <c r="C259" s="607">
        <v>26</v>
      </c>
      <c r="D259" s="561" t="str">
        <f t="shared" si="4"/>
        <v/>
      </c>
      <c r="E259" s="561" t="str">
        <f t="shared" si="5"/>
        <v/>
      </c>
      <c r="F259" s="561" t="str">
        <f t="shared" si="6"/>
        <v/>
      </c>
      <c r="G259" s="561" t="str">
        <f t="shared" si="1"/>
        <v/>
      </c>
      <c r="H259" s="561" t="str">
        <f t="shared" si="7"/>
        <v/>
      </c>
      <c r="I259" s="561" t="str">
        <f t="shared" ca="1" si="8"/>
        <v/>
      </c>
      <c r="J259" s="561" t="str">
        <f t="shared" ca="1" si="9"/>
        <v/>
      </c>
      <c r="K259" s="561" t="str">
        <f t="shared" ca="1" si="10"/>
        <v/>
      </c>
      <c r="L259" s="561" t="str">
        <f t="shared" ca="1" si="11"/>
        <v/>
      </c>
      <c r="M259" s="560" t="str">
        <f t="shared" si="2"/>
        <v/>
      </c>
      <c r="N259" s="560" t="str">
        <f t="shared" ca="1" si="3"/>
        <v/>
      </c>
      <c r="O259" s="636" t="str">
        <f t="shared" ca="1" si="12"/>
        <v/>
      </c>
      <c r="Q259" s="1133"/>
    </row>
    <row r="260" spans="2:17" x14ac:dyDescent="0.3">
      <c r="B260" s="126"/>
      <c r="C260" s="607">
        <v>27</v>
      </c>
      <c r="D260" s="561" t="str">
        <f t="shared" si="4"/>
        <v/>
      </c>
      <c r="E260" s="561" t="str">
        <f t="shared" si="5"/>
        <v/>
      </c>
      <c r="F260" s="561" t="str">
        <f t="shared" si="6"/>
        <v/>
      </c>
      <c r="G260" s="561" t="str">
        <f t="shared" si="1"/>
        <v/>
      </c>
      <c r="H260" s="561" t="str">
        <f t="shared" si="7"/>
        <v/>
      </c>
      <c r="I260" s="561" t="str">
        <f t="shared" ca="1" si="8"/>
        <v/>
      </c>
      <c r="J260" s="561" t="str">
        <f t="shared" ca="1" si="9"/>
        <v/>
      </c>
      <c r="K260" s="561" t="str">
        <f t="shared" ca="1" si="10"/>
        <v/>
      </c>
      <c r="L260" s="561" t="str">
        <f t="shared" ca="1" si="11"/>
        <v/>
      </c>
      <c r="M260" s="560" t="str">
        <f t="shared" si="2"/>
        <v/>
      </c>
      <c r="N260" s="560" t="str">
        <f t="shared" ca="1" si="3"/>
        <v/>
      </c>
      <c r="O260" s="636" t="str">
        <f t="shared" ca="1" si="12"/>
        <v/>
      </c>
      <c r="Q260" s="1133"/>
    </row>
    <row r="261" spans="2:17" x14ac:dyDescent="0.3">
      <c r="B261" s="126"/>
      <c r="C261" s="607">
        <v>28</v>
      </c>
      <c r="D261" s="561" t="str">
        <f t="shared" si="4"/>
        <v/>
      </c>
      <c r="E261" s="561" t="str">
        <f t="shared" si="5"/>
        <v/>
      </c>
      <c r="F261" s="561" t="str">
        <f t="shared" si="6"/>
        <v/>
      </c>
      <c r="G261" s="561" t="str">
        <f t="shared" si="1"/>
        <v/>
      </c>
      <c r="H261" s="561" t="str">
        <f t="shared" si="7"/>
        <v/>
      </c>
      <c r="I261" s="561" t="str">
        <f t="shared" ca="1" si="8"/>
        <v/>
      </c>
      <c r="J261" s="561" t="str">
        <f t="shared" ca="1" si="9"/>
        <v/>
      </c>
      <c r="K261" s="561" t="str">
        <f t="shared" ca="1" si="10"/>
        <v/>
      </c>
      <c r="L261" s="561" t="str">
        <f t="shared" ca="1" si="11"/>
        <v/>
      </c>
      <c r="M261" s="560" t="str">
        <f t="shared" si="2"/>
        <v/>
      </c>
      <c r="N261" s="560" t="str">
        <f t="shared" ca="1" si="3"/>
        <v/>
      </c>
      <c r="O261" s="636" t="str">
        <f t="shared" ca="1" si="12"/>
        <v/>
      </c>
      <c r="Q261" s="1133"/>
    </row>
    <row r="262" spans="2:17" x14ac:dyDescent="0.3">
      <c r="B262" s="126"/>
      <c r="C262" s="607">
        <v>29</v>
      </c>
      <c r="D262" s="561" t="str">
        <f t="shared" si="4"/>
        <v/>
      </c>
      <c r="E262" s="561" t="str">
        <f t="shared" si="5"/>
        <v/>
      </c>
      <c r="F262" s="561" t="str">
        <f t="shared" si="6"/>
        <v/>
      </c>
      <c r="G262" s="561" t="str">
        <f t="shared" si="1"/>
        <v/>
      </c>
      <c r="H262" s="561" t="str">
        <f t="shared" si="7"/>
        <v/>
      </c>
      <c r="I262" s="561" t="str">
        <f t="shared" ca="1" si="8"/>
        <v/>
      </c>
      <c r="J262" s="561" t="str">
        <f t="shared" ca="1" si="9"/>
        <v/>
      </c>
      <c r="K262" s="561" t="str">
        <f t="shared" ca="1" si="10"/>
        <v/>
      </c>
      <c r="L262" s="561" t="str">
        <f t="shared" ca="1" si="11"/>
        <v/>
      </c>
      <c r="M262" s="560" t="str">
        <f t="shared" si="2"/>
        <v/>
      </c>
      <c r="N262" s="560" t="str">
        <f t="shared" ca="1" si="3"/>
        <v/>
      </c>
      <c r="O262" s="636" t="str">
        <f t="shared" ca="1" si="12"/>
        <v/>
      </c>
      <c r="Q262" s="1133"/>
    </row>
    <row r="263" spans="2:17" x14ac:dyDescent="0.3">
      <c r="B263" s="126"/>
      <c r="C263" s="607">
        <v>30</v>
      </c>
      <c r="D263" s="561" t="str">
        <f t="shared" si="4"/>
        <v/>
      </c>
      <c r="E263" s="561" t="str">
        <f t="shared" si="5"/>
        <v/>
      </c>
      <c r="F263" s="561" t="str">
        <f t="shared" si="6"/>
        <v/>
      </c>
      <c r="G263" s="561" t="str">
        <f t="shared" si="1"/>
        <v/>
      </c>
      <c r="H263" s="561" t="str">
        <f t="shared" si="7"/>
        <v/>
      </c>
      <c r="I263" s="561" t="str">
        <f t="shared" ca="1" si="8"/>
        <v/>
      </c>
      <c r="J263" s="561" t="str">
        <f t="shared" ca="1" si="9"/>
        <v/>
      </c>
      <c r="K263" s="561" t="str">
        <f t="shared" ca="1" si="10"/>
        <v/>
      </c>
      <c r="L263" s="561" t="str">
        <f t="shared" ca="1" si="11"/>
        <v/>
      </c>
      <c r="M263" s="560" t="str">
        <f t="shared" si="2"/>
        <v/>
      </c>
      <c r="N263" s="560" t="str">
        <f t="shared" ca="1" si="3"/>
        <v/>
      </c>
      <c r="O263" s="636" t="str">
        <f t="shared" ca="1" si="12"/>
        <v/>
      </c>
      <c r="Q263" s="1133"/>
    </row>
    <row r="264" spans="2:17" x14ac:dyDescent="0.3">
      <c r="B264" s="126"/>
      <c r="C264" s="607">
        <v>31</v>
      </c>
      <c r="D264" s="561" t="str">
        <f t="shared" si="4"/>
        <v/>
      </c>
      <c r="E264" s="561" t="str">
        <f t="shared" si="5"/>
        <v/>
      </c>
      <c r="F264" s="561" t="str">
        <f t="shared" si="6"/>
        <v/>
      </c>
      <c r="G264" s="561" t="str">
        <f t="shared" si="1"/>
        <v/>
      </c>
      <c r="H264" s="561" t="str">
        <f t="shared" si="7"/>
        <v/>
      </c>
      <c r="I264" s="561" t="str">
        <f t="shared" ca="1" si="8"/>
        <v/>
      </c>
      <c r="J264" s="561" t="str">
        <f t="shared" ca="1" si="9"/>
        <v/>
      </c>
      <c r="K264" s="561" t="str">
        <f t="shared" ca="1" si="10"/>
        <v/>
      </c>
      <c r="L264" s="561" t="str">
        <f t="shared" ca="1" si="11"/>
        <v/>
      </c>
      <c r="M264" s="560" t="str">
        <f t="shared" si="2"/>
        <v/>
      </c>
      <c r="N264" s="560" t="str">
        <f t="shared" ca="1" si="3"/>
        <v/>
      </c>
      <c r="O264" s="636" t="str">
        <f t="shared" ca="1" si="12"/>
        <v/>
      </c>
      <c r="Q264" s="1133"/>
    </row>
    <row r="265" spans="2:17" x14ac:dyDescent="0.3">
      <c r="B265" s="126"/>
      <c r="C265" s="607">
        <v>32</v>
      </c>
      <c r="D265" s="561" t="str">
        <f t="shared" si="4"/>
        <v/>
      </c>
      <c r="E265" s="561" t="str">
        <f t="shared" si="5"/>
        <v/>
      </c>
      <c r="F265" s="561" t="str">
        <f t="shared" si="6"/>
        <v/>
      </c>
      <c r="G265" s="561" t="str">
        <f t="shared" si="1"/>
        <v/>
      </c>
      <c r="H265" s="561" t="str">
        <f t="shared" si="7"/>
        <v/>
      </c>
      <c r="I265" s="561" t="str">
        <f t="shared" ca="1" si="8"/>
        <v/>
      </c>
      <c r="J265" s="561" t="str">
        <f t="shared" ca="1" si="9"/>
        <v/>
      </c>
      <c r="K265" s="561" t="str">
        <f t="shared" ca="1" si="10"/>
        <v/>
      </c>
      <c r="L265" s="561" t="str">
        <f t="shared" ca="1" si="11"/>
        <v/>
      </c>
      <c r="M265" s="560" t="str">
        <f t="shared" si="2"/>
        <v/>
      </c>
      <c r="N265" s="560" t="str">
        <f t="shared" ca="1" si="3"/>
        <v/>
      </c>
      <c r="O265" s="636" t="str">
        <f t="shared" ca="1" si="12"/>
        <v/>
      </c>
      <c r="Q265" s="1133"/>
    </row>
    <row r="266" spans="2:17" x14ac:dyDescent="0.3">
      <c r="B266" s="126"/>
      <c r="C266" s="607">
        <v>33</v>
      </c>
      <c r="D266" s="561" t="str">
        <f t="shared" si="4"/>
        <v/>
      </c>
      <c r="E266" s="561" t="str">
        <f t="shared" si="5"/>
        <v/>
      </c>
      <c r="F266" s="561" t="str">
        <f t="shared" si="6"/>
        <v/>
      </c>
      <c r="G266" s="561" t="str">
        <f t="shared" si="1"/>
        <v/>
      </c>
      <c r="H266" s="561" t="str">
        <f t="shared" si="7"/>
        <v/>
      </c>
      <c r="I266" s="561" t="str">
        <f t="shared" ca="1" si="8"/>
        <v/>
      </c>
      <c r="J266" s="561" t="str">
        <f t="shared" ca="1" si="9"/>
        <v/>
      </c>
      <c r="K266" s="561" t="str">
        <f t="shared" ca="1" si="10"/>
        <v/>
      </c>
      <c r="L266" s="561" t="str">
        <f t="shared" ca="1" si="11"/>
        <v/>
      </c>
      <c r="M266" s="560" t="str">
        <f t="shared" si="2"/>
        <v/>
      </c>
      <c r="N266" s="560" t="str">
        <f t="shared" ca="1" si="3"/>
        <v/>
      </c>
      <c r="O266" s="636" t="str">
        <f t="shared" ca="1" si="12"/>
        <v/>
      </c>
      <c r="Q266" s="1133"/>
    </row>
    <row r="267" spans="2:17" x14ac:dyDescent="0.3">
      <c r="B267" s="126"/>
      <c r="C267" s="607">
        <v>34</v>
      </c>
      <c r="D267" s="561" t="str">
        <f t="shared" si="4"/>
        <v/>
      </c>
      <c r="E267" s="561" t="str">
        <f t="shared" si="5"/>
        <v/>
      </c>
      <c r="F267" s="561" t="str">
        <f t="shared" si="6"/>
        <v/>
      </c>
      <c r="G267" s="561" t="str">
        <f t="shared" si="1"/>
        <v/>
      </c>
      <c r="H267" s="561" t="str">
        <f t="shared" si="7"/>
        <v/>
      </c>
      <c r="I267" s="561" t="str">
        <f t="shared" ca="1" si="8"/>
        <v/>
      </c>
      <c r="J267" s="561" t="str">
        <f t="shared" ca="1" si="9"/>
        <v/>
      </c>
      <c r="K267" s="561" t="str">
        <f t="shared" ca="1" si="10"/>
        <v/>
      </c>
      <c r="L267" s="561" t="str">
        <f t="shared" ca="1" si="11"/>
        <v/>
      </c>
      <c r="M267" s="560" t="str">
        <f t="shared" si="2"/>
        <v/>
      </c>
      <c r="N267" s="560" t="str">
        <f t="shared" ca="1" si="3"/>
        <v/>
      </c>
      <c r="O267" s="636" t="str">
        <f t="shared" ca="1" si="12"/>
        <v/>
      </c>
      <c r="Q267" s="1133"/>
    </row>
    <row r="268" spans="2:17" x14ac:dyDescent="0.3">
      <c r="B268" s="126"/>
      <c r="C268" s="607">
        <v>35</v>
      </c>
      <c r="D268" s="561" t="str">
        <f t="shared" si="4"/>
        <v/>
      </c>
      <c r="E268" s="561" t="str">
        <f t="shared" si="5"/>
        <v/>
      </c>
      <c r="F268" s="561" t="str">
        <f t="shared" si="6"/>
        <v/>
      </c>
      <c r="G268" s="561" t="str">
        <f t="shared" si="1"/>
        <v/>
      </c>
      <c r="H268" s="561" t="str">
        <f t="shared" si="7"/>
        <v/>
      </c>
      <c r="I268" s="561" t="str">
        <f t="shared" ca="1" si="8"/>
        <v/>
      </c>
      <c r="J268" s="561" t="str">
        <f t="shared" ca="1" si="9"/>
        <v/>
      </c>
      <c r="K268" s="561" t="str">
        <f t="shared" ca="1" si="10"/>
        <v/>
      </c>
      <c r="L268" s="561" t="str">
        <f t="shared" ca="1" si="11"/>
        <v/>
      </c>
      <c r="M268" s="560" t="str">
        <f t="shared" si="2"/>
        <v/>
      </c>
      <c r="N268" s="560" t="str">
        <f t="shared" ca="1" si="3"/>
        <v/>
      </c>
      <c r="O268" s="636" t="str">
        <f t="shared" ca="1" si="12"/>
        <v/>
      </c>
      <c r="Q268" s="1133"/>
    </row>
    <row r="269" spans="2:17" x14ac:dyDescent="0.3">
      <c r="B269" s="126"/>
      <c r="C269" s="607">
        <v>36</v>
      </c>
      <c r="D269" s="561" t="str">
        <f t="shared" si="4"/>
        <v/>
      </c>
      <c r="E269" s="561" t="str">
        <f t="shared" si="5"/>
        <v/>
      </c>
      <c r="F269" s="561" t="str">
        <f t="shared" si="6"/>
        <v/>
      </c>
      <c r="G269" s="561" t="str">
        <f t="shared" si="1"/>
        <v/>
      </c>
      <c r="H269" s="561" t="str">
        <f t="shared" si="7"/>
        <v/>
      </c>
      <c r="I269" s="561" t="str">
        <f t="shared" ca="1" si="8"/>
        <v/>
      </c>
      <c r="J269" s="561" t="str">
        <f t="shared" ca="1" si="9"/>
        <v/>
      </c>
      <c r="K269" s="561" t="str">
        <f t="shared" ca="1" si="10"/>
        <v/>
      </c>
      <c r="L269" s="561" t="str">
        <f t="shared" ca="1" si="11"/>
        <v/>
      </c>
      <c r="M269" s="560" t="str">
        <f t="shared" si="2"/>
        <v/>
      </c>
      <c r="N269" s="560" t="str">
        <f t="shared" ca="1" si="3"/>
        <v/>
      </c>
      <c r="O269" s="636" t="str">
        <f t="shared" ca="1" si="12"/>
        <v/>
      </c>
      <c r="Q269" s="1133"/>
    </row>
    <row r="270" spans="2:17" x14ac:dyDescent="0.3">
      <c r="B270" s="126"/>
      <c r="C270" s="607">
        <v>37</v>
      </c>
      <c r="D270" s="561" t="str">
        <f t="shared" si="4"/>
        <v/>
      </c>
      <c r="E270" s="561" t="str">
        <f t="shared" si="5"/>
        <v/>
      </c>
      <c r="F270" s="561" t="str">
        <f t="shared" si="6"/>
        <v/>
      </c>
      <c r="G270" s="561" t="str">
        <f t="shared" si="1"/>
        <v/>
      </c>
      <c r="H270" s="561" t="str">
        <f t="shared" si="7"/>
        <v/>
      </c>
      <c r="I270" s="561" t="str">
        <f t="shared" ca="1" si="8"/>
        <v/>
      </c>
      <c r="J270" s="561" t="str">
        <f t="shared" ca="1" si="9"/>
        <v/>
      </c>
      <c r="K270" s="561" t="str">
        <f t="shared" ca="1" si="10"/>
        <v/>
      </c>
      <c r="L270" s="561" t="str">
        <f t="shared" ca="1" si="11"/>
        <v/>
      </c>
      <c r="M270" s="560" t="str">
        <f t="shared" si="2"/>
        <v/>
      </c>
      <c r="N270" s="560" t="str">
        <f t="shared" ca="1" si="3"/>
        <v/>
      </c>
      <c r="O270" s="636" t="str">
        <f t="shared" ca="1" si="12"/>
        <v/>
      </c>
      <c r="Q270" s="1133"/>
    </row>
    <row r="271" spans="2:17" x14ac:dyDescent="0.3">
      <c r="B271" s="126"/>
      <c r="C271" s="607">
        <v>38</v>
      </c>
      <c r="D271" s="561" t="str">
        <f t="shared" si="4"/>
        <v/>
      </c>
      <c r="E271" s="561" t="str">
        <f t="shared" si="5"/>
        <v/>
      </c>
      <c r="F271" s="561" t="str">
        <f t="shared" si="6"/>
        <v/>
      </c>
      <c r="G271" s="561" t="str">
        <f t="shared" si="1"/>
        <v/>
      </c>
      <c r="H271" s="561" t="str">
        <f t="shared" si="7"/>
        <v/>
      </c>
      <c r="I271" s="561" t="str">
        <f t="shared" ca="1" si="8"/>
        <v/>
      </c>
      <c r="J271" s="561" t="str">
        <f t="shared" ca="1" si="9"/>
        <v/>
      </c>
      <c r="K271" s="561" t="str">
        <f t="shared" ca="1" si="10"/>
        <v/>
      </c>
      <c r="L271" s="561" t="str">
        <f t="shared" ca="1" si="11"/>
        <v/>
      </c>
      <c r="M271" s="560" t="str">
        <f t="shared" si="2"/>
        <v/>
      </c>
      <c r="N271" s="560" t="str">
        <f t="shared" ca="1" si="3"/>
        <v/>
      </c>
      <c r="O271" s="636" t="str">
        <f t="shared" ca="1" si="12"/>
        <v/>
      </c>
      <c r="Q271" s="1133"/>
    </row>
    <row r="272" spans="2:17" x14ac:dyDescent="0.3">
      <c r="B272" s="126"/>
      <c r="C272" s="607">
        <v>39</v>
      </c>
      <c r="D272" s="561" t="str">
        <f t="shared" si="4"/>
        <v/>
      </c>
      <c r="E272" s="561" t="str">
        <f t="shared" si="5"/>
        <v/>
      </c>
      <c r="F272" s="561" t="str">
        <f t="shared" si="6"/>
        <v/>
      </c>
      <c r="G272" s="561" t="str">
        <f t="shared" si="1"/>
        <v/>
      </c>
      <c r="H272" s="561" t="str">
        <f t="shared" si="7"/>
        <v/>
      </c>
      <c r="I272" s="561" t="str">
        <f t="shared" ca="1" si="8"/>
        <v/>
      </c>
      <c r="J272" s="561" t="str">
        <f t="shared" ca="1" si="9"/>
        <v/>
      </c>
      <c r="K272" s="561" t="str">
        <f t="shared" ca="1" si="10"/>
        <v/>
      </c>
      <c r="L272" s="561" t="str">
        <f t="shared" ca="1" si="11"/>
        <v/>
      </c>
      <c r="M272" s="560" t="str">
        <f t="shared" si="2"/>
        <v/>
      </c>
      <c r="N272" s="560" t="str">
        <f t="shared" ca="1" si="3"/>
        <v/>
      </c>
      <c r="O272" s="636" t="str">
        <f t="shared" ca="1" si="12"/>
        <v/>
      </c>
      <c r="Q272" s="1133"/>
    </row>
    <row r="273" spans="2:17" x14ac:dyDescent="0.3">
      <c r="B273" s="126"/>
      <c r="C273" s="607">
        <v>40</v>
      </c>
      <c r="D273" s="561" t="str">
        <f t="shared" si="4"/>
        <v/>
      </c>
      <c r="E273" s="561" t="str">
        <f t="shared" si="5"/>
        <v/>
      </c>
      <c r="F273" s="561" t="str">
        <f t="shared" si="6"/>
        <v/>
      </c>
      <c r="G273" s="561" t="str">
        <f t="shared" si="1"/>
        <v/>
      </c>
      <c r="H273" s="561" t="str">
        <f t="shared" si="7"/>
        <v/>
      </c>
      <c r="I273" s="561" t="str">
        <f t="shared" ca="1" si="8"/>
        <v/>
      </c>
      <c r="J273" s="561" t="str">
        <f t="shared" ca="1" si="9"/>
        <v/>
      </c>
      <c r="K273" s="561" t="str">
        <f t="shared" ca="1" si="10"/>
        <v/>
      </c>
      <c r="L273" s="561" t="str">
        <f t="shared" ca="1" si="11"/>
        <v/>
      </c>
      <c r="M273" s="560" t="str">
        <f t="shared" si="2"/>
        <v/>
      </c>
      <c r="N273" s="560" t="str">
        <f t="shared" ca="1" si="3"/>
        <v/>
      </c>
      <c r="O273" s="636" t="str">
        <f t="shared" ca="1" si="12"/>
        <v/>
      </c>
      <c r="Q273" s="1133"/>
    </row>
    <row r="274" spans="2:17" x14ac:dyDescent="0.3">
      <c r="B274" s="126"/>
      <c r="C274" s="607">
        <v>41</v>
      </c>
      <c r="D274" s="561" t="str">
        <f t="shared" si="4"/>
        <v/>
      </c>
      <c r="E274" s="561" t="str">
        <f t="shared" si="5"/>
        <v/>
      </c>
      <c r="F274" s="561" t="str">
        <f t="shared" si="6"/>
        <v/>
      </c>
      <c r="G274" s="561" t="str">
        <f t="shared" si="1"/>
        <v/>
      </c>
      <c r="H274" s="561" t="str">
        <f t="shared" si="7"/>
        <v/>
      </c>
      <c r="I274" s="561" t="str">
        <f t="shared" ca="1" si="8"/>
        <v/>
      </c>
      <c r="J274" s="561" t="str">
        <f t="shared" ca="1" si="9"/>
        <v/>
      </c>
      <c r="K274" s="561" t="str">
        <f t="shared" ca="1" si="10"/>
        <v/>
      </c>
      <c r="L274" s="561" t="str">
        <f t="shared" ca="1" si="11"/>
        <v/>
      </c>
      <c r="M274" s="560" t="str">
        <f t="shared" si="2"/>
        <v/>
      </c>
      <c r="N274" s="560" t="str">
        <f t="shared" ca="1" si="3"/>
        <v/>
      </c>
      <c r="O274" s="636" t="str">
        <f t="shared" ca="1" si="12"/>
        <v/>
      </c>
      <c r="Q274" s="1133"/>
    </row>
    <row r="275" spans="2:17" x14ac:dyDescent="0.3">
      <c r="B275" s="126"/>
      <c r="C275" s="607">
        <v>42</v>
      </c>
      <c r="D275" s="561" t="str">
        <f t="shared" si="4"/>
        <v/>
      </c>
      <c r="E275" s="561" t="str">
        <f t="shared" si="5"/>
        <v/>
      </c>
      <c r="F275" s="561" t="str">
        <f t="shared" si="6"/>
        <v/>
      </c>
      <c r="G275" s="561" t="str">
        <f t="shared" si="1"/>
        <v/>
      </c>
      <c r="H275" s="561" t="str">
        <f t="shared" si="7"/>
        <v/>
      </c>
      <c r="I275" s="561" t="str">
        <f t="shared" ca="1" si="8"/>
        <v/>
      </c>
      <c r="J275" s="561" t="str">
        <f t="shared" ca="1" si="9"/>
        <v/>
      </c>
      <c r="K275" s="561" t="str">
        <f t="shared" ca="1" si="10"/>
        <v/>
      </c>
      <c r="L275" s="561" t="str">
        <f t="shared" ca="1" si="11"/>
        <v/>
      </c>
      <c r="M275" s="560" t="str">
        <f t="shared" si="2"/>
        <v/>
      </c>
      <c r="N275" s="560" t="str">
        <f t="shared" ca="1" si="3"/>
        <v/>
      </c>
      <c r="O275" s="636" t="str">
        <f t="shared" ca="1" si="12"/>
        <v/>
      </c>
      <c r="Q275" s="1133"/>
    </row>
    <row r="276" spans="2:17" x14ac:dyDescent="0.3">
      <c r="B276" s="126"/>
      <c r="C276" s="607">
        <v>43</v>
      </c>
      <c r="D276" s="561" t="str">
        <f t="shared" si="4"/>
        <v/>
      </c>
      <c r="E276" s="561" t="str">
        <f t="shared" si="5"/>
        <v/>
      </c>
      <c r="F276" s="561" t="str">
        <f t="shared" si="6"/>
        <v/>
      </c>
      <c r="G276" s="561" t="str">
        <f t="shared" si="1"/>
        <v/>
      </c>
      <c r="H276" s="561" t="str">
        <f t="shared" si="7"/>
        <v/>
      </c>
      <c r="I276" s="561" t="str">
        <f t="shared" ca="1" si="8"/>
        <v/>
      </c>
      <c r="J276" s="561" t="str">
        <f t="shared" ca="1" si="9"/>
        <v/>
      </c>
      <c r="K276" s="561" t="str">
        <f t="shared" ca="1" si="10"/>
        <v/>
      </c>
      <c r="L276" s="561" t="str">
        <f t="shared" ca="1" si="11"/>
        <v/>
      </c>
      <c r="M276" s="560" t="str">
        <f t="shared" si="2"/>
        <v/>
      </c>
      <c r="N276" s="560" t="str">
        <f t="shared" ca="1" si="3"/>
        <v/>
      </c>
      <c r="O276" s="636" t="str">
        <f t="shared" ca="1" si="12"/>
        <v/>
      </c>
      <c r="Q276" s="1133"/>
    </row>
    <row r="277" spans="2:17" x14ac:dyDescent="0.3">
      <c r="B277" s="126"/>
      <c r="C277" s="607">
        <v>44</v>
      </c>
      <c r="D277" s="561" t="str">
        <f t="shared" si="4"/>
        <v/>
      </c>
      <c r="E277" s="561" t="str">
        <f t="shared" si="5"/>
        <v/>
      </c>
      <c r="F277" s="561" t="str">
        <f t="shared" si="6"/>
        <v/>
      </c>
      <c r="G277" s="561" t="str">
        <f t="shared" si="1"/>
        <v/>
      </c>
      <c r="H277" s="561" t="str">
        <f t="shared" si="7"/>
        <v/>
      </c>
      <c r="I277" s="561" t="str">
        <f t="shared" ca="1" si="8"/>
        <v/>
      </c>
      <c r="J277" s="561" t="str">
        <f t="shared" ca="1" si="9"/>
        <v/>
      </c>
      <c r="K277" s="561" t="str">
        <f t="shared" ca="1" si="10"/>
        <v/>
      </c>
      <c r="L277" s="561" t="str">
        <f t="shared" ca="1" si="11"/>
        <v/>
      </c>
      <c r="M277" s="560" t="str">
        <f t="shared" si="2"/>
        <v/>
      </c>
      <c r="N277" s="560" t="str">
        <f t="shared" ca="1" si="3"/>
        <v/>
      </c>
      <c r="O277" s="636" t="str">
        <f t="shared" ca="1" si="12"/>
        <v/>
      </c>
      <c r="Q277" s="1133"/>
    </row>
    <row r="278" spans="2:17" x14ac:dyDescent="0.3">
      <c r="B278" s="126"/>
      <c r="C278" s="607">
        <v>45</v>
      </c>
      <c r="D278" s="561" t="str">
        <f t="shared" si="4"/>
        <v/>
      </c>
      <c r="E278" s="561" t="str">
        <f t="shared" si="5"/>
        <v/>
      </c>
      <c r="F278" s="561" t="str">
        <f t="shared" si="6"/>
        <v/>
      </c>
      <c r="G278" s="561" t="str">
        <f t="shared" si="1"/>
        <v/>
      </c>
      <c r="H278" s="561" t="str">
        <f t="shared" si="7"/>
        <v/>
      </c>
      <c r="I278" s="561" t="str">
        <f t="shared" ca="1" si="8"/>
        <v/>
      </c>
      <c r="J278" s="561" t="str">
        <f t="shared" ca="1" si="9"/>
        <v/>
      </c>
      <c r="K278" s="561" t="str">
        <f t="shared" ca="1" si="10"/>
        <v/>
      </c>
      <c r="L278" s="561" t="str">
        <f t="shared" ca="1" si="11"/>
        <v/>
      </c>
      <c r="M278" s="560" t="str">
        <f t="shared" si="2"/>
        <v/>
      </c>
      <c r="N278" s="560" t="str">
        <f t="shared" ca="1" si="3"/>
        <v/>
      </c>
      <c r="O278" s="636" t="str">
        <f t="shared" ca="1" si="12"/>
        <v/>
      </c>
      <c r="Q278" s="1133"/>
    </row>
    <row r="279" spans="2:17" x14ac:dyDescent="0.3">
      <c r="B279" s="126"/>
      <c r="C279" s="607">
        <v>46</v>
      </c>
      <c r="D279" s="561" t="str">
        <f t="shared" si="4"/>
        <v/>
      </c>
      <c r="E279" s="561" t="str">
        <f t="shared" si="5"/>
        <v/>
      </c>
      <c r="F279" s="561" t="str">
        <f t="shared" si="6"/>
        <v/>
      </c>
      <c r="G279" s="561" t="str">
        <f t="shared" si="1"/>
        <v/>
      </c>
      <c r="H279" s="561" t="str">
        <f t="shared" si="7"/>
        <v/>
      </c>
      <c r="I279" s="561" t="str">
        <f t="shared" ca="1" si="8"/>
        <v/>
      </c>
      <c r="J279" s="561" t="str">
        <f t="shared" ca="1" si="9"/>
        <v/>
      </c>
      <c r="K279" s="561" t="str">
        <f t="shared" ca="1" si="10"/>
        <v/>
      </c>
      <c r="L279" s="561" t="str">
        <f t="shared" ca="1" si="11"/>
        <v/>
      </c>
      <c r="M279" s="560" t="str">
        <f t="shared" si="2"/>
        <v/>
      </c>
      <c r="N279" s="560" t="str">
        <f t="shared" ca="1" si="3"/>
        <v/>
      </c>
      <c r="O279" s="636" t="str">
        <f t="shared" ca="1" si="12"/>
        <v/>
      </c>
      <c r="Q279" s="1133"/>
    </row>
    <row r="280" spans="2:17" x14ac:dyDescent="0.3">
      <c r="B280" s="126"/>
      <c r="C280" s="607">
        <v>47</v>
      </c>
      <c r="D280" s="561" t="str">
        <f t="shared" si="4"/>
        <v/>
      </c>
      <c r="E280" s="561" t="str">
        <f t="shared" si="5"/>
        <v/>
      </c>
      <c r="F280" s="561" t="str">
        <f t="shared" si="6"/>
        <v/>
      </c>
      <c r="G280" s="561" t="str">
        <f t="shared" si="1"/>
        <v/>
      </c>
      <c r="H280" s="561" t="str">
        <f t="shared" si="7"/>
        <v/>
      </c>
      <c r="I280" s="561" t="str">
        <f t="shared" ca="1" si="8"/>
        <v/>
      </c>
      <c r="J280" s="561" t="str">
        <f t="shared" ca="1" si="9"/>
        <v/>
      </c>
      <c r="K280" s="561" t="str">
        <f t="shared" ca="1" si="10"/>
        <v/>
      </c>
      <c r="L280" s="561" t="str">
        <f t="shared" ca="1" si="11"/>
        <v/>
      </c>
      <c r="M280" s="560" t="str">
        <f t="shared" si="2"/>
        <v/>
      </c>
      <c r="N280" s="560" t="str">
        <f t="shared" ca="1" si="3"/>
        <v/>
      </c>
      <c r="O280" s="636" t="str">
        <f t="shared" ca="1" si="12"/>
        <v/>
      </c>
      <c r="Q280" s="1133"/>
    </row>
    <row r="281" spans="2:17" x14ac:dyDescent="0.3">
      <c r="B281" s="126"/>
      <c r="C281" s="607">
        <v>48</v>
      </c>
      <c r="D281" s="561" t="str">
        <f t="shared" si="4"/>
        <v/>
      </c>
      <c r="E281" s="561" t="str">
        <f t="shared" si="5"/>
        <v/>
      </c>
      <c r="F281" s="561" t="str">
        <f t="shared" si="6"/>
        <v/>
      </c>
      <c r="G281" s="561" t="str">
        <f t="shared" si="1"/>
        <v/>
      </c>
      <c r="H281" s="561" t="str">
        <f t="shared" si="7"/>
        <v/>
      </c>
      <c r="I281" s="561" t="str">
        <f t="shared" ca="1" si="8"/>
        <v/>
      </c>
      <c r="J281" s="561" t="str">
        <f t="shared" ca="1" si="9"/>
        <v/>
      </c>
      <c r="K281" s="561" t="str">
        <f t="shared" ca="1" si="10"/>
        <v/>
      </c>
      <c r="L281" s="561" t="str">
        <f t="shared" ca="1" si="11"/>
        <v/>
      </c>
      <c r="M281" s="560" t="str">
        <f t="shared" si="2"/>
        <v/>
      </c>
      <c r="N281" s="560" t="str">
        <f t="shared" ca="1" si="3"/>
        <v/>
      </c>
      <c r="O281" s="636" t="str">
        <f t="shared" ca="1" si="12"/>
        <v/>
      </c>
      <c r="Q281" s="1133"/>
    </row>
    <row r="282" spans="2:17" x14ac:dyDescent="0.3">
      <c r="B282" s="126"/>
      <c r="C282" s="607">
        <v>49</v>
      </c>
      <c r="D282" s="561" t="str">
        <f t="shared" si="4"/>
        <v/>
      </c>
      <c r="E282" s="561" t="str">
        <f t="shared" si="5"/>
        <v/>
      </c>
      <c r="F282" s="561" t="str">
        <f t="shared" si="6"/>
        <v/>
      </c>
      <c r="G282" s="561" t="str">
        <f t="shared" si="1"/>
        <v/>
      </c>
      <c r="H282" s="561" t="str">
        <f t="shared" si="7"/>
        <v/>
      </c>
      <c r="I282" s="561" t="str">
        <f t="shared" ca="1" si="8"/>
        <v/>
      </c>
      <c r="J282" s="561" t="str">
        <f t="shared" ca="1" si="9"/>
        <v/>
      </c>
      <c r="K282" s="561" t="str">
        <f t="shared" ca="1" si="10"/>
        <v/>
      </c>
      <c r="L282" s="561" t="str">
        <f t="shared" ca="1" si="11"/>
        <v/>
      </c>
      <c r="M282" s="560" t="str">
        <f t="shared" si="2"/>
        <v/>
      </c>
      <c r="N282" s="560" t="str">
        <f t="shared" ca="1" si="3"/>
        <v/>
      </c>
      <c r="O282" s="636" t="str">
        <f t="shared" ca="1" si="12"/>
        <v/>
      </c>
      <c r="Q282" s="1133"/>
    </row>
    <row r="283" spans="2:17" x14ac:dyDescent="0.3">
      <c r="B283" s="126"/>
      <c r="C283" s="607">
        <v>50</v>
      </c>
      <c r="D283" s="561" t="str">
        <f t="shared" si="4"/>
        <v/>
      </c>
      <c r="E283" s="561" t="str">
        <f t="shared" si="5"/>
        <v/>
      </c>
      <c r="F283" s="561" t="str">
        <f t="shared" si="6"/>
        <v/>
      </c>
      <c r="G283" s="561" t="str">
        <f t="shared" si="1"/>
        <v/>
      </c>
      <c r="H283" s="561" t="str">
        <f t="shared" si="7"/>
        <v/>
      </c>
      <c r="I283" s="561" t="str">
        <f t="shared" ca="1" si="8"/>
        <v/>
      </c>
      <c r="J283" s="561" t="str">
        <f t="shared" ca="1" si="9"/>
        <v/>
      </c>
      <c r="K283" s="561" t="str">
        <f t="shared" ca="1" si="10"/>
        <v/>
      </c>
      <c r="L283" s="561" t="str">
        <f t="shared" ca="1" si="11"/>
        <v/>
      </c>
      <c r="M283" s="560" t="str">
        <f t="shared" si="2"/>
        <v/>
      </c>
      <c r="N283" s="560" t="str">
        <f t="shared" ca="1" si="3"/>
        <v/>
      </c>
      <c r="O283" s="636" t="str">
        <f t="shared" ca="1" si="12"/>
        <v/>
      </c>
      <c r="Q283" s="1133"/>
    </row>
    <row r="284" spans="2:17" x14ac:dyDescent="0.3">
      <c r="B284" s="126"/>
      <c r="C284" s="607">
        <v>51</v>
      </c>
      <c r="D284" s="561" t="str">
        <f t="shared" si="4"/>
        <v/>
      </c>
      <c r="E284" s="561" t="str">
        <f t="shared" si="5"/>
        <v/>
      </c>
      <c r="F284" s="561" t="str">
        <f t="shared" si="6"/>
        <v/>
      </c>
      <c r="G284" s="561" t="str">
        <f t="shared" si="1"/>
        <v/>
      </c>
      <c r="H284" s="561" t="str">
        <f t="shared" si="7"/>
        <v/>
      </c>
      <c r="I284" s="561" t="str">
        <f t="shared" ca="1" si="8"/>
        <v/>
      </c>
      <c r="J284" s="561" t="str">
        <f t="shared" ca="1" si="9"/>
        <v/>
      </c>
      <c r="K284" s="561" t="str">
        <f t="shared" ca="1" si="10"/>
        <v/>
      </c>
      <c r="L284" s="561" t="str">
        <f t="shared" ca="1" si="11"/>
        <v/>
      </c>
      <c r="M284" s="560" t="str">
        <f t="shared" si="2"/>
        <v/>
      </c>
      <c r="N284" s="560" t="str">
        <f t="shared" ca="1" si="3"/>
        <v/>
      </c>
      <c r="O284" s="636" t="str">
        <f t="shared" ca="1" si="12"/>
        <v/>
      </c>
      <c r="Q284" s="1133"/>
    </row>
    <row r="285" spans="2:17" x14ac:dyDescent="0.3">
      <c r="B285" s="126"/>
      <c r="C285" s="607">
        <v>52</v>
      </c>
      <c r="D285" s="561" t="str">
        <f t="shared" si="4"/>
        <v/>
      </c>
      <c r="E285" s="561" t="str">
        <f t="shared" si="5"/>
        <v/>
      </c>
      <c r="F285" s="561" t="str">
        <f t="shared" si="6"/>
        <v/>
      </c>
      <c r="G285" s="561" t="str">
        <f t="shared" si="1"/>
        <v/>
      </c>
      <c r="H285" s="561" t="str">
        <f t="shared" si="7"/>
        <v/>
      </c>
      <c r="I285" s="561" t="str">
        <f t="shared" ca="1" si="8"/>
        <v/>
      </c>
      <c r="J285" s="561" t="str">
        <f t="shared" ca="1" si="9"/>
        <v/>
      </c>
      <c r="K285" s="561" t="str">
        <f t="shared" ca="1" si="10"/>
        <v/>
      </c>
      <c r="L285" s="561" t="str">
        <f t="shared" ca="1" si="11"/>
        <v/>
      </c>
      <c r="M285" s="560" t="str">
        <f t="shared" si="2"/>
        <v/>
      </c>
      <c r="N285" s="560" t="str">
        <f t="shared" ca="1" si="3"/>
        <v/>
      </c>
      <c r="O285" s="636" t="str">
        <f t="shared" ca="1" si="12"/>
        <v/>
      </c>
      <c r="Q285" s="1133"/>
    </row>
    <row r="286" spans="2:17" x14ac:dyDescent="0.3">
      <c r="B286" s="126"/>
      <c r="C286" s="607">
        <v>53</v>
      </c>
      <c r="D286" s="561" t="str">
        <f t="shared" si="4"/>
        <v/>
      </c>
      <c r="E286" s="561" t="str">
        <f t="shared" si="5"/>
        <v/>
      </c>
      <c r="F286" s="561" t="str">
        <f t="shared" si="6"/>
        <v/>
      </c>
      <c r="G286" s="561" t="str">
        <f t="shared" si="1"/>
        <v/>
      </c>
      <c r="H286" s="561" t="str">
        <f t="shared" si="7"/>
        <v/>
      </c>
      <c r="I286" s="561" t="str">
        <f t="shared" ca="1" si="8"/>
        <v/>
      </c>
      <c r="J286" s="561" t="str">
        <f t="shared" ca="1" si="9"/>
        <v/>
      </c>
      <c r="K286" s="561" t="str">
        <f t="shared" ca="1" si="10"/>
        <v/>
      </c>
      <c r="L286" s="561" t="str">
        <f t="shared" ca="1" si="11"/>
        <v/>
      </c>
      <c r="M286" s="560" t="str">
        <f t="shared" si="2"/>
        <v/>
      </c>
      <c r="N286" s="560" t="str">
        <f t="shared" ca="1" si="3"/>
        <v/>
      </c>
      <c r="O286" s="636" t="str">
        <f t="shared" ca="1" si="12"/>
        <v/>
      </c>
      <c r="Q286" s="1133"/>
    </row>
    <row r="287" spans="2:17" x14ac:dyDescent="0.3">
      <c r="B287" s="126"/>
      <c r="C287" s="607">
        <v>54</v>
      </c>
      <c r="D287" s="561" t="str">
        <f t="shared" si="4"/>
        <v/>
      </c>
      <c r="E287" s="561" t="str">
        <f t="shared" si="5"/>
        <v/>
      </c>
      <c r="F287" s="561" t="str">
        <f t="shared" si="6"/>
        <v/>
      </c>
      <c r="G287" s="561" t="str">
        <f t="shared" si="1"/>
        <v/>
      </c>
      <c r="H287" s="561" t="str">
        <f t="shared" si="7"/>
        <v/>
      </c>
      <c r="I287" s="561" t="str">
        <f t="shared" ca="1" si="8"/>
        <v/>
      </c>
      <c r="J287" s="561" t="str">
        <f t="shared" ca="1" si="9"/>
        <v/>
      </c>
      <c r="K287" s="561" t="str">
        <f t="shared" ca="1" si="10"/>
        <v/>
      </c>
      <c r="L287" s="561" t="str">
        <f t="shared" ca="1" si="11"/>
        <v/>
      </c>
      <c r="M287" s="560" t="str">
        <f t="shared" si="2"/>
        <v/>
      </c>
      <c r="N287" s="560" t="str">
        <f t="shared" ca="1" si="3"/>
        <v/>
      </c>
      <c r="O287" s="636" t="str">
        <f t="shared" ca="1" si="12"/>
        <v/>
      </c>
      <c r="Q287" s="1133"/>
    </row>
    <row r="288" spans="2:17" x14ac:dyDescent="0.3">
      <c r="B288" s="126"/>
      <c r="C288" s="607">
        <v>55</v>
      </c>
      <c r="D288" s="561" t="str">
        <f t="shared" si="4"/>
        <v/>
      </c>
      <c r="E288" s="561" t="str">
        <f t="shared" si="5"/>
        <v/>
      </c>
      <c r="F288" s="561" t="str">
        <f t="shared" si="6"/>
        <v/>
      </c>
      <c r="G288" s="561" t="str">
        <f t="shared" si="1"/>
        <v/>
      </c>
      <c r="H288" s="561" t="str">
        <f t="shared" si="7"/>
        <v/>
      </c>
      <c r="I288" s="561" t="str">
        <f t="shared" ca="1" si="8"/>
        <v/>
      </c>
      <c r="J288" s="561" t="str">
        <f t="shared" ca="1" si="9"/>
        <v/>
      </c>
      <c r="K288" s="561" t="str">
        <f t="shared" ca="1" si="10"/>
        <v/>
      </c>
      <c r="L288" s="561" t="str">
        <f t="shared" ca="1" si="11"/>
        <v/>
      </c>
      <c r="M288" s="560" t="str">
        <f t="shared" si="2"/>
        <v/>
      </c>
      <c r="N288" s="560" t="str">
        <f t="shared" ca="1" si="3"/>
        <v/>
      </c>
      <c r="O288" s="636" t="str">
        <f t="shared" ca="1" si="12"/>
        <v/>
      </c>
      <c r="Q288" s="1133"/>
    </row>
    <row r="289" spans="2:17" x14ac:dyDescent="0.3">
      <c r="B289" s="126"/>
      <c r="C289" s="607">
        <v>56</v>
      </c>
      <c r="D289" s="561" t="str">
        <f t="shared" si="4"/>
        <v/>
      </c>
      <c r="E289" s="561" t="str">
        <f t="shared" si="5"/>
        <v/>
      </c>
      <c r="F289" s="561" t="str">
        <f t="shared" si="6"/>
        <v/>
      </c>
      <c r="G289" s="561" t="str">
        <f t="shared" si="1"/>
        <v/>
      </c>
      <c r="H289" s="561" t="str">
        <f t="shared" si="7"/>
        <v/>
      </c>
      <c r="I289" s="561" t="str">
        <f t="shared" ca="1" si="8"/>
        <v/>
      </c>
      <c r="J289" s="561" t="str">
        <f t="shared" ca="1" si="9"/>
        <v/>
      </c>
      <c r="K289" s="561" t="str">
        <f t="shared" ca="1" si="10"/>
        <v/>
      </c>
      <c r="L289" s="561" t="str">
        <f t="shared" ca="1" si="11"/>
        <v/>
      </c>
      <c r="M289" s="560" t="str">
        <f t="shared" si="2"/>
        <v/>
      </c>
      <c r="N289" s="560" t="str">
        <f t="shared" ca="1" si="3"/>
        <v/>
      </c>
      <c r="O289" s="636" t="str">
        <f t="shared" ca="1" si="12"/>
        <v/>
      </c>
      <c r="Q289" s="1133"/>
    </row>
    <row r="290" spans="2:17" x14ac:dyDescent="0.3">
      <c r="B290" s="126"/>
      <c r="C290" s="607">
        <v>57</v>
      </c>
      <c r="D290" s="561" t="str">
        <f t="shared" si="4"/>
        <v/>
      </c>
      <c r="E290" s="561" t="str">
        <f t="shared" si="5"/>
        <v/>
      </c>
      <c r="F290" s="561" t="str">
        <f t="shared" si="6"/>
        <v/>
      </c>
      <c r="G290" s="561" t="str">
        <f t="shared" si="1"/>
        <v/>
      </c>
      <c r="H290" s="561" t="str">
        <f t="shared" si="7"/>
        <v/>
      </c>
      <c r="I290" s="561" t="str">
        <f t="shared" ca="1" si="8"/>
        <v/>
      </c>
      <c r="J290" s="561" t="str">
        <f t="shared" ca="1" si="9"/>
        <v/>
      </c>
      <c r="K290" s="561" t="str">
        <f t="shared" ca="1" si="10"/>
        <v/>
      </c>
      <c r="L290" s="561" t="str">
        <f t="shared" ca="1" si="11"/>
        <v/>
      </c>
      <c r="M290" s="560" t="str">
        <f t="shared" si="2"/>
        <v/>
      </c>
      <c r="N290" s="560" t="str">
        <f t="shared" ca="1" si="3"/>
        <v/>
      </c>
      <c r="O290" s="636" t="str">
        <f t="shared" ca="1" si="12"/>
        <v/>
      </c>
      <c r="Q290" s="1133"/>
    </row>
    <row r="291" spans="2:17" x14ac:dyDescent="0.3">
      <c r="B291" s="126"/>
      <c r="C291" s="607">
        <v>58</v>
      </c>
      <c r="D291" s="561" t="str">
        <f t="shared" si="4"/>
        <v/>
      </c>
      <c r="E291" s="561" t="str">
        <f t="shared" si="5"/>
        <v/>
      </c>
      <c r="F291" s="561" t="str">
        <f t="shared" si="6"/>
        <v/>
      </c>
      <c r="G291" s="561" t="str">
        <f t="shared" si="1"/>
        <v/>
      </c>
      <c r="H291" s="561" t="str">
        <f t="shared" si="7"/>
        <v/>
      </c>
      <c r="I291" s="561" t="str">
        <f t="shared" ca="1" si="8"/>
        <v/>
      </c>
      <c r="J291" s="561" t="str">
        <f t="shared" ca="1" si="9"/>
        <v/>
      </c>
      <c r="K291" s="561" t="str">
        <f t="shared" ca="1" si="10"/>
        <v/>
      </c>
      <c r="L291" s="561" t="str">
        <f t="shared" ca="1" si="11"/>
        <v/>
      </c>
      <c r="M291" s="560" t="str">
        <f t="shared" si="2"/>
        <v/>
      </c>
      <c r="N291" s="560" t="str">
        <f t="shared" ca="1" si="3"/>
        <v/>
      </c>
      <c r="O291" s="636" t="str">
        <f t="shared" ca="1" si="12"/>
        <v/>
      </c>
      <c r="Q291" s="1133"/>
    </row>
    <row r="292" spans="2:17" x14ac:dyDescent="0.3">
      <c r="B292" s="126"/>
      <c r="C292" s="607">
        <v>59</v>
      </c>
      <c r="D292" s="561" t="str">
        <f t="shared" si="4"/>
        <v/>
      </c>
      <c r="E292" s="561" t="str">
        <f t="shared" si="5"/>
        <v/>
      </c>
      <c r="F292" s="561" t="str">
        <f t="shared" si="6"/>
        <v/>
      </c>
      <c r="G292" s="561" t="str">
        <f t="shared" si="1"/>
        <v/>
      </c>
      <c r="H292" s="561" t="str">
        <f t="shared" si="7"/>
        <v/>
      </c>
      <c r="I292" s="561" t="str">
        <f t="shared" ca="1" si="8"/>
        <v/>
      </c>
      <c r="J292" s="561" t="str">
        <f t="shared" ca="1" si="9"/>
        <v/>
      </c>
      <c r="K292" s="561" t="str">
        <f t="shared" ca="1" si="10"/>
        <v/>
      </c>
      <c r="L292" s="561" t="str">
        <f t="shared" ca="1" si="11"/>
        <v/>
      </c>
      <c r="M292" s="560" t="str">
        <f t="shared" si="2"/>
        <v/>
      </c>
      <c r="N292" s="560" t="str">
        <f t="shared" ca="1" si="3"/>
        <v/>
      </c>
      <c r="O292" s="636" t="str">
        <f t="shared" ca="1" si="12"/>
        <v/>
      </c>
      <c r="Q292" s="1133"/>
    </row>
    <row r="293" spans="2:17" x14ac:dyDescent="0.3">
      <c r="B293" s="126"/>
      <c r="C293" s="607">
        <v>60</v>
      </c>
      <c r="D293" s="561" t="str">
        <f t="shared" si="4"/>
        <v/>
      </c>
      <c r="E293" s="561" t="str">
        <f t="shared" si="5"/>
        <v/>
      </c>
      <c r="F293" s="561" t="str">
        <f t="shared" si="6"/>
        <v/>
      </c>
      <c r="G293" s="561" t="str">
        <f t="shared" si="1"/>
        <v/>
      </c>
      <c r="H293" s="561" t="str">
        <f t="shared" si="7"/>
        <v/>
      </c>
      <c r="I293" s="561" t="str">
        <f t="shared" ca="1" si="8"/>
        <v/>
      </c>
      <c r="J293" s="561" t="str">
        <f t="shared" ca="1" si="9"/>
        <v/>
      </c>
      <c r="K293" s="561" t="str">
        <f t="shared" ca="1" si="10"/>
        <v/>
      </c>
      <c r="L293" s="561" t="str">
        <f t="shared" ca="1" si="11"/>
        <v/>
      </c>
      <c r="M293" s="560" t="str">
        <f t="shared" si="2"/>
        <v/>
      </c>
      <c r="N293" s="560" t="str">
        <f t="shared" ca="1" si="3"/>
        <v/>
      </c>
      <c r="O293" s="636" t="str">
        <f t="shared" ca="1" si="12"/>
        <v/>
      </c>
      <c r="Q293" s="1133"/>
    </row>
    <row r="294" spans="2:17" x14ac:dyDescent="0.3">
      <c r="B294" s="126"/>
      <c r="C294" s="607">
        <v>61</v>
      </c>
      <c r="D294" s="561" t="str">
        <f t="shared" si="4"/>
        <v/>
      </c>
      <c r="E294" s="561" t="str">
        <f t="shared" si="5"/>
        <v/>
      </c>
      <c r="F294" s="561" t="str">
        <f t="shared" si="6"/>
        <v/>
      </c>
      <c r="G294" s="561" t="str">
        <f t="shared" si="1"/>
        <v/>
      </c>
      <c r="H294" s="561" t="str">
        <f t="shared" si="7"/>
        <v/>
      </c>
      <c r="I294" s="561" t="str">
        <f t="shared" ca="1" si="8"/>
        <v/>
      </c>
      <c r="J294" s="561" t="str">
        <f t="shared" ca="1" si="9"/>
        <v/>
      </c>
      <c r="K294" s="561" t="str">
        <f t="shared" ca="1" si="10"/>
        <v/>
      </c>
      <c r="L294" s="561" t="str">
        <f t="shared" ca="1" si="11"/>
        <v/>
      </c>
      <c r="M294" s="560" t="str">
        <f t="shared" si="2"/>
        <v/>
      </c>
      <c r="N294" s="560" t="str">
        <f t="shared" ca="1" si="3"/>
        <v/>
      </c>
      <c r="O294" s="636" t="str">
        <f t="shared" ca="1" si="12"/>
        <v/>
      </c>
      <c r="Q294" s="1133"/>
    </row>
    <row r="295" spans="2:17" x14ac:dyDescent="0.3">
      <c r="B295" s="126"/>
      <c r="C295" s="607">
        <v>62</v>
      </c>
      <c r="D295" s="561" t="str">
        <f t="shared" si="4"/>
        <v/>
      </c>
      <c r="E295" s="561" t="str">
        <f t="shared" si="5"/>
        <v/>
      </c>
      <c r="F295" s="561" t="str">
        <f t="shared" si="6"/>
        <v/>
      </c>
      <c r="G295" s="561" t="str">
        <f t="shared" si="1"/>
        <v/>
      </c>
      <c r="H295" s="561" t="str">
        <f t="shared" si="7"/>
        <v/>
      </c>
      <c r="I295" s="561" t="str">
        <f t="shared" ca="1" si="8"/>
        <v/>
      </c>
      <c r="J295" s="561" t="str">
        <f t="shared" ca="1" si="9"/>
        <v/>
      </c>
      <c r="K295" s="561" t="str">
        <f t="shared" ca="1" si="10"/>
        <v/>
      </c>
      <c r="L295" s="561" t="str">
        <f t="shared" ca="1" si="11"/>
        <v/>
      </c>
      <c r="M295" s="560" t="str">
        <f t="shared" si="2"/>
        <v/>
      </c>
      <c r="N295" s="560" t="str">
        <f t="shared" ca="1" si="3"/>
        <v/>
      </c>
      <c r="O295" s="636" t="str">
        <f t="shared" ca="1" si="12"/>
        <v/>
      </c>
      <c r="Q295" s="1133"/>
    </row>
    <row r="296" spans="2:17" x14ac:dyDescent="0.3">
      <c r="B296" s="126"/>
      <c r="C296" s="607">
        <v>63</v>
      </c>
      <c r="D296" s="561" t="str">
        <f t="shared" si="4"/>
        <v/>
      </c>
      <c r="E296" s="561" t="str">
        <f t="shared" si="5"/>
        <v/>
      </c>
      <c r="F296" s="561" t="str">
        <f t="shared" si="6"/>
        <v/>
      </c>
      <c r="G296" s="561" t="str">
        <f t="shared" si="1"/>
        <v/>
      </c>
      <c r="H296" s="561" t="str">
        <f t="shared" si="7"/>
        <v/>
      </c>
      <c r="I296" s="561" t="str">
        <f t="shared" ca="1" si="8"/>
        <v/>
      </c>
      <c r="J296" s="561" t="str">
        <f t="shared" ca="1" si="9"/>
        <v/>
      </c>
      <c r="K296" s="561" t="str">
        <f t="shared" ca="1" si="10"/>
        <v/>
      </c>
      <c r="L296" s="561" t="str">
        <f t="shared" ca="1" si="11"/>
        <v/>
      </c>
      <c r="M296" s="560" t="str">
        <f t="shared" si="2"/>
        <v/>
      </c>
      <c r="N296" s="560" t="str">
        <f t="shared" ca="1" si="3"/>
        <v/>
      </c>
      <c r="O296" s="636" t="str">
        <f t="shared" ca="1" si="12"/>
        <v/>
      </c>
      <c r="Q296" s="1133"/>
    </row>
    <row r="297" spans="2:17" x14ac:dyDescent="0.3">
      <c r="B297" s="126"/>
      <c r="C297" s="607">
        <v>64</v>
      </c>
      <c r="D297" s="561" t="str">
        <f t="shared" si="4"/>
        <v/>
      </c>
      <c r="E297" s="561" t="str">
        <f t="shared" si="5"/>
        <v/>
      </c>
      <c r="F297" s="561" t="str">
        <f t="shared" si="6"/>
        <v/>
      </c>
      <c r="G297" s="561" t="str">
        <f t="shared" si="1"/>
        <v/>
      </c>
      <c r="H297" s="561" t="str">
        <f t="shared" si="7"/>
        <v/>
      </c>
      <c r="I297" s="561" t="str">
        <f t="shared" ca="1" si="8"/>
        <v/>
      </c>
      <c r="J297" s="561" t="str">
        <f t="shared" ca="1" si="9"/>
        <v/>
      </c>
      <c r="K297" s="561" t="str">
        <f t="shared" ca="1" si="10"/>
        <v/>
      </c>
      <c r="L297" s="561" t="str">
        <f t="shared" ca="1" si="11"/>
        <v/>
      </c>
      <c r="M297" s="560" t="str">
        <f t="shared" si="2"/>
        <v/>
      </c>
      <c r="N297" s="560" t="str">
        <f t="shared" ca="1" si="3"/>
        <v/>
      </c>
      <c r="O297" s="636" t="str">
        <f t="shared" ca="1" si="12"/>
        <v/>
      </c>
      <c r="Q297" s="1133"/>
    </row>
    <row r="298" spans="2:17" x14ac:dyDescent="0.3">
      <c r="B298" s="126"/>
      <c r="C298" s="607">
        <v>65</v>
      </c>
      <c r="D298" s="561" t="str">
        <f t="shared" si="4"/>
        <v/>
      </c>
      <c r="E298" s="561" t="str">
        <f t="shared" si="5"/>
        <v/>
      </c>
      <c r="F298" s="561" t="str">
        <f t="shared" si="6"/>
        <v/>
      </c>
      <c r="G298" s="561" t="str">
        <f t="shared" ref="G298:G333" si="13">IFERROR(E298+100,"")</f>
        <v/>
      </c>
      <c r="H298" s="561" t="str">
        <f t="shared" si="7"/>
        <v/>
      </c>
      <c r="I298" s="561" t="str">
        <f t="shared" ca="1" si="8"/>
        <v/>
      </c>
      <c r="J298" s="561" t="str">
        <f t="shared" ca="1" si="9"/>
        <v/>
      </c>
      <c r="K298" s="561" t="str">
        <f t="shared" ca="1" si="10"/>
        <v/>
      </c>
      <c r="L298" s="561" t="str">
        <f t="shared" ca="1" si="11"/>
        <v/>
      </c>
      <c r="M298" s="560" t="str">
        <f t="shared" ref="M298:M333" si="14">IFERROR(IF(D298&lt;$C$213,1,
IF(D298&lt;$C$214,SQRT(5/(5+(2.6*(($C$224/$C$223)*SIN((PI()/2-$C$225)*(D298-$C$213)/($C$214-$C$213)))^1.58)/((1-($C$224/$C$223)*SIN((PI()/2-$C$225)*(D298-$C$213)/($C$214-$C$213)))^2))),
$C$226)),"")</f>
        <v/>
      </c>
      <c r="N298" s="560" t="str">
        <f t="shared" ref="N298:N333" ca="1" si="15">IFERROR(IF($C$229*$M298*$C$228&gt;$C$227,$C$227*$C$221/($C$229*$M298*$C$228),$C$221),"")</f>
        <v/>
      </c>
      <c r="O298" s="636" t="str">
        <f t="shared" ca="1" si="12"/>
        <v/>
      </c>
      <c r="Q298" s="1133"/>
    </row>
    <row r="299" spans="2:17" x14ac:dyDescent="0.3">
      <c r="B299" s="126"/>
      <c r="C299" s="607">
        <v>66</v>
      </c>
      <c r="D299" s="561" t="str">
        <f t="shared" ref="D299:D333" si="16">IFERROR(C299*$C$218*$C$215,"")</f>
        <v/>
      </c>
      <c r="E299" s="561" t="str">
        <f t="shared" ref="E299:E333" si="17">IFERROR($C$220*EXP(-$D299/$C$216),"")</f>
        <v/>
      </c>
      <c r="F299" s="561" t="str">
        <f t="shared" ref="F299:F333" si="18">IFERROR(($E299+28)^(0.56)/(($E299+530)^(1.19)),"")</f>
        <v/>
      </c>
      <c r="G299" s="561" t="str">
        <f t="shared" si="13"/>
        <v/>
      </c>
      <c r="H299" s="561" t="str">
        <f t="shared" ref="H299:H333" si="19">IFERROR(($E299+128)^(0.56)/(($E299+630)^(1.19)),"")</f>
        <v/>
      </c>
      <c r="I299" s="561" t="str">
        <f t="shared" ref="I299:I333" ca="1" si="20">IFERROR($O299*EXP(-$D299/$C$216),"")</f>
        <v/>
      </c>
      <c r="J299" s="561" t="str">
        <f t="shared" ref="J299:J333" ca="1" si="21">IFERROR(($I299+28)^(0.56)/(($I299+530)^(1.19)),"")</f>
        <v/>
      </c>
      <c r="K299" s="561" t="str">
        <f t="shared" ref="K299:K333" ca="1" si="22">IFERROR(I299+100,"")</f>
        <v/>
      </c>
      <c r="L299" s="561" t="str">
        <f t="shared" ref="L299:L333" ca="1" si="23">IFERROR(($I299+128)^(0.56)/(($I299+630)^(1.19)),"")</f>
        <v/>
      </c>
      <c r="M299" s="560" t="str">
        <f t="shared" si="14"/>
        <v/>
      </c>
      <c r="N299" s="560" t="str">
        <f t="shared" ca="1" si="15"/>
        <v/>
      </c>
      <c r="O299" s="636" t="str">
        <f t="shared" ref="O299:O333" ca="1" si="24">IFERROR(IF($C$229*$M299*$C$228&gt;$C$227,$C$227*$C$222/($C$229*$M299*$C$228),$C$222),"")</f>
        <v/>
      </c>
      <c r="Q299" s="1133"/>
    </row>
    <row r="300" spans="2:17" x14ac:dyDescent="0.3">
      <c r="B300" s="126"/>
      <c r="C300" s="607">
        <v>67</v>
      </c>
      <c r="D300" s="561" t="str">
        <f t="shared" si="16"/>
        <v/>
      </c>
      <c r="E300" s="561" t="str">
        <f t="shared" si="17"/>
        <v/>
      </c>
      <c r="F300" s="561" t="str">
        <f t="shared" si="18"/>
        <v/>
      </c>
      <c r="G300" s="561" t="str">
        <f t="shared" si="13"/>
        <v/>
      </c>
      <c r="H300" s="561" t="str">
        <f t="shared" si="19"/>
        <v/>
      </c>
      <c r="I300" s="561" t="str">
        <f t="shared" ca="1" si="20"/>
        <v/>
      </c>
      <c r="J300" s="561" t="str">
        <f t="shared" ca="1" si="21"/>
        <v/>
      </c>
      <c r="K300" s="561" t="str">
        <f t="shared" ca="1" si="22"/>
        <v/>
      </c>
      <c r="L300" s="561" t="str">
        <f t="shared" ca="1" si="23"/>
        <v/>
      </c>
      <c r="M300" s="560" t="str">
        <f t="shared" si="14"/>
        <v/>
      </c>
      <c r="N300" s="560" t="str">
        <f t="shared" ca="1" si="15"/>
        <v/>
      </c>
      <c r="O300" s="636" t="str">
        <f t="shared" ca="1" si="24"/>
        <v/>
      </c>
      <c r="Q300" s="1133"/>
    </row>
    <row r="301" spans="2:17" x14ac:dyDescent="0.3">
      <c r="B301" s="126"/>
      <c r="C301" s="607">
        <v>68</v>
      </c>
      <c r="D301" s="561" t="str">
        <f t="shared" si="16"/>
        <v/>
      </c>
      <c r="E301" s="561" t="str">
        <f t="shared" si="17"/>
        <v/>
      </c>
      <c r="F301" s="561" t="str">
        <f t="shared" si="18"/>
        <v/>
      </c>
      <c r="G301" s="561" t="str">
        <f t="shared" si="13"/>
        <v/>
      </c>
      <c r="H301" s="561" t="str">
        <f t="shared" si="19"/>
        <v/>
      </c>
      <c r="I301" s="561" t="str">
        <f t="shared" ca="1" si="20"/>
        <v/>
      </c>
      <c r="J301" s="561" t="str">
        <f t="shared" ca="1" si="21"/>
        <v/>
      </c>
      <c r="K301" s="561" t="str">
        <f t="shared" ca="1" si="22"/>
        <v/>
      </c>
      <c r="L301" s="561" t="str">
        <f t="shared" ca="1" si="23"/>
        <v/>
      </c>
      <c r="M301" s="560" t="str">
        <f t="shared" si="14"/>
        <v/>
      </c>
      <c r="N301" s="560" t="str">
        <f t="shared" ca="1" si="15"/>
        <v/>
      </c>
      <c r="O301" s="636" t="str">
        <f t="shared" ca="1" si="24"/>
        <v/>
      </c>
      <c r="Q301" s="1133"/>
    </row>
    <row r="302" spans="2:17" x14ac:dyDescent="0.3">
      <c r="B302" s="126"/>
      <c r="C302" s="607">
        <v>69</v>
      </c>
      <c r="D302" s="561" t="str">
        <f t="shared" si="16"/>
        <v/>
      </c>
      <c r="E302" s="561" t="str">
        <f t="shared" si="17"/>
        <v/>
      </c>
      <c r="F302" s="561" t="str">
        <f t="shared" si="18"/>
        <v/>
      </c>
      <c r="G302" s="561" t="str">
        <f t="shared" si="13"/>
        <v/>
      </c>
      <c r="H302" s="561" t="str">
        <f t="shared" si="19"/>
        <v/>
      </c>
      <c r="I302" s="561" t="str">
        <f t="shared" ca="1" si="20"/>
        <v/>
      </c>
      <c r="J302" s="561" t="str">
        <f t="shared" ca="1" si="21"/>
        <v/>
      </c>
      <c r="K302" s="561" t="str">
        <f t="shared" ca="1" si="22"/>
        <v/>
      </c>
      <c r="L302" s="561" t="str">
        <f t="shared" ca="1" si="23"/>
        <v/>
      </c>
      <c r="M302" s="560" t="str">
        <f t="shared" si="14"/>
        <v/>
      </c>
      <c r="N302" s="560" t="str">
        <f t="shared" ca="1" si="15"/>
        <v/>
      </c>
      <c r="O302" s="636" t="str">
        <f t="shared" ca="1" si="24"/>
        <v/>
      </c>
      <c r="Q302" s="1133"/>
    </row>
    <row r="303" spans="2:17" x14ac:dyDescent="0.3">
      <c r="B303" s="126"/>
      <c r="C303" s="607">
        <v>70</v>
      </c>
      <c r="D303" s="561" t="str">
        <f t="shared" si="16"/>
        <v/>
      </c>
      <c r="E303" s="561" t="str">
        <f t="shared" si="17"/>
        <v/>
      </c>
      <c r="F303" s="561" t="str">
        <f t="shared" si="18"/>
        <v/>
      </c>
      <c r="G303" s="561" t="str">
        <f t="shared" si="13"/>
        <v/>
      </c>
      <c r="H303" s="561" t="str">
        <f t="shared" si="19"/>
        <v/>
      </c>
      <c r="I303" s="561" t="str">
        <f t="shared" ca="1" si="20"/>
        <v/>
      </c>
      <c r="J303" s="561" t="str">
        <f t="shared" ca="1" si="21"/>
        <v/>
      </c>
      <c r="K303" s="561" t="str">
        <f t="shared" ca="1" si="22"/>
        <v/>
      </c>
      <c r="L303" s="561" t="str">
        <f t="shared" ca="1" si="23"/>
        <v/>
      </c>
      <c r="M303" s="560" t="str">
        <f t="shared" si="14"/>
        <v/>
      </c>
      <c r="N303" s="560" t="str">
        <f t="shared" ca="1" si="15"/>
        <v/>
      </c>
      <c r="O303" s="636" t="str">
        <f t="shared" ca="1" si="24"/>
        <v/>
      </c>
      <c r="Q303" s="1133"/>
    </row>
    <row r="304" spans="2:17" x14ac:dyDescent="0.3">
      <c r="B304" s="126"/>
      <c r="C304" s="607">
        <v>71</v>
      </c>
      <c r="D304" s="561" t="str">
        <f t="shared" si="16"/>
        <v/>
      </c>
      <c r="E304" s="561" t="str">
        <f t="shared" si="17"/>
        <v/>
      </c>
      <c r="F304" s="561" t="str">
        <f t="shared" si="18"/>
        <v/>
      </c>
      <c r="G304" s="561" t="str">
        <f t="shared" si="13"/>
        <v/>
      </c>
      <c r="H304" s="561" t="str">
        <f t="shared" si="19"/>
        <v/>
      </c>
      <c r="I304" s="561" t="str">
        <f t="shared" ca="1" si="20"/>
        <v/>
      </c>
      <c r="J304" s="561" t="str">
        <f t="shared" ca="1" si="21"/>
        <v/>
      </c>
      <c r="K304" s="561" t="str">
        <f t="shared" ca="1" si="22"/>
        <v/>
      </c>
      <c r="L304" s="561" t="str">
        <f t="shared" ca="1" si="23"/>
        <v/>
      </c>
      <c r="M304" s="560" t="str">
        <f t="shared" si="14"/>
        <v/>
      </c>
      <c r="N304" s="560" t="str">
        <f t="shared" ca="1" si="15"/>
        <v/>
      </c>
      <c r="O304" s="636" t="str">
        <f t="shared" ca="1" si="24"/>
        <v/>
      </c>
      <c r="Q304" s="1133"/>
    </row>
    <row r="305" spans="2:17" x14ac:dyDescent="0.3">
      <c r="B305" s="126"/>
      <c r="C305" s="607">
        <v>72</v>
      </c>
      <c r="D305" s="561" t="str">
        <f t="shared" si="16"/>
        <v/>
      </c>
      <c r="E305" s="561" t="str">
        <f t="shared" si="17"/>
        <v/>
      </c>
      <c r="F305" s="561" t="str">
        <f t="shared" si="18"/>
        <v/>
      </c>
      <c r="G305" s="561" t="str">
        <f t="shared" si="13"/>
        <v/>
      </c>
      <c r="H305" s="561" t="str">
        <f t="shared" si="19"/>
        <v/>
      </c>
      <c r="I305" s="561" t="str">
        <f t="shared" ca="1" si="20"/>
        <v/>
      </c>
      <c r="J305" s="561" t="str">
        <f t="shared" ca="1" si="21"/>
        <v/>
      </c>
      <c r="K305" s="561" t="str">
        <f t="shared" ca="1" si="22"/>
        <v/>
      </c>
      <c r="L305" s="561" t="str">
        <f t="shared" ca="1" si="23"/>
        <v/>
      </c>
      <c r="M305" s="560" t="str">
        <f t="shared" si="14"/>
        <v/>
      </c>
      <c r="N305" s="560" t="str">
        <f t="shared" ca="1" si="15"/>
        <v/>
      </c>
      <c r="O305" s="636" t="str">
        <f t="shared" ca="1" si="24"/>
        <v/>
      </c>
      <c r="Q305" s="1133"/>
    </row>
    <row r="306" spans="2:17" x14ac:dyDescent="0.3">
      <c r="B306" s="126"/>
      <c r="C306" s="607">
        <v>73</v>
      </c>
      <c r="D306" s="561" t="str">
        <f t="shared" si="16"/>
        <v/>
      </c>
      <c r="E306" s="561" t="str">
        <f t="shared" si="17"/>
        <v/>
      </c>
      <c r="F306" s="561" t="str">
        <f t="shared" si="18"/>
        <v/>
      </c>
      <c r="G306" s="561" t="str">
        <f t="shared" si="13"/>
        <v/>
      </c>
      <c r="H306" s="561" t="str">
        <f t="shared" si="19"/>
        <v/>
      </c>
      <c r="I306" s="561" t="str">
        <f t="shared" ca="1" si="20"/>
        <v/>
      </c>
      <c r="J306" s="561" t="str">
        <f t="shared" ca="1" si="21"/>
        <v/>
      </c>
      <c r="K306" s="561" t="str">
        <f t="shared" ca="1" si="22"/>
        <v/>
      </c>
      <c r="L306" s="561" t="str">
        <f t="shared" ca="1" si="23"/>
        <v/>
      </c>
      <c r="M306" s="560" t="str">
        <f t="shared" si="14"/>
        <v/>
      </c>
      <c r="N306" s="560" t="str">
        <f t="shared" ca="1" si="15"/>
        <v/>
      </c>
      <c r="O306" s="636" t="str">
        <f t="shared" ca="1" si="24"/>
        <v/>
      </c>
      <c r="Q306" s="1133"/>
    </row>
    <row r="307" spans="2:17" x14ac:dyDescent="0.3">
      <c r="B307" s="126"/>
      <c r="C307" s="607">
        <v>74</v>
      </c>
      <c r="D307" s="561" t="str">
        <f t="shared" si="16"/>
        <v/>
      </c>
      <c r="E307" s="561" t="str">
        <f t="shared" si="17"/>
        <v/>
      </c>
      <c r="F307" s="561" t="str">
        <f t="shared" si="18"/>
        <v/>
      </c>
      <c r="G307" s="561" t="str">
        <f t="shared" si="13"/>
        <v/>
      </c>
      <c r="H307" s="561" t="str">
        <f t="shared" si="19"/>
        <v/>
      </c>
      <c r="I307" s="561" t="str">
        <f t="shared" ca="1" si="20"/>
        <v/>
      </c>
      <c r="J307" s="561" t="str">
        <f t="shared" ca="1" si="21"/>
        <v/>
      </c>
      <c r="K307" s="561" t="str">
        <f t="shared" ca="1" si="22"/>
        <v/>
      </c>
      <c r="L307" s="561" t="str">
        <f t="shared" ca="1" si="23"/>
        <v/>
      </c>
      <c r="M307" s="560" t="str">
        <f t="shared" si="14"/>
        <v/>
      </c>
      <c r="N307" s="560" t="str">
        <f t="shared" ca="1" si="15"/>
        <v/>
      </c>
      <c r="O307" s="636" t="str">
        <f t="shared" ca="1" si="24"/>
        <v/>
      </c>
      <c r="Q307" s="1133"/>
    </row>
    <row r="308" spans="2:17" x14ac:dyDescent="0.3">
      <c r="B308" s="126"/>
      <c r="C308" s="607">
        <v>75</v>
      </c>
      <c r="D308" s="561" t="str">
        <f t="shared" si="16"/>
        <v/>
      </c>
      <c r="E308" s="561" t="str">
        <f t="shared" si="17"/>
        <v/>
      </c>
      <c r="F308" s="561" t="str">
        <f t="shared" si="18"/>
        <v/>
      </c>
      <c r="G308" s="561" t="str">
        <f t="shared" si="13"/>
        <v/>
      </c>
      <c r="H308" s="561" t="str">
        <f t="shared" si="19"/>
        <v/>
      </c>
      <c r="I308" s="561" t="str">
        <f t="shared" ca="1" si="20"/>
        <v/>
      </c>
      <c r="J308" s="561" t="str">
        <f t="shared" ca="1" si="21"/>
        <v/>
      </c>
      <c r="K308" s="561" t="str">
        <f t="shared" ca="1" si="22"/>
        <v/>
      </c>
      <c r="L308" s="561" t="str">
        <f t="shared" ca="1" si="23"/>
        <v/>
      </c>
      <c r="M308" s="560" t="str">
        <f t="shared" si="14"/>
        <v/>
      </c>
      <c r="N308" s="560" t="str">
        <f t="shared" ca="1" si="15"/>
        <v/>
      </c>
      <c r="O308" s="636" t="str">
        <f t="shared" ca="1" si="24"/>
        <v/>
      </c>
      <c r="Q308" s="1133"/>
    </row>
    <row r="309" spans="2:17" x14ac:dyDescent="0.3">
      <c r="B309" s="126"/>
      <c r="C309" s="607">
        <v>76</v>
      </c>
      <c r="D309" s="561" t="str">
        <f t="shared" si="16"/>
        <v/>
      </c>
      <c r="E309" s="561" t="str">
        <f t="shared" si="17"/>
        <v/>
      </c>
      <c r="F309" s="561" t="str">
        <f t="shared" si="18"/>
        <v/>
      </c>
      <c r="G309" s="561" t="str">
        <f t="shared" si="13"/>
        <v/>
      </c>
      <c r="H309" s="561" t="str">
        <f t="shared" si="19"/>
        <v/>
      </c>
      <c r="I309" s="561" t="str">
        <f t="shared" ca="1" si="20"/>
        <v/>
      </c>
      <c r="J309" s="561" t="str">
        <f t="shared" ca="1" si="21"/>
        <v/>
      </c>
      <c r="K309" s="561" t="str">
        <f t="shared" ca="1" si="22"/>
        <v/>
      </c>
      <c r="L309" s="561" t="str">
        <f t="shared" ca="1" si="23"/>
        <v/>
      </c>
      <c r="M309" s="560" t="str">
        <f t="shared" si="14"/>
        <v/>
      </c>
      <c r="N309" s="560" t="str">
        <f t="shared" ca="1" si="15"/>
        <v/>
      </c>
      <c r="O309" s="636" t="str">
        <f t="shared" ca="1" si="24"/>
        <v/>
      </c>
      <c r="Q309" s="1133"/>
    </row>
    <row r="310" spans="2:17" x14ac:dyDescent="0.3">
      <c r="B310" s="126"/>
      <c r="C310" s="607">
        <v>77</v>
      </c>
      <c r="D310" s="561" t="str">
        <f t="shared" si="16"/>
        <v/>
      </c>
      <c r="E310" s="561" t="str">
        <f t="shared" si="17"/>
        <v/>
      </c>
      <c r="F310" s="561" t="str">
        <f t="shared" si="18"/>
        <v/>
      </c>
      <c r="G310" s="561" t="str">
        <f t="shared" si="13"/>
        <v/>
      </c>
      <c r="H310" s="561" t="str">
        <f t="shared" si="19"/>
        <v/>
      </c>
      <c r="I310" s="561" t="str">
        <f t="shared" ca="1" si="20"/>
        <v/>
      </c>
      <c r="J310" s="561" t="str">
        <f t="shared" ca="1" si="21"/>
        <v/>
      </c>
      <c r="K310" s="561" t="str">
        <f t="shared" ca="1" si="22"/>
        <v/>
      </c>
      <c r="L310" s="561" t="str">
        <f t="shared" ca="1" si="23"/>
        <v/>
      </c>
      <c r="M310" s="560" t="str">
        <f t="shared" si="14"/>
        <v/>
      </c>
      <c r="N310" s="560" t="str">
        <f t="shared" ca="1" si="15"/>
        <v/>
      </c>
      <c r="O310" s="636" t="str">
        <f t="shared" ca="1" si="24"/>
        <v/>
      </c>
      <c r="Q310" s="1133"/>
    </row>
    <row r="311" spans="2:17" x14ac:dyDescent="0.3">
      <c r="B311" s="126"/>
      <c r="C311" s="607">
        <v>78</v>
      </c>
      <c r="D311" s="561" t="str">
        <f t="shared" si="16"/>
        <v/>
      </c>
      <c r="E311" s="561" t="str">
        <f t="shared" si="17"/>
        <v/>
      </c>
      <c r="F311" s="561" t="str">
        <f t="shared" si="18"/>
        <v/>
      </c>
      <c r="G311" s="561" t="str">
        <f t="shared" si="13"/>
        <v/>
      </c>
      <c r="H311" s="561" t="str">
        <f t="shared" si="19"/>
        <v/>
      </c>
      <c r="I311" s="561" t="str">
        <f t="shared" ca="1" si="20"/>
        <v/>
      </c>
      <c r="J311" s="561" t="str">
        <f t="shared" ca="1" si="21"/>
        <v/>
      </c>
      <c r="K311" s="561" t="str">
        <f t="shared" ca="1" si="22"/>
        <v/>
      </c>
      <c r="L311" s="561" t="str">
        <f t="shared" ca="1" si="23"/>
        <v/>
      </c>
      <c r="M311" s="560" t="str">
        <f t="shared" si="14"/>
        <v/>
      </c>
      <c r="N311" s="560" t="str">
        <f t="shared" ca="1" si="15"/>
        <v/>
      </c>
      <c r="O311" s="636" t="str">
        <f t="shared" ca="1" si="24"/>
        <v/>
      </c>
      <c r="Q311" s="1133"/>
    </row>
    <row r="312" spans="2:17" x14ac:dyDescent="0.3">
      <c r="B312" s="126"/>
      <c r="C312" s="607">
        <v>79</v>
      </c>
      <c r="D312" s="561" t="str">
        <f t="shared" si="16"/>
        <v/>
      </c>
      <c r="E312" s="561" t="str">
        <f t="shared" si="17"/>
        <v/>
      </c>
      <c r="F312" s="561" t="str">
        <f t="shared" si="18"/>
        <v/>
      </c>
      <c r="G312" s="561" t="str">
        <f t="shared" si="13"/>
        <v/>
      </c>
      <c r="H312" s="561" t="str">
        <f t="shared" si="19"/>
        <v/>
      </c>
      <c r="I312" s="561" t="str">
        <f t="shared" ca="1" si="20"/>
        <v/>
      </c>
      <c r="J312" s="561" t="str">
        <f t="shared" ca="1" si="21"/>
        <v/>
      </c>
      <c r="K312" s="561" t="str">
        <f t="shared" ca="1" si="22"/>
        <v/>
      </c>
      <c r="L312" s="561" t="str">
        <f t="shared" ca="1" si="23"/>
        <v/>
      </c>
      <c r="M312" s="560" t="str">
        <f t="shared" si="14"/>
        <v/>
      </c>
      <c r="N312" s="560" t="str">
        <f t="shared" ca="1" si="15"/>
        <v/>
      </c>
      <c r="O312" s="636" t="str">
        <f t="shared" ca="1" si="24"/>
        <v/>
      </c>
      <c r="Q312" s="1133"/>
    </row>
    <row r="313" spans="2:17" x14ac:dyDescent="0.3">
      <c r="B313" s="126"/>
      <c r="C313" s="607">
        <v>80</v>
      </c>
      <c r="D313" s="561" t="str">
        <f t="shared" si="16"/>
        <v/>
      </c>
      <c r="E313" s="561" t="str">
        <f t="shared" si="17"/>
        <v/>
      </c>
      <c r="F313" s="561" t="str">
        <f t="shared" si="18"/>
        <v/>
      </c>
      <c r="G313" s="561" t="str">
        <f t="shared" si="13"/>
        <v/>
      </c>
      <c r="H313" s="561" t="str">
        <f t="shared" si="19"/>
        <v/>
      </c>
      <c r="I313" s="561" t="str">
        <f t="shared" ca="1" si="20"/>
        <v/>
      </c>
      <c r="J313" s="561" t="str">
        <f t="shared" ca="1" si="21"/>
        <v/>
      </c>
      <c r="K313" s="561" t="str">
        <f t="shared" ca="1" si="22"/>
        <v/>
      </c>
      <c r="L313" s="561" t="str">
        <f t="shared" ca="1" si="23"/>
        <v/>
      </c>
      <c r="M313" s="560" t="str">
        <f t="shared" si="14"/>
        <v/>
      </c>
      <c r="N313" s="560" t="str">
        <f t="shared" ca="1" si="15"/>
        <v/>
      </c>
      <c r="O313" s="636" t="str">
        <f t="shared" ca="1" si="24"/>
        <v/>
      </c>
      <c r="Q313" s="1133"/>
    </row>
    <row r="314" spans="2:17" x14ac:dyDescent="0.3">
      <c r="B314" s="126"/>
      <c r="C314" s="607">
        <v>81</v>
      </c>
      <c r="D314" s="561" t="str">
        <f t="shared" si="16"/>
        <v/>
      </c>
      <c r="E314" s="561" t="str">
        <f t="shared" si="17"/>
        <v/>
      </c>
      <c r="F314" s="561" t="str">
        <f t="shared" si="18"/>
        <v/>
      </c>
      <c r="G314" s="561" t="str">
        <f t="shared" si="13"/>
        <v/>
      </c>
      <c r="H314" s="561" t="str">
        <f t="shared" si="19"/>
        <v/>
      </c>
      <c r="I314" s="561" t="str">
        <f t="shared" ca="1" si="20"/>
        <v/>
      </c>
      <c r="J314" s="561" t="str">
        <f t="shared" ca="1" si="21"/>
        <v/>
      </c>
      <c r="K314" s="561" t="str">
        <f t="shared" ca="1" si="22"/>
        <v/>
      </c>
      <c r="L314" s="561" t="str">
        <f t="shared" ca="1" si="23"/>
        <v/>
      </c>
      <c r="M314" s="560" t="str">
        <f t="shared" si="14"/>
        <v/>
      </c>
      <c r="N314" s="560" t="str">
        <f t="shared" ca="1" si="15"/>
        <v/>
      </c>
      <c r="O314" s="636" t="str">
        <f t="shared" ca="1" si="24"/>
        <v/>
      </c>
      <c r="Q314" s="1133"/>
    </row>
    <row r="315" spans="2:17" x14ac:dyDescent="0.3">
      <c r="B315" s="126"/>
      <c r="C315" s="607">
        <v>82</v>
      </c>
      <c r="D315" s="561" t="str">
        <f t="shared" si="16"/>
        <v/>
      </c>
      <c r="E315" s="561" t="str">
        <f t="shared" si="17"/>
        <v/>
      </c>
      <c r="F315" s="561" t="str">
        <f t="shared" si="18"/>
        <v/>
      </c>
      <c r="G315" s="561" t="str">
        <f t="shared" si="13"/>
        <v/>
      </c>
      <c r="H315" s="561" t="str">
        <f t="shared" si="19"/>
        <v/>
      </c>
      <c r="I315" s="561" t="str">
        <f t="shared" ca="1" si="20"/>
        <v/>
      </c>
      <c r="J315" s="561" t="str">
        <f t="shared" ca="1" si="21"/>
        <v/>
      </c>
      <c r="K315" s="561" t="str">
        <f t="shared" ca="1" si="22"/>
        <v/>
      </c>
      <c r="L315" s="561" t="str">
        <f t="shared" ca="1" si="23"/>
        <v/>
      </c>
      <c r="M315" s="560" t="str">
        <f t="shared" si="14"/>
        <v/>
      </c>
      <c r="N315" s="560" t="str">
        <f t="shared" ca="1" si="15"/>
        <v/>
      </c>
      <c r="O315" s="636" t="str">
        <f t="shared" ca="1" si="24"/>
        <v/>
      </c>
      <c r="Q315" s="1133"/>
    </row>
    <row r="316" spans="2:17" x14ac:dyDescent="0.3">
      <c r="B316" s="126"/>
      <c r="C316" s="607">
        <v>83</v>
      </c>
      <c r="D316" s="561" t="str">
        <f t="shared" si="16"/>
        <v/>
      </c>
      <c r="E316" s="561" t="str">
        <f t="shared" si="17"/>
        <v/>
      </c>
      <c r="F316" s="561" t="str">
        <f t="shared" si="18"/>
        <v/>
      </c>
      <c r="G316" s="561" t="str">
        <f t="shared" si="13"/>
        <v/>
      </c>
      <c r="H316" s="561" t="str">
        <f t="shared" si="19"/>
        <v/>
      </c>
      <c r="I316" s="561" t="str">
        <f t="shared" ca="1" si="20"/>
        <v/>
      </c>
      <c r="J316" s="561" t="str">
        <f t="shared" ca="1" si="21"/>
        <v/>
      </c>
      <c r="K316" s="561" t="str">
        <f t="shared" ca="1" si="22"/>
        <v/>
      </c>
      <c r="L316" s="561" t="str">
        <f t="shared" ca="1" si="23"/>
        <v/>
      </c>
      <c r="M316" s="560" t="str">
        <f t="shared" si="14"/>
        <v/>
      </c>
      <c r="N316" s="560" t="str">
        <f t="shared" ca="1" si="15"/>
        <v/>
      </c>
      <c r="O316" s="636" t="str">
        <f t="shared" ca="1" si="24"/>
        <v/>
      </c>
      <c r="Q316" s="1133"/>
    </row>
    <row r="317" spans="2:17" x14ac:dyDescent="0.3">
      <c r="B317" s="126"/>
      <c r="C317" s="607">
        <v>84</v>
      </c>
      <c r="D317" s="561" t="str">
        <f t="shared" si="16"/>
        <v/>
      </c>
      <c r="E317" s="561" t="str">
        <f t="shared" si="17"/>
        <v/>
      </c>
      <c r="F317" s="561" t="str">
        <f t="shared" si="18"/>
        <v/>
      </c>
      <c r="G317" s="561" t="str">
        <f t="shared" si="13"/>
        <v/>
      </c>
      <c r="H317" s="561" t="str">
        <f t="shared" si="19"/>
        <v/>
      </c>
      <c r="I317" s="561" t="str">
        <f t="shared" ca="1" si="20"/>
        <v/>
      </c>
      <c r="J317" s="561" t="str">
        <f t="shared" ca="1" si="21"/>
        <v/>
      </c>
      <c r="K317" s="561" t="str">
        <f t="shared" ca="1" si="22"/>
        <v/>
      </c>
      <c r="L317" s="561" t="str">
        <f t="shared" ca="1" si="23"/>
        <v/>
      </c>
      <c r="M317" s="560" t="str">
        <f t="shared" si="14"/>
        <v/>
      </c>
      <c r="N317" s="560" t="str">
        <f t="shared" ca="1" si="15"/>
        <v/>
      </c>
      <c r="O317" s="636" t="str">
        <f t="shared" ca="1" si="24"/>
        <v/>
      </c>
      <c r="Q317" s="1133"/>
    </row>
    <row r="318" spans="2:17" x14ac:dyDescent="0.3">
      <c r="B318" s="126"/>
      <c r="C318" s="607">
        <v>85</v>
      </c>
      <c r="D318" s="561" t="str">
        <f t="shared" si="16"/>
        <v/>
      </c>
      <c r="E318" s="561" t="str">
        <f t="shared" si="17"/>
        <v/>
      </c>
      <c r="F318" s="561" t="str">
        <f t="shared" si="18"/>
        <v/>
      </c>
      <c r="G318" s="561" t="str">
        <f t="shared" si="13"/>
        <v/>
      </c>
      <c r="H318" s="561" t="str">
        <f t="shared" si="19"/>
        <v/>
      </c>
      <c r="I318" s="561" t="str">
        <f t="shared" ca="1" si="20"/>
        <v/>
      </c>
      <c r="J318" s="561" t="str">
        <f t="shared" ca="1" si="21"/>
        <v/>
      </c>
      <c r="K318" s="561" t="str">
        <f t="shared" ca="1" si="22"/>
        <v/>
      </c>
      <c r="L318" s="561" t="str">
        <f t="shared" ca="1" si="23"/>
        <v/>
      </c>
      <c r="M318" s="560" t="str">
        <f t="shared" si="14"/>
        <v/>
      </c>
      <c r="N318" s="560" t="str">
        <f t="shared" ca="1" si="15"/>
        <v/>
      </c>
      <c r="O318" s="636" t="str">
        <f t="shared" ca="1" si="24"/>
        <v/>
      </c>
      <c r="Q318" s="1133"/>
    </row>
    <row r="319" spans="2:17" x14ac:dyDescent="0.3">
      <c r="B319" s="126"/>
      <c r="C319" s="607">
        <v>86</v>
      </c>
      <c r="D319" s="561" t="str">
        <f t="shared" si="16"/>
        <v/>
      </c>
      <c r="E319" s="561" t="str">
        <f t="shared" si="17"/>
        <v/>
      </c>
      <c r="F319" s="561" t="str">
        <f t="shared" si="18"/>
        <v/>
      </c>
      <c r="G319" s="561" t="str">
        <f t="shared" si="13"/>
        <v/>
      </c>
      <c r="H319" s="561" t="str">
        <f t="shared" si="19"/>
        <v/>
      </c>
      <c r="I319" s="561" t="str">
        <f t="shared" ca="1" si="20"/>
        <v/>
      </c>
      <c r="J319" s="561" t="str">
        <f t="shared" ca="1" si="21"/>
        <v/>
      </c>
      <c r="K319" s="561" t="str">
        <f t="shared" ca="1" si="22"/>
        <v/>
      </c>
      <c r="L319" s="561" t="str">
        <f t="shared" ca="1" si="23"/>
        <v/>
      </c>
      <c r="M319" s="560" t="str">
        <f t="shared" si="14"/>
        <v/>
      </c>
      <c r="N319" s="560" t="str">
        <f t="shared" ca="1" si="15"/>
        <v/>
      </c>
      <c r="O319" s="636" t="str">
        <f t="shared" ca="1" si="24"/>
        <v/>
      </c>
      <c r="Q319" s="1133"/>
    </row>
    <row r="320" spans="2:17" x14ac:dyDescent="0.3">
      <c r="B320" s="126"/>
      <c r="C320" s="607">
        <v>87</v>
      </c>
      <c r="D320" s="561" t="str">
        <f t="shared" si="16"/>
        <v/>
      </c>
      <c r="E320" s="561" t="str">
        <f t="shared" si="17"/>
        <v/>
      </c>
      <c r="F320" s="561" t="str">
        <f t="shared" si="18"/>
        <v/>
      </c>
      <c r="G320" s="561" t="str">
        <f t="shared" si="13"/>
        <v/>
      </c>
      <c r="H320" s="561" t="str">
        <f t="shared" si="19"/>
        <v/>
      </c>
      <c r="I320" s="561" t="str">
        <f t="shared" ca="1" si="20"/>
        <v/>
      </c>
      <c r="J320" s="561" t="str">
        <f t="shared" ca="1" si="21"/>
        <v/>
      </c>
      <c r="K320" s="561" t="str">
        <f t="shared" ca="1" si="22"/>
        <v/>
      </c>
      <c r="L320" s="561" t="str">
        <f t="shared" ca="1" si="23"/>
        <v/>
      </c>
      <c r="M320" s="560" t="str">
        <f t="shared" si="14"/>
        <v/>
      </c>
      <c r="N320" s="560" t="str">
        <f t="shared" ca="1" si="15"/>
        <v/>
      </c>
      <c r="O320" s="636" t="str">
        <f t="shared" ca="1" si="24"/>
        <v/>
      </c>
      <c r="Q320" s="1133"/>
    </row>
    <row r="321" spans="2:17" x14ac:dyDescent="0.3">
      <c r="B321" s="126"/>
      <c r="C321" s="607">
        <v>88</v>
      </c>
      <c r="D321" s="561" t="str">
        <f t="shared" si="16"/>
        <v/>
      </c>
      <c r="E321" s="561" t="str">
        <f t="shared" si="17"/>
        <v/>
      </c>
      <c r="F321" s="561" t="str">
        <f t="shared" si="18"/>
        <v/>
      </c>
      <c r="G321" s="561" t="str">
        <f t="shared" si="13"/>
        <v/>
      </c>
      <c r="H321" s="561" t="str">
        <f t="shared" si="19"/>
        <v/>
      </c>
      <c r="I321" s="561" t="str">
        <f t="shared" ca="1" si="20"/>
        <v/>
      </c>
      <c r="J321" s="561" t="str">
        <f t="shared" ca="1" si="21"/>
        <v/>
      </c>
      <c r="K321" s="561" t="str">
        <f t="shared" ca="1" si="22"/>
        <v/>
      </c>
      <c r="L321" s="561" t="str">
        <f t="shared" ca="1" si="23"/>
        <v/>
      </c>
      <c r="M321" s="560" t="str">
        <f t="shared" si="14"/>
        <v/>
      </c>
      <c r="N321" s="560" t="str">
        <f t="shared" ca="1" si="15"/>
        <v/>
      </c>
      <c r="O321" s="636" t="str">
        <f t="shared" ca="1" si="24"/>
        <v/>
      </c>
      <c r="Q321" s="1133"/>
    </row>
    <row r="322" spans="2:17" x14ac:dyDescent="0.3">
      <c r="B322" s="126"/>
      <c r="C322" s="607">
        <v>89</v>
      </c>
      <c r="D322" s="561" t="str">
        <f t="shared" si="16"/>
        <v/>
      </c>
      <c r="E322" s="561" t="str">
        <f t="shared" si="17"/>
        <v/>
      </c>
      <c r="F322" s="561" t="str">
        <f t="shared" si="18"/>
        <v/>
      </c>
      <c r="G322" s="561" t="str">
        <f t="shared" si="13"/>
        <v/>
      </c>
      <c r="H322" s="561" t="str">
        <f t="shared" si="19"/>
        <v/>
      </c>
      <c r="I322" s="561" t="str">
        <f t="shared" ca="1" si="20"/>
        <v/>
      </c>
      <c r="J322" s="561" t="str">
        <f t="shared" ca="1" si="21"/>
        <v/>
      </c>
      <c r="K322" s="561" t="str">
        <f t="shared" ca="1" si="22"/>
        <v/>
      </c>
      <c r="L322" s="561" t="str">
        <f t="shared" ca="1" si="23"/>
        <v/>
      </c>
      <c r="M322" s="560" t="str">
        <f t="shared" si="14"/>
        <v/>
      </c>
      <c r="N322" s="560" t="str">
        <f t="shared" ca="1" si="15"/>
        <v/>
      </c>
      <c r="O322" s="636" t="str">
        <f t="shared" ca="1" si="24"/>
        <v/>
      </c>
      <c r="Q322" s="1133"/>
    </row>
    <row r="323" spans="2:17" x14ac:dyDescent="0.3">
      <c r="B323" s="126"/>
      <c r="C323" s="607">
        <v>90</v>
      </c>
      <c r="D323" s="561" t="str">
        <f t="shared" si="16"/>
        <v/>
      </c>
      <c r="E323" s="561" t="str">
        <f t="shared" si="17"/>
        <v/>
      </c>
      <c r="F323" s="561" t="str">
        <f t="shared" si="18"/>
        <v/>
      </c>
      <c r="G323" s="561" t="str">
        <f t="shared" si="13"/>
        <v/>
      </c>
      <c r="H323" s="561" t="str">
        <f t="shared" si="19"/>
        <v/>
      </c>
      <c r="I323" s="561" t="str">
        <f t="shared" ca="1" si="20"/>
        <v/>
      </c>
      <c r="J323" s="561" t="str">
        <f t="shared" ca="1" si="21"/>
        <v/>
      </c>
      <c r="K323" s="561" t="str">
        <f t="shared" ca="1" si="22"/>
        <v/>
      </c>
      <c r="L323" s="561" t="str">
        <f t="shared" ca="1" si="23"/>
        <v/>
      </c>
      <c r="M323" s="560" t="str">
        <f t="shared" si="14"/>
        <v/>
      </c>
      <c r="N323" s="560" t="str">
        <f t="shared" ca="1" si="15"/>
        <v/>
      </c>
      <c r="O323" s="636" t="str">
        <f t="shared" ca="1" si="24"/>
        <v/>
      </c>
      <c r="Q323" s="1133"/>
    </row>
    <row r="324" spans="2:17" x14ac:dyDescent="0.3">
      <c r="B324" s="126"/>
      <c r="C324" s="607">
        <v>91</v>
      </c>
      <c r="D324" s="561" t="str">
        <f t="shared" si="16"/>
        <v/>
      </c>
      <c r="E324" s="561" t="str">
        <f t="shared" si="17"/>
        <v/>
      </c>
      <c r="F324" s="561" t="str">
        <f t="shared" si="18"/>
        <v/>
      </c>
      <c r="G324" s="561" t="str">
        <f t="shared" si="13"/>
        <v/>
      </c>
      <c r="H324" s="561" t="str">
        <f t="shared" si="19"/>
        <v/>
      </c>
      <c r="I324" s="561" t="str">
        <f t="shared" ca="1" si="20"/>
        <v/>
      </c>
      <c r="J324" s="561" t="str">
        <f t="shared" ca="1" si="21"/>
        <v/>
      </c>
      <c r="K324" s="561" t="str">
        <f t="shared" ca="1" si="22"/>
        <v/>
      </c>
      <c r="L324" s="561" t="str">
        <f t="shared" ca="1" si="23"/>
        <v/>
      </c>
      <c r="M324" s="560" t="str">
        <f t="shared" si="14"/>
        <v/>
      </c>
      <c r="N324" s="560" t="str">
        <f t="shared" ca="1" si="15"/>
        <v/>
      </c>
      <c r="O324" s="636" t="str">
        <f t="shared" ca="1" si="24"/>
        <v/>
      </c>
      <c r="Q324" s="1133"/>
    </row>
    <row r="325" spans="2:17" x14ac:dyDescent="0.3">
      <c r="B325" s="126"/>
      <c r="C325" s="607">
        <v>92</v>
      </c>
      <c r="D325" s="561" t="str">
        <f t="shared" si="16"/>
        <v/>
      </c>
      <c r="E325" s="561" t="str">
        <f t="shared" si="17"/>
        <v/>
      </c>
      <c r="F325" s="561" t="str">
        <f t="shared" si="18"/>
        <v/>
      </c>
      <c r="G325" s="561" t="str">
        <f t="shared" si="13"/>
        <v/>
      </c>
      <c r="H325" s="561" t="str">
        <f t="shared" si="19"/>
        <v/>
      </c>
      <c r="I325" s="561" t="str">
        <f t="shared" ca="1" si="20"/>
        <v/>
      </c>
      <c r="J325" s="561" t="str">
        <f t="shared" ca="1" si="21"/>
        <v/>
      </c>
      <c r="K325" s="561" t="str">
        <f t="shared" ca="1" si="22"/>
        <v/>
      </c>
      <c r="L325" s="561" t="str">
        <f t="shared" ca="1" si="23"/>
        <v/>
      </c>
      <c r="M325" s="560" t="str">
        <f t="shared" si="14"/>
        <v/>
      </c>
      <c r="N325" s="560" t="str">
        <f t="shared" ca="1" si="15"/>
        <v/>
      </c>
      <c r="O325" s="636" t="str">
        <f t="shared" ca="1" si="24"/>
        <v/>
      </c>
      <c r="Q325" s="1133"/>
    </row>
    <row r="326" spans="2:17" x14ac:dyDescent="0.3">
      <c r="B326" s="126"/>
      <c r="C326" s="607">
        <v>93</v>
      </c>
      <c r="D326" s="561" t="str">
        <f t="shared" si="16"/>
        <v/>
      </c>
      <c r="E326" s="561" t="str">
        <f t="shared" si="17"/>
        <v/>
      </c>
      <c r="F326" s="561" t="str">
        <f t="shared" si="18"/>
        <v/>
      </c>
      <c r="G326" s="561" t="str">
        <f t="shared" si="13"/>
        <v/>
      </c>
      <c r="H326" s="561" t="str">
        <f t="shared" si="19"/>
        <v/>
      </c>
      <c r="I326" s="561" t="str">
        <f t="shared" ca="1" si="20"/>
        <v/>
      </c>
      <c r="J326" s="561" t="str">
        <f t="shared" ca="1" si="21"/>
        <v/>
      </c>
      <c r="K326" s="561" t="str">
        <f t="shared" ca="1" si="22"/>
        <v/>
      </c>
      <c r="L326" s="561" t="str">
        <f t="shared" ca="1" si="23"/>
        <v/>
      </c>
      <c r="M326" s="560" t="str">
        <f t="shared" si="14"/>
        <v/>
      </c>
      <c r="N326" s="560" t="str">
        <f t="shared" ca="1" si="15"/>
        <v/>
      </c>
      <c r="O326" s="636" t="str">
        <f t="shared" ca="1" si="24"/>
        <v/>
      </c>
      <c r="Q326" s="1133"/>
    </row>
    <row r="327" spans="2:17" x14ac:dyDescent="0.3">
      <c r="B327" s="126"/>
      <c r="C327" s="607">
        <v>94</v>
      </c>
      <c r="D327" s="561" t="str">
        <f t="shared" si="16"/>
        <v/>
      </c>
      <c r="E327" s="561" t="str">
        <f t="shared" si="17"/>
        <v/>
      </c>
      <c r="F327" s="561" t="str">
        <f t="shared" si="18"/>
        <v/>
      </c>
      <c r="G327" s="561" t="str">
        <f t="shared" si="13"/>
        <v/>
      </c>
      <c r="H327" s="561" t="str">
        <f t="shared" si="19"/>
        <v/>
      </c>
      <c r="I327" s="561" t="str">
        <f t="shared" ca="1" si="20"/>
        <v/>
      </c>
      <c r="J327" s="561" t="str">
        <f t="shared" ca="1" si="21"/>
        <v/>
      </c>
      <c r="K327" s="561" t="str">
        <f t="shared" ca="1" si="22"/>
        <v/>
      </c>
      <c r="L327" s="561" t="str">
        <f t="shared" ca="1" si="23"/>
        <v/>
      </c>
      <c r="M327" s="560" t="str">
        <f t="shared" si="14"/>
        <v/>
      </c>
      <c r="N327" s="560" t="str">
        <f t="shared" ca="1" si="15"/>
        <v/>
      </c>
      <c r="O327" s="636" t="str">
        <f t="shared" ca="1" si="24"/>
        <v/>
      </c>
      <c r="Q327" s="1133"/>
    </row>
    <row r="328" spans="2:17" x14ac:dyDescent="0.3">
      <c r="B328" s="126"/>
      <c r="C328" s="607">
        <v>95</v>
      </c>
      <c r="D328" s="561" t="str">
        <f t="shared" si="16"/>
        <v/>
      </c>
      <c r="E328" s="561" t="str">
        <f t="shared" si="17"/>
        <v/>
      </c>
      <c r="F328" s="561" t="str">
        <f t="shared" si="18"/>
        <v/>
      </c>
      <c r="G328" s="561" t="str">
        <f t="shared" si="13"/>
        <v/>
      </c>
      <c r="H328" s="561" t="str">
        <f t="shared" si="19"/>
        <v/>
      </c>
      <c r="I328" s="561" t="str">
        <f t="shared" ca="1" si="20"/>
        <v/>
      </c>
      <c r="J328" s="561" t="str">
        <f t="shared" ca="1" si="21"/>
        <v/>
      </c>
      <c r="K328" s="561" t="str">
        <f t="shared" ca="1" si="22"/>
        <v/>
      </c>
      <c r="L328" s="561" t="str">
        <f t="shared" ca="1" si="23"/>
        <v/>
      </c>
      <c r="M328" s="560" t="str">
        <f t="shared" si="14"/>
        <v/>
      </c>
      <c r="N328" s="560" t="str">
        <f t="shared" ca="1" si="15"/>
        <v/>
      </c>
      <c r="O328" s="636" t="str">
        <f t="shared" ca="1" si="24"/>
        <v/>
      </c>
      <c r="Q328" s="1133"/>
    </row>
    <row r="329" spans="2:17" x14ac:dyDescent="0.3">
      <c r="B329" s="126"/>
      <c r="C329" s="607">
        <v>96</v>
      </c>
      <c r="D329" s="561" t="str">
        <f t="shared" si="16"/>
        <v/>
      </c>
      <c r="E329" s="561" t="str">
        <f t="shared" si="17"/>
        <v/>
      </c>
      <c r="F329" s="561" t="str">
        <f t="shared" si="18"/>
        <v/>
      </c>
      <c r="G329" s="561" t="str">
        <f t="shared" si="13"/>
        <v/>
      </c>
      <c r="H329" s="561" t="str">
        <f t="shared" si="19"/>
        <v/>
      </c>
      <c r="I329" s="561" t="str">
        <f t="shared" ca="1" si="20"/>
        <v/>
      </c>
      <c r="J329" s="561" t="str">
        <f t="shared" ca="1" si="21"/>
        <v/>
      </c>
      <c r="K329" s="561" t="str">
        <f t="shared" ca="1" si="22"/>
        <v/>
      </c>
      <c r="L329" s="561" t="str">
        <f t="shared" ca="1" si="23"/>
        <v/>
      </c>
      <c r="M329" s="560" t="str">
        <f t="shared" si="14"/>
        <v/>
      </c>
      <c r="N329" s="560" t="str">
        <f t="shared" ca="1" si="15"/>
        <v/>
      </c>
      <c r="O329" s="636" t="str">
        <f t="shared" ca="1" si="24"/>
        <v/>
      </c>
      <c r="Q329" s="1133"/>
    </row>
    <row r="330" spans="2:17" x14ac:dyDescent="0.3">
      <c r="B330" s="126"/>
      <c r="C330" s="607">
        <v>97</v>
      </c>
      <c r="D330" s="561" t="str">
        <f t="shared" si="16"/>
        <v/>
      </c>
      <c r="E330" s="561" t="str">
        <f t="shared" si="17"/>
        <v/>
      </c>
      <c r="F330" s="561" t="str">
        <f t="shared" si="18"/>
        <v/>
      </c>
      <c r="G330" s="561" t="str">
        <f t="shared" si="13"/>
        <v/>
      </c>
      <c r="H330" s="561" t="str">
        <f t="shared" si="19"/>
        <v/>
      </c>
      <c r="I330" s="561" t="str">
        <f t="shared" ca="1" si="20"/>
        <v/>
      </c>
      <c r="J330" s="561" t="str">
        <f t="shared" ca="1" si="21"/>
        <v/>
      </c>
      <c r="K330" s="561" t="str">
        <f t="shared" ca="1" si="22"/>
        <v/>
      </c>
      <c r="L330" s="561" t="str">
        <f t="shared" ca="1" si="23"/>
        <v/>
      </c>
      <c r="M330" s="560" t="str">
        <f t="shared" si="14"/>
        <v/>
      </c>
      <c r="N330" s="560" t="str">
        <f t="shared" ca="1" si="15"/>
        <v/>
      </c>
      <c r="O330" s="636" t="str">
        <f t="shared" ca="1" si="24"/>
        <v/>
      </c>
      <c r="Q330" s="1133"/>
    </row>
    <row r="331" spans="2:17" x14ac:dyDescent="0.3">
      <c r="B331" s="126"/>
      <c r="C331" s="607">
        <v>98</v>
      </c>
      <c r="D331" s="561" t="str">
        <f t="shared" si="16"/>
        <v/>
      </c>
      <c r="E331" s="561" t="str">
        <f t="shared" si="17"/>
        <v/>
      </c>
      <c r="F331" s="561" t="str">
        <f t="shared" si="18"/>
        <v/>
      </c>
      <c r="G331" s="561" t="str">
        <f t="shared" si="13"/>
        <v/>
      </c>
      <c r="H331" s="561" t="str">
        <f t="shared" si="19"/>
        <v/>
      </c>
      <c r="I331" s="561" t="str">
        <f t="shared" ca="1" si="20"/>
        <v/>
      </c>
      <c r="J331" s="561" t="str">
        <f t="shared" ca="1" si="21"/>
        <v/>
      </c>
      <c r="K331" s="561" t="str">
        <f t="shared" ca="1" si="22"/>
        <v/>
      </c>
      <c r="L331" s="561" t="str">
        <f t="shared" ca="1" si="23"/>
        <v/>
      </c>
      <c r="M331" s="560" t="str">
        <f t="shared" si="14"/>
        <v/>
      </c>
      <c r="N331" s="560" t="str">
        <f t="shared" ca="1" si="15"/>
        <v/>
      </c>
      <c r="O331" s="636" t="str">
        <f t="shared" ca="1" si="24"/>
        <v/>
      </c>
      <c r="Q331" s="1133"/>
    </row>
    <row r="332" spans="2:17" x14ac:dyDescent="0.3">
      <c r="B332" s="126"/>
      <c r="C332" s="607">
        <v>99</v>
      </c>
      <c r="D332" s="561" t="str">
        <f t="shared" si="16"/>
        <v/>
      </c>
      <c r="E332" s="561" t="str">
        <f t="shared" si="17"/>
        <v/>
      </c>
      <c r="F332" s="561" t="str">
        <f t="shared" si="18"/>
        <v/>
      </c>
      <c r="G332" s="561" t="str">
        <f t="shared" si="13"/>
        <v/>
      </c>
      <c r="H332" s="561" t="str">
        <f t="shared" si="19"/>
        <v/>
      </c>
      <c r="I332" s="561" t="str">
        <f t="shared" ca="1" si="20"/>
        <v/>
      </c>
      <c r="J332" s="561" t="str">
        <f t="shared" ca="1" si="21"/>
        <v/>
      </c>
      <c r="K332" s="561" t="str">
        <f t="shared" ca="1" si="22"/>
        <v/>
      </c>
      <c r="L332" s="561" t="str">
        <f t="shared" ca="1" si="23"/>
        <v/>
      </c>
      <c r="M332" s="560" t="str">
        <f t="shared" si="14"/>
        <v/>
      </c>
      <c r="N332" s="560" t="str">
        <f t="shared" ca="1" si="15"/>
        <v/>
      </c>
      <c r="O332" s="636" t="str">
        <f t="shared" ca="1" si="24"/>
        <v/>
      </c>
      <c r="Q332" s="1133"/>
    </row>
    <row r="333" spans="2:17" ht="17.25" thickBot="1" x14ac:dyDescent="0.35">
      <c r="B333" s="126"/>
      <c r="C333" s="609">
        <v>100</v>
      </c>
      <c r="D333" s="561" t="str">
        <f t="shared" si="16"/>
        <v/>
      </c>
      <c r="E333" s="561" t="str">
        <f t="shared" si="17"/>
        <v/>
      </c>
      <c r="F333" s="561" t="str">
        <f t="shared" si="18"/>
        <v/>
      </c>
      <c r="G333" s="561" t="str">
        <f t="shared" si="13"/>
        <v/>
      </c>
      <c r="H333" s="561" t="str">
        <f t="shared" si="19"/>
        <v/>
      </c>
      <c r="I333" s="561" t="str">
        <f t="shared" ca="1" si="20"/>
        <v/>
      </c>
      <c r="J333" s="561" t="str">
        <f t="shared" ca="1" si="21"/>
        <v/>
      </c>
      <c r="K333" s="561" t="str">
        <f t="shared" ca="1" si="22"/>
        <v/>
      </c>
      <c r="L333" s="561" t="str">
        <f t="shared" ca="1" si="23"/>
        <v/>
      </c>
      <c r="M333" s="560" t="str">
        <f t="shared" si="14"/>
        <v/>
      </c>
      <c r="N333" s="560" t="str">
        <f t="shared" ca="1" si="15"/>
        <v/>
      </c>
      <c r="O333" s="636" t="str">
        <f t="shared" ca="1" si="24"/>
        <v/>
      </c>
      <c r="Q333" s="1133"/>
    </row>
    <row r="334" spans="2:17" x14ac:dyDescent="0.3">
      <c r="B334" s="126"/>
      <c r="C334" s="126"/>
      <c r="D334" s="126"/>
      <c r="E334" s="577"/>
      <c r="F334" s="577"/>
      <c r="G334" s="577"/>
      <c r="H334" s="577"/>
      <c r="I334" s="577"/>
      <c r="J334" s="122"/>
      <c r="K334" s="122"/>
      <c r="O334" s="1134"/>
      <c r="Q334" s="1133"/>
    </row>
    <row r="335" spans="2:17" ht="17.25" thickBot="1" x14ac:dyDescent="0.35">
      <c r="B335" s="126"/>
      <c r="C335" s="126"/>
      <c r="D335" s="126"/>
      <c r="E335" s="577"/>
      <c r="F335" s="577"/>
      <c r="G335" s="577"/>
      <c r="H335" s="577"/>
      <c r="I335" s="577"/>
      <c r="J335" s="122"/>
      <c r="K335" s="122"/>
      <c r="O335" s="1134"/>
      <c r="Q335" s="1133"/>
    </row>
    <row r="336" spans="2:17" ht="18" thickBot="1" x14ac:dyDescent="0.35">
      <c r="B336" s="126"/>
      <c r="C336" s="487" t="str">
        <f>"ANSI/ASHRAE Sections " &amp; D14 &amp; ".9.19 and " &amp; D14 &amp; ".9.20: Off-Cycle Sensible and Infiltration Heat Loss Integration Factors"</f>
        <v>ANSI/ASHRAE Sections Unknown.9.19 and Unknown.9.20: Off-Cycle Sensible and Infiltration Heat Loss Integration Factors</v>
      </c>
      <c r="D336" s="540"/>
      <c r="E336" s="540"/>
      <c r="F336" s="540"/>
      <c r="G336" s="540"/>
      <c r="H336" s="540"/>
      <c r="I336" s="540"/>
      <c r="J336" s="540"/>
      <c r="K336" s="541"/>
      <c r="O336" s="1134"/>
      <c r="Q336" s="1133"/>
    </row>
    <row r="337" spans="2:17" ht="17.25" thickBot="1" x14ac:dyDescent="0.35">
      <c r="B337" s="126"/>
      <c r="C337" s="1863" t="s">
        <v>536</v>
      </c>
      <c r="D337" s="1864"/>
      <c r="E337" s="1864"/>
      <c r="F337" s="1864"/>
      <c r="G337" s="1864"/>
      <c r="H337" s="1864"/>
      <c r="I337" s="1864"/>
      <c r="J337" s="1864"/>
      <c r="K337" s="1865"/>
      <c r="O337" s="1134"/>
      <c r="Q337" s="1133"/>
    </row>
    <row r="338" spans="2:17" ht="17.25" x14ac:dyDescent="0.3">
      <c r="B338" s="126"/>
      <c r="C338" s="611" t="s">
        <v>488</v>
      </c>
      <c r="D338" s="1193" t="s">
        <v>489</v>
      </c>
      <c r="E338" s="612" t="s">
        <v>136</v>
      </c>
      <c r="F338" s="1195" t="s">
        <v>33</v>
      </c>
      <c r="G338" s="1866" t="s">
        <v>71</v>
      </c>
      <c r="H338" s="1866"/>
      <c r="I338" s="1866"/>
      <c r="J338" s="1866"/>
      <c r="K338" s="1867"/>
      <c r="O338" s="1134"/>
      <c r="Q338" s="1133"/>
    </row>
    <row r="339" spans="2:17" x14ac:dyDescent="0.3">
      <c r="B339" s="126"/>
      <c r="C339" s="580" t="str">
        <f>System_Number</f>
        <v>N/A</v>
      </c>
      <c r="D339" s="578" t="e">
        <f ca="1">OFFSET($D$17,0,MATCH($D$14,$E$14:$E$14,0)+1)</f>
        <v>#N/A</v>
      </c>
      <c r="E339" s="558" t="s">
        <v>175</v>
      </c>
      <c r="F339" s="558" t="s">
        <v>175</v>
      </c>
      <c r="G339" s="1857" t="s">
        <v>39</v>
      </c>
      <c r="H339" s="1857"/>
      <c r="I339" s="1857"/>
      <c r="J339" s="1857"/>
      <c r="K339" s="1858"/>
      <c r="O339" s="1134"/>
      <c r="Q339" s="1133"/>
    </row>
    <row r="340" spans="2:17" x14ac:dyDescent="0.3">
      <c r="B340" s="126"/>
      <c r="C340" s="580" t="str">
        <f>Post_Purge?</f>
        <v>N/A</v>
      </c>
      <c r="D340" s="578" t="e">
        <f ca="1">OFFSET($D$112,0,MATCH($D$14,$E$14:$E$14,0)+1)</f>
        <v>#N/A</v>
      </c>
      <c r="E340" s="558" t="s">
        <v>175</v>
      </c>
      <c r="F340" s="558" t="s">
        <v>175</v>
      </c>
      <c r="G340" s="1857" t="s">
        <v>386</v>
      </c>
      <c r="H340" s="1857"/>
      <c r="I340" s="1857"/>
      <c r="J340" s="1857"/>
      <c r="K340" s="1858"/>
      <c r="O340" s="1134"/>
      <c r="Q340" s="1133"/>
    </row>
    <row r="341" spans="2:17" ht="18" x14ac:dyDescent="0.3">
      <c r="B341" s="126"/>
      <c r="C341" s="581" t="str">
        <f>t.p</f>
        <v>N/A</v>
      </c>
      <c r="D341" s="561" t="e">
        <f ca="1">OFFSET($D$72,0,MATCH($D$14,$E$14:$E$14,0)+1)</f>
        <v>#N/A</v>
      </c>
      <c r="E341" s="558" t="s">
        <v>36</v>
      </c>
      <c r="F341" s="558" t="s">
        <v>608</v>
      </c>
      <c r="G341" s="1857" t="s">
        <v>431</v>
      </c>
      <c r="H341" s="1857"/>
      <c r="I341" s="1857"/>
      <c r="J341" s="1857"/>
      <c r="K341" s="1858"/>
      <c r="O341" s="1134"/>
      <c r="Q341" s="1133"/>
    </row>
    <row r="342" spans="2:17" ht="18" x14ac:dyDescent="0.3">
      <c r="B342" s="126"/>
      <c r="C342" s="581" t="str">
        <f>t.OFF</f>
        <v>N/A</v>
      </c>
      <c r="D342" s="561" t="e">
        <f ca="1">OFFSET($D$86,0,MATCH($D$14,$E$14:$E$14,0)+1)</f>
        <v>#N/A</v>
      </c>
      <c r="E342" s="558" t="s">
        <v>36</v>
      </c>
      <c r="F342" s="558" t="s">
        <v>628</v>
      </c>
      <c r="G342" s="1857" t="s">
        <v>443</v>
      </c>
      <c r="H342" s="1857"/>
      <c r="I342" s="1857"/>
      <c r="J342" s="1857"/>
      <c r="K342" s="1858"/>
      <c r="O342" s="1134"/>
      <c r="Q342" s="1133"/>
    </row>
    <row r="343" spans="2:17" ht="18" x14ac:dyDescent="0.3">
      <c r="B343" s="126"/>
      <c r="C343" s="581" t="str">
        <f>Tau.OFF</f>
        <v>N/A</v>
      </c>
      <c r="D343" s="561" t="e">
        <f ca="1">OFFSET($D$76,0,MATCH($D$14,$E$14:$E$14,0)+1)</f>
        <v>#N/A</v>
      </c>
      <c r="E343" s="558" t="s">
        <v>36</v>
      </c>
      <c r="F343" s="558" t="s">
        <v>612</v>
      </c>
      <c r="G343" s="1857" t="s">
        <v>435</v>
      </c>
      <c r="H343" s="1857"/>
      <c r="I343" s="1857"/>
      <c r="J343" s="1857"/>
      <c r="K343" s="1858"/>
      <c r="O343" s="1134"/>
      <c r="Q343" s="1133"/>
    </row>
    <row r="344" spans="2:17" ht="18" x14ac:dyDescent="0.3">
      <c r="B344" s="126"/>
      <c r="C344" s="581" t="str">
        <f>R.OFF</f>
        <v>N/A</v>
      </c>
      <c r="D344" s="561" t="e">
        <f ca="1">OFFSET($D$87,0,MATCH($D$14,$E$14:$E$14,0)+1)</f>
        <v>#N/A</v>
      </c>
      <c r="E344" s="558" t="s">
        <v>175</v>
      </c>
      <c r="F344" s="558" t="s">
        <v>629</v>
      </c>
      <c r="G344" s="1857" t="s">
        <v>444</v>
      </c>
      <c r="H344" s="1857"/>
      <c r="I344" s="1857"/>
      <c r="J344" s="1857"/>
      <c r="K344" s="1858"/>
      <c r="O344" s="1134"/>
      <c r="Q344" s="1133"/>
    </row>
    <row r="345" spans="2:17" ht="18" x14ac:dyDescent="0.3">
      <c r="B345" s="126"/>
      <c r="C345" s="579" t="str">
        <f>IF(C340="Yes",(C342-C341)/C343,"N/A")</f>
        <v>N/A</v>
      </c>
      <c r="D345" s="579" t="e">
        <f ca="1">IF(D340="Yes",(D342-D341)/D343,"N/A")</f>
        <v>#N/A</v>
      </c>
      <c r="E345" s="558" t="s">
        <v>175</v>
      </c>
      <c r="F345" s="558" t="s">
        <v>666</v>
      </c>
      <c r="G345" s="1857" t="s">
        <v>532</v>
      </c>
      <c r="H345" s="1857"/>
      <c r="I345" s="1857"/>
      <c r="J345" s="1857"/>
      <c r="K345" s="1858"/>
      <c r="O345" s="1134"/>
      <c r="Q345" s="1133"/>
    </row>
    <row r="346" spans="2:17" ht="18" x14ac:dyDescent="0.3">
      <c r="B346" s="577"/>
      <c r="C346" s="581" t="str">
        <f>Psi.FO</f>
        <v>N/A</v>
      </c>
      <c r="D346" s="561" t="e">
        <f ca="1">OFFSET($D$92,0,MATCH($D$14,$E$14:$E$14,0)+1)</f>
        <v>#N/A</v>
      </c>
      <c r="E346" s="558" t="s">
        <v>51</v>
      </c>
      <c r="F346" s="558" t="s">
        <v>634</v>
      </c>
      <c r="G346" s="1859" t="s">
        <v>449</v>
      </c>
      <c r="H346" s="1859"/>
      <c r="I346" s="1859"/>
      <c r="J346" s="1859"/>
      <c r="K346" s="1860"/>
      <c r="O346" s="1134"/>
      <c r="Q346" s="1133"/>
    </row>
    <row r="347" spans="2:17" ht="18" x14ac:dyDescent="0.3">
      <c r="B347" s="577"/>
      <c r="C347" s="581" t="str">
        <f>Psi.SO</f>
        <v>N/A</v>
      </c>
      <c r="D347" s="561" t="e">
        <f ca="1">OFFSET($D$94,0,MATCH($D$14,$E$14:$E$14,0)+1)</f>
        <v>#N/A</v>
      </c>
      <c r="E347" s="558" t="s">
        <v>51</v>
      </c>
      <c r="F347" s="558" t="s">
        <v>636</v>
      </c>
      <c r="G347" s="1859" t="s">
        <v>450</v>
      </c>
      <c r="H347" s="1859"/>
      <c r="I347" s="1859"/>
      <c r="J347" s="1859"/>
      <c r="K347" s="1860"/>
      <c r="O347" s="1134"/>
      <c r="Q347" s="1133"/>
    </row>
    <row r="348" spans="2:17" x14ac:dyDescent="0.3">
      <c r="B348" s="126"/>
      <c r="C348" s="583">
        <f>COUNT(C370:C1370)-1</f>
        <v>1000</v>
      </c>
      <c r="D348" s="578">
        <f>COUNT(C370:C1370)-1</f>
        <v>1000</v>
      </c>
      <c r="E348" s="558" t="s">
        <v>175</v>
      </c>
      <c r="F348" s="558" t="s">
        <v>175</v>
      </c>
      <c r="G348" s="1857" t="s">
        <v>531</v>
      </c>
      <c r="H348" s="1857"/>
      <c r="I348" s="1857"/>
      <c r="J348" s="1857"/>
      <c r="K348" s="1858"/>
      <c r="O348" s="1134"/>
      <c r="Q348" s="1133"/>
    </row>
    <row r="349" spans="2:17" ht="17.25" thickBot="1" x14ac:dyDescent="0.35">
      <c r="B349" s="126"/>
      <c r="C349" s="613" t="e">
        <f>(C344-0)/C348</f>
        <v>#VALUE!</v>
      </c>
      <c r="D349" s="593" t="e">
        <f ca="1">(D344-0)/D348</f>
        <v>#N/A</v>
      </c>
      <c r="E349" s="605" t="s">
        <v>175</v>
      </c>
      <c r="F349" s="605" t="s">
        <v>667</v>
      </c>
      <c r="G349" s="1861" t="s">
        <v>525</v>
      </c>
      <c r="H349" s="1861"/>
      <c r="I349" s="1861"/>
      <c r="J349" s="1861"/>
      <c r="K349" s="1862"/>
      <c r="O349" s="1134"/>
      <c r="Q349" s="1133"/>
    </row>
    <row r="350" spans="2:17" ht="17.25" thickBot="1" x14ac:dyDescent="0.35">
      <c r="B350" s="577"/>
      <c r="C350" s="584"/>
      <c r="D350" s="585"/>
      <c r="E350" s="585"/>
      <c r="F350" s="585"/>
      <c r="G350" s="585"/>
      <c r="H350" s="585"/>
      <c r="I350" s="585"/>
      <c r="J350" s="135"/>
      <c r="K350" s="542"/>
      <c r="O350" s="1134"/>
      <c r="Q350" s="1133"/>
    </row>
    <row r="351" spans="2:17" ht="17.25" x14ac:dyDescent="0.3">
      <c r="B351" s="577"/>
      <c r="C351" s="614" t="s">
        <v>488</v>
      </c>
      <c r="D351" s="615"/>
      <c r="E351" s="615"/>
      <c r="F351" s="615"/>
      <c r="G351" s="615"/>
      <c r="H351" s="616"/>
      <c r="I351" s="585"/>
      <c r="J351" s="135"/>
      <c r="K351" s="542"/>
      <c r="O351" s="1134"/>
      <c r="Q351" s="1133"/>
    </row>
    <row r="352" spans="2:17" ht="18.75" x14ac:dyDescent="0.35">
      <c r="B352" s="577"/>
      <c r="C352" s="586" t="s">
        <v>668</v>
      </c>
      <c r="D352" s="545" t="s">
        <v>669</v>
      </c>
      <c r="E352" s="587" t="s">
        <v>534</v>
      </c>
      <c r="F352" s="1192" t="str">
        <f>"f(" &amp; C348 &amp; ")"</f>
        <v>f(1000)</v>
      </c>
      <c r="G352" s="1868" t="s">
        <v>535</v>
      </c>
      <c r="H352" s="1869"/>
      <c r="I352" s="585"/>
      <c r="J352" s="135"/>
      <c r="K352" s="542"/>
      <c r="O352" s="1134"/>
      <c r="Q352" s="1133"/>
    </row>
    <row r="353" spans="2:17" x14ac:dyDescent="0.3">
      <c r="B353" s="577"/>
      <c r="C353" s="582">
        <f>IF($C$339&gt;4,0,IF($C$339=1,$C$344,IF($C$340="Yes",$C$345,$C$344)))</f>
        <v>0</v>
      </c>
      <c r="D353" s="579">
        <f>IF($C$339&gt;4,0,$C$346)</f>
        <v>0</v>
      </c>
      <c r="E353" s="588" t="e">
        <f>(($D353*EXP(-$D$370))^1.56)/(($D353*EXP(-$D$370)+530)^1.19)</f>
        <v>#VALUE!</v>
      </c>
      <c r="F353" s="588" t="e">
        <f>(($D353*EXP(-$D$1370))^1.56)/(($D353*EXP(-$D$1370)+530)^1.19)</f>
        <v>#VALUE!</v>
      </c>
      <c r="G353" s="589">
        <f>IF($C$339&lt;=4,
$C$349/3*
(4*SUMPRODUCT(((($D353*EXP(-$D$370:$D$1370))^1.56)/(($D353*EXP(-$D$370:$D$1370)+530)^1.19))*(MOD($C$370:$C$1370,2)=1))+
2*SUMPRODUCT(((($D353*EXP(-$D$370:$D$1370))^1.56)/(($D353*EXP(-$D$370:$D$1370)+530)^1.19))*(MOD($C$370:$C$1370,2)=0))
-$F353-$E353)/$C353,0)</f>
        <v>0</v>
      </c>
      <c r="H353" s="617" t="s">
        <v>454</v>
      </c>
      <c r="I353" s="585"/>
      <c r="J353" s="135"/>
      <c r="K353" s="542"/>
      <c r="O353" s="1134"/>
      <c r="Q353" s="1133"/>
    </row>
    <row r="354" spans="2:17" x14ac:dyDescent="0.3">
      <c r="B354" s="577"/>
      <c r="C354" s="582">
        <f>C353</f>
        <v>0</v>
      </c>
      <c r="D354" s="579">
        <f>D353</f>
        <v>0</v>
      </c>
      <c r="E354" s="588" t="e">
        <f>(($D354*EXP(-$D$370)+100)^1.56)/(($D354*EXP(-$D$370)+630)^1.19)-(($D354*EXP(-$D$370))^1.56)/(($D354*EXP(-$D$370)+530)^1.19)</f>
        <v>#VALUE!</v>
      </c>
      <c r="F354" s="588" t="e">
        <f>(($D354*EXP(-$D$1370)+100)^1.56)/(($D354*EXP(-$D$1370)+630)^1.19)-(($D354*EXP(-$D$1370))^1.56)/(($D354*EXP(-$D$1370)+530)^1.19)</f>
        <v>#VALUE!</v>
      </c>
      <c r="G354" s="589">
        <f>IF($C$339&lt;=4,
$C$349/3*
(4*SUMPRODUCT(((($D354*EXP(-$D$370:$D$1370)+100)^1.56)/(($D354*EXP(-$D$370:$D$1370)+630)^1.19)-(($D354*EXP(-$D$370:$D$1370))^1.56)/(($D354*EXP(-$D$370:$D$1370)+530)^1.19))*(MOD($C$370:$C$1370,2)=1))+
2*SUMPRODUCT(((($D354*EXP(-$D$370:$D$1370)+100)^1.56)/(($D354*EXP(-$D$370:$D$1370)+630)^1.19)-(($D354*EXP(-$D$370:$D$1370))^1.56)/(($D354*EXP(-$D$370:$D$1370)+530)^1.19))*(MOD($C$370:$C$1370,2)=0))-
$F354-$E354)/(100*$C354),0)</f>
        <v>0</v>
      </c>
      <c r="H354" s="617" t="s">
        <v>455</v>
      </c>
      <c r="I354" s="585"/>
      <c r="J354" s="135"/>
      <c r="K354" s="542"/>
      <c r="O354" s="1134"/>
      <c r="Q354" s="1133"/>
    </row>
    <row r="355" spans="2:17" x14ac:dyDescent="0.3">
      <c r="B355" s="577"/>
      <c r="C355" s="582" t="str">
        <f>IF($C$339&lt;=4,0,IF(AND($C$339=10,$C$340="Yes"),$C$345,$C$344))</f>
        <v>N/A</v>
      </c>
      <c r="D355" s="579" t="str">
        <f>IF($C$339&lt;=4,0,IF($C$339&lt;=8,$C$347,$C$346))</f>
        <v>N/A</v>
      </c>
      <c r="E355" s="588" t="e">
        <f>((($D355*EXP(-$D$370)+28)^0.56)*($D355*EXP(-$D$370)))/
(($D355*EXP(-$D$370)+530)^1.19)</f>
        <v>#VALUE!</v>
      </c>
      <c r="F355" s="588" t="e">
        <f>((($D355*EXP(-$D$1370)+28)^0.56)*($D355*EXP(-$D$1370)))/
(($D355*EXP(-$D$1370)+530)^1.19)</f>
        <v>#VALUE!</v>
      </c>
      <c r="G355" s="589" t="e">
        <f>IF($C$339&gt;4,
$C$349/3*
(4*SUMPRODUCT((((($D355*EXP(-$D$370:$D$1370)+28)^0.56)*($D355*EXP(-$D$370:$D$1370)))/(($D355*EXP(-$D$370:$D$1370)+530)^1.19))*(MOD($C$370:$C$1370,2)=1))+
2*SUMPRODUCT((((($D355*EXP(-$D$370:$D$1370)+28)^0.56)*($D355*EXP(-$D$370:$D$1370)))/(($D355*EXP(-$D$370:$D$1370)+530)^1.19))*(MOD($C$370:$C$1370,2)=0))-
$E355-$F355)/($C355),0)</f>
        <v>#VALUE!</v>
      </c>
      <c r="H355" s="617" t="s">
        <v>456</v>
      </c>
      <c r="I355" s="585"/>
      <c r="J355" s="135"/>
      <c r="K355" s="542"/>
      <c r="O355" s="1134"/>
      <c r="Q355" s="1133"/>
    </row>
    <row r="356" spans="2:17" x14ac:dyDescent="0.3">
      <c r="B356" s="577"/>
      <c r="C356" s="582" t="str">
        <f>C355</f>
        <v>N/A</v>
      </c>
      <c r="D356" s="579" t="str">
        <f>D355</f>
        <v>N/A</v>
      </c>
      <c r="E356" s="588" t="e">
        <f>((($D356*EXP(-$D$370)+128)^0.56)*($D356*EXP(-$D$370)+100))/(($D356*EXP(-$D$370)+630)^1.19)-((($D356*EXP(-$D$370)+28)^0.56)*($D356*EXP(-$D$370)))/(($D356*EXP(-$D$370)+530)^1.19)</f>
        <v>#VALUE!</v>
      </c>
      <c r="F356" s="588" t="e">
        <f>((($D356*EXP(-$D$1370)+128)^0.56)*($D356*EXP(-$D$1370)+100))/(($D356*EXP(-$D$1370)+630)^1.19)-((($D356*EXP(-$D$1370)+28)^0.56)*($D356*EXP(-$D$1370)))/(($D356*EXP(-$D$1370)+530)^1.19)</f>
        <v>#VALUE!</v>
      </c>
      <c r="G356" s="589" t="e">
        <f>IF($C$339&gt;4,
$C$349/3*
(4*SUMPRODUCT((((($D356*EXP(-$D$370:$D$1370)+128)^0.56)*($D356*EXP(-$D$370:$D$1370)+100))/(($D356*EXP(-$D$370:$D$1370)+630)^1.19)-((($D356*EXP(-$D$370:$D$1370)+28)^0.56)*($D356*EXP(-$D$370:$D$1370)))/(($D356*EXP(-$D$370:$D$1370)+530)^1.19))*(MOD($C$370:$C$1370,2)=1))+
2*SUMPRODUCT((((($D356*EXP(-$D$370:$D$1370)+128)^0.56)*($D356*EXP(-$D$370:$D$1370)+100))/(($D356*EXP(-$D$370:$D$1370)+630)^1.19)-((($D356*EXP(-$D$370:$D$1370)+28)^0.56)*($D356*EXP(-$D$370:$D$1370)))/(($D356*EXP(-$D$370:$D$1370)+530)^1.19))*(MOD($C$370:$C$1370,2)=0))-
$F356-$E356)/(100*$C356),0)</f>
        <v>#VALUE!</v>
      </c>
      <c r="H356" s="617" t="s">
        <v>457</v>
      </c>
      <c r="I356" s="585"/>
      <c r="J356" s="135"/>
      <c r="K356" s="542"/>
      <c r="O356" s="1134"/>
      <c r="Q356" s="1133"/>
    </row>
    <row r="357" spans="2:17" x14ac:dyDescent="0.3">
      <c r="B357" s="577"/>
      <c r="C357" s="582">
        <f>IF($C$339&gt;=9,0,IF(AND($C$339&gt;=2,$C$339&lt;=4,$C$340="Yes"),$C$345,$C$344))</f>
        <v>0</v>
      </c>
      <c r="D357" s="579">
        <f>IF($C$339&gt;=9,0,IF($C$339=3,$C$346,$C$347))</f>
        <v>0</v>
      </c>
      <c r="E357" s="588" t="e">
        <f>(($D357*EXP(-$D$370)+28)^0.56)/(($D357*EXP(-$D$370)+530)^1.19)</f>
        <v>#VALUE!</v>
      </c>
      <c r="F357" s="588" t="e">
        <f>(($D357*EXP(-$D$1370)+28)^0.56)/(($D357*EXP(-$D$1370)+530)^1.19)</f>
        <v>#VALUE!</v>
      </c>
      <c r="G357" s="589">
        <f>IF($C$339&gt;=9,0,
$C$349/3*
(4*SUMPRODUCT(((($D357*EXP(-$D$370:$D$1370)+28)^0.56)/(($D357*EXP(-$D$370:$D$1370)+530)^1.19))*(MOD($C$370:$C$1370,2)=1))+
2*SUMPRODUCT(((($D357*EXP(-$D$370:$D$1370)+28)^0.56)/(($D357*EXP(-$D$370:$D$1370)+530)^1.19))*(MOD($C$370:$C$1370,2)=0))-
$F357-$E357)/($C357))</f>
        <v>0</v>
      </c>
      <c r="H357" s="617" t="s">
        <v>458</v>
      </c>
      <c r="I357" s="585"/>
      <c r="J357" s="135"/>
      <c r="K357" s="542"/>
      <c r="O357" s="1134"/>
      <c r="Q357" s="1133"/>
    </row>
    <row r="358" spans="2:17" ht="17.25" thickBot="1" x14ac:dyDescent="0.35">
      <c r="B358" s="577"/>
      <c r="C358" s="618">
        <f>C357</f>
        <v>0</v>
      </c>
      <c r="D358" s="619">
        <f>D357</f>
        <v>0</v>
      </c>
      <c r="E358" s="620" t="e">
        <f>(($D358*EXP(-$D$370)+128)^0.56)/(($D358*EXP(-$D$370)+630)^1.19)-(($D358*EXP(-$D$370)+28)^0.56)/(($D358*EXP(-$D$370)+530)^1.19)</f>
        <v>#VALUE!</v>
      </c>
      <c r="F358" s="620" t="e">
        <f>(($D358*EXP(-$D$1370)+128)^0.56)/(($D358*EXP(-$D$1370)+630)^1.19)-(($D358*EXP(-$D$1370)+28)^0.56)/(($D358*EXP(-$D$1370)+530)^1.19)</f>
        <v>#VALUE!</v>
      </c>
      <c r="G358" s="621">
        <f>IF($C$339&gt;=9,0,
$C$349/3*
(4*SUMPRODUCT(((($D358*EXP(-$D$370:$D$1370)+128)^0.56)/(($D358*EXP(-$D$370:$D$1370)+630)^1.19)-(($D358*EXP(-$D$370:$D$1370)+28)^0.56)/(($D358*EXP(-$D$370:$D$1370)+530)^1.19))*(MOD($C$370:$C$1370,2)=1))+
2*SUMPRODUCT(((($D358*EXP(-$D$370:$D$1370)+128)^0.56)/(($D358*EXP(-$D$370:$D$1370)+630)^1.19)-(($D358*EXP(-$D$370:$D$1370)+28)^0.56)/(($D358*EXP(-$D$370:$D$1370)+530)^1.19))*(MOD($C$370:$C$1370,2)=0))-
$F358-$E358)/(100*$C358))</f>
        <v>0</v>
      </c>
      <c r="H358" s="622" t="s">
        <v>460</v>
      </c>
      <c r="I358" s="585"/>
      <c r="J358" s="135"/>
      <c r="K358" s="542"/>
      <c r="O358" s="1134"/>
      <c r="Q358" s="1133"/>
    </row>
    <row r="359" spans="2:17" ht="17.25" thickBot="1" x14ac:dyDescent="0.35">
      <c r="B359" s="577"/>
      <c r="C359" s="584"/>
      <c r="D359" s="585"/>
      <c r="E359" s="585"/>
      <c r="F359" s="585"/>
      <c r="G359" s="585"/>
      <c r="H359" s="585"/>
      <c r="I359" s="585"/>
      <c r="J359" s="135"/>
      <c r="K359" s="542"/>
      <c r="O359" s="1134"/>
      <c r="Q359" s="1133"/>
    </row>
    <row r="360" spans="2:17" ht="17.25" x14ac:dyDescent="0.3">
      <c r="B360" s="577"/>
      <c r="C360" s="614" t="s">
        <v>489</v>
      </c>
      <c r="D360" s="615"/>
      <c r="E360" s="615"/>
      <c r="F360" s="615"/>
      <c r="G360" s="615"/>
      <c r="H360" s="616"/>
      <c r="I360" s="585"/>
      <c r="J360" s="135"/>
      <c r="K360" s="542"/>
      <c r="O360" s="1134"/>
      <c r="Q360" s="1133"/>
    </row>
    <row r="361" spans="2:17" ht="18.75" x14ac:dyDescent="0.35">
      <c r="B361" s="577"/>
      <c r="C361" s="586" t="s">
        <v>668</v>
      </c>
      <c r="D361" s="545" t="s">
        <v>669</v>
      </c>
      <c r="E361" s="587" t="s">
        <v>534</v>
      </c>
      <c r="F361" s="1192" t="str">
        <f>"f(" &amp; D348 &amp; ")"</f>
        <v>f(1000)</v>
      </c>
      <c r="G361" s="1868" t="s">
        <v>535</v>
      </c>
      <c r="H361" s="1869"/>
      <c r="I361" s="585"/>
      <c r="J361" s="135"/>
      <c r="K361" s="542"/>
      <c r="O361" s="1134"/>
      <c r="Q361" s="1133"/>
    </row>
    <row r="362" spans="2:17" x14ac:dyDescent="0.3">
      <c r="B362" s="577"/>
      <c r="C362" s="582" t="e">
        <f ca="1">IF($D$339&gt;4,0,IF($D$339=1,$D$344,IF($D$340="Yes",$D$345,$D$344)))</f>
        <v>#N/A</v>
      </c>
      <c r="D362" s="579" t="e">
        <f ca="1">IF($D$339&gt;4,0,$D$346)</f>
        <v>#N/A</v>
      </c>
      <c r="E362" s="588" t="e">
        <f ca="1">(($D362*EXP(-$D$370))^1.56)/(($D362*EXP(-$D$370)+530)^1.19)</f>
        <v>#N/A</v>
      </c>
      <c r="F362" s="588" t="e">
        <f ca="1">(($D362*EXP(-$D$1370))^1.56)/(($D362*EXP(-$D$1370)+530)^1.19)</f>
        <v>#N/A</v>
      </c>
      <c r="G362" s="589" t="e">
        <f ca="1">IF($D$339&lt;=4,
$D$349/3*
(4*SUMPRODUCT(((($D362*EXP(-$D$370:$D$1370))^1.56)/(($D362*EXP(-$D$370:$D$1370)+530)^1.19))*(MOD($C$370:$C$1370,2)=1))+
2*SUMPRODUCT(((($D362*EXP(-$D$370:$D$1370))^1.56)/(($D362*EXP(-$D$370:$D$1370)+530)^1.19))*(MOD($C$370:$C$1370,2)=0))
-$F362-$E362)/$C362,0)</f>
        <v>#N/A</v>
      </c>
      <c r="H362" s="617" t="s">
        <v>454</v>
      </c>
      <c r="I362" s="585"/>
      <c r="J362" s="135"/>
      <c r="K362" s="542"/>
      <c r="O362" s="1134"/>
      <c r="Q362" s="1133"/>
    </row>
    <row r="363" spans="2:17" x14ac:dyDescent="0.3">
      <c r="B363" s="577"/>
      <c r="C363" s="582" t="e">
        <f ca="1">C362</f>
        <v>#N/A</v>
      </c>
      <c r="D363" s="579" t="e">
        <f ca="1">D362</f>
        <v>#N/A</v>
      </c>
      <c r="E363" s="588" t="e">
        <f ca="1">(($D363*EXP(-$D$370)+100)^1.56)/(($D363*EXP(-$D$370)+630)^1.19)-(($D363*EXP(-$D$370))^1.56)/(($D363*EXP(-$D$370)+530)^1.19)</f>
        <v>#N/A</v>
      </c>
      <c r="F363" s="588" t="e">
        <f ca="1">(($D363*EXP(-$D$1370)+100)^1.56)/(($D363*EXP(-$D$1370)+630)^1.19)-(($D363*EXP(-$D$1370))^1.56)/(($D363*EXP(-$D$1370)+530)^1.19)</f>
        <v>#N/A</v>
      </c>
      <c r="G363" s="589" t="e">
        <f ca="1">IF($D$339&lt;=4,
$D$349/3*
(4*SUMPRODUCT(((($D363*EXP(-$D$370:$D$1370)+100)^1.56)/(($D363*EXP(-$D$370:$D$1370)+630)^1.19)-(($D363*EXP(-$D$370:$D$1370))^1.56)/(($D363*EXP(-$D$370:$D$1370)+530)^1.19))*(MOD($C$370:$C$1370,2)=1))+
2*SUMPRODUCT(((($D363*EXP(-$D$370:$D$1370)+100)^1.56)/(($D363*EXP(-$D$370:$D$1370)+630)^1.19)-(($D363*EXP(-$D$370:$D$1370))^1.56)/(($D363*EXP(-$D$370:$D$1370)+530)^1.19))*(MOD($C$370:$C$1370,2)=0))-
$F363-$E363)/(100*$C363),0)</f>
        <v>#N/A</v>
      </c>
      <c r="H363" s="617" t="s">
        <v>455</v>
      </c>
      <c r="I363" s="585"/>
      <c r="J363" s="135"/>
      <c r="K363" s="542"/>
      <c r="O363" s="1134"/>
      <c r="Q363" s="1133"/>
    </row>
    <row r="364" spans="2:17" x14ac:dyDescent="0.3">
      <c r="B364" s="577"/>
      <c r="C364" s="582" t="e">
        <f ca="1">IF($D$339&lt;=4,0,IF(AND($D$339=10,$D$340="Yes"),$D$345,$D$344))</f>
        <v>#N/A</v>
      </c>
      <c r="D364" s="579" t="e">
        <f ca="1">IF($D$339&lt;=4,0,IF($D$339&lt;=8,$D$347,$D$346))</f>
        <v>#N/A</v>
      </c>
      <c r="E364" s="588" t="e">
        <f ca="1">((($D364*EXP(-$D$370)+28)^0.56)*($D364*EXP(-$D$370)))/
(($D364*EXP(-$D$370)+530)^1.19)</f>
        <v>#N/A</v>
      </c>
      <c r="F364" s="588" t="e">
        <f ca="1">((($D364*EXP(-$D$1370)+28)^0.56)*($D364*EXP(-$D$1370)))/
(($D364*EXP(-$D$1370)+530)^1.19)</f>
        <v>#N/A</v>
      </c>
      <c r="G364" s="589" t="e">
        <f ca="1">IF($D$339&gt;4,
$D$349/3*
(4*SUMPRODUCT((((($D364*EXP(-$D$370:$D$1370)+28)^0.56)*($D364*EXP(-$D$370:$D$1370)))/(($D364*EXP(-$D$370:$D$1370)+530)^1.19))*(MOD($C$370:$C$1370,2)=1))+
2*SUMPRODUCT((((($D364*EXP(-$D$370:$D$1370)+28)^0.56)*($D364*EXP(-$D$370:$D$1370)))/(($D364*EXP(-$D$370:$D$1370)+530)^1.19))*(MOD($C$370:$C$1370,2)=0))-
$E364-$F364)/($C364),0)</f>
        <v>#N/A</v>
      </c>
      <c r="H364" s="617" t="s">
        <v>456</v>
      </c>
      <c r="I364" s="585"/>
      <c r="J364" s="135"/>
      <c r="K364" s="542"/>
      <c r="O364" s="1134"/>
      <c r="Q364" s="1133"/>
    </row>
    <row r="365" spans="2:17" x14ac:dyDescent="0.3">
      <c r="B365" s="577"/>
      <c r="C365" s="582" t="e">
        <f ca="1">C364</f>
        <v>#N/A</v>
      </c>
      <c r="D365" s="579" t="e">
        <f ca="1">D364</f>
        <v>#N/A</v>
      </c>
      <c r="E365" s="588" t="e">
        <f ca="1">((($D365*EXP(-$D$370)+128)^0.56)*($D365*EXP(-$D$370)+100))/(($D365*EXP(-$D$370)+630)^1.19)-((($D365*EXP(-$D$370)+28)^0.56)*($D365*EXP(-$D$370)))/(($D365*EXP(-$D$370)+530)^1.19)</f>
        <v>#N/A</v>
      </c>
      <c r="F365" s="588" t="e">
        <f ca="1">((($D365*EXP(-$D$1370)+128)^0.56)*($D365*EXP(-$D$1370)+100))/(($D365*EXP(-$D$1370)+630)^1.19)-((($D365*EXP(-$D$1370)+28)^0.56)*($D365*EXP(-$D$1370)))/(($D365*EXP(-$D$1370)+530)^1.19)</f>
        <v>#N/A</v>
      </c>
      <c r="G365" s="589" t="e">
        <f ca="1">IF($D$339&gt;4,
$D$349/3*
(4*SUMPRODUCT((((($D365*EXP(-$D$370:$D$1370)+128)^0.56)*($D365*EXP(-$D$370:$D$1370)+100))/(($D365*EXP(-$D$370:$D$1370)+630)^1.19)-((($D365*EXP(-$D$370:$D$1370)+28)^0.56)*($D365*EXP(-$D$370:$D$1370)))/(($D365*EXP(-$D$370:$D$1370)+530)^1.19))*(MOD($C$370:$C$1370,2)=1))+
2*SUMPRODUCT((((($D365*EXP(-$D$370:$D$1370)+128)^0.56)*($D365*EXP(-$D$370:$D$1370)+100))/(($D365*EXP(-$D$370:$D$1370)+630)^1.19)-((($D365*EXP(-$D$370:$D$1370)+28)^0.56)*($D365*EXP(-$D$370:$D$1370)))/(($D365*EXP(-$D$370:$D$1370)+530)^1.19))*(MOD($C$370:$C$1370,2)=0))-
$F365-$E365)/(100*$C365),0)</f>
        <v>#N/A</v>
      </c>
      <c r="H365" s="617" t="s">
        <v>457</v>
      </c>
      <c r="I365" s="585"/>
      <c r="J365" s="135"/>
      <c r="K365" s="542"/>
      <c r="O365" s="1134"/>
      <c r="Q365" s="1133"/>
    </row>
    <row r="366" spans="2:17" x14ac:dyDescent="0.3">
      <c r="B366" s="577"/>
      <c r="C366" s="582" t="e">
        <f ca="1">IF($D$339&gt;=9,0,IF(AND($D$339&gt;=2,$D$339&lt;=4,$D$340="Yes"),$D$345,$D$344))</f>
        <v>#N/A</v>
      </c>
      <c r="D366" s="579" t="e">
        <f ca="1">IF($D$339&gt;=9,0,IF($D$339=3,$D$346,$D$347))</f>
        <v>#N/A</v>
      </c>
      <c r="E366" s="588" t="e">
        <f ca="1">(($D366*EXP(-$D$370)+28)^0.56)/(($D366*EXP(-$D$370)+530)^1.19)</f>
        <v>#N/A</v>
      </c>
      <c r="F366" s="588" t="e">
        <f ca="1">(($D366*EXP(-$D$1370)+28)^0.56)/(($D366*EXP(-$D$1370)+530)^1.19)</f>
        <v>#N/A</v>
      </c>
      <c r="G366" s="589" t="e">
        <f ca="1">IF($D$339&gt;=9,0,
$D$349/3*
(4*SUMPRODUCT(((($D366*EXP(-$D$370:$D$1370)+28)^0.56)/(($D366*EXP(-$D$370:$D$1370)+530)^1.19))*(MOD($C$370:$C$1370,2)=1))+
2*SUMPRODUCT(((($D366*EXP(-$D$370:$D$1370)+28)^0.56)/(($D366*EXP(-$D$370:$D$1370)+530)^1.19))*(MOD($C$370:$C$1370,2)=0))-
$F366-$E366)/($C366))</f>
        <v>#N/A</v>
      </c>
      <c r="H366" s="617" t="s">
        <v>458</v>
      </c>
      <c r="I366" s="585"/>
      <c r="J366" s="135"/>
      <c r="K366" s="542"/>
      <c r="O366" s="1134"/>
      <c r="Q366" s="1133"/>
    </row>
    <row r="367" spans="2:17" ht="17.25" thickBot="1" x14ac:dyDescent="0.35">
      <c r="B367" s="577"/>
      <c r="C367" s="618" t="e">
        <f ca="1">C366</f>
        <v>#N/A</v>
      </c>
      <c r="D367" s="619" t="e">
        <f ca="1">D366</f>
        <v>#N/A</v>
      </c>
      <c r="E367" s="620" t="e">
        <f ca="1">(($D367*EXP(-$D$370)+128)^0.56)/(($D367*EXP(-$D$370)+630)^1.19)-(($D367*EXP(-$D$370)+28)^0.56)/(($D367*EXP(-$D$370)+530)^1.19)</f>
        <v>#N/A</v>
      </c>
      <c r="F367" s="620" t="e">
        <f ca="1">(($D367*EXP(-$D$1370)+128)^0.56)/(($D367*EXP(-$D$1370)+630)^1.19)-(($D367*EXP(-$D$1370)+28)^0.56)/(($D367*EXP(-$D$1370)+530)^1.19)</f>
        <v>#N/A</v>
      </c>
      <c r="G367" s="621" t="e">
        <f ca="1">IF($D$339&gt;=9,0,
$D$349/3*
(4*SUMPRODUCT(((($D367*EXP(-$D$370:$D$1370)+128)^0.56)/(($D367*EXP(-$D$370:$D$1370)+630)^1.19)-(($D367*EXP(-$D$370:$D$1370)+28)^0.56)/(($D367*EXP(-$D$370:$D$1370)+530)^1.19))*(MOD($C$370:$C$1370,2)=1))+
2*SUMPRODUCT(((($D367*EXP(-$D$370:$D$1370)+128)^0.56)/(($D367*EXP(-$D$370:$D$1370)+630)^1.19)-(($D367*EXP(-$D$370:$D$1370)+28)^0.56)/(($D367*EXP(-$D$370:$D$1370)+530)^1.19))*(MOD($C$370:$C$1370,2)=0))-
$F367-$E367)/(100*$C367))</f>
        <v>#N/A</v>
      </c>
      <c r="H367" s="622" t="s">
        <v>460</v>
      </c>
      <c r="I367" s="585"/>
      <c r="J367" s="135"/>
      <c r="K367" s="542"/>
      <c r="O367" s="1134"/>
      <c r="Q367" s="1133"/>
    </row>
    <row r="368" spans="2:17" ht="17.25" thickBot="1" x14ac:dyDescent="0.35">
      <c r="B368" s="577"/>
      <c r="C368" s="584"/>
      <c r="D368" s="585"/>
      <c r="E368" s="585"/>
      <c r="F368" s="585"/>
      <c r="G368" s="585"/>
      <c r="H368" s="585"/>
      <c r="I368" s="585"/>
      <c r="J368" s="135"/>
      <c r="K368" s="542"/>
      <c r="O368" s="1134"/>
      <c r="Q368" s="1133"/>
    </row>
    <row r="369" spans="2:17" ht="18" x14ac:dyDescent="0.3">
      <c r="B369" s="577"/>
      <c r="C369" s="623" t="s">
        <v>525</v>
      </c>
      <c r="D369" s="624" t="s">
        <v>670</v>
      </c>
      <c r="E369" s="585"/>
      <c r="F369" s="585"/>
      <c r="G369" s="585"/>
      <c r="H369" s="585"/>
      <c r="I369" s="585"/>
      <c r="J369" s="135"/>
      <c r="K369" s="542"/>
      <c r="O369" s="1134"/>
      <c r="Q369" s="1133"/>
    </row>
    <row r="370" spans="2:17" x14ac:dyDescent="0.3">
      <c r="B370" s="577"/>
      <c r="C370" s="583">
        <v>0</v>
      </c>
      <c r="D370" s="625" t="e">
        <f t="shared" ref="D370:D433" si="25">$C$349*C370</f>
        <v>#VALUE!</v>
      </c>
      <c r="E370" s="585"/>
      <c r="F370" s="585"/>
      <c r="G370" s="585"/>
      <c r="H370" s="585"/>
      <c r="I370" s="585"/>
      <c r="J370" s="135"/>
      <c r="K370" s="542"/>
      <c r="O370" s="1134"/>
      <c r="Q370" s="1133"/>
    </row>
    <row r="371" spans="2:17" x14ac:dyDescent="0.3">
      <c r="B371" s="577"/>
      <c r="C371" s="583">
        <v>1</v>
      </c>
      <c r="D371" s="625" t="e">
        <f t="shared" si="25"/>
        <v>#VALUE!</v>
      </c>
      <c r="E371" s="585"/>
      <c r="F371" s="585"/>
      <c r="G371" s="585"/>
      <c r="H371" s="585"/>
      <c r="I371" s="585"/>
      <c r="J371" s="135"/>
      <c r="K371" s="542"/>
      <c r="O371" s="1134"/>
      <c r="Q371" s="1133"/>
    </row>
    <row r="372" spans="2:17" x14ac:dyDescent="0.3">
      <c r="B372" s="577"/>
      <c r="C372" s="583">
        <v>2</v>
      </c>
      <c r="D372" s="625" t="e">
        <f t="shared" si="25"/>
        <v>#VALUE!</v>
      </c>
      <c r="E372" s="585"/>
      <c r="F372" s="585"/>
      <c r="G372" s="585"/>
      <c r="H372" s="585"/>
      <c r="I372" s="585"/>
      <c r="J372" s="135"/>
      <c r="K372" s="542"/>
      <c r="O372" s="1134"/>
      <c r="Q372" s="1133"/>
    </row>
    <row r="373" spans="2:17" x14ac:dyDescent="0.3">
      <c r="B373" s="577"/>
      <c r="C373" s="583">
        <v>3</v>
      </c>
      <c r="D373" s="625" t="e">
        <f>$C$349*C373</f>
        <v>#VALUE!</v>
      </c>
      <c r="E373" s="585"/>
      <c r="F373" s="585"/>
      <c r="G373" s="585"/>
      <c r="H373" s="585"/>
      <c r="I373" s="585"/>
      <c r="J373" s="135"/>
      <c r="K373" s="542"/>
      <c r="O373" s="1134"/>
      <c r="Q373" s="1133"/>
    </row>
    <row r="374" spans="2:17" x14ac:dyDescent="0.3">
      <c r="B374" s="577"/>
      <c r="C374" s="583">
        <v>4</v>
      </c>
      <c r="D374" s="625" t="e">
        <f t="shared" si="25"/>
        <v>#VALUE!</v>
      </c>
      <c r="E374" s="585"/>
      <c r="F374" s="585"/>
      <c r="G374" s="585"/>
      <c r="H374" s="585"/>
      <c r="I374" s="585"/>
      <c r="J374" s="135"/>
      <c r="K374" s="542"/>
      <c r="O374" s="1134"/>
      <c r="Q374" s="1133"/>
    </row>
    <row r="375" spans="2:17" x14ac:dyDescent="0.3">
      <c r="B375" s="577"/>
      <c r="C375" s="583">
        <v>5</v>
      </c>
      <c r="D375" s="625" t="e">
        <f t="shared" si="25"/>
        <v>#VALUE!</v>
      </c>
      <c r="E375" s="585"/>
      <c r="F375" s="585"/>
      <c r="G375" s="585"/>
      <c r="H375" s="585"/>
      <c r="I375" s="585"/>
      <c r="J375" s="135"/>
      <c r="K375" s="542"/>
      <c r="O375" s="1134"/>
      <c r="Q375" s="1133"/>
    </row>
    <row r="376" spans="2:17" x14ac:dyDescent="0.3">
      <c r="B376" s="577"/>
      <c r="C376" s="583">
        <v>6</v>
      </c>
      <c r="D376" s="625" t="e">
        <f t="shared" si="25"/>
        <v>#VALUE!</v>
      </c>
      <c r="E376" s="585"/>
      <c r="F376" s="585"/>
      <c r="G376" s="585"/>
      <c r="H376" s="585"/>
      <c r="I376" s="585"/>
      <c r="J376" s="135"/>
      <c r="K376" s="542"/>
      <c r="O376" s="1134"/>
      <c r="Q376" s="1133"/>
    </row>
    <row r="377" spans="2:17" x14ac:dyDescent="0.3">
      <c r="B377" s="577"/>
      <c r="C377" s="583">
        <v>7</v>
      </c>
      <c r="D377" s="625" t="e">
        <f t="shared" si="25"/>
        <v>#VALUE!</v>
      </c>
      <c r="E377" s="585"/>
      <c r="F377" s="585"/>
      <c r="G377" s="585"/>
      <c r="H377" s="585"/>
      <c r="I377" s="585"/>
      <c r="J377" s="135"/>
      <c r="K377" s="542"/>
      <c r="O377" s="1134"/>
      <c r="Q377" s="1133"/>
    </row>
    <row r="378" spans="2:17" x14ac:dyDescent="0.3">
      <c r="B378" s="126"/>
      <c r="C378" s="583">
        <v>8</v>
      </c>
      <c r="D378" s="625" t="e">
        <f t="shared" si="25"/>
        <v>#VALUE!</v>
      </c>
      <c r="E378" s="590"/>
      <c r="F378" s="590"/>
      <c r="G378" s="590"/>
      <c r="H378" s="590"/>
      <c r="I378" s="590"/>
      <c r="J378" s="590"/>
      <c r="K378" s="542"/>
      <c r="O378" s="1134"/>
      <c r="Q378" s="1133"/>
    </row>
    <row r="379" spans="2:17" x14ac:dyDescent="0.3">
      <c r="B379" s="126"/>
      <c r="C379" s="583">
        <v>9</v>
      </c>
      <c r="D379" s="625" t="e">
        <f t="shared" si="25"/>
        <v>#VALUE!</v>
      </c>
      <c r="E379" s="591"/>
      <c r="F379" s="591"/>
      <c r="G379" s="591"/>
      <c r="H379" s="591"/>
      <c r="I379" s="591"/>
      <c r="J379" s="591"/>
      <c r="K379" s="542"/>
      <c r="O379" s="1134"/>
      <c r="Q379" s="1133"/>
    </row>
    <row r="380" spans="2:17" x14ac:dyDescent="0.3">
      <c r="B380" s="126"/>
      <c r="C380" s="583">
        <v>10</v>
      </c>
      <c r="D380" s="625" t="e">
        <f t="shared" si="25"/>
        <v>#VALUE!</v>
      </c>
      <c r="E380" s="591"/>
      <c r="F380" s="591"/>
      <c r="G380" s="591"/>
      <c r="H380" s="591"/>
      <c r="I380" s="591"/>
      <c r="J380" s="591"/>
      <c r="K380" s="542"/>
      <c r="O380" s="1134"/>
      <c r="Q380" s="1133"/>
    </row>
    <row r="381" spans="2:17" x14ac:dyDescent="0.3">
      <c r="B381" s="126"/>
      <c r="C381" s="583">
        <v>11</v>
      </c>
      <c r="D381" s="625" t="e">
        <f t="shared" si="25"/>
        <v>#VALUE!</v>
      </c>
      <c r="E381" s="591"/>
      <c r="F381" s="591"/>
      <c r="G381" s="591"/>
      <c r="H381" s="591"/>
      <c r="I381" s="591"/>
      <c r="J381" s="591"/>
      <c r="K381" s="542"/>
      <c r="O381" s="1134"/>
      <c r="Q381" s="1133"/>
    </row>
    <row r="382" spans="2:17" x14ac:dyDescent="0.3">
      <c r="B382" s="126"/>
      <c r="C382" s="583">
        <v>12</v>
      </c>
      <c r="D382" s="625" t="e">
        <f t="shared" si="25"/>
        <v>#VALUE!</v>
      </c>
      <c r="E382" s="591"/>
      <c r="F382" s="591"/>
      <c r="G382" s="591"/>
      <c r="H382" s="591"/>
      <c r="I382" s="591"/>
      <c r="J382" s="591"/>
      <c r="K382" s="542"/>
      <c r="O382" s="1134"/>
      <c r="Q382" s="1133"/>
    </row>
    <row r="383" spans="2:17" x14ac:dyDescent="0.3">
      <c r="B383" s="126"/>
      <c r="C383" s="583">
        <v>13</v>
      </c>
      <c r="D383" s="625" t="e">
        <f t="shared" si="25"/>
        <v>#VALUE!</v>
      </c>
      <c r="E383" s="591"/>
      <c r="F383" s="591"/>
      <c r="G383" s="591"/>
      <c r="H383" s="591"/>
      <c r="I383" s="591"/>
      <c r="J383" s="591"/>
      <c r="K383" s="542"/>
      <c r="O383" s="1134"/>
      <c r="Q383" s="1133"/>
    </row>
    <row r="384" spans="2:17" x14ac:dyDescent="0.3">
      <c r="B384" s="126"/>
      <c r="C384" s="583">
        <v>14</v>
      </c>
      <c r="D384" s="625" t="e">
        <f t="shared" si="25"/>
        <v>#VALUE!</v>
      </c>
      <c r="E384" s="591"/>
      <c r="F384" s="591"/>
      <c r="G384" s="591"/>
      <c r="H384" s="591"/>
      <c r="I384" s="591"/>
      <c r="J384" s="591"/>
      <c r="K384" s="542"/>
      <c r="O384" s="1134"/>
      <c r="Q384" s="1133"/>
    </row>
    <row r="385" spans="2:17" x14ac:dyDescent="0.3">
      <c r="B385" s="126"/>
      <c r="C385" s="583">
        <v>15</v>
      </c>
      <c r="D385" s="625" t="e">
        <f t="shared" si="25"/>
        <v>#VALUE!</v>
      </c>
      <c r="E385" s="591"/>
      <c r="F385" s="591"/>
      <c r="G385" s="591"/>
      <c r="H385" s="591"/>
      <c r="I385" s="591"/>
      <c r="J385" s="591"/>
      <c r="K385" s="542"/>
      <c r="O385" s="1134"/>
      <c r="Q385" s="1133"/>
    </row>
    <row r="386" spans="2:17" x14ac:dyDescent="0.3">
      <c r="B386" s="126"/>
      <c r="C386" s="583">
        <v>16</v>
      </c>
      <c r="D386" s="625" t="e">
        <f t="shared" si="25"/>
        <v>#VALUE!</v>
      </c>
      <c r="E386" s="591"/>
      <c r="F386" s="591"/>
      <c r="G386" s="591"/>
      <c r="H386" s="591"/>
      <c r="I386" s="591"/>
      <c r="J386" s="591"/>
      <c r="K386" s="542"/>
      <c r="O386" s="1134"/>
      <c r="Q386" s="1133"/>
    </row>
    <row r="387" spans="2:17" x14ac:dyDescent="0.3">
      <c r="B387" s="126"/>
      <c r="C387" s="583">
        <v>17</v>
      </c>
      <c r="D387" s="625" t="e">
        <f t="shared" si="25"/>
        <v>#VALUE!</v>
      </c>
      <c r="E387" s="591"/>
      <c r="F387" s="591"/>
      <c r="G387" s="591"/>
      <c r="H387" s="591"/>
      <c r="I387" s="591"/>
      <c r="J387" s="591"/>
      <c r="K387" s="542"/>
      <c r="O387" s="1134"/>
      <c r="Q387" s="1133"/>
    </row>
    <row r="388" spans="2:17" x14ac:dyDescent="0.3">
      <c r="B388" s="126"/>
      <c r="C388" s="583">
        <v>18</v>
      </c>
      <c r="D388" s="625" t="e">
        <f t="shared" si="25"/>
        <v>#VALUE!</v>
      </c>
      <c r="E388" s="591"/>
      <c r="F388" s="591"/>
      <c r="G388" s="591"/>
      <c r="H388" s="591"/>
      <c r="I388" s="591"/>
      <c r="J388" s="591"/>
      <c r="K388" s="542"/>
      <c r="O388" s="1134"/>
      <c r="Q388" s="1133"/>
    </row>
    <row r="389" spans="2:17" x14ac:dyDescent="0.3">
      <c r="B389" s="126"/>
      <c r="C389" s="583">
        <v>19</v>
      </c>
      <c r="D389" s="625" t="e">
        <f t="shared" si="25"/>
        <v>#VALUE!</v>
      </c>
      <c r="E389" s="591"/>
      <c r="F389" s="591"/>
      <c r="G389" s="591"/>
      <c r="H389" s="591"/>
      <c r="I389" s="591"/>
      <c r="J389" s="591"/>
      <c r="K389" s="542"/>
      <c r="O389" s="1134"/>
      <c r="Q389" s="1133"/>
    </row>
    <row r="390" spans="2:17" x14ac:dyDescent="0.3">
      <c r="B390" s="126"/>
      <c r="C390" s="583">
        <v>20</v>
      </c>
      <c r="D390" s="625" t="e">
        <f t="shared" si="25"/>
        <v>#VALUE!</v>
      </c>
      <c r="E390" s="591"/>
      <c r="F390" s="591"/>
      <c r="G390" s="591"/>
      <c r="H390" s="591"/>
      <c r="I390" s="591"/>
      <c r="J390" s="591"/>
      <c r="K390" s="542"/>
      <c r="O390" s="1134"/>
      <c r="Q390" s="1133"/>
    </row>
    <row r="391" spans="2:17" x14ac:dyDescent="0.3">
      <c r="B391" s="126"/>
      <c r="C391" s="583">
        <v>21</v>
      </c>
      <c r="D391" s="625" t="e">
        <f t="shared" si="25"/>
        <v>#VALUE!</v>
      </c>
      <c r="E391" s="591"/>
      <c r="F391" s="591"/>
      <c r="G391" s="591"/>
      <c r="H391" s="591"/>
      <c r="I391" s="591"/>
      <c r="J391" s="591"/>
      <c r="K391" s="542"/>
      <c r="O391" s="1134"/>
      <c r="Q391" s="1133"/>
    </row>
    <row r="392" spans="2:17" x14ac:dyDescent="0.3">
      <c r="B392" s="126"/>
      <c r="C392" s="583">
        <v>22</v>
      </c>
      <c r="D392" s="625" t="e">
        <f t="shared" si="25"/>
        <v>#VALUE!</v>
      </c>
      <c r="E392" s="591"/>
      <c r="F392" s="591"/>
      <c r="G392" s="591"/>
      <c r="H392" s="591"/>
      <c r="I392" s="591"/>
      <c r="J392" s="591"/>
      <c r="K392" s="542"/>
      <c r="O392" s="1134"/>
      <c r="Q392" s="1133"/>
    </row>
    <row r="393" spans="2:17" x14ac:dyDescent="0.3">
      <c r="B393" s="126"/>
      <c r="C393" s="583">
        <v>23</v>
      </c>
      <c r="D393" s="625" t="e">
        <f t="shared" si="25"/>
        <v>#VALUE!</v>
      </c>
      <c r="E393" s="591"/>
      <c r="F393" s="591"/>
      <c r="G393" s="591"/>
      <c r="H393" s="591"/>
      <c r="I393" s="591"/>
      <c r="J393" s="591"/>
      <c r="K393" s="542"/>
      <c r="O393" s="1134"/>
      <c r="Q393" s="1133"/>
    </row>
    <row r="394" spans="2:17" x14ac:dyDescent="0.3">
      <c r="B394" s="126"/>
      <c r="C394" s="583">
        <v>24</v>
      </c>
      <c r="D394" s="625" t="e">
        <f t="shared" si="25"/>
        <v>#VALUE!</v>
      </c>
      <c r="E394" s="591"/>
      <c r="F394" s="591"/>
      <c r="G394" s="591"/>
      <c r="H394" s="591"/>
      <c r="I394" s="591"/>
      <c r="J394" s="591"/>
      <c r="K394" s="542"/>
      <c r="O394" s="1134"/>
      <c r="Q394" s="1133"/>
    </row>
    <row r="395" spans="2:17" x14ac:dyDescent="0.3">
      <c r="B395" s="126"/>
      <c r="C395" s="583">
        <v>25</v>
      </c>
      <c r="D395" s="625" t="e">
        <f t="shared" si="25"/>
        <v>#VALUE!</v>
      </c>
      <c r="E395" s="591"/>
      <c r="F395" s="591"/>
      <c r="G395" s="591"/>
      <c r="H395" s="591"/>
      <c r="I395" s="591"/>
      <c r="J395" s="591"/>
      <c r="K395" s="542"/>
      <c r="O395" s="1134"/>
      <c r="Q395" s="1133"/>
    </row>
    <row r="396" spans="2:17" x14ac:dyDescent="0.3">
      <c r="B396" s="126"/>
      <c r="C396" s="583">
        <v>26</v>
      </c>
      <c r="D396" s="625" t="e">
        <f t="shared" si="25"/>
        <v>#VALUE!</v>
      </c>
      <c r="E396" s="591"/>
      <c r="F396" s="591"/>
      <c r="G396" s="591"/>
      <c r="H396" s="591"/>
      <c r="I396" s="591"/>
      <c r="J396" s="591"/>
      <c r="K396" s="542"/>
      <c r="O396" s="1134"/>
      <c r="Q396" s="1133"/>
    </row>
    <row r="397" spans="2:17" x14ac:dyDescent="0.3">
      <c r="B397" s="126"/>
      <c r="C397" s="583">
        <v>27</v>
      </c>
      <c r="D397" s="625" t="e">
        <f t="shared" si="25"/>
        <v>#VALUE!</v>
      </c>
      <c r="E397" s="591"/>
      <c r="F397" s="591"/>
      <c r="G397" s="591"/>
      <c r="H397" s="591"/>
      <c r="I397" s="591"/>
      <c r="J397" s="591"/>
      <c r="K397" s="542"/>
      <c r="O397" s="1134"/>
      <c r="Q397" s="1133"/>
    </row>
    <row r="398" spans="2:17" x14ac:dyDescent="0.3">
      <c r="B398" s="126"/>
      <c r="C398" s="583">
        <v>28</v>
      </c>
      <c r="D398" s="625" t="e">
        <f t="shared" si="25"/>
        <v>#VALUE!</v>
      </c>
      <c r="E398" s="591"/>
      <c r="F398" s="591"/>
      <c r="G398" s="591"/>
      <c r="H398" s="591"/>
      <c r="I398" s="591"/>
      <c r="J398" s="591"/>
      <c r="K398" s="542"/>
      <c r="O398" s="1134"/>
      <c r="Q398" s="1133"/>
    </row>
    <row r="399" spans="2:17" x14ac:dyDescent="0.3">
      <c r="B399" s="126"/>
      <c r="C399" s="583">
        <v>29</v>
      </c>
      <c r="D399" s="625" t="e">
        <f t="shared" si="25"/>
        <v>#VALUE!</v>
      </c>
      <c r="E399" s="591"/>
      <c r="F399" s="591"/>
      <c r="G399" s="591"/>
      <c r="H399" s="591"/>
      <c r="I399" s="591"/>
      <c r="J399" s="591"/>
      <c r="K399" s="542"/>
      <c r="O399" s="1134"/>
      <c r="Q399" s="1133"/>
    </row>
    <row r="400" spans="2:17" x14ac:dyDescent="0.3">
      <c r="B400" s="126"/>
      <c r="C400" s="583">
        <v>30</v>
      </c>
      <c r="D400" s="625" t="e">
        <f t="shared" si="25"/>
        <v>#VALUE!</v>
      </c>
      <c r="E400" s="591"/>
      <c r="F400" s="591"/>
      <c r="G400" s="591"/>
      <c r="H400" s="591"/>
      <c r="I400" s="591"/>
      <c r="J400" s="591"/>
      <c r="K400" s="542"/>
      <c r="O400" s="1134"/>
      <c r="Q400" s="1133"/>
    </row>
    <row r="401" spans="2:17" x14ac:dyDescent="0.3">
      <c r="B401" s="126"/>
      <c r="C401" s="583">
        <v>31</v>
      </c>
      <c r="D401" s="625" t="e">
        <f t="shared" si="25"/>
        <v>#VALUE!</v>
      </c>
      <c r="E401" s="591"/>
      <c r="F401" s="591"/>
      <c r="G401" s="591"/>
      <c r="H401" s="591"/>
      <c r="I401" s="591"/>
      <c r="J401" s="591"/>
      <c r="K401" s="542"/>
      <c r="O401" s="1134"/>
      <c r="Q401" s="1133"/>
    </row>
    <row r="402" spans="2:17" x14ac:dyDescent="0.3">
      <c r="B402" s="126"/>
      <c r="C402" s="583">
        <v>32</v>
      </c>
      <c r="D402" s="625" t="e">
        <f t="shared" si="25"/>
        <v>#VALUE!</v>
      </c>
      <c r="E402" s="591"/>
      <c r="F402" s="591"/>
      <c r="G402" s="591"/>
      <c r="H402" s="591"/>
      <c r="I402" s="591"/>
      <c r="J402" s="591"/>
      <c r="K402" s="542"/>
      <c r="O402" s="1134"/>
      <c r="Q402" s="1133"/>
    </row>
    <row r="403" spans="2:17" x14ac:dyDescent="0.3">
      <c r="B403" s="126"/>
      <c r="C403" s="583">
        <v>33</v>
      </c>
      <c r="D403" s="625" t="e">
        <f t="shared" si="25"/>
        <v>#VALUE!</v>
      </c>
      <c r="E403" s="591"/>
      <c r="F403" s="591"/>
      <c r="G403" s="591"/>
      <c r="H403" s="591"/>
      <c r="I403" s="591"/>
      <c r="J403" s="591"/>
      <c r="K403" s="542"/>
      <c r="O403" s="1134"/>
      <c r="Q403" s="1133"/>
    </row>
    <row r="404" spans="2:17" x14ac:dyDescent="0.3">
      <c r="B404" s="126"/>
      <c r="C404" s="583">
        <v>34</v>
      </c>
      <c r="D404" s="625" t="e">
        <f t="shared" si="25"/>
        <v>#VALUE!</v>
      </c>
      <c r="E404" s="591"/>
      <c r="F404" s="591"/>
      <c r="G404" s="591"/>
      <c r="H404" s="591"/>
      <c r="I404" s="591"/>
      <c r="J404" s="591"/>
      <c r="K404" s="542"/>
      <c r="O404" s="1134"/>
      <c r="Q404" s="1133"/>
    </row>
    <row r="405" spans="2:17" x14ac:dyDescent="0.3">
      <c r="B405" s="126"/>
      <c r="C405" s="583">
        <v>35</v>
      </c>
      <c r="D405" s="625" t="e">
        <f t="shared" si="25"/>
        <v>#VALUE!</v>
      </c>
      <c r="E405" s="591"/>
      <c r="F405" s="591"/>
      <c r="G405" s="591"/>
      <c r="H405" s="591"/>
      <c r="I405" s="591"/>
      <c r="J405" s="591"/>
      <c r="K405" s="542"/>
      <c r="O405" s="1134"/>
      <c r="Q405" s="1133"/>
    </row>
    <row r="406" spans="2:17" x14ac:dyDescent="0.3">
      <c r="B406" s="126"/>
      <c r="C406" s="583">
        <v>36</v>
      </c>
      <c r="D406" s="625" t="e">
        <f t="shared" si="25"/>
        <v>#VALUE!</v>
      </c>
      <c r="E406" s="591"/>
      <c r="F406" s="591"/>
      <c r="G406" s="591"/>
      <c r="H406" s="591"/>
      <c r="I406" s="591"/>
      <c r="J406" s="591"/>
      <c r="K406" s="542"/>
      <c r="O406" s="1134"/>
      <c r="Q406" s="1133"/>
    </row>
    <row r="407" spans="2:17" x14ac:dyDescent="0.3">
      <c r="B407" s="126"/>
      <c r="C407" s="583">
        <v>37</v>
      </c>
      <c r="D407" s="625" t="e">
        <f t="shared" si="25"/>
        <v>#VALUE!</v>
      </c>
      <c r="E407" s="591"/>
      <c r="F407" s="591"/>
      <c r="G407" s="591"/>
      <c r="H407" s="591"/>
      <c r="I407" s="591"/>
      <c r="J407" s="591"/>
      <c r="K407" s="542"/>
      <c r="O407" s="1134"/>
      <c r="Q407" s="1133"/>
    </row>
    <row r="408" spans="2:17" x14ac:dyDescent="0.3">
      <c r="B408" s="126"/>
      <c r="C408" s="583">
        <v>38</v>
      </c>
      <c r="D408" s="625" t="e">
        <f t="shared" si="25"/>
        <v>#VALUE!</v>
      </c>
      <c r="E408" s="591"/>
      <c r="F408" s="591"/>
      <c r="G408" s="591"/>
      <c r="H408" s="591"/>
      <c r="I408" s="591"/>
      <c r="J408" s="591"/>
      <c r="K408" s="542"/>
      <c r="O408" s="1134"/>
      <c r="Q408" s="1133"/>
    </row>
    <row r="409" spans="2:17" x14ac:dyDescent="0.3">
      <c r="B409" s="126"/>
      <c r="C409" s="583">
        <v>39</v>
      </c>
      <c r="D409" s="625" t="e">
        <f t="shared" si="25"/>
        <v>#VALUE!</v>
      </c>
      <c r="E409" s="591"/>
      <c r="F409" s="591"/>
      <c r="G409" s="591"/>
      <c r="H409" s="591"/>
      <c r="I409" s="591"/>
      <c r="J409" s="591"/>
      <c r="K409" s="542"/>
      <c r="O409" s="1134"/>
      <c r="Q409" s="1133"/>
    </row>
    <row r="410" spans="2:17" x14ac:dyDescent="0.3">
      <c r="B410" s="126"/>
      <c r="C410" s="583">
        <v>40</v>
      </c>
      <c r="D410" s="625" t="e">
        <f t="shared" si="25"/>
        <v>#VALUE!</v>
      </c>
      <c r="E410" s="591"/>
      <c r="F410" s="591"/>
      <c r="G410" s="591"/>
      <c r="H410" s="591"/>
      <c r="I410" s="591"/>
      <c r="J410" s="591"/>
      <c r="K410" s="542"/>
      <c r="O410" s="1134"/>
      <c r="Q410" s="1133"/>
    </row>
    <row r="411" spans="2:17" x14ac:dyDescent="0.3">
      <c r="B411" s="126"/>
      <c r="C411" s="583">
        <v>41</v>
      </c>
      <c r="D411" s="625" t="e">
        <f t="shared" si="25"/>
        <v>#VALUE!</v>
      </c>
      <c r="E411" s="591"/>
      <c r="F411" s="591"/>
      <c r="G411" s="591"/>
      <c r="H411" s="591"/>
      <c r="I411" s="591"/>
      <c r="J411" s="591"/>
      <c r="K411" s="542"/>
      <c r="O411" s="1134"/>
      <c r="Q411" s="1133"/>
    </row>
    <row r="412" spans="2:17" x14ac:dyDescent="0.3">
      <c r="B412" s="126"/>
      <c r="C412" s="583">
        <v>42</v>
      </c>
      <c r="D412" s="625" t="e">
        <f t="shared" si="25"/>
        <v>#VALUE!</v>
      </c>
      <c r="E412" s="591"/>
      <c r="F412" s="591"/>
      <c r="G412" s="591"/>
      <c r="H412" s="591"/>
      <c r="I412" s="591"/>
      <c r="J412" s="591"/>
      <c r="K412" s="542"/>
      <c r="O412" s="1134"/>
      <c r="Q412" s="1133"/>
    </row>
    <row r="413" spans="2:17" x14ac:dyDescent="0.3">
      <c r="B413" s="126"/>
      <c r="C413" s="583">
        <v>43</v>
      </c>
      <c r="D413" s="625" t="e">
        <f t="shared" si="25"/>
        <v>#VALUE!</v>
      </c>
      <c r="E413" s="591"/>
      <c r="F413" s="591"/>
      <c r="G413" s="591"/>
      <c r="H413" s="591"/>
      <c r="I413" s="591"/>
      <c r="J413" s="591"/>
      <c r="K413" s="542"/>
      <c r="O413" s="1134"/>
      <c r="Q413" s="1133"/>
    </row>
    <row r="414" spans="2:17" x14ac:dyDescent="0.3">
      <c r="B414" s="126"/>
      <c r="C414" s="583">
        <v>44</v>
      </c>
      <c r="D414" s="625" t="e">
        <f t="shared" si="25"/>
        <v>#VALUE!</v>
      </c>
      <c r="E414" s="591"/>
      <c r="F414" s="591"/>
      <c r="G414" s="591"/>
      <c r="H414" s="591"/>
      <c r="I414" s="591"/>
      <c r="J414" s="591"/>
      <c r="K414" s="542"/>
      <c r="O414" s="1134"/>
      <c r="Q414" s="1133"/>
    </row>
    <row r="415" spans="2:17" x14ac:dyDescent="0.3">
      <c r="B415" s="126"/>
      <c r="C415" s="583">
        <v>45</v>
      </c>
      <c r="D415" s="625" t="e">
        <f t="shared" si="25"/>
        <v>#VALUE!</v>
      </c>
      <c r="E415" s="591"/>
      <c r="F415" s="591"/>
      <c r="G415" s="591"/>
      <c r="H415" s="591"/>
      <c r="I415" s="591"/>
      <c r="J415" s="591"/>
      <c r="K415" s="542"/>
      <c r="O415" s="1134"/>
      <c r="Q415" s="1133"/>
    </row>
    <row r="416" spans="2:17" x14ac:dyDescent="0.3">
      <c r="B416" s="126"/>
      <c r="C416" s="583">
        <v>46</v>
      </c>
      <c r="D416" s="625" t="e">
        <f t="shared" si="25"/>
        <v>#VALUE!</v>
      </c>
      <c r="E416" s="591"/>
      <c r="F416" s="591"/>
      <c r="G416" s="591"/>
      <c r="H416" s="591"/>
      <c r="I416" s="591"/>
      <c r="J416" s="591"/>
      <c r="K416" s="542"/>
      <c r="O416" s="1134"/>
      <c r="Q416" s="1133"/>
    </row>
    <row r="417" spans="2:17" x14ac:dyDescent="0.3">
      <c r="B417" s="126"/>
      <c r="C417" s="583">
        <v>47</v>
      </c>
      <c r="D417" s="625" t="e">
        <f t="shared" si="25"/>
        <v>#VALUE!</v>
      </c>
      <c r="E417" s="591"/>
      <c r="F417" s="591"/>
      <c r="G417" s="591"/>
      <c r="H417" s="591"/>
      <c r="I417" s="591"/>
      <c r="J417" s="591"/>
      <c r="K417" s="542"/>
      <c r="O417" s="1134"/>
      <c r="Q417" s="1133"/>
    </row>
    <row r="418" spans="2:17" x14ac:dyDescent="0.3">
      <c r="B418" s="126"/>
      <c r="C418" s="583">
        <v>48</v>
      </c>
      <c r="D418" s="625" t="e">
        <f t="shared" si="25"/>
        <v>#VALUE!</v>
      </c>
      <c r="E418" s="591"/>
      <c r="F418" s="591"/>
      <c r="G418" s="591"/>
      <c r="H418" s="591"/>
      <c r="I418" s="591"/>
      <c r="J418" s="591"/>
      <c r="K418" s="542"/>
      <c r="O418" s="1134"/>
      <c r="Q418" s="1133"/>
    </row>
    <row r="419" spans="2:17" x14ac:dyDescent="0.3">
      <c r="B419" s="126"/>
      <c r="C419" s="583">
        <v>49</v>
      </c>
      <c r="D419" s="625" t="e">
        <f t="shared" si="25"/>
        <v>#VALUE!</v>
      </c>
      <c r="E419" s="591"/>
      <c r="F419" s="591"/>
      <c r="G419" s="591"/>
      <c r="H419" s="591"/>
      <c r="I419" s="591"/>
      <c r="J419" s="591"/>
      <c r="K419" s="542"/>
      <c r="O419" s="1134"/>
      <c r="Q419" s="1133"/>
    </row>
    <row r="420" spans="2:17" x14ac:dyDescent="0.3">
      <c r="B420" s="126"/>
      <c r="C420" s="583">
        <v>50</v>
      </c>
      <c r="D420" s="625" t="e">
        <f t="shared" si="25"/>
        <v>#VALUE!</v>
      </c>
      <c r="E420" s="591"/>
      <c r="F420" s="591"/>
      <c r="G420" s="591"/>
      <c r="H420" s="591"/>
      <c r="I420" s="591"/>
      <c r="J420" s="591"/>
      <c r="K420" s="542"/>
      <c r="O420" s="1134"/>
      <c r="Q420" s="1133"/>
    </row>
    <row r="421" spans="2:17" x14ac:dyDescent="0.3">
      <c r="B421" s="126"/>
      <c r="C421" s="583">
        <v>51</v>
      </c>
      <c r="D421" s="625" t="e">
        <f t="shared" si="25"/>
        <v>#VALUE!</v>
      </c>
      <c r="E421" s="591"/>
      <c r="F421" s="591"/>
      <c r="G421" s="591"/>
      <c r="H421" s="591"/>
      <c r="I421" s="591"/>
      <c r="J421" s="591"/>
      <c r="K421" s="542"/>
      <c r="O421" s="1134"/>
      <c r="Q421" s="1133"/>
    </row>
    <row r="422" spans="2:17" x14ac:dyDescent="0.3">
      <c r="B422" s="126"/>
      <c r="C422" s="583">
        <v>52</v>
      </c>
      <c r="D422" s="625" t="e">
        <f t="shared" si="25"/>
        <v>#VALUE!</v>
      </c>
      <c r="E422" s="591"/>
      <c r="F422" s="591"/>
      <c r="G422" s="591"/>
      <c r="H422" s="591"/>
      <c r="I422" s="591"/>
      <c r="J422" s="591"/>
      <c r="K422" s="542"/>
      <c r="O422" s="1134"/>
      <c r="Q422" s="1133"/>
    </row>
    <row r="423" spans="2:17" x14ac:dyDescent="0.3">
      <c r="B423" s="126"/>
      <c r="C423" s="583">
        <v>53</v>
      </c>
      <c r="D423" s="625" t="e">
        <f t="shared" si="25"/>
        <v>#VALUE!</v>
      </c>
      <c r="E423" s="591"/>
      <c r="F423" s="591"/>
      <c r="G423" s="591"/>
      <c r="H423" s="591"/>
      <c r="I423" s="591"/>
      <c r="J423" s="591"/>
      <c r="K423" s="542"/>
      <c r="O423" s="1134"/>
      <c r="Q423" s="1133"/>
    </row>
    <row r="424" spans="2:17" x14ac:dyDescent="0.3">
      <c r="B424" s="126"/>
      <c r="C424" s="583">
        <v>54</v>
      </c>
      <c r="D424" s="625" t="e">
        <f t="shared" si="25"/>
        <v>#VALUE!</v>
      </c>
      <c r="E424" s="591"/>
      <c r="F424" s="591"/>
      <c r="G424" s="591"/>
      <c r="H424" s="591"/>
      <c r="I424" s="591"/>
      <c r="J424" s="591"/>
      <c r="K424" s="542"/>
      <c r="O424" s="1134"/>
      <c r="Q424" s="1133"/>
    </row>
    <row r="425" spans="2:17" x14ac:dyDescent="0.3">
      <c r="B425" s="126"/>
      <c r="C425" s="583">
        <v>55</v>
      </c>
      <c r="D425" s="625" t="e">
        <f t="shared" si="25"/>
        <v>#VALUE!</v>
      </c>
      <c r="E425" s="591"/>
      <c r="F425" s="591"/>
      <c r="G425" s="591"/>
      <c r="H425" s="591"/>
      <c r="I425" s="591"/>
      <c r="J425" s="591"/>
      <c r="K425" s="542"/>
      <c r="O425" s="1134"/>
      <c r="Q425" s="1133"/>
    </row>
    <row r="426" spans="2:17" x14ac:dyDescent="0.3">
      <c r="B426" s="126"/>
      <c r="C426" s="583">
        <v>56</v>
      </c>
      <c r="D426" s="625" t="e">
        <f t="shared" si="25"/>
        <v>#VALUE!</v>
      </c>
      <c r="E426" s="591"/>
      <c r="F426" s="591"/>
      <c r="G426" s="591"/>
      <c r="H426" s="591"/>
      <c r="I426" s="591"/>
      <c r="J426" s="591"/>
      <c r="K426" s="542"/>
      <c r="O426" s="1134"/>
      <c r="Q426" s="1133"/>
    </row>
    <row r="427" spans="2:17" x14ac:dyDescent="0.3">
      <c r="B427" s="126"/>
      <c r="C427" s="583">
        <v>57</v>
      </c>
      <c r="D427" s="625" t="e">
        <f t="shared" si="25"/>
        <v>#VALUE!</v>
      </c>
      <c r="E427" s="591"/>
      <c r="F427" s="591"/>
      <c r="G427" s="591"/>
      <c r="H427" s="591"/>
      <c r="I427" s="591"/>
      <c r="J427" s="591"/>
      <c r="K427" s="542"/>
      <c r="O427" s="1134"/>
      <c r="Q427" s="1133"/>
    </row>
    <row r="428" spans="2:17" x14ac:dyDescent="0.3">
      <c r="B428" s="126"/>
      <c r="C428" s="583">
        <v>58</v>
      </c>
      <c r="D428" s="625" t="e">
        <f t="shared" si="25"/>
        <v>#VALUE!</v>
      </c>
      <c r="E428" s="591"/>
      <c r="F428" s="591"/>
      <c r="G428" s="591"/>
      <c r="H428" s="591"/>
      <c r="I428" s="591"/>
      <c r="J428" s="591"/>
      <c r="K428" s="542"/>
      <c r="O428" s="1134"/>
      <c r="Q428" s="1133"/>
    </row>
    <row r="429" spans="2:17" x14ac:dyDescent="0.3">
      <c r="B429" s="126"/>
      <c r="C429" s="583">
        <v>59</v>
      </c>
      <c r="D429" s="625" t="e">
        <f t="shared" si="25"/>
        <v>#VALUE!</v>
      </c>
      <c r="E429" s="591"/>
      <c r="F429" s="591"/>
      <c r="G429" s="591"/>
      <c r="H429" s="591"/>
      <c r="I429" s="591"/>
      <c r="J429" s="591"/>
      <c r="K429" s="542"/>
      <c r="O429" s="1134"/>
      <c r="Q429" s="1133"/>
    </row>
    <row r="430" spans="2:17" x14ac:dyDescent="0.3">
      <c r="B430" s="126"/>
      <c r="C430" s="583">
        <v>60</v>
      </c>
      <c r="D430" s="625" t="e">
        <f t="shared" si="25"/>
        <v>#VALUE!</v>
      </c>
      <c r="E430" s="591"/>
      <c r="F430" s="591"/>
      <c r="G430" s="591"/>
      <c r="H430" s="591"/>
      <c r="I430" s="591"/>
      <c r="J430" s="591"/>
      <c r="K430" s="542"/>
      <c r="O430" s="1134"/>
      <c r="Q430" s="1133"/>
    </row>
    <row r="431" spans="2:17" x14ac:dyDescent="0.3">
      <c r="B431" s="126"/>
      <c r="C431" s="583">
        <v>61</v>
      </c>
      <c r="D431" s="625" t="e">
        <f t="shared" si="25"/>
        <v>#VALUE!</v>
      </c>
      <c r="E431" s="591"/>
      <c r="F431" s="591"/>
      <c r="G431" s="591"/>
      <c r="H431" s="591"/>
      <c r="I431" s="591"/>
      <c r="J431" s="591"/>
      <c r="K431" s="542"/>
      <c r="O431" s="1134"/>
      <c r="Q431" s="1133"/>
    </row>
    <row r="432" spans="2:17" x14ac:dyDescent="0.3">
      <c r="B432" s="126"/>
      <c r="C432" s="583">
        <v>62</v>
      </c>
      <c r="D432" s="625" t="e">
        <f t="shared" si="25"/>
        <v>#VALUE!</v>
      </c>
      <c r="E432" s="591"/>
      <c r="F432" s="591"/>
      <c r="G432" s="591"/>
      <c r="H432" s="591"/>
      <c r="I432" s="591"/>
      <c r="J432" s="591"/>
      <c r="K432" s="542"/>
      <c r="O432" s="1134"/>
      <c r="Q432" s="1133"/>
    </row>
    <row r="433" spans="2:17" x14ac:dyDescent="0.3">
      <c r="B433" s="126"/>
      <c r="C433" s="583">
        <v>63</v>
      </c>
      <c r="D433" s="625" t="e">
        <f t="shared" si="25"/>
        <v>#VALUE!</v>
      </c>
      <c r="E433" s="591"/>
      <c r="F433" s="591"/>
      <c r="G433" s="591"/>
      <c r="H433" s="591"/>
      <c r="I433" s="591"/>
      <c r="J433" s="591"/>
      <c r="K433" s="542"/>
      <c r="O433" s="1134"/>
      <c r="Q433" s="1133"/>
    </row>
    <row r="434" spans="2:17" x14ac:dyDescent="0.3">
      <c r="B434" s="126"/>
      <c r="C434" s="583">
        <v>64</v>
      </c>
      <c r="D434" s="625" t="e">
        <f t="shared" ref="D434:D497" si="26">$C$349*C434</f>
        <v>#VALUE!</v>
      </c>
      <c r="E434" s="591"/>
      <c r="F434" s="591"/>
      <c r="G434" s="591"/>
      <c r="H434" s="591"/>
      <c r="I434" s="591"/>
      <c r="J434" s="591"/>
      <c r="K434" s="542"/>
      <c r="O434" s="1134"/>
      <c r="Q434" s="1133"/>
    </row>
    <row r="435" spans="2:17" x14ac:dyDescent="0.3">
      <c r="B435" s="126"/>
      <c r="C435" s="583">
        <v>65</v>
      </c>
      <c r="D435" s="625" t="e">
        <f t="shared" si="26"/>
        <v>#VALUE!</v>
      </c>
      <c r="E435" s="591"/>
      <c r="F435" s="591"/>
      <c r="G435" s="591"/>
      <c r="H435" s="591"/>
      <c r="I435" s="591"/>
      <c r="J435" s="591"/>
      <c r="K435" s="542"/>
      <c r="O435" s="1134"/>
      <c r="Q435" s="1133"/>
    </row>
    <row r="436" spans="2:17" x14ac:dyDescent="0.3">
      <c r="B436" s="126"/>
      <c r="C436" s="583">
        <v>66</v>
      </c>
      <c r="D436" s="625" t="e">
        <f t="shared" si="26"/>
        <v>#VALUE!</v>
      </c>
      <c r="E436" s="591"/>
      <c r="F436" s="591"/>
      <c r="G436" s="591"/>
      <c r="H436" s="591"/>
      <c r="I436" s="591"/>
      <c r="J436" s="591"/>
      <c r="K436" s="542"/>
      <c r="O436" s="1134"/>
      <c r="Q436" s="1133"/>
    </row>
    <row r="437" spans="2:17" x14ac:dyDescent="0.3">
      <c r="B437" s="126"/>
      <c r="C437" s="583">
        <v>67</v>
      </c>
      <c r="D437" s="625" t="e">
        <f t="shared" si="26"/>
        <v>#VALUE!</v>
      </c>
      <c r="E437" s="591"/>
      <c r="F437" s="591"/>
      <c r="G437" s="591"/>
      <c r="H437" s="591"/>
      <c r="I437" s="591"/>
      <c r="J437" s="591"/>
      <c r="K437" s="542"/>
      <c r="O437" s="1134"/>
      <c r="Q437" s="1133"/>
    </row>
    <row r="438" spans="2:17" x14ac:dyDescent="0.3">
      <c r="B438" s="126"/>
      <c r="C438" s="583">
        <v>68</v>
      </c>
      <c r="D438" s="625" t="e">
        <f t="shared" si="26"/>
        <v>#VALUE!</v>
      </c>
      <c r="E438" s="591"/>
      <c r="F438" s="591"/>
      <c r="G438" s="591"/>
      <c r="H438" s="591"/>
      <c r="I438" s="591"/>
      <c r="J438" s="591"/>
      <c r="K438" s="542"/>
      <c r="O438" s="1134"/>
      <c r="Q438" s="1133"/>
    </row>
    <row r="439" spans="2:17" x14ac:dyDescent="0.3">
      <c r="B439" s="126"/>
      <c r="C439" s="583">
        <v>69</v>
      </c>
      <c r="D439" s="625" t="e">
        <f t="shared" si="26"/>
        <v>#VALUE!</v>
      </c>
      <c r="E439" s="591"/>
      <c r="F439" s="591"/>
      <c r="G439" s="591"/>
      <c r="H439" s="591"/>
      <c r="I439" s="591"/>
      <c r="J439" s="591"/>
      <c r="K439" s="542"/>
      <c r="O439" s="1134"/>
      <c r="Q439" s="1133"/>
    </row>
    <row r="440" spans="2:17" x14ac:dyDescent="0.3">
      <c r="B440" s="126"/>
      <c r="C440" s="583">
        <v>70</v>
      </c>
      <c r="D440" s="625" t="e">
        <f t="shared" si="26"/>
        <v>#VALUE!</v>
      </c>
      <c r="E440" s="591"/>
      <c r="F440" s="591"/>
      <c r="G440" s="591"/>
      <c r="H440" s="591"/>
      <c r="I440" s="591"/>
      <c r="J440" s="591"/>
      <c r="K440" s="542"/>
      <c r="O440" s="1134"/>
      <c r="Q440" s="1133"/>
    </row>
    <row r="441" spans="2:17" x14ac:dyDescent="0.3">
      <c r="B441" s="126"/>
      <c r="C441" s="583">
        <v>71</v>
      </c>
      <c r="D441" s="625" t="e">
        <f t="shared" si="26"/>
        <v>#VALUE!</v>
      </c>
      <c r="E441" s="591"/>
      <c r="F441" s="591"/>
      <c r="G441" s="591"/>
      <c r="H441" s="591"/>
      <c r="I441" s="591"/>
      <c r="J441" s="591"/>
      <c r="K441" s="542"/>
      <c r="O441" s="1134"/>
      <c r="Q441" s="1133"/>
    </row>
    <row r="442" spans="2:17" x14ac:dyDescent="0.3">
      <c r="B442" s="126"/>
      <c r="C442" s="583">
        <v>72</v>
      </c>
      <c r="D442" s="625" t="e">
        <f t="shared" si="26"/>
        <v>#VALUE!</v>
      </c>
      <c r="E442" s="591"/>
      <c r="F442" s="591"/>
      <c r="G442" s="591"/>
      <c r="H442" s="591"/>
      <c r="I442" s="591"/>
      <c r="J442" s="591"/>
      <c r="K442" s="542"/>
      <c r="O442" s="1134"/>
      <c r="Q442" s="1133"/>
    </row>
    <row r="443" spans="2:17" x14ac:dyDescent="0.3">
      <c r="B443" s="126"/>
      <c r="C443" s="583">
        <v>73</v>
      </c>
      <c r="D443" s="625" t="e">
        <f t="shared" si="26"/>
        <v>#VALUE!</v>
      </c>
      <c r="E443" s="591"/>
      <c r="F443" s="591"/>
      <c r="G443" s="591"/>
      <c r="H443" s="591"/>
      <c r="I443" s="591"/>
      <c r="J443" s="591"/>
      <c r="K443" s="542"/>
      <c r="O443" s="1134"/>
      <c r="Q443" s="1133"/>
    </row>
    <row r="444" spans="2:17" x14ac:dyDescent="0.3">
      <c r="B444" s="126"/>
      <c r="C444" s="583">
        <v>74</v>
      </c>
      <c r="D444" s="625" t="e">
        <f t="shared" si="26"/>
        <v>#VALUE!</v>
      </c>
      <c r="E444" s="591"/>
      <c r="F444" s="591"/>
      <c r="G444" s="591"/>
      <c r="H444" s="591"/>
      <c r="I444" s="591"/>
      <c r="J444" s="591"/>
      <c r="K444" s="542"/>
      <c r="O444" s="1134"/>
      <c r="Q444" s="1133"/>
    </row>
    <row r="445" spans="2:17" x14ac:dyDescent="0.3">
      <c r="B445" s="126"/>
      <c r="C445" s="583">
        <v>75</v>
      </c>
      <c r="D445" s="625" t="e">
        <f t="shared" si="26"/>
        <v>#VALUE!</v>
      </c>
      <c r="E445" s="591"/>
      <c r="F445" s="591"/>
      <c r="G445" s="591"/>
      <c r="H445" s="591"/>
      <c r="I445" s="591"/>
      <c r="J445" s="591"/>
      <c r="K445" s="542"/>
      <c r="O445" s="1134"/>
      <c r="Q445" s="1133"/>
    </row>
    <row r="446" spans="2:17" x14ac:dyDescent="0.3">
      <c r="B446" s="126"/>
      <c r="C446" s="583">
        <v>76</v>
      </c>
      <c r="D446" s="625" t="e">
        <f t="shared" si="26"/>
        <v>#VALUE!</v>
      </c>
      <c r="E446" s="591"/>
      <c r="F446" s="591"/>
      <c r="G446" s="591"/>
      <c r="H446" s="591"/>
      <c r="I446" s="591"/>
      <c r="J446" s="591"/>
      <c r="K446" s="542"/>
      <c r="O446" s="1134"/>
      <c r="Q446" s="1133"/>
    </row>
    <row r="447" spans="2:17" x14ac:dyDescent="0.3">
      <c r="B447" s="126"/>
      <c r="C447" s="583">
        <v>77</v>
      </c>
      <c r="D447" s="625" t="e">
        <f t="shared" si="26"/>
        <v>#VALUE!</v>
      </c>
      <c r="E447" s="591"/>
      <c r="F447" s="591"/>
      <c r="G447" s="591"/>
      <c r="H447" s="591"/>
      <c r="I447" s="591"/>
      <c r="J447" s="591"/>
      <c r="K447" s="542"/>
      <c r="O447" s="1134"/>
      <c r="Q447" s="1133"/>
    </row>
    <row r="448" spans="2:17" x14ac:dyDescent="0.3">
      <c r="B448" s="126"/>
      <c r="C448" s="583">
        <v>78</v>
      </c>
      <c r="D448" s="625" t="e">
        <f t="shared" si="26"/>
        <v>#VALUE!</v>
      </c>
      <c r="E448" s="591"/>
      <c r="F448" s="591"/>
      <c r="G448" s="591"/>
      <c r="H448" s="591"/>
      <c r="I448" s="591"/>
      <c r="J448" s="591"/>
      <c r="K448" s="542"/>
      <c r="O448" s="1134"/>
      <c r="Q448" s="1133"/>
    </row>
    <row r="449" spans="2:17" x14ac:dyDescent="0.3">
      <c r="B449" s="126"/>
      <c r="C449" s="583">
        <v>79</v>
      </c>
      <c r="D449" s="625" t="e">
        <f t="shared" si="26"/>
        <v>#VALUE!</v>
      </c>
      <c r="E449" s="591"/>
      <c r="F449" s="591"/>
      <c r="G449" s="591"/>
      <c r="H449" s="591"/>
      <c r="I449" s="591"/>
      <c r="J449" s="591"/>
      <c r="K449" s="542"/>
      <c r="O449" s="1134"/>
      <c r="Q449" s="1133"/>
    </row>
    <row r="450" spans="2:17" x14ac:dyDescent="0.3">
      <c r="B450" s="126"/>
      <c r="C450" s="583">
        <v>80</v>
      </c>
      <c r="D450" s="625" t="e">
        <f t="shared" si="26"/>
        <v>#VALUE!</v>
      </c>
      <c r="E450" s="591"/>
      <c r="F450" s="591"/>
      <c r="G450" s="591"/>
      <c r="H450" s="591"/>
      <c r="I450" s="591"/>
      <c r="J450" s="591"/>
      <c r="K450" s="542"/>
      <c r="O450" s="1134"/>
      <c r="Q450" s="1133"/>
    </row>
    <row r="451" spans="2:17" x14ac:dyDescent="0.3">
      <c r="B451" s="126"/>
      <c r="C451" s="583">
        <v>81</v>
      </c>
      <c r="D451" s="625" t="e">
        <f t="shared" si="26"/>
        <v>#VALUE!</v>
      </c>
      <c r="E451" s="591"/>
      <c r="F451" s="591"/>
      <c r="G451" s="591"/>
      <c r="H451" s="591"/>
      <c r="I451" s="591"/>
      <c r="J451" s="591"/>
      <c r="K451" s="542"/>
      <c r="O451" s="1134"/>
      <c r="Q451" s="1133"/>
    </row>
    <row r="452" spans="2:17" x14ac:dyDescent="0.3">
      <c r="B452" s="126"/>
      <c r="C452" s="583">
        <v>82</v>
      </c>
      <c r="D452" s="625" t="e">
        <f t="shared" si="26"/>
        <v>#VALUE!</v>
      </c>
      <c r="E452" s="591"/>
      <c r="F452" s="591"/>
      <c r="G452" s="591"/>
      <c r="H452" s="591"/>
      <c r="I452" s="591"/>
      <c r="J452" s="591"/>
      <c r="K452" s="542"/>
      <c r="O452" s="1134"/>
      <c r="Q452" s="1133"/>
    </row>
    <row r="453" spans="2:17" x14ac:dyDescent="0.3">
      <c r="B453" s="126"/>
      <c r="C453" s="583">
        <v>83</v>
      </c>
      <c r="D453" s="625" t="e">
        <f t="shared" si="26"/>
        <v>#VALUE!</v>
      </c>
      <c r="E453" s="591"/>
      <c r="F453" s="591"/>
      <c r="G453" s="591"/>
      <c r="H453" s="591"/>
      <c r="I453" s="591"/>
      <c r="J453" s="591"/>
      <c r="K453" s="542"/>
      <c r="O453" s="1134"/>
      <c r="Q453" s="1133"/>
    </row>
    <row r="454" spans="2:17" x14ac:dyDescent="0.3">
      <c r="B454" s="126"/>
      <c r="C454" s="583">
        <v>84</v>
      </c>
      <c r="D454" s="625" t="e">
        <f t="shared" si="26"/>
        <v>#VALUE!</v>
      </c>
      <c r="E454" s="591"/>
      <c r="F454" s="591"/>
      <c r="G454" s="591"/>
      <c r="H454" s="591"/>
      <c r="I454" s="591"/>
      <c r="J454" s="591"/>
      <c r="K454" s="542"/>
      <c r="O454" s="1134"/>
      <c r="Q454" s="1133"/>
    </row>
    <row r="455" spans="2:17" x14ac:dyDescent="0.3">
      <c r="B455" s="126"/>
      <c r="C455" s="583">
        <v>85</v>
      </c>
      <c r="D455" s="625" t="e">
        <f t="shared" si="26"/>
        <v>#VALUE!</v>
      </c>
      <c r="E455" s="591"/>
      <c r="F455" s="591"/>
      <c r="G455" s="591"/>
      <c r="H455" s="591"/>
      <c r="I455" s="591"/>
      <c r="J455" s="591"/>
      <c r="K455" s="542"/>
      <c r="O455" s="1134"/>
      <c r="Q455" s="1133"/>
    </row>
    <row r="456" spans="2:17" x14ac:dyDescent="0.3">
      <c r="B456" s="126"/>
      <c r="C456" s="583">
        <v>86</v>
      </c>
      <c r="D456" s="625" t="e">
        <f t="shared" si="26"/>
        <v>#VALUE!</v>
      </c>
      <c r="E456" s="591"/>
      <c r="F456" s="591"/>
      <c r="G456" s="591"/>
      <c r="H456" s="591"/>
      <c r="I456" s="591"/>
      <c r="J456" s="591"/>
      <c r="K456" s="542"/>
      <c r="O456" s="1134"/>
      <c r="Q456" s="1133"/>
    </row>
    <row r="457" spans="2:17" x14ac:dyDescent="0.3">
      <c r="B457" s="126"/>
      <c r="C457" s="583">
        <v>87</v>
      </c>
      <c r="D457" s="625" t="e">
        <f t="shared" si="26"/>
        <v>#VALUE!</v>
      </c>
      <c r="E457" s="591"/>
      <c r="F457" s="591"/>
      <c r="G457" s="591"/>
      <c r="H457" s="591"/>
      <c r="I457" s="591"/>
      <c r="J457" s="591"/>
      <c r="K457" s="542"/>
      <c r="O457" s="1134"/>
      <c r="Q457" s="1133"/>
    </row>
    <row r="458" spans="2:17" x14ac:dyDescent="0.3">
      <c r="B458" s="126"/>
      <c r="C458" s="583">
        <v>88</v>
      </c>
      <c r="D458" s="625" t="e">
        <f t="shared" si="26"/>
        <v>#VALUE!</v>
      </c>
      <c r="E458" s="591"/>
      <c r="F458" s="591"/>
      <c r="G458" s="591"/>
      <c r="H458" s="591"/>
      <c r="I458" s="591"/>
      <c r="J458" s="591"/>
      <c r="K458" s="542"/>
      <c r="O458" s="1134"/>
      <c r="Q458" s="1133"/>
    </row>
    <row r="459" spans="2:17" x14ac:dyDescent="0.3">
      <c r="B459" s="126"/>
      <c r="C459" s="583">
        <v>89</v>
      </c>
      <c r="D459" s="625" t="e">
        <f t="shared" si="26"/>
        <v>#VALUE!</v>
      </c>
      <c r="E459" s="591"/>
      <c r="F459" s="591"/>
      <c r="G459" s="591"/>
      <c r="H459" s="591"/>
      <c r="I459" s="591"/>
      <c r="J459" s="591"/>
      <c r="K459" s="542"/>
      <c r="O459" s="1134"/>
      <c r="Q459" s="1133"/>
    </row>
    <row r="460" spans="2:17" x14ac:dyDescent="0.3">
      <c r="B460" s="126"/>
      <c r="C460" s="583">
        <v>90</v>
      </c>
      <c r="D460" s="625" t="e">
        <f t="shared" si="26"/>
        <v>#VALUE!</v>
      </c>
      <c r="E460" s="591"/>
      <c r="F460" s="591"/>
      <c r="G460" s="591"/>
      <c r="H460" s="591"/>
      <c r="I460" s="591"/>
      <c r="J460" s="591"/>
      <c r="K460" s="542"/>
      <c r="O460" s="1134"/>
      <c r="Q460" s="1133"/>
    </row>
    <row r="461" spans="2:17" x14ac:dyDescent="0.3">
      <c r="B461" s="126"/>
      <c r="C461" s="583">
        <v>91</v>
      </c>
      <c r="D461" s="625" t="e">
        <f t="shared" si="26"/>
        <v>#VALUE!</v>
      </c>
      <c r="E461" s="591"/>
      <c r="F461" s="591"/>
      <c r="G461" s="591"/>
      <c r="H461" s="591"/>
      <c r="I461" s="591"/>
      <c r="J461" s="591"/>
      <c r="K461" s="542"/>
      <c r="O461" s="1134"/>
      <c r="Q461" s="1133"/>
    </row>
    <row r="462" spans="2:17" x14ac:dyDescent="0.3">
      <c r="B462" s="126"/>
      <c r="C462" s="583">
        <v>92</v>
      </c>
      <c r="D462" s="625" t="e">
        <f t="shared" si="26"/>
        <v>#VALUE!</v>
      </c>
      <c r="E462" s="591"/>
      <c r="F462" s="591"/>
      <c r="G462" s="591"/>
      <c r="H462" s="591"/>
      <c r="I462" s="591"/>
      <c r="J462" s="591"/>
      <c r="K462" s="542"/>
      <c r="O462" s="1134"/>
      <c r="Q462" s="1133"/>
    </row>
    <row r="463" spans="2:17" x14ac:dyDescent="0.3">
      <c r="B463" s="126"/>
      <c r="C463" s="583">
        <v>93</v>
      </c>
      <c r="D463" s="625" t="e">
        <f t="shared" si="26"/>
        <v>#VALUE!</v>
      </c>
      <c r="E463" s="591"/>
      <c r="F463" s="591"/>
      <c r="G463" s="591"/>
      <c r="H463" s="591"/>
      <c r="I463" s="591"/>
      <c r="J463" s="591"/>
      <c r="K463" s="542"/>
      <c r="O463" s="1134"/>
      <c r="Q463" s="1133"/>
    </row>
    <row r="464" spans="2:17" x14ac:dyDescent="0.3">
      <c r="B464" s="126"/>
      <c r="C464" s="583">
        <v>94</v>
      </c>
      <c r="D464" s="625" t="e">
        <f t="shared" si="26"/>
        <v>#VALUE!</v>
      </c>
      <c r="E464" s="591"/>
      <c r="F464" s="591"/>
      <c r="G464" s="591"/>
      <c r="H464" s="591"/>
      <c r="I464" s="591"/>
      <c r="J464" s="591"/>
      <c r="K464" s="542"/>
      <c r="O464" s="1134"/>
      <c r="Q464" s="1133"/>
    </row>
    <row r="465" spans="2:17" x14ac:dyDescent="0.3">
      <c r="B465" s="126"/>
      <c r="C465" s="583">
        <v>95</v>
      </c>
      <c r="D465" s="625" t="e">
        <f t="shared" si="26"/>
        <v>#VALUE!</v>
      </c>
      <c r="E465" s="591"/>
      <c r="F465" s="591"/>
      <c r="G465" s="591"/>
      <c r="H465" s="591"/>
      <c r="I465" s="591"/>
      <c r="J465" s="591"/>
      <c r="K465" s="542"/>
      <c r="O465" s="1134"/>
      <c r="Q465" s="1133"/>
    </row>
    <row r="466" spans="2:17" x14ac:dyDescent="0.3">
      <c r="B466" s="126"/>
      <c r="C466" s="583">
        <v>96</v>
      </c>
      <c r="D466" s="625" t="e">
        <f t="shared" si="26"/>
        <v>#VALUE!</v>
      </c>
      <c r="E466" s="591"/>
      <c r="F466" s="591"/>
      <c r="G466" s="591"/>
      <c r="H466" s="591"/>
      <c r="I466" s="591"/>
      <c r="J466" s="591"/>
      <c r="K466" s="542"/>
      <c r="O466" s="1134"/>
      <c r="Q466" s="1133"/>
    </row>
    <row r="467" spans="2:17" x14ac:dyDescent="0.3">
      <c r="B467" s="126"/>
      <c r="C467" s="583">
        <v>97</v>
      </c>
      <c r="D467" s="625" t="e">
        <f t="shared" si="26"/>
        <v>#VALUE!</v>
      </c>
      <c r="E467" s="591"/>
      <c r="F467" s="591"/>
      <c r="G467" s="591"/>
      <c r="H467" s="591"/>
      <c r="I467" s="591"/>
      <c r="J467" s="591"/>
      <c r="K467" s="542"/>
      <c r="O467" s="1134"/>
      <c r="Q467" s="1133"/>
    </row>
    <row r="468" spans="2:17" x14ac:dyDescent="0.3">
      <c r="B468" s="126"/>
      <c r="C468" s="583">
        <v>98</v>
      </c>
      <c r="D468" s="625" t="e">
        <f t="shared" si="26"/>
        <v>#VALUE!</v>
      </c>
      <c r="E468" s="591"/>
      <c r="F468" s="591"/>
      <c r="G468" s="591"/>
      <c r="H468" s="591"/>
      <c r="I468" s="591"/>
      <c r="J468" s="591"/>
      <c r="K468" s="542"/>
      <c r="O468" s="1134"/>
      <c r="Q468" s="1133"/>
    </row>
    <row r="469" spans="2:17" x14ac:dyDescent="0.3">
      <c r="B469" s="126"/>
      <c r="C469" s="583">
        <v>99</v>
      </c>
      <c r="D469" s="625" t="e">
        <f t="shared" si="26"/>
        <v>#VALUE!</v>
      </c>
      <c r="E469" s="591"/>
      <c r="F469" s="591"/>
      <c r="G469" s="591"/>
      <c r="H469" s="591"/>
      <c r="I469" s="591"/>
      <c r="J469" s="591"/>
      <c r="K469" s="542"/>
      <c r="O469" s="1134"/>
      <c r="Q469" s="1133"/>
    </row>
    <row r="470" spans="2:17" x14ac:dyDescent="0.3">
      <c r="B470" s="126"/>
      <c r="C470" s="583">
        <v>100</v>
      </c>
      <c r="D470" s="625" t="e">
        <f t="shared" si="26"/>
        <v>#VALUE!</v>
      </c>
      <c r="E470" s="591"/>
      <c r="F470" s="591"/>
      <c r="G470" s="591"/>
      <c r="H470" s="591"/>
      <c r="I470" s="591"/>
      <c r="J470" s="591"/>
      <c r="K470" s="542"/>
      <c r="O470" s="1134"/>
      <c r="Q470" s="1133"/>
    </row>
    <row r="471" spans="2:17" x14ac:dyDescent="0.3">
      <c r="B471" s="126"/>
      <c r="C471" s="583">
        <v>101</v>
      </c>
      <c r="D471" s="625" t="e">
        <f t="shared" si="26"/>
        <v>#VALUE!</v>
      </c>
      <c r="E471" s="591"/>
      <c r="F471" s="591"/>
      <c r="G471" s="591"/>
      <c r="H471" s="591"/>
      <c r="I471" s="591"/>
      <c r="J471" s="591"/>
      <c r="K471" s="542"/>
      <c r="O471" s="1134"/>
      <c r="Q471" s="1133"/>
    </row>
    <row r="472" spans="2:17" x14ac:dyDescent="0.3">
      <c r="B472" s="126"/>
      <c r="C472" s="583">
        <v>102</v>
      </c>
      <c r="D472" s="625" t="e">
        <f t="shared" si="26"/>
        <v>#VALUE!</v>
      </c>
      <c r="E472" s="591"/>
      <c r="F472" s="591"/>
      <c r="G472" s="591"/>
      <c r="H472" s="591"/>
      <c r="I472" s="591"/>
      <c r="J472" s="591"/>
      <c r="K472" s="542"/>
      <c r="O472" s="1134"/>
      <c r="Q472" s="1133"/>
    </row>
    <row r="473" spans="2:17" x14ac:dyDescent="0.3">
      <c r="B473" s="126"/>
      <c r="C473" s="583">
        <v>103</v>
      </c>
      <c r="D473" s="625" t="e">
        <f t="shared" si="26"/>
        <v>#VALUE!</v>
      </c>
      <c r="E473" s="591"/>
      <c r="F473" s="591"/>
      <c r="G473" s="591"/>
      <c r="H473" s="591"/>
      <c r="I473" s="591"/>
      <c r="J473" s="591"/>
      <c r="K473" s="542"/>
      <c r="O473" s="1134"/>
      <c r="Q473" s="1133"/>
    </row>
    <row r="474" spans="2:17" x14ac:dyDescent="0.3">
      <c r="B474" s="126"/>
      <c r="C474" s="583">
        <v>104</v>
      </c>
      <c r="D474" s="625" t="e">
        <f t="shared" si="26"/>
        <v>#VALUE!</v>
      </c>
      <c r="E474" s="591"/>
      <c r="F474" s="591"/>
      <c r="G474" s="591"/>
      <c r="H474" s="591"/>
      <c r="I474" s="591"/>
      <c r="J474" s="591"/>
      <c r="K474" s="542"/>
      <c r="O474" s="1134"/>
      <c r="Q474" s="1133"/>
    </row>
    <row r="475" spans="2:17" x14ac:dyDescent="0.3">
      <c r="B475" s="126"/>
      <c r="C475" s="583">
        <v>105</v>
      </c>
      <c r="D475" s="625" t="e">
        <f t="shared" si="26"/>
        <v>#VALUE!</v>
      </c>
      <c r="E475" s="591"/>
      <c r="F475" s="591"/>
      <c r="G475" s="591"/>
      <c r="H475" s="591"/>
      <c r="I475" s="591"/>
      <c r="J475" s="591"/>
      <c r="K475" s="542"/>
      <c r="O475" s="1134"/>
      <c r="Q475" s="1133"/>
    </row>
    <row r="476" spans="2:17" x14ac:dyDescent="0.3">
      <c r="B476" s="126"/>
      <c r="C476" s="583">
        <v>106</v>
      </c>
      <c r="D476" s="625" t="e">
        <f t="shared" si="26"/>
        <v>#VALUE!</v>
      </c>
      <c r="E476" s="591"/>
      <c r="F476" s="591"/>
      <c r="G476" s="591"/>
      <c r="H476" s="591"/>
      <c r="I476" s="591"/>
      <c r="J476" s="591"/>
      <c r="K476" s="542"/>
      <c r="O476" s="1134"/>
      <c r="Q476" s="1133"/>
    </row>
    <row r="477" spans="2:17" x14ac:dyDescent="0.3">
      <c r="B477" s="126"/>
      <c r="C477" s="583">
        <v>107</v>
      </c>
      <c r="D477" s="625" t="e">
        <f t="shared" si="26"/>
        <v>#VALUE!</v>
      </c>
      <c r="E477" s="591"/>
      <c r="F477" s="591"/>
      <c r="G477" s="591"/>
      <c r="H477" s="591"/>
      <c r="I477" s="591"/>
      <c r="J477" s="591"/>
      <c r="K477" s="542"/>
      <c r="O477" s="1134"/>
      <c r="Q477" s="1133"/>
    </row>
    <row r="478" spans="2:17" x14ac:dyDescent="0.3">
      <c r="B478" s="126"/>
      <c r="C478" s="583">
        <v>108</v>
      </c>
      <c r="D478" s="625" t="e">
        <f t="shared" si="26"/>
        <v>#VALUE!</v>
      </c>
      <c r="E478" s="591"/>
      <c r="F478" s="591"/>
      <c r="G478" s="591"/>
      <c r="H478" s="591"/>
      <c r="I478" s="591"/>
      <c r="J478" s="591"/>
      <c r="K478" s="542"/>
      <c r="O478" s="1134"/>
      <c r="Q478" s="1133"/>
    </row>
    <row r="479" spans="2:17" x14ac:dyDescent="0.3">
      <c r="B479" s="126"/>
      <c r="C479" s="583">
        <v>109</v>
      </c>
      <c r="D479" s="625" t="e">
        <f t="shared" si="26"/>
        <v>#VALUE!</v>
      </c>
      <c r="E479" s="591"/>
      <c r="F479" s="591"/>
      <c r="G479" s="591"/>
      <c r="H479" s="591"/>
      <c r="I479" s="591"/>
      <c r="J479" s="591"/>
      <c r="K479" s="542"/>
      <c r="O479" s="1134"/>
      <c r="Q479" s="1133"/>
    </row>
    <row r="480" spans="2:17" x14ac:dyDescent="0.3">
      <c r="B480" s="126"/>
      <c r="C480" s="583">
        <v>110</v>
      </c>
      <c r="D480" s="625" t="e">
        <f t="shared" si="26"/>
        <v>#VALUE!</v>
      </c>
      <c r="E480" s="591"/>
      <c r="F480" s="591"/>
      <c r="G480" s="591"/>
      <c r="H480" s="591"/>
      <c r="I480" s="591"/>
      <c r="J480" s="591"/>
      <c r="K480" s="542"/>
      <c r="O480" s="1134"/>
      <c r="Q480" s="1133"/>
    </row>
    <row r="481" spans="2:17" x14ac:dyDescent="0.3">
      <c r="B481" s="126"/>
      <c r="C481" s="583">
        <v>111</v>
      </c>
      <c r="D481" s="625" t="e">
        <f t="shared" si="26"/>
        <v>#VALUE!</v>
      </c>
      <c r="E481" s="591"/>
      <c r="F481" s="591"/>
      <c r="G481" s="591"/>
      <c r="H481" s="591"/>
      <c r="I481" s="591"/>
      <c r="J481" s="591"/>
      <c r="K481" s="542"/>
      <c r="O481" s="1134"/>
      <c r="Q481" s="1133"/>
    </row>
    <row r="482" spans="2:17" x14ac:dyDescent="0.3">
      <c r="B482" s="126"/>
      <c r="C482" s="583">
        <v>112</v>
      </c>
      <c r="D482" s="625" t="e">
        <f t="shared" si="26"/>
        <v>#VALUE!</v>
      </c>
      <c r="E482" s="591"/>
      <c r="F482" s="591"/>
      <c r="G482" s="591"/>
      <c r="H482" s="591"/>
      <c r="I482" s="591"/>
      <c r="J482" s="591"/>
      <c r="K482" s="542"/>
      <c r="O482" s="1134"/>
      <c r="Q482" s="1133"/>
    </row>
    <row r="483" spans="2:17" x14ac:dyDescent="0.3">
      <c r="B483" s="126"/>
      <c r="C483" s="583">
        <v>113</v>
      </c>
      <c r="D483" s="625" t="e">
        <f t="shared" si="26"/>
        <v>#VALUE!</v>
      </c>
      <c r="E483" s="591"/>
      <c r="F483" s="591"/>
      <c r="G483" s="591"/>
      <c r="H483" s="591"/>
      <c r="I483" s="591"/>
      <c r="J483" s="591"/>
      <c r="K483" s="542"/>
      <c r="O483" s="1134"/>
      <c r="Q483" s="1133"/>
    </row>
    <row r="484" spans="2:17" x14ac:dyDescent="0.3">
      <c r="B484" s="126"/>
      <c r="C484" s="583">
        <v>114</v>
      </c>
      <c r="D484" s="625" t="e">
        <f t="shared" si="26"/>
        <v>#VALUE!</v>
      </c>
      <c r="E484" s="591"/>
      <c r="F484" s="591"/>
      <c r="G484" s="591"/>
      <c r="H484" s="591"/>
      <c r="I484" s="591"/>
      <c r="J484" s="591"/>
      <c r="K484" s="542"/>
      <c r="O484" s="1134"/>
      <c r="Q484" s="1133"/>
    </row>
    <row r="485" spans="2:17" x14ac:dyDescent="0.3">
      <c r="B485" s="126"/>
      <c r="C485" s="583">
        <v>115</v>
      </c>
      <c r="D485" s="625" t="e">
        <f t="shared" si="26"/>
        <v>#VALUE!</v>
      </c>
      <c r="E485" s="591"/>
      <c r="F485" s="591"/>
      <c r="G485" s="591"/>
      <c r="H485" s="591"/>
      <c r="I485" s="591"/>
      <c r="J485" s="591"/>
      <c r="K485" s="542"/>
      <c r="O485" s="1134"/>
      <c r="Q485" s="1133"/>
    </row>
    <row r="486" spans="2:17" x14ac:dyDescent="0.3">
      <c r="B486" s="126"/>
      <c r="C486" s="583">
        <v>116</v>
      </c>
      <c r="D486" s="625" t="e">
        <f t="shared" si="26"/>
        <v>#VALUE!</v>
      </c>
      <c r="E486" s="591"/>
      <c r="F486" s="591"/>
      <c r="G486" s="591"/>
      <c r="H486" s="591"/>
      <c r="I486" s="591"/>
      <c r="J486" s="591"/>
      <c r="K486" s="542"/>
      <c r="O486" s="1134"/>
      <c r="Q486" s="1133"/>
    </row>
    <row r="487" spans="2:17" x14ac:dyDescent="0.3">
      <c r="B487" s="126"/>
      <c r="C487" s="583">
        <v>117</v>
      </c>
      <c r="D487" s="625" t="e">
        <f t="shared" si="26"/>
        <v>#VALUE!</v>
      </c>
      <c r="E487" s="591"/>
      <c r="F487" s="591"/>
      <c r="G487" s="591"/>
      <c r="H487" s="591"/>
      <c r="I487" s="591"/>
      <c r="J487" s="591"/>
      <c r="K487" s="542"/>
      <c r="O487" s="1134"/>
      <c r="Q487" s="1133"/>
    </row>
    <row r="488" spans="2:17" x14ac:dyDescent="0.3">
      <c r="B488" s="126"/>
      <c r="C488" s="583">
        <v>118</v>
      </c>
      <c r="D488" s="625" t="e">
        <f t="shared" si="26"/>
        <v>#VALUE!</v>
      </c>
      <c r="E488" s="591"/>
      <c r="F488" s="591"/>
      <c r="G488" s="591"/>
      <c r="H488" s="591"/>
      <c r="I488" s="591"/>
      <c r="J488" s="591"/>
      <c r="K488" s="542"/>
      <c r="O488" s="1134"/>
      <c r="Q488" s="1133"/>
    </row>
    <row r="489" spans="2:17" x14ac:dyDescent="0.3">
      <c r="B489" s="126"/>
      <c r="C489" s="583">
        <v>119</v>
      </c>
      <c r="D489" s="625" t="e">
        <f t="shared" si="26"/>
        <v>#VALUE!</v>
      </c>
      <c r="E489" s="591"/>
      <c r="F489" s="591"/>
      <c r="G489" s="591"/>
      <c r="H489" s="591"/>
      <c r="I489" s="591"/>
      <c r="J489" s="591"/>
      <c r="K489" s="542"/>
      <c r="O489" s="1134"/>
      <c r="Q489" s="1133"/>
    </row>
    <row r="490" spans="2:17" x14ac:dyDescent="0.3">
      <c r="B490" s="126"/>
      <c r="C490" s="583">
        <v>120</v>
      </c>
      <c r="D490" s="625" t="e">
        <f t="shared" si="26"/>
        <v>#VALUE!</v>
      </c>
      <c r="E490" s="591"/>
      <c r="F490" s="591"/>
      <c r="G490" s="591"/>
      <c r="H490" s="591"/>
      <c r="I490" s="591"/>
      <c r="J490" s="591"/>
      <c r="K490" s="542"/>
      <c r="O490" s="1134"/>
      <c r="Q490" s="1133"/>
    </row>
    <row r="491" spans="2:17" x14ac:dyDescent="0.3">
      <c r="B491" s="126"/>
      <c r="C491" s="583">
        <v>121</v>
      </c>
      <c r="D491" s="625" t="e">
        <f t="shared" si="26"/>
        <v>#VALUE!</v>
      </c>
      <c r="E491" s="591"/>
      <c r="F491" s="591"/>
      <c r="G491" s="591"/>
      <c r="H491" s="591"/>
      <c r="I491" s="591"/>
      <c r="J491" s="591"/>
      <c r="K491" s="542"/>
      <c r="O491" s="1134"/>
      <c r="Q491" s="1133"/>
    </row>
    <row r="492" spans="2:17" x14ac:dyDescent="0.3">
      <c r="B492" s="126"/>
      <c r="C492" s="583">
        <v>122</v>
      </c>
      <c r="D492" s="625" t="e">
        <f t="shared" si="26"/>
        <v>#VALUE!</v>
      </c>
      <c r="E492" s="591"/>
      <c r="F492" s="591"/>
      <c r="G492" s="591"/>
      <c r="H492" s="591"/>
      <c r="I492" s="591"/>
      <c r="J492" s="591"/>
      <c r="K492" s="542"/>
      <c r="O492" s="1134"/>
      <c r="Q492" s="1133"/>
    </row>
    <row r="493" spans="2:17" x14ac:dyDescent="0.3">
      <c r="B493" s="126"/>
      <c r="C493" s="583">
        <v>123</v>
      </c>
      <c r="D493" s="625" t="e">
        <f t="shared" si="26"/>
        <v>#VALUE!</v>
      </c>
      <c r="E493" s="591"/>
      <c r="F493" s="591"/>
      <c r="G493" s="591"/>
      <c r="H493" s="591"/>
      <c r="I493" s="591"/>
      <c r="J493" s="591"/>
      <c r="K493" s="542"/>
      <c r="O493" s="1134"/>
      <c r="Q493" s="1133"/>
    </row>
    <row r="494" spans="2:17" x14ac:dyDescent="0.3">
      <c r="B494" s="126"/>
      <c r="C494" s="583">
        <v>124</v>
      </c>
      <c r="D494" s="625" t="e">
        <f t="shared" si="26"/>
        <v>#VALUE!</v>
      </c>
      <c r="E494" s="591"/>
      <c r="F494" s="591"/>
      <c r="G494" s="591"/>
      <c r="H494" s="591"/>
      <c r="I494" s="591"/>
      <c r="J494" s="591"/>
      <c r="K494" s="542"/>
      <c r="O494" s="1134"/>
      <c r="Q494" s="1133"/>
    </row>
    <row r="495" spans="2:17" x14ac:dyDescent="0.3">
      <c r="B495" s="126"/>
      <c r="C495" s="583">
        <v>125</v>
      </c>
      <c r="D495" s="625" t="e">
        <f t="shared" si="26"/>
        <v>#VALUE!</v>
      </c>
      <c r="E495" s="591"/>
      <c r="F495" s="591"/>
      <c r="G495" s="591"/>
      <c r="H495" s="591"/>
      <c r="I495" s="591"/>
      <c r="J495" s="591"/>
      <c r="K495" s="542"/>
      <c r="O495" s="1134"/>
      <c r="Q495" s="1133"/>
    </row>
    <row r="496" spans="2:17" x14ac:dyDescent="0.3">
      <c r="B496" s="126"/>
      <c r="C496" s="583">
        <v>126</v>
      </c>
      <c r="D496" s="625" t="e">
        <f t="shared" si="26"/>
        <v>#VALUE!</v>
      </c>
      <c r="E496" s="591"/>
      <c r="F496" s="591"/>
      <c r="G496" s="591"/>
      <c r="H496" s="591"/>
      <c r="I496" s="591"/>
      <c r="J496" s="591"/>
      <c r="K496" s="542"/>
      <c r="O496" s="1134"/>
      <c r="Q496" s="1133"/>
    </row>
    <row r="497" spans="2:17" x14ac:dyDescent="0.3">
      <c r="B497" s="126"/>
      <c r="C497" s="583">
        <v>127</v>
      </c>
      <c r="D497" s="625" t="e">
        <f t="shared" si="26"/>
        <v>#VALUE!</v>
      </c>
      <c r="E497" s="591"/>
      <c r="F497" s="591"/>
      <c r="G497" s="591"/>
      <c r="H497" s="591"/>
      <c r="I497" s="591"/>
      <c r="J497" s="591"/>
      <c r="K497" s="542"/>
      <c r="O497" s="1134"/>
      <c r="Q497" s="1133"/>
    </row>
    <row r="498" spans="2:17" x14ac:dyDescent="0.3">
      <c r="B498" s="126"/>
      <c r="C498" s="583">
        <v>128</v>
      </c>
      <c r="D498" s="625" t="e">
        <f t="shared" ref="D498:D561" si="27">$C$349*C498</f>
        <v>#VALUE!</v>
      </c>
      <c r="E498" s="591"/>
      <c r="F498" s="591"/>
      <c r="G498" s="591"/>
      <c r="H498" s="591"/>
      <c r="I498" s="591"/>
      <c r="J498" s="591"/>
      <c r="K498" s="542"/>
      <c r="O498" s="1134"/>
      <c r="Q498" s="1133"/>
    </row>
    <row r="499" spans="2:17" x14ac:dyDescent="0.3">
      <c r="B499" s="126"/>
      <c r="C499" s="583">
        <v>129</v>
      </c>
      <c r="D499" s="625" t="e">
        <f t="shared" si="27"/>
        <v>#VALUE!</v>
      </c>
      <c r="E499" s="591"/>
      <c r="F499" s="591"/>
      <c r="G499" s="591"/>
      <c r="H499" s="591"/>
      <c r="I499" s="591"/>
      <c r="J499" s="591"/>
      <c r="K499" s="542"/>
      <c r="O499" s="1134"/>
      <c r="Q499" s="1133"/>
    </row>
    <row r="500" spans="2:17" x14ac:dyDescent="0.3">
      <c r="B500" s="126"/>
      <c r="C500" s="583">
        <v>130</v>
      </c>
      <c r="D500" s="625" t="e">
        <f t="shared" si="27"/>
        <v>#VALUE!</v>
      </c>
      <c r="E500" s="591"/>
      <c r="F500" s="591"/>
      <c r="G500" s="591"/>
      <c r="H500" s="591"/>
      <c r="I500" s="591"/>
      <c r="J500" s="591"/>
      <c r="K500" s="542"/>
      <c r="O500" s="1134"/>
      <c r="Q500" s="1133"/>
    </row>
    <row r="501" spans="2:17" x14ac:dyDescent="0.3">
      <c r="B501" s="126"/>
      <c r="C501" s="583">
        <v>131</v>
      </c>
      <c r="D501" s="625" t="e">
        <f t="shared" si="27"/>
        <v>#VALUE!</v>
      </c>
      <c r="E501" s="591"/>
      <c r="F501" s="591"/>
      <c r="G501" s="591"/>
      <c r="H501" s="591"/>
      <c r="I501" s="591"/>
      <c r="J501" s="591"/>
      <c r="K501" s="542"/>
      <c r="O501" s="1134"/>
      <c r="Q501" s="1133"/>
    </row>
    <row r="502" spans="2:17" x14ac:dyDescent="0.3">
      <c r="B502" s="126"/>
      <c r="C502" s="583">
        <v>132</v>
      </c>
      <c r="D502" s="625" t="e">
        <f t="shared" si="27"/>
        <v>#VALUE!</v>
      </c>
      <c r="E502" s="591"/>
      <c r="F502" s="591"/>
      <c r="G502" s="591"/>
      <c r="H502" s="591"/>
      <c r="I502" s="591"/>
      <c r="J502" s="591"/>
      <c r="K502" s="542"/>
      <c r="O502" s="1134"/>
      <c r="Q502" s="1133"/>
    </row>
    <row r="503" spans="2:17" x14ac:dyDescent="0.3">
      <c r="B503" s="126"/>
      <c r="C503" s="583">
        <v>133</v>
      </c>
      <c r="D503" s="625" t="e">
        <f t="shared" si="27"/>
        <v>#VALUE!</v>
      </c>
      <c r="E503" s="591"/>
      <c r="F503" s="591"/>
      <c r="G503" s="591"/>
      <c r="H503" s="591"/>
      <c r="I503" s="591"/>
      <c r="J503" s="591"/>
      <c r="K503" s="542"/>
      <c r="O503" s="1134"/>
      <c r="Q503" s="1133"/>
    </row>
    <row r="504" spans="2:17" x14ac:dyDescent="0.3">
      <c r="B504" s="126"/>
      <c r="C504" s="583">
        <v>134</v>
      </c>
      <c r="D504" s="625" t="e">
        <f t="shared" si="27"/>
        <v>#VALUE!</v>
      </c>
      <c r="E504" s="591"/>
      <c r="F504" s="591"/>
      <c r="G504" s="591"/>
      <c r="H504" s="591"/>
      <c r="I504" s="591"/>
      <c r="J504" s="591"/>
      <c r="K504" s="542"/>
      <c r="O504" s="1134"/>
      <c r="Q504" s="1133"/>
    </row>
    <row r="505" spans="2:17" x14ac:dyDescent="0.3">
      <c r="B505" s="126"/>
      <c r="C505" s="583">
        <v>135</v>
      </c>
      <c r="D505" s="625" t="e">
        <f t="shared" si="27"/>
        <v>#VALUE!</v>
      </c>
      <c r="E505" s="591"/>
      <c r="F505" s="591"/>
      <c r="G505" s="591"/>
      <c r="H505" s="591"/>
      <c r="I505" s="591"/>
      <c r="J505" s="591"/>
      <c r="K505" s="542"/>
      <c r="O505" s="1134"/>
      <c r="Q505" s="1133"/>
    </row>
    <row r="506" spans="2:17" x14ac:dyDescent="0.3">
      <c r="B506" s="126"/>
      <c r="C506" s="583">
        <v>136</v>
      </c>
      <c r="D506" s="625" t="e">
        <f t="shared" si="27"/>
        <v>#VALUE!</v>
      </c>
      <c r="E506" s="591"/>
      <c r="F506" s="591"/>
      <c r="G506" s="591"/>
      <c r="H506" s="591"/>
      <c r="I506" s="591"/>
      <c r="J506" s="591"/>
      <c r="K506" s="542"/>
      <c r="O506" s="1134"/>
      <c r="Q506" s="1133"/>
    </row>
    <row r="507" spans="2:17" x14ac:dyDescent="0.3">
      <c r="B507" s="126"/>
      <c r="C507" s="583">
        <v>137</v>
      </c>
      <c r="D507" s="625" t="e">
        <f t="shared" si="27"/>
        <v>#VALUE!</v>
      </c>
      <c r="E507" s="591"/>
      <c r="F507" s="591"/>
      <c r="G507" s="591"/>
      <c r="H507" s="591"/>
      <c r="I507" s="591"/>
      <c r="J507" s="591"/>
      <c r="K507" s="542"/>
      <c r="O507" s="1134"/>
      <c r="Q507" s="1133"/>
    </row>
    <row r="508" spans="2:17" x14ac:dyDescent="0.3">
      <c r="B508" s="126"/>
      <c r="C508" s="583">
        <v>138</v>
      </c>
      <c r="D508" s="625" t="e">
        <f t="shared" si="27"/>
        <v>#VALUE!</v>
      </c>
      <c r="E508" s="591"/>
      <c r="F508" s="591"/>
      <c r="G508" s="591"/>
      <c r="H508" s="591"/>
      <c r="I508" s="591"/>
      <c r="J508" s="591"/>
      <c r="K508" s="542"/>
      <c r="O508" s="1134"/>
      <c r="Q508" s="1133"/>
    </row>
    <row r="509" spans="2:17" x14ac:dyDescent="0.3">
      <c r="B509" s="126"/>
      <c r="C509" s="583">
        <v>139</v>
      </c>
      <c r="D509" s="625" t="e">
        <f t="shared" si="27"/>
        <v>#VALUE!</v>
      </c>
      <c r="E509" s="591"/>
      <c r="F509" s="591"/>
      <c r="G509" s="591"/>
      <c r="H509" s="591"/>
      <c r="I509" s="591"/>
      <c r="J509" s="591"/>
      <c r="K509" s="542"/>
      <c r="O509" s="1134"/>
      <c r="Q509" s="1133"/>
    </row>
    <row r="510" spans="2:17" x14ac:dyDescent="0.3">
      <c r="B510" s="126"/>
      <c r="C510" s="583">
        <v>140</v>
      </c>
      <c r="D510" s="625" t="e">
        <f t="shared" si="27"/>
        <v>#VALUE!</v>
      </c>
      <c r="E510" s="591"/>
      <c r="F510" s="591"/>
      <c r="G510" s="591"/>
      <c r="H510" s="591"/>
      <c r="I510" s="591"/>
      <c r="J510" s="591"/>
      <c r="K510" s="542"/>
      <c r="O510" s="1134"/>
      <c r="Q510" s="1133"/>
    </row>
    <row r="511" spans="2:17" x14ac:dyDescent="0.3">
      <c r="B511" s="126"/>
      <c r="C511" s="583">
        <v>141</v>
      </c>
      <c r="D511" s="625" t="e">
        <f t="shared" si="27"/>
        <v>#VALUE!</v>
      </c>
      <c r="E511" s="591"/>
      <c r="F511" s="591"/>
      <c r="G511" s="591"/>
      <c r="H511" s="591"/>
      <c r="I511" s="591"/>
      <c r="J511" s="591"/>
      <c r="K511" s="542"/>
      <c r="O511" s="1134"/>
      <c r="Q511" s="1133"/>
    </row>
    <row r="512" spans="2:17" x14ac:dyDescent="0.3">
      <c r="B512" s="126"/>
      <c r="C512" s="583">
        <v>142</v>
      </c>
      <c r="D512" s="625" t="e">
        <f t="shared" si="27"/>
        <v>#VALUE!</v>
      </c>
      <c r="E512" s="591"/>
      <c r="F512" s="591"/>
      <c r="G512" s="591"/>
      <c r="H512" s="591"/>
      <c r="I512" s="591"/>
      <c r="J512" s="591"/>
      <c r="K512" s="542"/>
      <c r="O512" s="1134"/>
      <c r="Q512" s="1133"/>
    </row>
    <row r="513" spans="2:17" x14ac:dyDescent="0.3">
      <c r="B513" s="126"/>
      <c r="C513" s="583">
        <v>143</v>
      </c>
      <c r="D513" s="625" t="e">
        <f t="shared" si="27"/>
        <v>#VALUE!</v>
      </c>
      <c r="E513" s="591"/>
      <c r="F513" s="591"/>
      <c r="G513" s="591"/>
      <c r="H513" s="591"/>
      <c r="I513" s="591"/>
      <c r="J513" s="591"/>
      <c r="K513" s="542"/>
      <c r="O513" s="1134"/>
      <c r="Q513" s="1133"/>
    </row>
    <row r="514" spans="2:17" x14ac:dyDescent="0.3">
      <c r="B514" s="126"/>
      <c r="C514" s="583">
        <v>144</v>
      </c>
      <c r="D514" s="625" t="e">
        <f t="shared" si="27"/>
        <v>#VALUE!</v>
      </c>
      <c r="E514" s="591"/>
      <c r="F514" s="591"/>
      <c r="G514" s="591"/>
      <c r="H514" s="591"/>
      <c r="I514" s="591"/>
      <c r="J514" s="591"/>
      <c r="K514" s="542"/>
      <c r="O514" s="1134"/>
      <c r="Q514" s="1133"/>
    </row>
    <row r="515" spans="2:17" x14ac:dyDescent="0.3">
      <c r="B515" s="126"/>
      <c r="C515" s="583">
        <v>145</v>
      </c>
      <c r="D515" s="625" t="e">
        <f t="shared" si="27"/>
        <v>#VALUE!</v>
      </c>
      <c r="E515" s="591"/>
      <c r="F515" s="591"/>
      <c r="G515" s="591"/>
      <c r="H515" s="591"/>
      <c r="I515" s="591"/>
      <c r="J515" s="591"/>
      <c r="K515" s="542"/>
      <c r="O515" s="1134"/>
      <c r="Q515" s="1133"/>
    </row>
    <row r="516" spans="2:17" x14ac:dyDescent="0.3">
      <c r="B516" s="126"/>
      <c r="C516" s="583">
        <v>146</v>
      </c>
      <c r="D516" s="625" t="e">
        <f t="shared" si="27"/>
        <v>#VALUE!</v>
      </c>
      <c r="E516" s="591"/>
      <c r="F516" s="591"/>
      <c r="G516" s="591"/>
      <c r="H516" s="591"/>
      <c r="I516" s="591"/>
      <c r="J516" s="591"/>
      <c r="K516" s="542"/>
      <c r="O516" s="1134"/>
      <c r="Q516" s="1133"/>
    </row>
    <row r="517" spans="2:17" x14ac:dyDescent="0.3">
      <c r="B517" s="126"/>
      <c r="C517" s="583">
        <v>147</v>
      </c>
      <c r="D517" s="625" t="e">
        <f t="shared" si="27"/>
        <v>#VALUE!</v>
      </c>
      <c r="E517" s="591"/>
      <c r="F517" s="591"/>
      <c r="G517" s="591"/>
      <c r="H517" s="591"/>
      <c r="I517" s="591"/>
      <c r="J517" s="591"/>
      <c r="K517" s="542"/>
      <c r="O517" s="1134"/>
      <c r="Q517" s="1133"/>
    </row>
    <row r="518" spans="2:17" x14ac:dyDescent="0.3">
      <c r="B518" s="126"/>
      <c r="C518" s="583">
        <v>148</v>
      </c>
      <c r="D518" s="625" t="e">
        <f t="shared" si="27"/>
        <v>#VALUE!</v>
      </c>
      <c r="E518" s="591"/>
      <c r="F518" s="591"/>
      <c r="G518" s="591"/>
      <c r="H518" s="591"/>
      <c r="I518" s="591"/>
      <c r="J518" s="591"/>
      <c r="K518" s="542"/>
      <c r="O518" s="1134"/>
      <c r="Q518" s="1133"/>
    </row>
    <row r="519" spans="2:17" x14ac:dyDescent="0.3">
      <c r="B519" s="126"/>
      <c r="C519" s="583">
        <v>149</v>
      </c>
      <c r="D519" s="625" t="e">
        <f t="shared" si="27"/>
        <v>#VALUE!</v>
      </c>
      <c r="E519" s="591"/>
      <c r="F519" s="591"/>
      <c r="G519" s="591"/>
      <c r="H519" s="591"/>
      <c r="I519" s="591"/>
      <c r="J519" s="591"/>
      <c r="K519" s="542"/>
      <c r="O519" s="1134"/>
      <c r="Q519" s="1133"/>
    </row>
    <row r="520" spans="2:17" x14ac:dyDescent="0.3">
      <c r="B520" s="126"/>
      <c r="C520" s="583">
        <v>150</v>
      </c>
      <c r="D520" s="625" t="e">
        <f t="shared" si="27"/>
        <v>#VALUE!</v>
      </c>
      <c r="E520" s="591"/>
      <c r="F520" s="591"/>
      <c r="G520" s="591"/>
      <c r="H520" s="591"/>
      <c r="I520" s="591"/>
      <c r="J520" s="591"/>
      <c r="K520" s="542"/>
      <c r="O520" s="1134"/>
      <c r="Q520" s="1133"/>
    </row>
    <row r="521" spans="2:17" x14ac:dyDescent="0.3">
      <c r="B521" s="126"/>
      <c r="C521" s="583">
        <v>151</v>
      </c>
      <c r="D521" s="625" t="e">
        <f t="shared" si="27"/>
        <v>#VALUE!</v>
      </c>
      <c r="E521" s="591"/>
      <c r="F521" s="591"/>
      <c r="G521" s="591"/>
      <c r="H521" s="591"/>
      <c r="I521" s="591"/>
      <c r="J521" s="591"/>
      <c r="K521" s="542"/>
      <c r="O521" s="1134"/>
      <c r="Q521" s="1133"/>
    </row>
    <row r="522" spans="2:17" x14ac:dyDescent="0.3">
      <c r="B522" s="126"/>
      <c r="C522" s="583">
        <v>152</v>
      </c>
      <c r="D522" s="625" t="e">
        <f t="shared" si="27"/>
        <v>#VALUE!</v>
      </c>
      <c r="E522" s="591"/>
      <c r="F522" s="591"/>
      <c r="G522" s="591"/>
      <c r="H522" s="591"/>
      <c r="I522" s="591"/>
      <c r="J522" s="591"/>
      <c r="K522" s="542"/>
      <c r="O522" s="1134"/>
      <c r="Q522" s="1133"/>
    </row>
    <row r="523" spans="2:17" x14ac:dyDescent="0.3">
      <c r="B523" s="126"/>
      <c r="C523" s="583">
        <v>153</v>
      </c>
      <c r="D523" s="625" t="e">
        <f t="shared" si="27"/>
        <v>#VALUE!</v>
      </c>
      <c r="E523" s="591"/>
      <c r="F523" s="591"/>
      <c r="G523" s="591"/>
      <c r="H523" s="591"/>
      <c r="I523" s="591"/>
      <c r="J523" s="591"/>
      <c r="K523" s="542"/>
      <c r="O523" s="1134"/>
      <c r="Q523" s="1133"/>
    </row>
    <row r="524" spans="2:17" x14ac:dyDescent="0.3">
      <c r="B524" s="126"/>
      <c r="C524" s="583">
        <v>154</v>
      </c>
      <c r="D524" s="625" t="e">
        <f t="shared" si="27"/>
        <v>#VALUE!</v>
      </c>
      <c r="E524" s="591"/>
      <c r="F524" s="591"/>
      <c r="G524" s="591"/>
      <c r="H524" s="591"/>
      <c r="I524" s="591"/>
      <c r="J524" s="591"/>
      <c r="K524" s="542"/>
      <c r="O524" s="1134"/>
      <c r="Q524" s="1133"/>
    </row>
    <row r="525" spans="2:17" x14ac:dyDescent="0.3">
      <c r="B525" s="126"/>
      <c r="C525" s="583">
        <v>155</v>
      </c>
      <c r="D525" s="625" t="e">
        <f t="shared" si="27"/>
        <v>#VALUE!</v>
      </c>
      <c r="E525" s="591"/>
      <c r="F525" s="591"/>
      <c r="G525" s="591"/>
      <c r="H525" s="591"/>
      <c r="I525" s="591"/>
      <c r="J525" s="591"/>
      <c r="K525" s="542"/>
      <c r="O525" s="1134"/>
      <c r="Q525" s="1133"/>
    </row>
    <row r="526" spans="2:17" x14ac:dyDescent="0.3">
      <c r="B526" s="126"/>
      <c r="C526" s="583">
        <v>156</v>
      </c>
      <c r="D526" s="625" t="e">
        <f t="shared" si="27"/>
        <v>#VALUE!</v>
      </c>
      <c r="E526" s="591"/>
      <c r="F526" s="591"/>
      <c r="G526" s="591"/>
      <c r="H526" s="591"/>
      <c r="I526" s="591"/>
      <c r="J526" s="591"/>
      <c r="K526" s="542"/>
      <c r="O526" s="1134"/>
      <c r="Q526" s="1133"/>
    </row>
    <row r="527" spans="2:17" x14ac:dyDescent="0.3">
      <c r="B527" s="126"/>
      <c r="C527" s="583">
        <v>157</v>
      </c>
      <c r="D527" s="625" t="e">
        <f t="shared" si="27"/>
        <v>#VALUE!</v>
      </c>
      <c r="E527" s="591"/>
      <c r="F527" s="591"/>
      <c r="G527" s="591"/>
      <c r="H527" s="591"/>
      <c r="I527" s="591"/>
      <c r="J527" s="591"/>
      <c r="K527" s="542"/>
      <c r="O527" s="1134"/>
      <c r="Q527" s="1133"/>
    </row>
    <row r="528" spans="2:17" x14ac:dyDescent="0.3">
      <c r="B528" s="126"/>
      <c r="C528" s="583">
        <v>158</v>
      </c>
      <c r="D528" s="625" t="e">
        <f t="shared" si="27"/>
        <v>#VALUE!</v>
      </c>
      <c r="E528" s="591"/>
      <c r="F528" s="591"/>
      <c r="G528" s="591"/>
      <c r="H528" s="591"/>
      <c r="I528" s="591"/>
      <c r="J528" s="591"/>
      <c r="K528" s="542"/>
      <c r="O528" s="1134"/>
      <c r="Q528" s="1133"/>
    </row>
    <row r="529" spans="2:17" x14ac:dyDescent="0.3">
      <c r="B529" s="126"/>
      <c r="C529" s="583">
        <v>159</v>
      </c>
      <c r="D529" s="625" t="e">
        <f t="shared" si="27"/>
        <v>#VALUE!</v>
      </c>
      <c r="E529" s="591"/>
      <c r="F529" s="591"/>
      <c r="G529" s="591"/>
      <c r="H529" s="591"/>
      <c r="I529" s="591"/>
      <c r="J529" s="591"/>
      <c r="K529" s="542"/>
      <c r="O529" s="1134"/>
      <c r="Q529" s="1133"/>
    </row>
    <row r="530" spans="2:17" x14ac:dyDescent="0.3">
      <c r="B530" s="126"/>
      <c r="C530" s="583">
        <v>160</v>
      </c>
      <c r="D530" s="625" t="e">
        <f t="shared" si="27"/>
        <v>#VALUE!</v>
      </c>
      <c r="E530" s="591"/>
      <c r="F530" s="591"/>
      <c r="G530" s="591"/>
      <c r="H530" s="591"/>
      <c r="I530" s="591"/>
      <c r="J530" s="591"/>
      <c r="K530" s="542"/>
      <c r="O530" s="1134"/>
      <c r="Q530" s="1133"/>
    </row>
    <row r="531" spans="2:17" x14ac:dyDescent="0.3">
      <c r="B531" s="126"/>
      <c r="C531" s="583">
        <v>161</v>
      </c>
      <c r="D531" s="625" t="e">
        <f t="shared" si="27"/>
        <v>#VALUE!</v>
      </c>
      <c r="E531" s="591"/>
      <c r="F531" s="591"/>
      <c r="G531" s="591"/>
      <c r="H531" s="591"/>
      <c r="I531" s="591"/>
      <c r="J531" s="591"/>
      <c r="K531" s="542"/>
      <c r="O531" s="1134"/>
      <c r="Q531" s="1133"/>
    </row>
    <row r="532" spans="2:17" x14ac:dyDescent="0.3">
      <c r="B532" s="126"/>
      <c r="C532" s="583">
        <v>162</v>
      </c>
      <c r="D532" s="625" t="e">
        <f t="shared" si="27"/>
        <v>#VALUE!</v>
      </c>
      <c r="E532" s="591"/>
      <c r="F532" s="591"/>
      <c r="G532" s="591"/>
      <c r="H532" s="591"/>
      <c r="I532" s="591"/>
      <c r="J532" s="591"/>
      <c r="K532" s="542"/>
      <c r="O532" s="1134"/>
      <c r="Q532" s="1133"/>
    </row>
    <row r="533" spans="2:17" x14ac:dyDescent="0.3">
      <c r="B533" s="126"/>
      <c r="C533" s="583">
        <v>163</v>
      </c>
      <c r="D533" s="625" t="e">
        <f t="shared" si="27"/>
        <v>#VALUE!</v>
      </c>
      <c r="E533" s="591"/>
      <c r="F533" s="591"/>
      <c r="G533" s="591"/>
      <c r="H533" s="591"/>
      <c r="I533" s="591"/>
      <c r="J533" s="591"/>
      <c r="K533" s="542"/>
      <c r="O533" s="1134"/>
      <c r="Q533" s="1133"/>
    </row>
    <row r="534" spans="2:17" x14ac:dyDescent="0.3">
      <c r="B534" s="126"/>
      <c r="C534" s="583">
        <v>164</v>
      </c>
      <c r="D534" s="625" t="e">
        <f t="shared" si="27"/>
        <v>#VALUE!</v>
      </c>
      <c r="E534" s="591"/>
      <c r="F534" s="591"/>
      <c r="G534" s="591"/>
      <c r="H534" s="591"/>
      <c r="I534" s="591"/>
      <c r="J534" s="591"/>
      <c r="K534" s="542"/>
      <c r="O534" s="1134"/>
      <c r="Q534" s="1133"/>
    </row>
    <row r="535" spans="2:17" x14ac:dyDescent="0.3">
      <c r="B535" s="126"/>
      <c r="C535" s="583">
        <v>165</v>
      </c>
      <c r="D535" s="625" t="e">
        <f t="shared" si="27"/>
        <v>#VALUE!</v>
      </c>
      <c r="E535" s="591"/>
      <c r="F535" s="591"/>
      <c r="G535" s="591"/>
      <c r="H535" s="591"/>
      <c r="I535" s="591"/>
      <c r="J535" s="591"/>
      <c r="K535" s="542"/>
      <c r="O535" s="1134"/>
      <c r="Q535" s="1133"/>
    </row>
    <row r="536" spans="2:17" x14ac:dyDescent="0.3">
      <c r="B536" s="126"/>
      <c r="C536" s="583">
        <v>166</v>
      </c>
      <c r="D536" s="625" t="e">
        <f t="shared" si="27"/>
        <v>#VALUE!</v>
      </c>
      <c r="E536" s="591"/>
      <c r="F536" s="591"/>
      <c r="G536" s="591"/>
      <c r="H536" s="591"/>
      <c r="I536" s="591"/>
      <c r="J536" s="591"/>
      <c r="K536" s="542"/>
      <c r="O536" s="1134"/>
      <c r="Q536" s="1133"/>
    </row>
    <row r="537" spans="2:17" x14ac:dyDescent="0.3">
      <c r="B537" s="126"/>
      <c r="C537" s="583">
        <v>167</v>
      </c>
      <c r="D537" s="625" t="e">
        <f t="shared" si="27"/>
        <v>#VALUE!</v>
      </c>
      <c r="E537" s="591"/>
      <c r="F537" s="591"/>
      <c r="G537" s="591"/>
      <c r="H537" s="591"/>
      <c r="I537" s="591"/>
      <c r="J537" s="591"/>
      <c r="K537" s="542"/>
      <c r="O537" s="1134"/>
      <c r="Q537" s="1133"/>
    </row>
    <row r="538" spans="2:17" x14ac:dyDescent="0.3">
      <c r="B538" s="126"/>
      <c r="C538" s="583">
        <v>168</v>
      </c>
      <c r="D538" s="625" t="e">
        <f t="shared" si="27"/>
        <v>#VALUE!</v>
      </c>
      <c r="E538" s="591"/>
      <c r="F538" s="591"/>
      <c r="G538" s="591"/>
      <c r="H538" s="591"/>
      <c r="I538" s="591"/>
      <c r="J538" s="591"/>
      <c r="K538" s="542"/>
      <c r="O538" s="1134"/>
      <c r="Q538" s="1133"/>
    </row>
    <row r="539" spans="2:17" x14ac:dyDescent="0.3">
      <c r="B539" s="126"/>
      <c r="C539" s="583">
        <v>169</v>
      </c>
      <c r="D539" s="625" t="e">
        <f t="shared" si="27"/>
        <v>#VALUE!</v>
      </c>
      <c r="E539" s="591"/>
      <c r="F539" s="591"/>
      <c r="G539" s="591"/>
      <c r="H539" s="591"/>
      <c r="I539" s="591"/>
      <c r="J539" s="591"/>
      <c r="K539" s="542"/>
      <c r="O539" s="1134"/>
      <c r="Q539" s="1133"/>
    </row>
    <row r="540" spans="2:17" x14ac:dyDescent="0.3">
      <c r="B540" s="126"/>
      <c r="C540" s="583">
        <v>170</v>
      </c>
      <c r="D540" s="625" t="e">
        <f t="shared" si="27"/>
        <v>#VALUE!</v>
      </c>
      <c r="E540" s="591"/>
      <c r="F540" s="591"/>
      <c r="G540" s="591"/>
      <c r="H540" s="591"/>
      <c r="I540" s="591"/>
      <c r="J540" s="591"/>
      <c r="K540" s="542"/>
      <c r="O540" s="1134"/>
      <c r="Q540" s="1133"/>
    </row>
    <row r="541" spans="2:17" x14ac:dyDescent="0.3">
      <c r="B541" s="126"/>
      <c r="C541" s="583">
        <v>171</v>
      </c>
      <c r="D541" s="625" t="e">
        <f t="shared" si="27"/>
        <v>#VALUE!</v>
      </c>
      <c r="E541" s="591"/>
      <c r="F541" s="591"/>
      <c r="G541" s="591"/>
      <c r="H541" s="591"/>
      <c r="I541" s="591"/>
      <c r="J541" s="591"/>
      <c r="K541" s="542"/>
      <c r="O541" s="1134"/>
      <c r="Q541" s="1133"/>
    </row>
    <row r="542" spans="2:17" x14ac:dyDescent="0.3">
      <c r="B542" s="126"/>
      <c r="C542" s="583">
        <v>172</v>
      </c>
      <c r="D542" s="625" t="e">
        <f t="shared" si="27"/>
        <v>#VALUE!</v>
      </c>
      <c r="E542" s="591"/>
      <c r="F542" s="591"/>
      <c r="G542" s="591"/>
      <c r="H542" s="591"/>
      <c r="I542" s="591"/>
      <c r="J542" s="591"/>
      <c r="K542" s="542"/>
      <c r="O542" s="1134"/>
      <c r="Q542" s="1133"/>
    </row>
    <row r="543" spans="2:17" x14ac:dyDescent="0.3">
      <c r="B543" s="126"/>
      <c r="C543" s="583">
        <v>173</v>
      </c>
      <c r="D543" s="625" t="e">
        <f t="shared" si="27"/>
        <v>#VALUE!</v>
      </c>
      <c r="E543" s="591"/>
      <c r="F543" s="591"/>
      <c r="G543" s="591"/>
      <c r="H543" s="591"/>
      <c r="I543" s="591"/>
      <c r="J543" s="591"/>
      <c r="K543" s="542"/>
      <c r="O543" s="1134"/>
      <c r="Q543" s="1133"/>
    </row>
    <row r="544" spans="2:17" x14ac:dyDescent="0.3">
      <c r="B544" s="126"/>
      <c r="C544" s="583">
        <v>174</v>
      </c>
      <c r="D544" s="625" t="e">
        <f t="shared" si="27"/>
        <v>#VALUE!</v>
      </c>
      <c r="E544" s="591"/>
      <c r="F544" s="591"/>
      <c r="G544" s="591"/>
      <c r="H544" s="591"/>
      <c r="I544" s="591"/>
      <c r="J544" s="591"/>
      <c r="K544" s="542"/>
      <c r="O544" s="1134"/>
      <c r="Q544" s="1133"/>
    </row>
    <row r="545" spans="2:17" x14ac:dyDescent="0.3">
      <c r="B545" s="126"/>
      <c r="C545" s="583">
        <v>175</v>
      </c>
      <c r="D545" s="625" t="e">
        <f t="shared" si="27"/>
        <v>#VALUE!</v>
      </c>
      <c r="E545" s="591"/>
      <c r="F545" s="591"/>
      <c r="G545" s="591"/>
      <c r="H545" s="591"/>
      <c r="I545" s="591"/>
      <c r="J545" s="591"/>
      <c r="K545" s="542"/>
      <c r="O545" s="1134"/>
      <c r="Q545" s="1133"/>
    </row>
    <row r="546" spans="2:17" x14ac:dyDescent="0.3">
      <c r="B546" s="126"/>
      <c r="C546" s="583">
        <v>176</v>
      </c>
      <c r="D546" s="625" t="e">
        <f t="shared" si="27"/>
        <v>#VALUE!</v>
      </c>
      <c r="E546" s="591"/>
      <c r="F546" s="591"/>
      <c r="G546" s="591"/>
      <c r="H546" s="591"/>
      <c r="I546" s="591"/>
      <c r="J546" s="591"/>
      <c r="K546" s="542"/>
      <c r="O546" s="1134"/>
      <c r="Q546" s="1133"/>
    </row>
    <row r="547" spans="2:17" x14ac:dyDescent="0.3">
      <c r="B547" s="126"/>
      <c r="C547" s="583">
        <v>177</v>
      </c>
      <c r="D547" s="625" t="e">
        <f t="shared" si="27"/>
        <v>#VALUE!</v>
      </c>
      <c r="E547" s="591"/>
      <c r="F547" s="591"/>
      <c r="G547" s="591"/>
      <c r="H547" s="591"/>
      <c r="I547" s="591"/>
      <c r="J547" s="591"/>
      <c r="K547" s="542"/>
      <c r="O547" s="1134"/>
      <c r="Q547" s="1133"/>
    </row>
    <row r="548" spans="2:17" x14ac:dyDescent="0.3">
      <c r="B548" s="126"/>
      <c r="C548" s="583">
        <v>178</v>
      </c>
      <c r="D548" s="625" t="e">
        <f t="shared" si="27"/>
        <v>#VALUE!</v>
      </c>
      <c r="E548" s="591"/>
      <c r="F548" s="591"/>
      <c r="G548" s="591"/>
      <c r="H548" s="591"/>
      <c r="I548" s="591"/>
      <c r="J548" s="591"/>
      <c r="K548" s="542"/>
      <c r="O548" s="1134"/>
      <c r="Q548" s="1133"/>
    </row>
    <row r="549" spans="2:17" x14ac:dyDescent="0.3">
      <c r="B549" s="126"/>
      <c r="C549" s="583">
        <v>179</v>
      </c>
      <c r="D549" s="625" t="e">
        <f t="shared" si="27"/>
        <v>#VALUE!</v>
      </c>
      <c r="E549" s="591"/>
      <c r="F549" s="591"/>
      <c r="G549" s="591"/>
      <c r="H549" s="591"/>
      <c r="I549" s="591"/>
      <c r="J549" s="591"/>
      <c r="K549" s="542"/>
      <c r="O549" s="1134"/>
      <c r="Q549" s="1133"/>
    </row>
    <row r="550" spans="2:17" x14ac:dyDescent="0.3">
      <c r="B550" s="126"/>
      <c r="C550" s="583">
        <v>180</v>
      </c>
      <c r="D550" s="625" t="e">
        <f t="shared" si="27"/>
        <v>#VALUE!</v>
      </c>
      <c r="E550" s="591"/>
      <c r="F550" s="591"/>
      <c r="G550" s="591"/>
      <c r="H550" s="591"/>
      <c r="I550" s="591"/>
      <c r="J550" s="591"/>
      <c r="K550" s="542"/>
      <c r="O550" s="1134"/>
      <c r="Q550" s="1133"/>
    </row>
    <row r="551" spans="2:17" x14ac:dyDescent="0.3">
      <c r="B551" s="126"/>
      <c r="C551" s="583">
        <v>181</v>
      </c>
      <c r="D551" s="625" t="e">
        <f t="shared" si="27"/>
        <v>#VALUE!</v>
      </c>
      <c r="E551" s="591"/>
      <c r="F551" s="591"/>
      <c r="G551" s="591"/>
      <c r="H551" s="591"/>
      <c r="I551" s="591"/>
      <c r="J551" s="591"/>
      <c r="K551" s="542"/>
      <c r="O551" s="1134"/>
      <c r="Q551" s="1133"/>
    </row>
    <row r="552" spans="2:17" x14ac:dyDescent="0.3">
      <c r="B552" s="126"/>
      <c r="C552" s="583">
        <v>182</v>
      </c>
      <c r="D552" s="625" t="e">
        <f t="shared" si="27"/>
        <v>#VALUE!</v>
      </c>
      <c r="E552" s="591"/>
      <c r="F552" s="591"/>
      <c r="G552" s="591"/>
      <c r="H552" s="591"/>
      <c r="I552" s="591"/>
      <c r="J552" s="591"/>
      <c r="K552" s="542"/>
      <c r="O552" s="1134"/>
      <c r="Q552" s="1133"/>
    </row>
    <row r="553" spans="2:17" x14ac:dyDescent="0.3">
      <c r="B553" s="126"/>
      <c r="C553" s="583">
        <v>183</v>
      </c>
      <c r="D553" s="625" t="e">
        <f t="shared" si="27"/>
        <v>#VALUE!</v>
      </c>
      <c r="E553" s="591"/>
      <c r="F553" s="591"/>
      <c r="G553" s="591"/>
      <c r="H553" s="591"/>
      <c r="I553" s="591"/>
      <c r="J553" s="591"/>
      <c r="K553" s="542"/>
      <c r="O553" s="1134"/>
      <c r="Q553" s="1133"/>
    </row>
    <row r="554" spans="2:17" x14ac:dyDescent="0.3">
      <c r="B554" s="126"/>
      <c r="C554" s="583">
        <v>184</v>
      </c>
      <c r="D554" s="625" t="e">
        <f t="shared" si="27"/>
        <v>#VALUE!</v>
      </c>
      <c r="E554" s="591"/>
      <c r="F554" s="591"/>
      <c r="G554" s="591"/>
      <c r="H554" s="591"/>
      <c r="I554" s="591"/>
      <c r="J554" s="591"/>
      <c r="K554" s="542"/>
      <c r="O554" s="1134"/>
      <c r="Q554" s="1133"/>
    </row>
    <row r="555" spans="2:17" x14ac:dyDescent="0.3">
      <c r="B555" s="126"/>
      <c r="C555" s="583">
        <v>185</v>
      </c>
      <c r="D555" s="625" t="e">
        <f t="shared" si="27"/>
        <v>#VALUE!</v>
      </c>
      <c r="E555" s="591"/>
      <c r="F555" s="591"/>
      <c r="G555" s="591"/>
      <c r="H555" s="591"/>
      <c r="I555" s="591"/>
      <c r="J555" s="591"/>
      <c r="K555" s="542"/>
      <c r="O555" s="1134"/>
      <c r="Q555" s="1133"/>
    </row>
    <row r="556" spans="2:17" x14ac:dyDescent="0.3">
      <c r="B556" s="126"/>
      <c r="C556" s="583">
        <v>186</v>
      </c>
      <c r="D556" s="625" t="e">
        <f t="shared" si="27"/>
        <v>#VALUE!</v>
      </c>
      <c r="E556" s="591"/>
      <c r="F556" s="591"/>
      <c r="G556" s="591"/>
      <c r="H556" s="591"/>
      <c r="I556" s="591"/>
      <c r="J556" s="591"/>
      <c r="K556" s="542"/>
      <c r="O556" s="1134"/>
      <c r="Q556" s="1133"/>
    </row>
    <row r="557" spans="2:17" x14ac:dyDescent="0.3">
      <c r="B557" s="126"/>
      <c r="C557" s="583">
        <v>187</v>
      </c>
      <c r="D557" s="625" t="e">
        <f t="shared" si="27"/>
        <v>#VALUE!</v>
      </c>
      <c r="E557" s="591"/>
      <c r="F557" s="591"/>
      <c r="G557" s="591"/>
      <c r="H557" s="591"/>
      <c r="I557" s="591"/>
      <c r="J557" s="591"/>
      <c r="K557" s="542"/>
      <c r="O557" s="1134"/>
      <c r="Q557" s="1133"/>
    </row>
    <row r="558" spans="2:17" x14ac:dyDescent="0.3">
      <c r="B558" s="126"/>
      <c r="C558" s="583">
        <v>188</v>
      </c>
      <c r="D558" s="625" t="e">
        <f t="shared" si="27"/>
        <v>#VALUE!</v>
      </c>
      <c r="E558" s="591"/>
      <c r="F558" s="591"/>
      <c r="G558" s="591"/>
      <c r="H558" s="591"/>
      <c r="I558" s="591"/>
      <c r="J558" s="591"/>
      <c r="K558" s="542"/>
      <c r="O558" s="1134"/>
      <c r="Q558" s="1133"/>
    </row>
    <row r="559" spans="2:17" x14ac:dyDescent="0.3">
      <c r="B559" s="126"/>
      <c r="C559" s="583">
        <v>189</v>
      </c>
      <c r="D559" s="625" t="e">
        <f t="shared" si="27"/>
        <v>#VALUE!</v>
      </c>
      <c r="E559" s="591"/>
      <c r="F559" s="591"/>
      <c r="G559" s="591"/>
      <c r="H559" s="591"/>
      <c r="I559" s="591"/>
      <c r="J559" s="591"/>
      <c r="K559" s="542"/>
      <c r="O559" s="1134"/>
      <c r="Q559" s="1133"/>
    </row>
    <row r="560" spans="2:17" x14ac:dyDescent="0.3">
      <c r="B560" s="126"/>
      <c r="C560" s="583">
        <v>190</v>
      </c>
      <c r="D560" s="625" t="e">
        <f t="shared" si="27"/>
        <v>#VALUE!</v>
      </c>
      <c r="E560" s="591"/>
      <c r="F560" s="591"/>
      <c r="G560" s="591"/>
      <c r="H560" s="591"/>
      <c r="I560" s="591"/>
      <c r="J560" s="591"/>
      <c r="K560" s="542"/>
      <c r="O560" s="1134"/>
      <c r="Q560" s="1133"/>
    </row>
    <row r="561" spans="2:17" x14ac:dyDescent="0.3">
      <c r="B561" s="126"/>
      <c r="C561" s="583">
        <v>191</v>
      </c>
      <c r="D561" s="625" t="e">
        <f t="shared" si="27"/>
        <v>#VALUE!</v>
      </c>
      <c r="E561" s="591"/>
      <c r="F561" s="591"/>
      <c r="G561" s="591"/>
      <c r="H561" s="591"/>
      <c r="I561" s="591"/>
      <c r="J561" s="591"/>
      <c r="K561" s="542"/>
      <c r="O561" s="1134"/>
      <c r="Q561" s="1133"/>
    </row>
    <row r="562" spans="2:17" x14ac:dyDescent="0.3">
      <c r="B562" s="126"/>
      <c r="C562" s="583">
        <v>192</v>
      </c>
      <c r="D562" s="625" t="e">
        <f t="shared" ref="D562:D625" si="28">$C$349*C562</f>
        <v>#VALUE!</v>
      </c>
      <c r="E562" s="591"/>
      <c r="F562" s="591"/>
      <c r="G562" s="591"/>
      <c r="H562" s="591"/>
      <c r="I562" s="591"/>
      <c r="J562" s="591"/>
      <c r="K562" s="542"/>
      <c r="O562" s="1134"/>
      <c r="Q562" s="1133"/>
    </row>
    <row r="563" spans="2:17" x14ac:dyDescent="0.3">
      <c r="B563" s="126"/>
      <c r="C563" s="583">
        <v>193</v>
      </c>
      <c r="D563" s="625" t="e">
        <f t="shared" si="28"/>
        <v>#VALUE!</v>
      </c>
      <c r="E563" s="591"/>
      <c r="F563" s="591"/>
      <c r="G563" s="591"/>
      <c r="H563" s="591"/>
      <c r="I563" s="591"/>
      <c r="J563" s="591"/>
      <c r="K563" s="542"/>
      <c r="O563" s="1134"/>
      <c r="Q563" s="1133"/>
    </row>
    <row r="564" spans="2:17" x14ac:dyDescent="0.3">
      <c r="B564" s="126"/>
      <c r="C564" s="583">
        <v>194</v>
      </c>
      <c r="D564" s="625" t="e">
        <f t="shared" si="28"/>
        <v>#VALUE!</v>
      </c>
      <c r="E564" s="591"/>
      <c r="F564" s="591"/>
      <c r="G564" s="591"/>
      <c r="H564" s="591"/>
      <c r="I564" s="591"/>
      <c r="J564" s="591"/>
      <c r="K564" s="542"/>
      <c r="O564" s="1134"/>
      <c r="Q564" s="1133"/>
    </row>
    <row r="565" spans="2:17" x14ac:dyDescent="0.3">
      <c r="B565" s="126"/>
      <c r="C565" s="583">
        <v>195</v>
      </c>
      <c r="D565" s="625" t="e">
        <f t="shared" si="28"/>
        <v>#VALUE!</v>
      </c>
      <c r="E565" s="591"/>
      <c r="F565" s="591"/>
      <c r="G565" s="591"/>
      <c r="H565" s="591"/>
      <c r="I565" s="591"/>
      <c r="J565" s="591"/>
      <c r="K565" s="542"/>
      <c r="O565" s="1134"/>
      <c r="Q565" s="1133"/>
    </row>
    <row r="566" spans="2:17" x14ac:dyDescent="0.3">
      <c r="B566" s="126"/>
      <c r="C566" s="583">
        <v>196</v>
      </c>
      <c r="D566" s="625" t="e">
        <f t="shared" si="28"/>
        <v>#VALUE!</v>
      </c>
      <c r="E566" s="591"/>
      <c r="F566" s="591"/>
      <c r="G566" s="591"/>
      <c r="H566" s="591"/>
      <c r="I566" s="591"/>
      <c r="J566" s="591"/>
      <c r="K566" s="542"/>
      <c r="O566" s="1134"/>
      <c r="Q566" s="1133"/>
    </row>
    <row r="567" spans="2:17" x14ac:dyDescent="0.3">
      <c r="B567" s="126"/>
      <c r="C567" s="583">
        <v>197</v>
      </c>
      <c r="D567" s="625" t="e">
        <f t="shared" si="28"/>
        <v>#VALUE!</v>
      </c>
      <c r="E567" s="591"/>
      <c r="F567" s="591"/>
      <c r="G567" s="591"/>
      <c r="H567" s="591"/>
      <c r="I567" s="591"/>
      <c r="J567" s="591"/>
      <c r="K567" s="542"/>
      <c r="O567" s="1134"/>
      <c r="Q567" s="1133"/>
    </row>
    <row r="568" spans="2:17" x14ac:dyDescent="0.3">
      <c r="B568" s="126"/>
      <c r="C568" s="583">
        <v>198</v>
      </c>
      <c r="D568" s="625" t="e">
        <f t="shared" si="28"/>
        <v>#VALUE!</v>
      </c>
      <c r="E568" s="591"/>
      <c r="F568" s="591"/>
      <c r="G568" s="591"/>
      <c r="H568" s="591"/>
      <c r="I568" s="591"/>
      <c r="J568" s="591"/>
      <c r="K568" s="542"/>
      <c r="O568" s="1134"/>
      <c r="Q568" s="1133"/>
    </row>
    <row r="569" spans="2:17" x14ac:dyDescent="0.3">
      <c r="B569" s="126"/>
      <c r="C569" s="583">
        <v>199</v>
      </c>
      <c r="D569" s="625" t="e">
        <f t="shared" si="28"/>
        <v>#VALUE!</v>
      </c>
      <c r="E569" s="591"/>
      <c r="F569" s="591"/>
      <c r="G569" s="591"/>
      <c r="H569" s="591"/>
      <c r="I569" s="591"/>
      <c r="J569" s="591"/>
      <c r="K569" s="542"/>
      <c r="O569" s="1134"/>
      <c r="Q569" s="1133"/>
    </row>
    <row r="570" spans="2:17" x14ac:dyDescent="0.3">
      <c r="B570" s="126"/>
      <c r="C570" s="583">
        <v>200</v>
      </c>
      <c r="D570" s="625" t="e">
        <f t="shared" si="28"/>
        <v>#VALUE!</v>
      </c>
      <c r="E570" s="591"/>
      <c r="F570" s="591"/>
      <c r="G570" s="591"/>
      <c r="H570" s="591"/>
      <c r="I570" s="591"/>
      <c r="J570" s="591"/>
      <c r="K570" s="542"/>
      <c r="O570" s="1134"/>
      <c r="Q570" s="1133"/>
    </row>
    <row r="571" spans="2:17" x14ac:dyDescent="0.3">
      <c r="B571" s="126"/>
      <c r="C571" s="583">
        <v>201</v>
      </c>
      <c r="D571" s="625" t="e">
        <f t="shared" si="28"/>
        <v>#VALUE!</v>
      </c>
      <c r="E571" s="591"/>
      <c r="F571" s="591"/>
      <c r="G571" s="591"/>
      <c r="H571" s="591"/>
      <c r="I571" s="591"/>
      <c r="J571" s="591"/>
      <c r="K571" s="542"/>
      <c r="O571" s="1134"/>
      <c r="Q571" s="1133"/>
    </row>
    <row r="572" spans="2:17" x14ac:dyDescent="0.3">
      <c r="B572" s="126"/>
      <c r="C572" s="583">
        <v>202</v>
      </c>
      <c r="D572" s="625" t="e">
        <f t="shared" si="28"/>
        <v>#VALUE!</v>
      </c>
      <c r="E572" s="591"/>
      <c r="F572" s="591"/>
      <c r="G572" s="591"/>
      <c r="H572" s="591"/>
      <c r="I572" s="591"/>
      <c r="J572" s="591"/>
      <c r="K572" s="542"/>
      <c r="O572" s="1134"/>
      <c r="Q572" s="1133"/>
    </row>
    <row r="573" spans="2:17" x14ac:dyDescent="0.3">
      <c r="B573" s="126"/>
      <c r="C573" s="583">
        <v>203</v>
      </c>
      <c r="D573" s="625" t="e">
        <f t="shared" si="28"/>
        <v>#VALUE!</v>
      </c>
      <c r="E573" s="591"/>
      <c r="F573" s="591"/>
      <c r="G573" s="591"/>
      <c r="H573" s="591"/>
      <c r="I573" s="591"/>
      <c r="J573" s="591"/>
      <c r="K573" s="542"/>
      <c r="O573" s="1134"/>
      <c r="Q573" s="1133"/>
    </row>
    <row r="574" spans="2:17" x14ac:dyDescent="0.3">
      <c r="B574" s="126"/>
      <c r="C574" s="583">
        <v>204</v>
      </c>
      <c r="D574" s="625" t="e">
        <f t="shared" si="28"/>
        <v>#VALUE!</v>
      </c>
      <c r="E574" s="591"/>
      <c r="F574" s="591"/>
      <c r="G574" s="591"/>
      <c r="H574" s="591"/>
      <c r="I574" s="591"/>
      <c r="J574" s="591"/>
      <c r="K574" s="542"/>
      <c r="O574" s="1134"/>
      <c r="Q574" s="1133"/>
    </row>
    <row r="575" spans="2:17" x14ac:dyDescent="0.3">
      <c r="B575" s="126"/>
      <c r="C575" s="583">
        <v>205</v>
      </c>
      <c r="D575" s="625" t="e">
        <f t="shared" si="28"/>
        <v>#VALUE!</v>
      </c>
      <c r="E575" s="591"/>
      <c r="F575" s="591"/>
      <c r="G575" s="591"/>
      <c r="H575" s="591"/>
      <c r="I575" s="591"/>
      <c r="J575" s="591"/>
      <c r="K575" s="542"/>
      <c r="O575" s="1134"/>
      <c r="Q575" s="1133"/>
    </row>
    <row r="576" spans="2:17" x14ac:dyDescent="0.3">
      <c r="B576" s="126"/>
      <c r="C576" s="583">
        <v>206</v>
      </c>
      <c r="D576" s="625" t="e">
        <f t="shared" si="28"/>
        <v>#VALUE!</v>
      </c>
      <c r="E576" s="591"/>
      <c r="F576" s="591"/>
      <c r="G576" s="591"/>
      <c r="H576" s="591"/>
      <c r="I576" s="591"/>
      <c r="J576" s="591"/>
      <c r="K576" s="542"/>
      <c r="O576" s="1134"/>
      <c r="Q576" s="1133"/>
    </row>
    <row r="577" spans="2:17" x14ac:dyDescent="0.3">
      <c r="B577" s="126"/>
      <c r="C577" s="583">
        <v>207</v>
      </c>
      <c r="D577" s="625" t="e">
        <f t="shared" si="28"/>
        <v>#VALUE!</v>
      </c>
      <c r="E577" s="591"/>
      <c r="F577" s="591"/>
      <c r="G577" s="591"/>
      <c r="H577" s="591"/>
      <c r="I577" s="591"/>
      <c r="J577" s="591"/>
      <c r="K577" s="542"/>
      <c r="O577" s="1134"/>
      <c r="Q577" s="1133"/>
    </row>
    <row r="578" spans="2:17" x14ac:dyDescent="0.3">
      <c r="B578" s="126"/>
      <c r="C578" s="583">
        <v>208</v>
      </c>
      <c r="D578" s="625" t="e">
        <f t="shared" si="28"/>
        <v>#VALUE!</v>
      </c>
      <c r="E578" s="591"/>
      <c r="F578" s="591"/>
      <c r="G578" s="591"/>
      <c r="H578" s="591"/>
      <c r="I578" s="591"/>
      <c r="J578" s="591"/>
      <c r="K578" s="542"/>
      <c r="O578" s="1134"/>
      <c r="Q578" s="1133"/>
    </row>
    <row r="579" spans="2:17" x14ac:dyDescent="0.3">
      <c r="B579" s="126"/>
      <c r="C579" s="583">
        <v>209</v>
      </c>
      <c r="D579" s="625" t="e">
        <f t="shared" si="28"/>
        <v>#VALUE!</v>
      </c>
      <c r="E579" s="591"/>
      <c r="F579" s="591"/>
      <c r="G579" s="591"/>
      <c r="H579" s="591"/>
      <c r="I579" s="591"/>
      <c r="J579" s="591"/>
      <c r="K579" s="542"/>
      <c r="O579" s="1134"/>
      <c r="Q579" s="1133"/>
    </row>
    <row r="580" spans="2:17" x14ac:dyDescent="0.3">
      <c r="B580" s="126"/>
      <c r="C580" s="583">
        <v>210</v>
      </c>
      <c r="D580" s="625" t="e">
        <f t="shared" si="28"/>
        <v>#VALUE!</v>
      </c>
      <c r="E580" s="591"/>
      <c r="F580" s="591"/>
      <c r="G580" s="591"/>
      <c r="H580" s="591"/>
      <c r="I580" s="591"/>
      <c r="J580" s="591"/>
      <c r="K580" s="542"/>
      <c r="O580" s="1134"/>
      <c r="Q580" s="1133"/>
    </row>
    <row r="581" spans="2:17" x14ac:dyDescent="0.3">
      <c r="B581" s="126"/>
      <c r="C581" s="583">
        <v>211</v>
      </c>
      <c r="D581" s="625" t="e">
        <f t="shared" si="28"/>
        <v>#VALUE!</v>
      </c>
      <c r="E581" s="591"/>
      <c r="F581" s="591"/>
      <c r="G581" s="591"/>
      <c r="H581" s="591"/>
      <c r="I581" s="591"/>
      <c r="J581" s="591"/>
      <c r="K581" s="542"/>
      <c r="O581" s="1134"/>
      <c r="Q581" s="1133"/>
    </row>
    <row r="582" spans="2:17" x14ac:dyDescent="0.3">
      <c r="B582" s="126"/>
      <c r="C582" s="583">
        <v>212</v>
      </c>
      <c r="D582" s="625" t="e">
        <f t="shared" si="28"/>
        <v>#VALUE!</v>
      </c>
      <c r="E582" s="591"/>
      <c r="F582" s="591"/>
      <c r="G582" s="591"/>
      <c r="H582" s="591"/>
      <c r="I582" s="591"/>
      <c r="J582" s="591"/>
      <c r="K582" s="542"/>
      <c r="O582" s="1134"/>
      <c r="Q582" s="1133"/>
    </row>
    <row r="583" spans="2:17" x14ac:dyDescent="0.3">
      <c r="B583" s="126"/>
      <c r="C583" s="583">
        <v>213</v>
      </c>
      <c r="D583" s="625" t="e">
        <f t="shared" si="28"/>
        <v>#VALUE!</v>
      </c>
      <c r="E583" s="591"/>
      <c r="F583" s="591"/>
      <c r="G583" s="591"/>
      <c r="H583" s="591"/>
      <c r="I583" s="591"/>
      <c r="J583" s="591"/>
      <c r="K583" s="542"/>
      <c r="O583" s="1134"/>
      <c r="Q583" s="1133"/>
    </row>
    <row r="584" spans="2:17" x14ac:dyDescent="0.3">
      <c r="B584" s="126"/>
      <c r="C584" s="583">
        <v>214</v>
      </c>
      <c r="D584" s="625" t="e">
        <f t="shared" si="28"/>
        <v>#VALUE!</v>
      </c>
      <c r="E584" s="591"/>
      <c r="F584" s="591"/>
      <c r="G584" s="591"/>
      <c r="H584" s="591"/>
      <c r="I584" s="591"/>
      <c r="J584" s="591"/>
      <c r="K584" s="542"/>
      <c r="O584" s="1134"/>
      <c r="Q584" s="1133"/>
    </row>
    <row r="585" spans="2:17" x14ac:dyDescent="0.3">
      <c r="B585" s="126"/>
      <c r="C585" s="583">
        <v>215</v>
      </c>
      <c r="D585" s="625" t="e">
        <f t="shared" si="28"/>
        <v>#VALUE!</v>
      </c>
      <c r="E585" s="591"/>
      <c r="F585" s="591"/>
      <c r="G585" s="591"/>
      <c r="H585" s="591"/>
      <c r="I585" s="591"/>
      <c r="J585" s="591"/>
      <c r="K585" s="542"/>
      <c r="O585" s="1134"/>
      <c r="Q585" s="1133"/>
    </row>
    <row r="586" spans="2:17" x14ac:dyDescent="0.3">
      <c r="B586" s="126"/>
      <c r="C586" s="583">
        <v>216</v>
      </c>
      <c r="D586" s="625" t="e">
        <f t="shared" si="28"/>
        <v>#VALUE!</v>
      </c>
      <c r="E586" s="591"/>
      <c r="F586" s="591"/>
      <c r="G586" s="591"/>
      <c r="H586" s="591"/>
      <c r="I586" s="591"/>
      <c r="J586" s="591"/>
      <c r="K586" s="542"/>
      <c r="O586" s="1134"/>
      <c r="Q586" s="1133"/>
    </row>
    <row r="587" spans="2:17" x14ac:dyDescent="0.3">
      <c r="B587" s="126"/>
      <c r="C587" s="583">
        <v>217</v>
      </c>
      <c r="D587" s="625" t="e">
        <f t="shared" si="28"/>
        <v>#VALUE!</v>
      </c>
      <c r="E587" s="591"/>
      <c r="F587" s="591"/>
      <c r="G587" s="591"/>
      <c r="H587" s="591"/>
      <c r="I587" s="591"/>
      <c r="J587" s="591"/>
      <c r="K587" s="542"/>
      <c r="O587" s="1134"/>
      <c r="Q587" s="1133"/>
    </row>
    <row r="588" spans="2:17" x14ac:dyDescent="0.3">
      <c r="B588" s="126"/>
      <c r="C588" s="583">
        <v>218</v>
      </c>
      <c r="D588" s="625" t="e">
        <f t="shared" si="28"/>
        <v>#VALUE!</v>
      </c>
      <c r="E588" s="591"/>
      <c r="F588" s="591"/>
      <c r="G588" s="591"/>
      <c r="H588" s="591"/>
      <c r="I588" s="591"/>
      <c r="J588" s="591"/>
      <c r="K588" s="542"/>
      <c r="O588" s="1134"/>
      <c r="Q588" s="1133"/>
    </row>
    <row r="589" spans="2:17" x14ac:dyDescent="0.3">
      <c r="B589" s="126"/>
      <c r="C589" s="583">
        <v>219</v>
      </c>
      <c r="D589" s="625" t="e">
        <f t="shared" si="28"/>
        <v>#VALUE!</v>
      </c>
      <c r="E589" s="591"/>
      <c r="F589" s="591"/>
      <c r="G589" s="591"/>
      <c r="H589" s="591"/>
      <c r="I589" s="591"/>
      <c r="J589" s="591"/>
      <c r="K589" s="542"/>
      <c r="O589" s="1134"/>
      <c r="Q589" s="1133"/>
    </row>
    <row r="590" spans="2:17" x14ac:dyDescent="0.3">
      <c r="B590" s="126"/>
      <c r="C590" s="583">
        <v>220</v>
      </c>
      <c r="D590" s="625" t="e">
        <f t="shared" si="28"/>
        <v>#VALUE!</v>
      </c>
      <c r="E590" s="591"/>
      <c r="F590" s="591"/>
      <c r="G590" s="591"/>
      <c r="H590" s="591"/>
      <c r="I590" s="591"/>
      <c r="J590" s="591"/>
      <c r="K590" s="542"/>
      <c r="O590" s="1134"/>
      <c r="Q590" s="1133"/>
    </row>
    <row r="591" spans="2:17" x14ac:dyDescent="0.3">
      <c r="B591" s="126"/>
      <c r="C591" s="583">
        <v>221</v>
      </c>
      <c r="D591" s="625" t="e">
        <f t="shared" si="28"/>
        <v>#VALUE!</v>
      </c>
      <c r="E591" s="591"/>
      <c r="F591" s="591"/>
      <c r="G591" s="591"/>
      <c r="H591" s="591"/>
      <c r="I591" s="591"/>
      <c r="J591" s="591"/>
      <c r="K591" s="542"/>
      <c r="O591" s="1134"/>
      <c r="Q591" s="1133"/>
    </row>
    <row r="592" spans="2:17" x14ac:dyDescent="0.3">
      <c r="B592" s="126"/>
      <c r="C592" s="583">
        <v>222</v>
      </c>
      <c r="D592" s="625" t="e">
        <f t="shared" si="28"/>
        <v>#VALUE!</v>
      </c>
      <c r="E592" s="591"/>
      <c r="F592" s="591"/>
      <c r="G592" s="591"/>
      <c r="H592" s="591"/>
      <c r="I592" s="591"/>
      <c r="J592" s="591"/>
      <c r="K592" s="542"/>
      <c r="O592" s="1134"/>
      <c r="Q592" s="1133"/>
    </row>
    <row r="593" spans="2:17" x14ac:dyDescent="0.3">
      <c r="B593" s="126"/>
      <c r="C593" s="583">
        <v>223</v>
      </c>
      <c r="D593" s="625" t="e">
        <f t="shared" si="28"/>
        <v>#VALUE!</v>
      </c>
      <c r="E593" s="591"/>
      <c r="F593" s="591"/>
      <c r="G593" s="591"/>
      <c r="H593" s="591"/>
      <c r="I593" s="591"/>
      <c r="J593" s="591"/>
      <c r="K593" s="542"/>
      <c r="O593" s="1134"/>
      <c r="Q593" s="1133"/>
    </row>
    <row r="594" spans="2:17" x14ac:dyDescent="0.3">
      <c r="B594" s="126"/>
      <c r="C594" s="583">
        <v>224</v>
      </c>
      <c r="D594" s="625" t="e">
        <f t="shared" si="28"/>
        <v>#VALUE!</v>
      </c>
      <c r="E594" s="591"/>
      <c r="F594" s="591"/>
      <c r="G594" s="591"/>
      <c r="H594" s="591"/>
      <c r="I594" s="591"/>
      <c r="J594" s="591"/>
      <c r="K594" s="542"/>
      <c r="O594" s="1134"/>
      <c r="Q594" s="1133"/>
    </row>
    <row r="595" spans="2:17" x14ac:dyDescent="0.3">
      <c r="B595" s="126"/>
      <c r="C595" s="583">
        <v>225</v>
      </c>
      <c r="D595" s="625" t="e">
        <f t="shared" si="28"/>
        <v>#VALUE!</v>
      </c>
      <c r="E595" s="591"/>
      <c r="F595" s="591"/>
      <c r="G595" s="591"/>
      <c r="H595" s="591"/>
      <c r="I595" s="591"/>
      <c r="J595" s="591"/>
      <c r="K595" s="542"/>
      <c r="O595" s="1134"/>
      <c r="Q595" s="1133"/>
    </row>
    <row r="596" spans="2:17" x14ac:dyDescent="0.3">
      <c r="B596" s="126"/>
      <c r="C596" s="583">
        <v>226</v>
      </c>
      <c r="D596" s="625" t="e">
        <f t="shared" si="28"/>
        <v>#VALUE!</v>
      </c>
      <c r="E596" s="591"/>
      <c r="F596" s="591"/>
      <c r="G596" s="591"/>
      <c r="H596" s="591"/>
      <c r="I596" s="591"/>
      <c r="J596" s="591"/>
      <c r="K596" s="542"/>
      <c r="O596" s="1134"/>
      <c r="Q596" s="1133"/>
    </row>
    <row r="597" spans="2:17" x14ac:dyDescent="0.3">
      <c r="B597" s="126"/>
      <c r="C597" s="583">
        <v>227</v>
      </c>
      <c r="D597" s="625" t="e">
        <f t="shared" si="28"/>
        <v>#VALUE!</v>
      </c>
      <c r="E597" s="591"/>
      <c r="F597" s="591"/>
      <c r="G597" s="591"/>
      <c r="H597" s="591"/>
      <c r="I597" s="591"/>
      <c r="J597" s="591"/>
      <c r="K597" s="542"/>
      <c r="O597" s="1134"/>
      <c r="Q597" s="1133"/>
    </row>
    <row r="598" spans="2:17" x14ac:dyDescent="0.3">
      <c r="B598" s="126"/>
      <c r="C598" s="583">
        <v>228</v>
      </c>
      <c r="D598" s="625" t="e">
        <f t="shared" si="28"/>
        <v>#VALUE!</v>
      </c>
      <c r="E598" s="591"/>
      <c r="F598" s="591"/>
      <c r="G598" s="591"/>
      <c r="H598" s="591"/>
      <c r="I598" s="591"/>
      <c r="J598" s="591"/>
      <c r="K598" s="542"/>
      <c r="O598" s="1134"/>
      <c r="Q598" s="1133"/>
    </row>
    <row r="599" spans="2:17" x14ac:dyDescent="0.3">
      <c r="B599" s="126"/>
      <c r="C599" s="583">
        <v>229</v>
      </c>
      <c r="D599" s="625" t="e">
        <f t="shared" si="28"/>
        <v>#VALUE!</v>
      </c>
      <c r="E599" s="591"/>
      <c r="F599" s="591"/>
      <c r="G599" s="591"/>
      <c r="H599" s="591"/>
      <c r="I599" s="591"/>
      <c r="J599" s="591"/>
      <c r="K599" s="542"/>
      <c r="O599" s="1134"/>
      <c r="Q599" s="1133"/>
    </row>
    <row r="600" spans="2:17" x14ac:dyDescent="0.3">
      <c r="B600" s="126"/>
      <c r="C600" s="583">
        <v>230</v>
      </c>
      <c r="D600" s="625" t="e">
        <f t="shared" si="28"/>
        <v>#VALUE!</v>
      </c>
      <c r="E600" s="591"/>
      <c r="F600" s="591"/>
      <c r="G600" s="591"/>
      <c r="H600" s="591"/>
      <c r="I600" s="591"/>
      <c r="J600" s="591"/>
      <c r="K600" s="542"/>
      <c r="O600" s="1134"/>
      <c r="Q600" s="1133"/>
    </row>
    <row r="601" spans="2:17" x14ac:dyDescent="0.3">
      <c r="B601" s="126"/>
      <c r="C601" s="583">
        <v>231</v>
      </c>
      <c r="D601" s="625" t="e">
        <f t="shared" si="28"/>
        <v>#VALUE!</v>
      </c>
      <c r="E601" s="591"/>
      <c r="F601" s="591"/>
      <c r="G601" s="591"/>
      <c r="H601" s="591"/>
      <c r="I601" s="591"/>
      <c r="J601" s="591"/>
      <c r="K601" s="542"/>
      <c r="O601" s="1134"/>
      <c r="Q601" s="1133"/>
    </row>
    <row r="602" spans="2:17" x14ac:dyDescent="0.3">
      <c r="B602" s="126"/>
      <c r="C602" s="583">
        <v>232</v>
      </c>
      <c r="D602" s="625" t="e">
        <f t="shared" si="28"/>
        <v>#VALUE!</v>
      </c>
      <c r="E602" s="591"/>
      <c r="F602" s="591"/>
      <c r="G602" s="591"/>
      <c r="H602" s="591"/>
      <c r="I602" s="591"/>
      <c r="J602" s="591"/>
      <c r="K602" s="542"/>
      <c r="O602" s="1134"/>
      <c r="Q602" s="1133"/>
    </row>
    <row r="603" spans="2:17" x14ac:dyDescent="0.3">
      <c r="B603" s="126"/>
      <c r="C603" s="583">
        <v>233</v>
      </c>
      <c r="D603" s="625" t="e">
        <f t="shared" si="28"/>
        <v>#VALUE!</v>
      </c>
      <c r="E603" s="591"/>
      <c r="F603" s="591"/>
      <c r="G603" s="591"/>
      <c r="H603" s="591"/>
      <c r="I603" s="591"/>
      <c r="J603" s="591"/>
      <c r="K603" s="542"/>
      <c r="O603" s="1134"/>
      <c r="Q603" s="1133"/>
    </row>
    <row r="604" spans="2:17" x14ac:dyDescent="0.3">
      <c r="B604" s="126"/>
      <c r="C604" s="583">
        <v>234</v>
      </c>
      <c r="D604" s="625" t="e">
        <f t="shared" si="28"/>
        <v>#VALUE!</v>
      </c>
      <c r="E604" s="591"/>
      <c r="F604" s="591"/>
      <c r="G604" s="591"/>
      <c r="H604" s="591"/>
      <c r="I604" s="591"/>
      <c r="J604" s="591"/>
      <c r="K604" s="542"/>
      <c r="O604" s="1134"/>
      <c r="Q604" s="1133"/>
    </row>
    <row r="605" spans="2:17" x14ac:dyDescent="0.3">
      <c r="B605" s="126"/>
      <c r="C605" s="583">
        <v>235</v>
      </c>
      <c r="D605" s="625" t="e">
        <f t="shared" si="28"/>
        <v>#VALUE!</v>
      </c>
      <c r="E605" s="591"/>
      <c r="F605" s="591"/>
      <c r="G605" s="591"/>
      <c r="H605" s="591"/>
      <c r="I605" s="591"/>
      <c r="J605" s="591"/>
      <c r="K605" s="542"/>
      <c r="O605" s="1134"/>
      <c r="Q605" s="1133"/>
    </row>
    <row r="606" spans="2:17" x14ac:dyDescent="0.3">
      <c r="B606" s="126"/>
      <c r="C606" s="583">
        <v>236</v>
      </c>
      <c r="D606" s="625" t="e">
        <f t="shared" si="28"/>
        <v>#VALUE!</v>
      </c>
      <c r="E606" s="591"/>
      <c r="F606" s="591"/>
      <c r="G606" s="591"/>
      <c r="H606" s="591"/>
      <c r="I606" s="591"/>
      <c r="J606" s="591"/>
      <c r="K606" s="542"/>
      <c r="O606" s="1134"/>
      <c r="Q606" s="1133"/>
    </row>
    <row r="607" spans="2:17" x14ac:dyDescent="0.3">
      <c r="B607" s="126"/>
      <c r="C607" s="583">
        <v>237</v>
      </c>
      <c r="D607" s="625" t="e">
        <f t="shared" si="28"/>
        <v>#VALUE!</v>
      </c>
      <c r="E607" s="591"/>
      <c r="F607" s="591"/>
      <c r="G607" s="591"/>
      <c r="H607" s="591"/>
      <c r="I607" s="591"/>
      <c r="J607" s="591"/>
      <c r="K607" s="542"/>
      <c r="O607" s="1134"/>
      <c r="Q607" s="1133"/>
    </row>
    <row r="608" spans="2:17" x14ac:dyDescent="0.3">
      <c r="B608" s="126"/>
      <c r="C608" s="583">
        <v>238</v>
      </c>
      <c r="D608" s="625" t="e">
        <f t="shared" si="28"/>
        <v>#VALUE!</v>
      </c>
      <c r="E608" s="591"/>
      <c r="F608" s="591"/>
      <c r="G608" s="591"/>
      <c r="H608" s="591"/>
      <c r="I608" s="591"/>
      <c r="J608" s="591"/>
      <c r="K608" s="542"/>
      <c r="O608" s="1134"/>
      <c r="Q608" s="1133"/>
    </row>
    <row r="609" spans="2:17" x14ac:dyDescent="0.3">
      <c r="B609" s="126"/>
      <c r="C609" s="583">
        <v>239</v>
      </c>
      <c r="D609" s="625" t="e">
        <f t="shared" si="28"/>
        <v>#VALUE!</v>
      </c>
      <c r="E609" s="591"/>
      <c r="F609" s="591"/>
      <c r="G609" s="591"/>
      <c r="H609" s="591"/>
      <c r="I609" s="591"/>
      <c r="J609" s="591"/>
      <c r="K609" s="542"/>
      <c r="O609" s="1134"/>
      <c r="Q609" s="1133"/>
    </row>
    <row r="610" spans="2:17" x14ac:dyDescent="0.3">
      <c r="B610" s="126"/>
      <c r="C610" s="583">
        <v>240</v>
      </c>
      <c r="D610" s="625" t="e">
        <f t="shared" si="28"/>
        <v>#VALUE!</v>
      </c>
      <c r="E610" s="591"/>
      <c r="F610" s="591"/>
      <c r="G610" s="591"/>
      <c r="H610" s="591"/>
      <c r="I610" s="591"/>
      <c r="J610" s="591"/>
      <c r="K610" s="542"/>
      <c r="O610" s="1134"/>
      <c r="Q610" s="1133"/>
    </row>
    <row r="611" spans="2:17" x14ac:dyDescent="0.3">
      <c r="B611" s="126"/>
      <c r="C611" s="583">
        <v>241</v>
      </c>
      <c r="D611" s="625" t="e">
        <f t="shared" si="28"/>
        <v>#VALUE!</v>
      </c>
      <c r="E611" s="591"/>
      <c r="F611" s="591"/>
      <c r="G611" s="591"/>
      <c r="H611" s="591"/>
      <c r="I611" s="591"/>
      <c r="J611" s="591"/>
      <c r="K611" s="542"/>
      <c r="O611" s="1134"/>
      <c r="Q611" s="1133"/>
    </row>
    <row r="612" spans="2:17" x14ac:dyDescent="0.3">
      <c r="B612" s="126"/>
      <c r="C612" s="583">
        <v>242</v>
      </c>
      <c r="D612" s="625" t="e">
        <f t="shared" si="28"/>
        <v>#VALUE!</v>
      </c>
      <c r="E612" s="591"/>
      <c r="F612" s="591"/>
      <c r="G612" s="591"/>
      <c r="H612" s="591"/>
      <c r="I612" s="591"/>
      <c r="J612" s="591"/>
      <c r="K612" s="542"/>
      <c r="O612" s="1134"/>
      <c r="Q612" s="1133"/>
    </row>
    <row r="613" spans="2:17" x14ac:dyDescent="0.3">
      <c r="B613" s="126"/>
      <c r="C613" s="583">
        <v>243</v>
      </c>
      <c r="D613" s="625" t="e">
        <f t="shared" si="28"/>
        <v>#VALUE!</v>
      </c>
      <c r="E613" s="591"/>
      <c r="F613" s="591"/>
      <c r="G613" s="591"/>
      <c r="H613" s="591"/>
      <c r="I613" s="591"/>
      <c r="J613" s="591"/>
      <c r="K613" s="542"/>
      <c r="O613" s="1134"/>
      <c r="Q613" s="1133"/>
    </row>
    <row r="614" spans="2:17" x14ac:dyDescent="0.3">
      <c r="B614" s="126"/>
      <c r="C614" s="583">
        <v>244</v>
      </c>
      <c r="D614" s="625" t="e">
        <f t="shared" si="28"/>
        <v>#VALUE!</v>
      </c>
      <c r="E614" s="591"/>
      <c r="F614" s="591"/>
      <c r="G614" s="591"/>
      <c r="H614" s="591"/>
      <c r="I614" s="591"/>
      <c r="J614" s="591"/>
      <c r="K614" s="542"/>
      <c r="O614" s="1134"/>
      <c r="Q614" s="1133"/>
    </row>
    <row r="615" spans="2:17" x14ac:dyDescent="0.3">
      <c r="B615" s="126"/>
      <c r="C615" s="583">
        <v>245</v>
      </c>
      <c r="D615" s="625" t="e">
        <f t="shared" si="28"/>
        <v>#VALUE!</v>
      </c>
      <c r="E615" s="591"/>
      <c r="F615" s="591"/>
      <c r="G615" s="591"/>
      <c r="H615" s="591"/>
      <c r="I615" s="591"/>
      <c r="J615" s="591"/>
      <c r="K615" s="542"/>
      <c r="O615" s="1134"/>
      <c r="Q615" s="1133"/>
    </row>
    <row r="616" spans="2:17" x14ac:dyDescent="0.3">
      <c r="B616" s="126"/>
      <c r="C616" s="583">
        <v>246</v>
      </c>
      <c r="D616" s="625" t="e">
        <f t="shared" si="28"/>
        <v>#VALUE!</v>
      </c>
      <c r="E616" s="591"/>
      <c r="F616" s="591"/>
      <c r="G616" s="591"/>
      <c r="H616" s="591"/>
      <c r="I616" s="591"/>
      <c r="J616" s="591"/>
      <c r="K616" s="542"/>
      <c r="O616" s="1134"/>
      <c r="Q616" s="1133"/>
    </row>
    <row r="617" spans="2:17" x14ac:dyDescent="0.3">
      <c r="B617" s="126"/>
      <c r="C617" s="583">
        <v>247</v>
      </c>
      <c r="D617" s="625" t="e">
        <f t="shared" si="28"/>
        <v>#VALUE!</v>
      </c>
      <c r="E617" s="591"/>
      <c r="F617" s="591"/>
      <c r="G617" s="591"/>
      <c r="H617" s="591"/>
      <c r="I617" s="591"/>
      <c r="J617" s="591"/>
      <c r="K617" s="542"/>
      <c r="O617" s="1134"/>
      <c r="Q617" s="1133"/>
    </row>
    <row r="618" spans="2:17" x14ac:dyDescent="0.3">
      <c r="B618" s="126"/>
      <c r="C618" s="583">
        <v>248</v>
      </c>
      <c r="D618" s="625" t="e">
        <f t="shared" si="28"/>
        <v>#VALUE!</v>
      </c>
      <c r="E618" s="591"/>
      <c r="F618" s="591"/>
      <c r="G618" s="591"/>
      <c r="H618" s="591"/>
      <c r="I618" s="591"/>
      <c r="J618" s="591"/>
      <c r="K618" s="542"/>
      <c r="O618" s="1134"/>
      <c r="Q618" s="1133"/>
    </row>
    <row r="619" spans="2:17" x14ac:dyDescent="0.3">
      <c r="B619" s="126"/>
      <c r="C619" s="583">
        <v>249</v>
      </c>
      <c r="D619" s="625" t="e">
        <f t="shared" si="28"/>
        <v>#VALUE!</v>
      </c>
      <c r="E619" s="591"/>
      <c r="F619" s="591"/>
      <c r="G619" s="591"/>
      <c r="H619" s="591"/>
      <c r="I619" s="591"/>
      <c r="J619" s="591"/>
      <c r="K619" s="542"/>
      <c r="O619" s="1134"/>
      <c r="Q619" s="1133"/>
    </row>
    <row r="620" spans="2:17" x14ac:dyDescent="0.3">
      <c r="B620" s="126"/>
      <c r="C620" s="583">
        <v>250</v>
      </c>
      <c r="D620" s="625" t="e">
        <f t="shared" si="28"/>
        <v>#VALUE!</v>
      </c>
      <c r="E620" s="591"/>
      <c r="F620" s="591"/>
      <c r="G620" s="591"/>
      <c r="H620" s="591"/>
      <c r="I620" s="591"/>
      <c r="J620" s="591"/>
      <c r="K620" s="542"/>
      <c r="O620" s="1134"/>
      <c r="Q620" s="1133"/>
    </row>
    <row r="621" spans="2:17" x14ac:dyDescent="0.3">
      <c r="B621" s="126"/>
      <c r="C621" s="583">
        <v>251</v>
      </c>
      <c r="D621" s="625" t="e">
        <f t="shared" si="28"/>
        <v>#VALUE!</v>
      </c>
      <c r="E621" s="591"/>
      <c r="F621" s="591"/>
      <c r="G621" s="591"/>
      <c r="H621" s="591"/>
      <c r="I621" s="591"/>
      <c r="J621" s="591"/>
      <c r="K621" s="542"/>
      <c r="O621" s="1134"/>
      <c r="Q621" s="1133"/>
    </row>
    <row r="622" spans="2:17" x14ac:dyDescent="0.3">
      <c r="B622" s="126"/>
      <c r="C622" s="583">
        <v>252</v>
      </c>
      <c r="D622" s="625" t="e">
        <f t="shared" si="28"/>
        <v>#VALUE!</v>
      </c>
      <c r="E622" s="591"/>
      <c r="F622" s="591"/>
      <c r="G622" s="591"/>
      <c r="H622" s="591"/>
      <c r="I622" s="591"/>
      <c r="J622" s="591"/>
      <c r="K622" s="542"/>
      <c r="O622" s="1134"/>
      <c r="Q622" s="1133"/>
    </row>
    <row r="623" spans="2:17" x14ac:dyDescent="0.3">
      <c r="B623" s="126"/>
      <c r="C623" s="583">
        <v>253</v>
      </c>
      <c r="D623" s="625" t="e">
        <f t="shared" si="28"/>
        <v>#VALUE!</v>
      </c>
      <c r="E623" s="591"/>
      <c r="F623" s="591"/>
      <c r="G623" s="591"/>
      <c r="H623" s="591"/>
      <c r="I623" s="591"/>
      <c r="J623" s="591"/>
      <c r="K623" s="542"/>
      <c r="O623" s="1134"/>
      <c r="Q623" s="1133"/>
    </row>
    <row r="624" spans="2:17" x14ac:dyDescent="0.3">
      <c r="B624" s="126"/>
      <c r="C624" s="583">
        <v>254</v>
      </c>
      <c r="D624" s="625" t="e">
        <f t="shared" si="28"/>
        <v>#VALUE!</v>
      </c>
      <c r="E624" s="591"/>
      <c r="F624" s="591"/>
      <c r="G624" s="591"/>
      <c r="H624" s="591"/>
      <c r="I624" s="591"/>
      <c r="J624" s="591"/>
      <c r="K624" s="542"/>
      <c r="O624" s="1134"/>
      <c r="Q624" s="1133"/>
    </row>
    <row r="625" spans="2:17" x14ac:dyDescent="0.3">
      <c r="B625" s="126"/>
      <c r="C625" s="583">
        <v>255</v>
      </c>
      <c r="D625" s="625" t="e">
        <f t="shared" si="28"/>
        <v>#VALUE!</v>
      </c>
      <c r="E625" s="591"/>
      <c r="F625" s="591"/>
      <c r="G625" s="591"/>
      <c r="H625" s="591"/>
      <c r="I625" s="591"/>
      <c r="J625" s="591"/>
      <c r="K625" s="542"/>
      <c r="O625" s="1134"/>
      <c r="Q625" s="1133"/>
    </row>
    <row r="626" spans="2:17" x14ac:dyDescent="0.3">
      <c r="B626" s="126"/>
      <c r="C626" s="583">
        <v>256</v>
      </c>
      <c r="D626" s="625" t="e">
        <f t="shared" ref="D626:D689" si="29">$C$349*C626</f>
        <v>#VALUE!</v>
      </c>
      <c r="E626" s="591"/>
      <c r="F626" s="591"/>
      <c r="G626" s="591"/>
      <c r="H626" s="591"/>
      <c r="I626" s="591"/>
      <c r="J626" s="591"/>
      <c r="K626" s="542"/>
      <c r="O626" s="1134"/>
      <c r="Q626" s="1133"/>
    </row>
    <row r="627" spans="2:17" x14ac:dyDescent="0.3">
      <c r="B627" s="126"/>
      <c r="C627" s="583">
        <v>257</v>
      </c>
      <c r="D627" s="625" t="e">
        <f t="shared" si="29"/>
        <v>#VALUE!</v>
      </c>
      <c r="E627" s="591"/>
      <c r="F627" s="591"/>
      <c r="G627" s="591"/>
      <c r="H627" s="591"/>
      <c r="I627" s="591"/>
      <c r="J627" s="591"/>
      <c r="K627" s="542"/>
      <c r="O627" s="1134"/>
      <c r="Q627" s="1133"/>
    </row>
    <row r="628" spans="2:17" x14ac:dyDescent="0.3">
      <c r="B628" s="126"/>
      <c r="C628" s="583">
        <v>258</v>
      </c>
      <c r="D628" s="625" t="e">
        <f t="shared" si="29"/>
        <v>#VALUE!</v>
      </c>
      <c r="E628" s="591"/>
      <c r="F628" s="591"/>
      <c r="G628" s="591"/>
      <c r="H628" s="591"/>
      <c r="I628" s="591"/>
      <c r="J628" s="591"/>
      <c r="K628" s="542"/>
      <c r="O628" s="1134"/>
      <c r="Q628" s="1133"/>
    </row>
    <row r="629" spans="2:17" x14ac:dyDescent="0.3">
      <c r="B629" s="126"/>
      <c r="C629" s="583">
        <v>259</v>
      </c>
      <c r="D629" s="625" t="e">
        <f t="shared" si="29"/>
        <v>#VALUE!</v>
      </c>
      <c r="E629" s="591"/>
      <c r="F629" s="591"/>
      <c r="G629" s="591"/>
      <c r="H629" s="591"/>
      <c r="I629" s="591"/>
      <c r="J629" s="591"/>
      <c r="K629" s="542"/>
      <c r="O629" s="1134"/>
      <c r="Q629" s="1133"/>
    </row>
    <row r="630" spans="2:17" x14ac:dyDescent="0.3">
      <c r="B630" s="126"/>
      <c r="C630" s="583">
        <v>260</v>
      </c>
      <c r="D630" s="625" t="e">
        <f t="shared" si="29"/>
        <v>#VALUE!</v>
      </c>
      <c r="E630" s="591"/>
      <c r="F630" s="591"/>
      <c r="G630" s="591"/>
      <c r="H630" s="591"/>
      <c r="I630" s="591"/>
      <c r="J630" s="591"/>
      <c r="K630" s="542"/>
      <c r="O630" s="1134"/>
      <c r="Q630" s="1133"/>
    </row>
    <row r="631" spans="2:17" x14ac:dyDescent="0.3">
      <c r="B631" s="126"/>
      <c r="C631" s="583">
        <v>261</v>
      </c>
      <c r="D631" s="625" t="e">
        <f t="shared" si="29"/>
        <v>#VALUE!</v>
      </c>
      <c r="E631" s="591"/>
      <c r="F631" s="591"/>
      <c r="G631" s="591"/>
      <c r="H631" s="591"/>
      <c r="I631" s="591"/>
      <c r="J631" s="591"/>
      <c r="K631" s="542"/>
      <c r="O631" s="1134"/>
      <c r="Q631" s="1133"/>
    </row>
    <row r="632" spans="2:17" x14ac:dyDescent="0.3">
      <c r="B632" s="126"/>
      <c r="C632" s="583">
        <v>262</v>
      </c>
      <c r="D632" s="625" t="e">
        <f t="shared" si="29"/>
        <v>#VALUE!</v>
      </c>
      <c r="E632" s="591"/>
      <c r="F632" s="591"/>
      <c r="G632" s="591"/>
      <c r="H632" s="591"/>
      <c r="I632" s="591"/>
      <c r="J632" s="591"/>
      <c r="K632" s="542"/>
      <c r="O632" s="1134"/>
      <c r="Q632" s="1133"/>
    </row>
    <row r="633" spans="2:17" x14ac:dyDescent="0.3">
      <c r="B633" s="126"/>
      <c r="C633" s="583">
        <v>263</v>
      </c>
      <c r="D633" s="625" t="e">
        <f t="shared" si="29"/>
        <v>#VALUE!</v>
      </c>
      <c r="E633" s="591"/>
      <c r="F633" s="591"/>
      <c r="G633" s="591"/>
      <c r="H633" s="591"/>
      <c r="I633" s="591"/>
      <c r="J633" s="591"/>
      <c r="K633" s="542"/>
      <c r="O633" s="1134"/>
      <c r="Q633" s="1133"/>
    </row>
    <row r="634" spans="2:17" x14ac:dyDescent="0.3">
      <c r="B634" s="126"/>
      <c r="C634" s="583">
        <v>264</v>
      </c>
      <c r="D634" s="625" t="e">
        <f t="shared" si="29"/>
        <v>#VALUE!</v>
      </c>
      <c r="E634" s="591"/>
      <c r="F634" s="591"/>
      <c r="G634" s="591"/>
      <c r="H634" s="591"/>
      <c r="I634" s="591"/>
      <c r="J634" s="591"/>
      <c r="K634" s="542"/>
      <c r="O634" s="1134"/>
      <c r="Q634" s="1133"/>
    </row>
    <row r="635" spans="2:17" x14ac:dyDescent="0.3">
      <c r="B635" s="126"/>
      <c r="C635" s="583">
        <v>265</v>
      </c>
      <c r="D635" s="625" t="e">
        <f t="shared" si="29"/>
        <v>#VALUE!</v>
      </c>
      <c r="E635" s="591"/>
      <c r="F635" s="591"/>
      <c r="G635" s="591"/>
      <c r="H635" s="591"/>
      <c r="I635" s="591"/>
      <c r="J635" s="591"/>
      <c r="K635" s="542"/>
      <c r="O635" s="1134"/>
      <c r="Q635" s="1133"/>
    </row>
    <row r="636" spans="2:17" x14ac:dyDescent="0.3">
      <c r="B636" s="126"/>
      <c r="C636" s="583">
        <v>266</v>
      </c>
      <c r="D636" s="625" t="e">
        <f t="shared" si="29"/>
        <v>#VALUE!</v>
      </c>
      <c r="E636" s="591"/>
      <c r="F636" s="591"/>
      <c r="G636" s="591"/>
      <c r="H636" s="591"/>
      <c r="I636" s="591"/>
      <c r="J636" s="591"/>
      <c r="K636" s="542"/>
      <c r="O636" s="1134"/>
      <c r="Q636" s="1133"/>
    </row>
    <row r="637" spans="2:17" x14ac:dyDescent="0.3">
      <c r="B637" s="126"/>
      <c r="C637" s="583">
        <v>267</v>
      </c>
      <c r="D637" s="625" t="e">
        <f t="shared" si="29"/>
        <v>#VALUE!</v>
      </c>
      <c r="E637" s="591"/>
      <c r="F637" s="591"/>
      <c r="G637" s="591"/>
      <c r="H637" s="591"/>
      <c r="I637" s="591"/>
      <c r="J637" s="591"/>
      <c r="K637" s="542"/>
      <c r="O637" s="1134"/>
      <c r="Q637" s="1133"/>
    </row>
    <row r="638" spans="2:17" x14ac:dyDescent="0.3">
      <c r="B638" s="126"/>
      <c r="C638" s="583">
        <v>268</v>
      </c>
      <c r="D638" s="625" t="e">
        <f t="shared" si="29"/>
        <v>#VALUE!</v>
      </c>
      <c r="E638" s="591"/>
      <c r="F638" s="591"/>
      <c r="G638" s="591"/>
      <c r="H638" s="591"/>
      <c r="I638" s="591"/>
      <c r="J638" s="591"/>
      <c r="K638" s="542"/>
      <c r="O638" s="1134"/>
      <c r="Q638" s="1133"/>
    </row>
    <row r="639" spans="2:17" x14ac:dyDescent="0.3">
      <c r="B639" s="126"/>
      <c r="C639" s="583">
        <v>269</v>
      </c>
      <c r="D639" s="625" t="e">
        <f t="shared" si="29"/>
        <v>#VALUE!</v>
      </c>
      <c r="E639" s="591"/>
      <c r="F639" s="591"/>
      <c r="G639" s="591"/>
      <c r="H639" s="591"/>
      <c r="I639" s="591"/>
      <c r="J639" s="591"/>
      <c r="K639" s="542"/>
      <c r="O639" s="1134"/>
      <c r="Q639" s="1133"/>
    </row>
    <row r="640" spans="2:17" x14ac:dyDescent="0.3">
      <c r="B640" s="126"/>
      <c r="C640" s="583">
        <v>270</v>
      </c>
      <c r="D640" s="625" t="e">
        <f t="shared" si="29"/>
        <v>#VALUE!</v>
      </c>
      <c r="E640" s="591"/>
      <c r="F640" s="591"/>
      <c r="G640" s="591"/>
      <c r="H640" s="591"/>
      <c r="I640" s="591"/>
      <c r="J640" s="591"/>
      <c r="K640" s="542"/>
      <c r="O640" s="1134"/>
      <c r="Q640" s="1133"/>
    </row>
    <row r="641" spans="2:17" x14ac:dyDescent="0.3">
      <c r="B641" s="126"/>
      <c r="C641" s="583">
        <v>271</v>
      </c>
      <c r="D641" s="625" t="e">
        <f t="shared" si="29"/>
        <v>#VALUE!</v>
      </c>
      <c r="E641" s="591"/>
      <c r="F641" s="591"/>
      <c r="G641" s="591"/>
      <c r="H641" s="591"/>
      <c r="I641" s="591"/>
      <c r="J641" s="591"/>
      <c r="K641" s="542"/>
      <c r="O641" s="1134"/>
      <c r="Q641" s="1133"/>
    </row>
    <row r="642" spans="2:17" x14ac:dyDescent="0.3">
      <c r="B642" s="126"/>
      <c r="C642" s="583">
        <v>272</v>
      </c>
      <c r="D642" s="625" t="e">
        <f t="shared" si="29"/>
        <v>#VALUE!</v>
      </c>
      <c r="E642" s="591"/>
      <c r="F642" s="591"/>
      <c r="G642" s="591"/>
      <c r="H642" s="591"/>
      <c r="I642" s="591"/>
      <c r="J642" s="591"/>
      <c r="K642" s="542"/>
      <c r="O642" s="1134"/>
      <c r="Q642" s="1133"/>
    </row>
    <row r="643" spans="2:17" x14ac:dyDescent="0.3">
      <c r="B643" s="126"/>
      <c r="C643" s="583">
        <v>273</v>
      </c>
      <c r="D643" s="625" t="e">
        <f t="shared" si="29"/>
        <v>#VALUE!</v>
      </c>
      <c r="E643" s="591"/>
      <c r="F643" s="591"/>
      <c r="G643" s="591"/>
      <c r="H643" s="591"/>
      <c r="I643" s="591"/>
      <c r="J643" s="591"/>
      <c r="K643" s="542"/>
      <c r="O643" s="1134"/>
      <c r="Q643" s="1133"/>
    </row>
    <row r="644" spans="2:17" x14ac:dyDescent="0.3">
      <c r="B644" s="126"/>
      <c r="C644" s="583">
        <v>274</v>
      </c>
      <c r="D644" s="625" t="e">
        <f t="shared" si="29"/>
        <v>#VALUE!</v>
      </c>
      <c r="E644" s="591"/>
      <c r="F644" s="591"/>
      <c r="G644" s="591"/>
      <c r="H644" s="591"/>
      <c r="I644" s="591"/>
      <c r="J644" s="591"/>
      <c r="K644" s="542"/>
      <c r="O644" s="1134"/>
      <c r="Q644" s="1133"/>
    </row>
    <row r="645" spans="2:17" x14ac:dyDescent="0.3">
      <c r="B645" s="126"/>
      <c r="C645" s="583">
        <v>275</v>
      </c>
      <c r="D645" s="625" t="e">
        <f t="shared" si="29"/>
        <v>#VALUE!</v>
      </c>
      <c r="E645" s="591"/>
      <c r="F645" s="591"/>
      <c r="G645" s="591"/>
      <c r="H645" s="591"/>
      <c r="I645" s="591"/>
      <c r="J645" s="591"/>
      <c r="K645" s="542"/>
      <c r="O645" s="1134"/>
      <c r="Q645" s="1133"/>
    </row>
    <row r="646" spans="2:17" x14ac:dyDescent="0.3">
      <c r="B646" s="126"/>
      <c r="C646" s="583">
        <v>276</v>
      </c>
      <c r="D646" s="625" t="e">
        <f t="shared" si="29"/>
        <v>#VALUE!</v>
      </c>
      <c r="E646" s="591"/>
      <c r="F646" s="591"/>
      <c r="G646" s="591"/>
      <c r="H646" s="591"/>
      <c r="I646" s="591"/>
      <c r="J646" s="591"/>
      <c r="K646" s="542"/>
      <c r="O646" s="1134"/>
      <c r="Q646" s="1133"/>
    </row>
    <row r="647" spans="2:17" x14ac:dyDescent="0.3">
      <c r="B647" s="126"/>
      <c r="C647" s="583">
        <v>277</v>
      </c>
      <c r="D647" s="625" t="e">
        <f t="shared" si="29"/>
        <v>#VALUE!</v>
      </c>
      <c r="E647" s="591"/>
      <c r="F647" s="591"/>
      <c r="G647" s="591"/>
      <c r="H647" s="591"/>
      <c r="I647" s="591"/>
      <c r="J647" s="591"/>
      <c r="K647" s="542"/>
      <c r="O647" s="1134"/>
      <c r="Q647" s="1133"/>
    </row>
    <row r="648" spans="2:17" x14ac:dyDescent="0.3">
      <c r="B648" s="126"/>
      <c r="C648" s="583">
        <v>278</v>
      </c>
      <c r="D648" s="625" t="e">
        <f t="shared" si="29"/>
        <v>#VALUE!</v>
      </c>
      <c r="E648" s="591"/>
      <c r="F648" s="591"/>
      <c r="G648" s="591"/>
      <c r="H648" s="591"/>
      <c r="I648" s="591"/>
      <c r="J648" s="591"/>
      <c r="K648" s="542"/>
      <c r="O648" s="1134"/>
      <c r="Q648" s="1133"/>
    </row>
    <row r="649" spans="2:17" x14ac:dyDescent="0.3">
      <c r="B649" s="126"/>
      <c r="C649" s="583">
        <v>279</v>
      </c>
      <c r="D649" s="625" t="e">
        <f t="shared" si="29"/>
        <v>#VALUE!</v>
      </c>
      <c r="E649" s="591"/>
      <c r="F649" s="591"/>
      <c r="G649" s="591"/>
      <c r="H649" s="591"/>
      <c r="I649" s="591"/>
      <c r="J649" s="591"/>
      <c r="K649" s="542"/>
      <c r="O649" s="1134"/>
      <c r="Q649" s="1133"/>
    </row>
    <row r="650" spans="2:17" x14ac:dyDescent="0.3">
      <c r="B650" s="126"/>
      <c r="C650" s="583">
        <v>280</v>
      </c>
      <c r="D650" s="625" t="e">
        <f t="shared" si="29"/>
        <v>#VALUE!</v>
      </c>
      <c r="E650" s="591"/>
      <c r="F650" s="591"/>
      <c r="G650" s="591"/>
      <c r="H650" s="591"/>
      <c r="I650" s="591"/>
      <c r="J650" s="591"/>
      <c r="K650" s="542"/>
      <c r="O650" s="1134"/>
      <c r="Q650" s="1133"/>
    </row>
    <row r="651" spans="2:17" x14ac:dyDescent="0.3">
      <c r="B651" s="126"/>
      <c r="C651" s="583">
        <v>281</v>
      </c>
      <c r="D651" s="625" t="e">
        <f t="shared" si="29"/>
        <v>#VALUE!</v>
      </c>
      <c r="E651" s="591"/>
      <c r="F651" s="591"/>
      <c r="G651" s="591"/>
      <c r="H651" s="591"/>
      <c r="I651" s="591"/>
      <c r="J651" s="591"/>
      <c r="K651" s="542"/>
      <c r="O651" s="1134"/>
      <c r="Q651" s="1133"/>
    </row>
    <row r="652" spans="2:17" x14ac:dyDescent="0.3">
      <c r="B652" s="126"/>
      <c r="C652" s="583">
        <v>282</v>
      </c>
      <c r="D652" s="625" t="e">
        <f t="shared" si="29"/>
        <v>#VALUE!</v>
      </c>
      <c r="E652" s="591"/>
      <c r="F652" s="591"/>
      <c r="G652" s="591"/>
      <c r="H652" s="591"/>
      <c r="I652" s="591"/>
      <c r="J652" s="591"/>
      <c r="K652" s="542"/>
      <c r="O652" s="1134"/>
      <c r="Q652" s="1133"/>
    </row>
    <row r="653" spans="2:17" x14ac:dyDescent="0.3">
      <c r="B653" s="126"/>
      <c r="C653" s="583">
        <v>283</v>
      </c>
      <c r="D653" s="625" t="e">
        <f t="shared" si="29"/>
        <v>#VALUE!</v>
      </c>
      <c r="E653" s="591"/>
      <c r="F653" s="591"/>
      <c r="G653" s="591"/>
      <c r="H653" s="591"/>
      <c r="I653" s="591"/>
      <c r="J653" s="591"/>
      <c r="K653" s="542"/>
      <c r="O653" s="1134"/>
      <c r="Q653" s="1133"/>
    </row>
    <row r="654" spans="2:17" x14ac:dyDescent="0.3">
      <c r="B654" s="126"/>
      <c r="C654" s="583">
        <v>284</v>
      </c>
      <c r="D654" s="625" t="e">
        <f t="shared" si="29"/>
        <v>#VALUE!</v>
      </c>
      <c r="E654" s="591"/>
      <c r="F654" s="591"/>
      <c r="G654" s="591"/>
      <c r="H654" s="591"/>
      <c r="I654" s="591"/>
      <c r="J654" s="591"/>
      <c r="K654" s="542"/>
      <c r="O654" s="1134"/>
      <c r="Q654" s="1133"/>
    </row>
    <row r="655" spans="2:17" x14ac:dyDescent="0.3">
      <c r="B655" s="126"/>
      <c r="C655" s="583">
        <v>285</v>
      </c>
      <c r="D655" s="625" t="e">
        <f t="shared" si="29"/>
        <v>#VALUE!</v>
      </c>
      <c r="E655" s="591"/>
      <c r="F655" s="591"/>
      <c r="G655" s="591"/>
      <c r="H655" s="591"/>
      <c r="I655" s="591"/>
      <c r="J655" s="591"/>
      <c r="K655" s="542"/>
      <c r="O655" s="1134"/>
      <c r="Q655" s="1133"/>
    </row>
    <row r="656" spans="2:17" x14ac:dyDescent="0.3">
      <c r="B656" s="126"/>
      <c r="C656" s="583">
        <v>286</v>
      </c>
      <c r="D656" s="625" t="e">
        <f t="shared" si="29"/>
        <v>#VALUE!</v>
      </c>
      <c r="E656" s="591"/>
      <c r="F656" s="591"/>
      <c r="G656" s="591"/>
      <c r="H656" s="591"/>
      <c r="I656" s="591"/>
      <c r="J656" s="591"/>
      <c r="K656" s="542"/>
      <c r="O656" s="1134"/>
      <c r="Q656" s="1133"/>
    </row>
    <row r="657" spans="2:17" x14ac:dyDescent="0.3">
      <c r="B657" s="126"/>
      <c r="C657" s="583">
        <v>287</v>
      </c>
      <c r="D657" s="625" t="e">
        <f t="shared" si="29"/>
        <v>#VALUE!</v>
      </c>
      <c r="E657" s="591"/>
      <c r="F657" s="591"/>
      <c r="G657" s="591"/>
      <c r="H657" s="591"/>
      <c r="I657" s="591"/>
      <c r="J657" s="591"/>
      <c r="K657" s="542"/>
      <c r="O657" s="1134"/>
      <c r="Q657" s="1133"/>
    </row>
    <row r="658" spans="2:17" x14ac:dyDescent="0.3">
      <c r="B658" s="126"/>
      <c r="C658" s="583">
        <v>288</v>
      </c>
      <c r="D658" s="625" t="e">
        <f t="shared" si="29"/>
        <v>#VALUE!</v>
      </c>
      <c r="E658" s="591"/>
      <c r="F658" s="591"/>
      <c r="G658" s="591"/>
      <c r="H658" s="591"/>
      <c r="I658" s="591"/>
      <c r="J658" s="591"/>
      <c r="K658" s="542"/>
      <c r="O658" s="1134"/>
      <c r="Q658" s="1133"/>
    </row>
    <row r="659" spans="2:17" x14ac:dyDescent="0.3">
      <c r="B659" s="126"/>
      <c r="C659" s="583">
        <v>289</v>
      </c>
      <c r="D659" s="625" t="e">
        <f t="shared" si="29"/>
        <v>#VALUE!</v>
      </c>
      <c r="E659" s="591"/>
      <c r="F659" s="591"/>
      <c r="G659" s="591"/>
      <c r="H659" s="591"/>
      <c r="I659" s="591"/>
      <c r="J659" s="591"/>
      <c r="K659" s="542"/>
      <c r="O659" s="1134"/>
      <c r="Q659" s="1133"/>
    </row>
    <row r="660" spans="2:17" x14ac:dyDescent="0.3">
      <c r="B660" s="126"/>
      <c r="C660" s="583">
        <v>290</v>
      </c>
      <c r="D660" s="625" t="e">
        <f t="shared" si="29"/>
        <v>#VALUE!</v>
      </c>
      <c r="E660" s="591"/>
      <c r="F660" s="591"/>
      <c r="G660" s="591"/>
      <c r="H660" s="591"/>
      <c r="I660" s="591"/>
      <c r="J660" s="591"/>
      <c r="K660" s="542"/>
      <c r="O660" s="1134"/>
      <c r="Q660" s="1133"/>
    </row>
    <row r="661" spans="2:17" x14ac:dyDescent="0.3">
      <c r="B661" s="126"/>
      <c r="C661" s="583">
        <v>291</v>
      </c>
      <c r="D661" s="625" t="e">
        <f t="shared" si="29"/>
        <v>#VALUE!</v>
      </c>
      <c r="E661" s="591"/>
      <c r="F661" s="591"/>
      <c r="G661" s="591"/>
      <c r="H661" s="591"/>
      <c r="I661" s="591"/>
      <c r="J661" s="591"/>
      <c r="K661" s="542"/>
      <c r="O661" s="1134"/>
      <c r="Q661" s="1133"/>
    </row>
    <row r="662" spans="2:17" x14ac:dyDescent="0.3">
      <c r="B662" s="126"/>
      <c r="C662" s="583">
        <v>292</v>
      </c>
      <c r="D662" s="625" t="e">
        <f t="shared" si="29"/>
        <v>#VALUE!</v>
      </c>
      <c r="E662" s="591"/>
      <c r="F662" s="591"/>
      <c r="G662" s="591"/>
      <c r="H662" s="591"/>
      <c r="I662" s="591"/>
      <c r="J662" s="591"/>
      <c r="K662" s="542"/>
      <c r="O662" s="1134"/>
      <c r="Q662" s="1133"/>
    </row>
    <row r="663" spans="2:17" x14ac:dyDescent="0.3">
      <c r="B663" s="126"/>
      <c r="C663" s="583">
        <v>293</v>
      </c>
      <c r="D663" s="625" t="e">
        <f t="shared" si="29"/>
        <v>#VALUE!</v>
      </c>
      <c r="E663" s="591"/>
      <c r="F663" s="591"/>
      <c r="G663" s="591"/>
      <c r="H663" s="591"/>
      <c r="I663" s="591"/>
      <c r="J663" s="591"/>
      <c r="K663" s="542"/>
      <c r="O663" s="1134"/>
      <c r="Q663" s="1133"/>
    </row>
    <row r="664" spans="2:17" x14ac:dyDescent="0.3">
      <c r="B664" s="126"/>
      <c r="C664" s="583">
        <v>294</v>
      </c>
      <c r="D664" s="625" t="e">
        <f t="shared" si="29"/>
        <v>#VALUE!</v>
      </c>
      <c r="E664" s="591"/>
      <c r="F664" s="591"/>
      <c r="G664" s="591"/>
      <c r="H664" s="591"/>
      <c r="I664" s="591"/>
      <c r="J664" s="591"/>
      <c r="K664" s="542"/>
      <c r="O664" s="1134"/>
      <c r="Q664" s="1133"/>
    </row>
    <row r="665" spans="2:17" x14ac:dyDescent="0.3">
      <c r="B665" s="126"/>
      <c r="C665" s="583">
        <v>295</v>
      </c>
      <c r="D665" s="625" t="e">
        <f t="shared" si="29"/>
        <v>#VALUE!</v>
      </c>
      <c r="E665" s="591"/>
      <c r="F665" s="591"/>
      <c r="G665" s="591"/>
      <c r="H665" s="591"/>
      <c r="I665" s="591"/>
      <c r="J665" s="591"/>
      <c r="K665" s="542"/>
      <c r="O665" s="1134"/>
      <c r="Q665" s="1133"/>
    </row>
    <row r="666" spans="2:17" x14ac:dyDescent="0.3">
      <c r="B666" s="126"/>
      <c r="C666" s="583">
        <v>296</v>
      </c>
      <c r="D666" s="625" t="e">
        <f t="shared" si="29"/>
        <v>#VALUE!</v>
      </c>
      <c r="E666" s="591"/>
      <c r="F666" s="591"/>
      <c r="G666" s="591"/>
      <c r="H666" s="591"/>
      <c r="I666" s="591"/>
      <c r="J666" s="591"/>
      <c r="K666" s="542"/>
      <c r="O666" s="1134"/>
      <c r="Q666" s="1133"/>
    </row>
    <row r="667" spans="2:17" x14ac:dyDescent="0.3">
      <c r="B667" s="126"/>
      <c r="C667" s="583">
        <v>297</v>
      </c>
      <c r="D667" s="625" t="e">
        <f t="shared" si="29"/>
        <v>#VALUE!</v>
      </c>
      <c r="E667" s="591"/>
      <c r="F667" s="591"/>
      <c r="G667" s="591"/>
      <c r="H667" s="591"/>
      <c r="I667" s="591"/>
      <c r="J667" s="591"/>
      <c r="K667" s="542"/>
      <c r="O667" s="1134"/>
      <c r="Q667" s="1133"/>
    </row>
    <row r="668" spans="2:17" x14ac:dyDescent="0.3">
      <c r="B668" s="126"/>
      <c r="C668" s="583">
        <v>298</v>
      </c>
      <c r="D668" s="625" t="e">
        <f t="shared" si="29"/>
        <v>#VALUE!</v>
      </c>
      <c r="E668" s="591"/>
      <c r="F668" s="591"/>
      <c r="G668" s="591"/>
      <c r="H668" s="591"/>
      <c r="I668" s="591"/>
      <c r="J668" s="591"/>
      <c r="K668" s="542"/>
      <c r="O668" s="1134"/>
      <c r="Q668" s="1133"/>
    </row>
    <row r="669" spans="2:17" x14ac:dyDescent="0.3">
      <c r="B669" s="126"/>
      <c r="C669" s="583">
        <v>299</v>
      </c>
      <c r="D669" s="625" t="e">
        <f t="shared" si="29"/>
        <v>#VALUE!</v>
      </c>
      <c r="E669" s="591"/>
      <c r="F669" s="591"/>
      <c r="G669" s="591"/>
      <c r="H669" s="591"/>
      <c r="I669" s="591"/>
      <c r="J669" s="591"/>
      <c r="K669" s="542"/>
      <c r="O669" s="1134"/>
      <c r="Q669" s="1133"/>
    </row>
    <row r="670" spans="2:17" x14ac:dyDescent="0.3">
      <c r="B670" s="126"/>
      <c r="C670" s="583">
        <v>300</v>
      </c>
      <c r="D670" s="625" t="e">
        <f t="shared" si="29"/>
        <v>#VALUE!</v>
      </c>
      <c r="E670" s="591"/>
      <c r="F670" s="591"/>
      <c r="G670" s="591"/>
      <c r="H670" s="591"/>
      <c r="I670" s="591"/>
      <c r="J670" s="591"/>
      <c r="K670" s="542"/>
      <c r="O670" s="1134"/>
      <c r="Q670" s="1133"/>
    </row>
    <row r="671" spans="2:17" x14ac:dyDescent="0.3">
      <c r="B671" s="126"/>
      <c r="C671" s="583">
        <v>301</v>
      </c>
      <c r="D671" s="625" t="e">
        <f t="shared" si="29"/>
        <v>#VALUE!</v>
      </c>
      <c r="E671" s="591"/>
      <c r="F671" s="591"/>
      <c r="G671" s="591"/>
      <c r="H671" s="591"/>
      <c r="I671" s="591"/>
      <c r="J671" s="591"/>
      <c r="K671" s="542"/>
      <c r="O671" s="1134"/>
      <c r="Q671" s="1133"/>
    </row>
    <row r="672" spans="2:17" x14ac:dyDescent="0.3">
      <c r="B672" s="126"/>
      <c r="C672" s="583">
        <v>302</v>
      </c>
      <c r="D672" s="625" t="e">
        <f t="shared" si="29"/>
        <v>#VALUE!</v>
      </c>
      <c r="E672" s="591"/>
      <c r="F672" s="591"/>
      <c r="G672" s="591"/>
      <c r="H672" s="591"/>
      <c r="I672" s="591"/>
      <c r="J672" s="591"/>
      <c r="K672" s="542"/>
      <c r="O672" s="1134"/>
      <c r="Q672" s="1133"/>
    </row>
    <row r="673" spans="2:17" x14ac:dyDescent="0.3">
      <c r="B673" s="126"/>
      <c r="C673" s="583">
        <v>303</v>
      </c>
      <c r="D673" s="625" t="e">
        <f t="shared" si="29"/>
        <v>#VALUE!</v>
      </c>
      <c r="E673" s="591"/>
      <c r="F673" s="591"/>
      <c r="G673" s="591"/>
      <c r="H673" s="591"/>
      <c r="I673" s="591"/>
      <c r="J673" s="591"/>
      <c r="K673" s="542"/>
      <c r="O673" s="1134"/>
      <c r="Q673" s="1133"/>
    </row>
    <row r="674" spans="2:17" x14ac:dyDescent="0.3">
      <c r="B674" s="126"/>
      <c r="C674" s="583">
        <v>304</v>
      </c>
      <c r="D674" s="625" t="e">
        <f t="shared" si="29"/>
        <v>#VALUE!</v>
      </c>
      <c r="E674" s="591"/>
      <c r="F674" s="591"/>
      <c r="G674" s="591"/>
      <c r="H674" s="591"/>
      <c r="I674" s="591"/>
      <c r="J674" s="591"/>
      <c r="K674" s="542"/>
      <c r="O674" s="1134"/>
      <c r="Q674" s="1133"/>
    </row>
    <row r="675" spans="2:17" x14ac:dyDescent="0.3">
      <c r="B675" s="126"/>
      <c r="C675" s="583">
        <v>305</v>
      </c>
      <c r="D675" s="625" t="e">
        <f t="shared" si="29"/>
        <v>#VALUE!</v>
      </c>
      <c r="E675" s="591"/>
      <c r="F675" s="591"/>
      <c r="G675" s="591"/>
      <c r="H675" s="591"/>
      <c r="I675" s="591"/>
      <c r="J675" s="591"/>
      <c r="K675" s="542"/>
      <c r="O675" s="1134"/>
      <c r="Q675" s="1133"/>
    </row>
    <row r="676" spans="2:17" x14ac:dyDescent="0.3">
      <c r="B676" s="126"/>
      <c r="C676" s="583">
        <v>306</v>
      </c>
      <c r="D676" s="625" t="e">
        <f t="shared" si="29"/>
        <v>#VALUE!</v>
      </c>
      <c r="E676" s="591"/>
      <c r="F676" s="591"/>
      <c r="G676" s="591"/>
      <c r="H676" s="591"/>
      <c r="I676" s="591"/>
      <c r="J676" s="591"/>
      <c r="K676" s="542"/>
      <c r="O676" s="1134"/>
      <c r="Q676" s="1133"/>
    </row>
    <row r="677" spans="2:17" x14ac:dyDescent="0.3">
      <c r="B677" s="126"/>
      <c r="C677" s="583">
        <v>307</v>
      </c>
      <c r="D677" s="625" t="e">
        <f t="shared" si="29"/>
        <v>#VALUE!</v>
      </c>
      <c r="E677" s="591"/>
      <c r="F677" s="591"/>
      <c r="G677" s="591"/>
      <c r="H677" s="591"/>
      <c r="I677" s="591"/>
      <c r="J677" s="591"/>
      <c r="K677" s="542"/>
      <c r="O677" s="1134"/>
      <c r="Q677" s="1133"/>
    </row>
    <row r="678" spans="2:17" x14ac:dyDescent="0.3">
      <c r="B678" s="126"/>
      <c r="C678" s="583">
        <v>308</v>
      </c>
      <c r="D678" s="625" t="e">
        <f t="shared" si="29"/>
        <v>#VALUE!</v>
      </c>
      <c r="E678" s="591"/>
      <c r="F678" s="591"/>
      <c r="G678" s="591"/>
      <c r="H678" s="591"/>
      <c r="I678" s="591"/>
      <c r="J678" s="591"/>
      <c r="K678" s="542"/>
      <c r="O678" s="1134"/>
      <c r="Q678" s="1133"/>
    </row>
    <row r="679" spans="2:17" x14ac:dyDescent="0.3">
      <c r="B679" s="126"/>
      <c r="C679" s="583">
        <v>309</v>
      </c>
      <c r="D679" s="625" t="e">
        <f t="shared" si="29"/>
        <v>#VALUE!</v>
      </c>
      <c r="E679" s="591"/>
      <c r="F679" s="591"/>
      <c r="G679" s="591"/>
      <c r="H679" s="591"/>
      <c r="I679" s="591"/>
      <c r="J679" s="591"/>
      <c r="K679" s="542"/>
      <c r="O679" s="1134"/>
      <c r="Q679" s="1133"/>
    </row>
    <row r="680" spans="2:17" x14ac:dyDescent="0.3">
      <c r="B680" s="126"/>
      <c r="C680" s="583">
        <v>310</v>
      </c>
      <c r="D680" s="625" t="e">
        <f t="shared" si="29"/>
        <v>#VALUE!</v>
      </c>
      <c r="E680" s="591"/>
      <c r="F680" s="591"/>
      <c r="G680" s="591"/>
      <c r="H680" s="591"/>
      <c r="I680" s="591"/>
      <c r="J680" s="591"/>
      <c r="K680" s="542"/>
      <c r="O680" s="1134"/>
      <c r="Q680" s="1133"/>
    </row>
    <row r="681" spans="2:17" x14ac:dyDescent="0.3">
      <c r="B681" s="126"/>
      <c r="C681" s="583">
        <v>311</v>
      </c>
      <c r="D681" s="625" t="e">
        <f t="shared" si="29"/>
        <v>#VALUE!</v>
      </c>
      <c r="E681" s="591"/>
      <c r="F681" s="591"/>
      <c r="G681" s="591"/>
      <c r="H681" s="591"/>
      <c r="I681" s="591"/>
      <c r="J681" s="591"/>
      <c r="K681" s="542"/>
      <c r="O681" s="1134"/>
      <c r="Q681" s="1133"/>
    </row>
    <row r="682" spans="2:17" x14ac:dyDescent="0.3">
      <c r="B682" s="126"/>
      <c r="C682" s="583">
        <v>312</v>
      </c>
      <c r="D682" s="625" t="e">
        <f t="shared" si="29"/>
        <v>#VALUE!</v>
      </c>
      <c r="E682" s="591"/>
      <c r="F682" s="591"/>
      <c r="G682" s="591"/>
      <c r="H682" s="591"/>
      <c r="I682" s="591"/>
      <c r="J682" s="591"/>
      <c r="K682" s="542"/>
      <c r="O682" s="1134"/>
      <c r="Q682" s="1133"/>
    </row>
    <row r="683" spans="2:17" x14ac:dyDescent="0.3">
      <c r="B683" s="126"/>
      <c r="C683" s="583">
        <v>313</v>
      </c>
      <c r="D683" s="625" t="e">
        <f t="shared" si="29"/>
        <v>#VALUE!</v>
      </c>
      <c r="E683" s="591"/>
      <c r="F683" s="591"/>
      <c r="G683" s="591"/>
      <c r="H683" s="591"/>
      <c r="I683" s="591"/>
      <c r="J683" s="591"/>
      <c r="K683" s="542"/>
      <c r="O683" s="1134"/>
      <c r="Q683" s="1133"/>
    </row>
    <row r="684" spans="2:17" x14ac:dyDescent="0.3">
      <c r="B684" s="126"/>
      <c r="C684" s="583">
        <v>314</v>
      </c>
      <c r="D684" s="625" t="e">
        <f t="shared" si="29"/>
        <v>#VALUE!</v>
      </c>
      <c r="E684" s="591"/>
      <c r="F684" s="591"/>
      <c r="G684" s="591"/>
      <c r="H684" s="591"/>
      <c r="I684" s="591"/>
      <c r="J684" s="591"/>
      <c r="K684" s="542"/>
      <c r="O684" s="1134"/>
      <c r="Q684" s="1133"/>
    </row>
    <row r="685" spans="2:17" x14ac:dyDescent="0.3">
      <c r="B685" s="126"/>
      <c r="C685" s="583">
        <v>315</v>
      </c>
      <c r="D685" s="625" t="e">
        <f t="shared" si="29"/>
        <v>#VALUE!</v>
      </c>
      <c r="E685" s="591"/>
      <c r="F685" s="591"/>
      <c r="G685" s="591"/>
      <c r="H685" s="591"/>
      <c r="I685" s="591"/>
      <c r="J685" s="591"/>
      <c r="K685" s="542"/>
      <c r="O685" s="1134"/>
      <c r="Q685" s="1133"/>
    </row>
    <row r="686" spans="2:17" x14ac:dyDescent="0.3">
      <c r="B686" s="126"/>
      <c r="C686" s="583">
        <v>316</v>
      </c>
      <c r="D686" s="625" t="e">
        <f t="shared" si="29"/>
        <v>#VALUE!</v>
      </c>
      <c r="E686" s="591"/>
      <c r="F686" s="591"/>
      <c r="G686" s="591"/>
      <c r="H686" s="591"/>
      <c r="I686" s="591"/>
      <c r="J686" s="591"/>
      <c r="K686" s="542"/>
      <c r="O686" s="1134"/>
      <c r="Q686" s="1133"/>
    </row>
    <row r="687" spans="2:17" x14ac:dyDescent="0.3">
      <c r="B687" s="126"/>
      <c r="C687" s="583">
        <v>317</v>
      </c>
      <c r="D687" s="625" t="e">
        <f t="shared" si="29"/>
        <v>#VALUE!</v>
      </c>
      <c r="E687" s="591"/>
      <c r="F687" s="591"/>
      <c r="G687" s="591"/>
      <c r="H687" s="591"/>
      <c r="I687" s="591"/>
      <c r="J687" s="591"/>
      <c r="K687" s="542"/>
      <c r="O687" s="1134"/>
      <c r="Q687" s="1133"/>
    </row>
    <row r="688" spans="2:17" x14ac:dyDescent="0.3">
      <c r="B688" s="126"/>
      <c r="C688" s="583">
        <v>318</v>
      </c>
      <c r="D688" s="625" t="e">
        <f t="shared" si="29"/>
        <v>#VALUE!</v>
      </c>
      <c r="E688" s="591"/>
      <c r="F688" s="591"/>
      <c r="G688" s="591"/>
      <c r="H688" s="591"/>
      <c r="I688" s="591"/>
      <c r="J688" s="591"/>
      <c r="K688" s="542"/>
      <c r="O688" s="1134"/>
      <c r="Q688" s="1133"/>
    </row>
    <row r="689" spans="2:17" x14ac:dyDescent="0.3">
      <c r="B689" s="126"/>
      <c r="C689" s="583">
        <v>319</v>
      </c>
      <c r="D689" s="625" t="e">
        <f t="shared" si="29"/>
        <v>#VALUE!</v>
      </c>
      <c r="E689" s="591"/>
      <c r="F689" s="591"/>
      <c r="G689" s="591"/>
      <c r="H689" s="591"/>
      <c r="I689" s="591"/>
      <c r="J689" s="591"/>
      <c r="K689" s="542"/>
      <c r="O689" s="1134"/>
      <c r="Q689" s="1133"/>
    </row>
    <row r="690" spans="2:17" x14ac:dyDescent="0.3">
      <c r="B690" s="126"/>
      <c r="C690" s="583">
        <v>320</v>
      </c>
      <c r="D690" s="625" t="e">
        <f t="shared" ref="D690:D753" si="30">$C$349*C690</f>
        <v>#VALUE!</v>
      </c>
      <c r="E690" s="591"/>
      <c r="F690" s="591"/>
      <c r="G690" s="591"/>
      <c r="H690" s="591"/>
      <c r="I690" s="591"/>
      <c r="J690" s="591"/>
      <c r="K690" s="542"/>
      <c r="O690" s="1134"/>
      <c r="Q690" s="1133"/>
    </row>
    <row r="691" spans="2:17" x14ac:dyDescent="0.3">
      <c r="B691" s="126"/>
      <c r="C691" s="583">
        <v>321</v>
      </c>
      <c r="D691" s="625" t="e">
        <f t="shared" si="30"/>
        <v>#VALUE!</v>
      </c>
      <c r="E691" s="591"/>
      <c r="F691" s="591"/>
      <c r="G691" s="591"/>
      <c r="H691" s="591"/>
      <c r="I691" s="591"/>
      <c r="J691" s="591"/>
      <c r="K691" s="542"/>
      <c r="O691" s="1134"/>
      <c r="Q691" s="1133"/>
    </row>
    <row r="692" spans="2:17" x14ac:dyDescent="0.3">
      <c r="B692" s="126"/>
      <c r="C692" s="583">
        <v>322</v>
      </c>
      <c r="D692" s="625" t="e">
        <f t="shared" si="30"/>
        <v>#VALUE!</v>
      </c>
      <c r="E692" s="591"/>
      <c r="F692" s="591"/>
      <c r="G692" s="591"/>
      <c r="H692" s="591"/>
      <c r="I692" s="591"/>
      <c r="J692" s="591"/>
      <c r="K692" s="542"/>
      <c r="O692" s="1134"/>
      <c r="Q692" s="1133"/>
    </row>
    <row r="693" spans="2:17" x14ac:dyDescent="0.3">
      <c r="B693" s="126"/>
      <c r="C693" s="583">
        <v>323</v>
      </c>
      <c r="D693" s="625" t="e">
        <f t="shared" si="30"/>
        <v>#VALUE!</v>
      </c>
      <c r="E693" s="591"/>
      <c r="F693" s="591"/>
      <c r="G693" s="591"/>
      <c r="H693" s="591"/>
      <c r="I693" s="591"/>
      <c r="J693" s="591"/>
      <c r="K693" s="542"/>
      <c r="O693" s="1134"/>
      <c r="Q693" s="1133"/>
    </row>
    <row r="694" spans="2:17" x14ac:dyDescent="0.3">
      <c r="B694" s="126"/>
      <c r="C694" s="583">
        <v>324</v>
      </c>
      <c r="D694" s="625" t="e">
        <f t="shared" si="30"/>
        <v>#VALUE!</v>
      </c>
      <c r="E694" s="591"/>
      <c r="F694" s="591"/>
      <c r="G694" s="591"/>
      <c r="H694" s="591"/>
      <c r="I694" s="591"/>
      <c r="J694" s="591"/>
      <c r="K694" s="542"/>
      <c r="O694" s="1134"/>
      <c r="Q694" s="1133"/>
    </row>
    <row r="695" spans="2:17" x14ac:dyDescent="0.3">
      <c r="B695" s="126"/>
      <c r="C695" s="583">
        <v>325</v>
      </c>
      <c r="D695" s="625" t="e">
        <f t="shared" si="30"/>
        <v>#VALUE!</v>
      </c>
      <c r="E695" s="591"/>
      <c r="F695" s="591"/>
      <c r="G695" s="591"/>
      <c r="H695" s="591"/>
      <c r="I695" s="591"/>
      <c r="J695" s="591"/>
      <c r="K695" s="542"/>
      <c r="O695" s="1134"/>
      <c r="Q695" s="1133"/>
    </row>
    <row r="696" spans="2:17" x14ac:dyDescent="0.3">
      <c r="B696" s="126"/>
      <c r="C696" s="583">
        <v>326</v>
      </c>
      <c r="D696" s="625" t="e">
        <f t="shared" si="30"/>
        <v>#VALUE!</v>
      </c>
      <c r="E696" s="591"/>
      <c r="F696" s="591"/>
      <c r="G696" s="591"/>
      <c r="H696" s="591"/>
      <c r="I696" s="591"/>
      <c r="J696" s="591"/>
      <c r="K696" s="542"/>
      <c r="O696" s="1134"/>
      <c r="Q696" s="1133"/>
    </row>
    <row r="697" spans="2:17" x14ac:dyDescent="0.3">
      <c r="B697" s="126"/>
      <c r="C697" s="583">
        <v>327</v>
      </c>
      <c r="D697" s="625" t="e">
        <f t="shared" si="30"/>
        <v>#VALUE!</v>
      </c>
      <c r="E697" s="591"/>
      <c r="F697" s="591"/>
      <c r="G697" s="591"/>
      <c r="H697" s="591"/>
      <c r="I697" s="591"/>
      <c r="J697" s="591"/>
      <c r="K697" s="542"/>
      <c r="O697" s="1134"/>
      <c r="Q697" s="1133"/>
    </row>
    <row r="698" spans="2:17" x14ac:dyDescent="0.3">
      <c r="B698" s="126"/>
      <c r="C698" s="583">
        <v>328</v>
      </c>
      <c r="D698" s="625" t="e">
        <f t="shared" si="30"/>
        <v>#VALUE!</v>
      </c>
      <c r="E698" s="591"/>
      <c r="F698" s="591"/>
      <c r="G698" s="591"/>
      <c r="H698" s="591"/>
      <c r="I698" s="591"/>
      <c r="J698" s="591"/>
      <c r="K698" s="542"/>
      <c r="O698" s="1134"/>
      <c r="Q698" s="1133"/>
    </row>
    <row r="699" spans="2:17" x14ac:dyDescent="0.3">
      <c r="B699" s="126"/>
      <c r="C699" s="583">
        <v>329</v>
      </c>
      <c r="D699" s="625" t="e">
        <f t="shared" si="30"/>
        <v>#VALUE!</v>
      </c>
      <c r="E699" s="591"/>
      <c r="F699" s="591"/>
      <c r="G699" s="591"/>
      <c r="H699" s="591"/>
      <c r="I699" s="591"/>
      <c r="J699" s="591"/>
      <c r="K699" s="542"/>
      <c r="O699" s="1134"/>
      <c r="Q699" s="1133"/>
    </row>
    <row r="700" spans="2:17" x14ac:dyDescent="0.3">
      <c r="B700" s="126"/>
      <c r="C700" s="583">
        <v>330</v>
      </c>
      <c r="D700" s="625" t="e">
        <f t="shared" si="30"/>
        <v>#VALUE!</v>
      </c>
      <c r="E700" s="591"/>
      <c r="F700" s="591"/>
      <c r="G700" s="591"/>
      <c r="H700" s="591"/>
      <c r="I700" s="591"/>
      <c r="J700" s="591"/>
      <c r="K700" s="542"/>
      <c r="O700" s="1134"/>
      <c r="Q700" s="1133"/>
    </row>
    <row r="701" spans="2:17" x14ac:dyDescent="0.3">
      <c r="B701" s="126"/>
      <c r="C701" s="583">
        <v>331</v>
      </c>
      <c r="D701" s="625" t="e">
        <f t="shared" si="30"/>
        <v>#VALUE!</v>
      </c>
      <c r="E701" s="591"/>
      <c r="F701" s="591"/>
      <c r="G701" s="591"/>
      <c r="H701" s="591"/>
      <c r="I701" s="591"/>
      <c r="J701" s="591"/>
      <c r="K701" s="542"/>
      <c r="O701" s="1134"/>
      <c r="Q701" s="1133"/>
    </row>
    <row r="702" spans="2:17" x14ac:dyDescent="0.3">
      <c r="B702" s="126"/>
      <c r="C702" s="583">
        <v>332</v>
      </c>
      <c r="D702" s="625" t="e">
        <f t="shared" si="30"/>
        <v>#VALUE!</v>
      </c>
      <c r="E702" s="591"/>
      <c r="F702" s="591"/>
      <c r="G702" s="591"/>
      <c r="H702" s="591"/>
      <c r="I702" s="591"/>
      <c r="J702" s="591"/>
      <c r="K702" s="542"/>
      <c r="O702" s="1134"/>
      <c r="Q702" s="1133"/>
    </row>
    <row r="703" spans="2:17" x14ac:dyDescent="0.3">
      <c r="B703" s="126"/>
      <c r="C703" s="583">
        <v>333</v>
      </c>
      <c r="D703" s="625" t="e">
        <f t="shared" si="30"/>
        <v>#VALUE!</v>
      </c>
      <c r="E703" s="591"/>
      <c r="F703" s="591"/>
      <c r="G703" s="591"/>
      <c r="H703" s="591"/>
      <c r="I703" s="591"/>
      <c r="J703" s="591"/>
      <c r="K703" s="542"/>
      <c r="O703" s="1134"/>
      <c r="Q703" s="1133"/>
    </row>
    <row r="704" spans="2:17" x14ac:dyDescent="0.3">
      <c r="B704" s="126"/>
      <c r="C704" s="583">
        <v>334</v>
      </c>
      <c r="D704" s="625" t="e">
        <f t="shared" si="30"/>
        <v>#VALUE!</v>
      </c>
      <c r="E704" s="591"/>
      <c r="F704" s="591"/>
      <c r="G704" s="591"/>
      <c r="H704" s="591"/>
      <c r="I704" s="591"/>
      <c r="J704" s="591"/>
      <c r="K704" s="542"/>
      <c r="O704" s="1134"/>
      <c r="Q704" s="1133"/>
    </row>
    <row r="705" spans="2:17" x14ac:dyDescent="0.3">
      <c r="B705" s="126"/>
      <c r="C705" s="583">
        <v>335</v>
      </c>
      <c r="D705" s="625" t="e">
        <f t="shared" si="30"/>
        <v>#VALUE!</v>
      </c>
      <c r="E705" s="591"/>
      <c r="F705" s="591"/>
      <c r="G705" s="591"/>
      <c r="H705" s="591"/>
      <c r="I705" s="591"/>
      <c r="J705" s="591"/>
      <c r="K705" s="542"/>
      <c r="O705" s="1134"/>
      <c r="Q705" s="1133"/>
    </row>
    <row r="706" spans="2:17" x14ac:dyDescent="0.3">
      <c r="B706" s="126"/>
      <c r="C706" s="583">
        <v>336</v>
      </c>
      <c r="D706" s="625" t="e">
        <f t="shared" si="30"/>
        <v>#VALUE!</v>
      </c>
      <c r="E706" s="591"/>
      <c r="F706" s="591"/>
      <c r="G706" s="591"/>
      <c r="H706" s="591"/>
      <c r="I706" s="591"/>
      <c r="J706" s="591"/>
      <c r="K706" s="542"/>
      <c r="O706" s="1134"/>
      <c r="Q706" s="1133"/>
    </row>
    <row r="707" spans="2:17" x14ac:dyDescent="0.3">
      <c r="B707" s="126"/>
      <c r="C707" s="583">
        <v>337</v>
      </c>
      <c r="D707" s="625" t="e">
        <f t="shared" si="30"/>
        <v>#VALUE!</v>
      </c>
      <c r="E707" s="591"/>
      <c r="F707" s="591"/>
      <c r="G707" s="591"/>
      <c r="H707" s="591"/>
      <c r="I707" s="591"/>
      <c r="J707" s="591"/>
      <c r="K707" s="542"/>
      <c r="O707" s="1134"/>
      <c r="Q707" s="1133"/>
    </row>
    <row r="708" spans="2:17" x14ac:dyDescent="0.3">
      <c r="B708" s="126"/>
      <c r="C708" s="583">
        <v>338</v>
      </c>
      <c r="D708" s="625" t="e">
        <f t="shared" si="30"/>
        <v>#VALUE!</v>
      </c>
      <c r="E708" s="591"/>
      <c r="F708" s="591"/>
      <c r="G708" s="591"/>
      <c r="H708" s="591"/>
      <c r="I708" s="591"/>
      <c r="J708" s="591"/>
      <c r="K708" s="542"/>
      <c r="O708" s="1134"/>
      <c r="Q708" s="1133"/>
    </row>
    <row r="709" spans="2:17" x14ac:dyDescent="0.3">
      <c r="B709" s="126"/>
      <c r="C709" s="583">
        <v>339</v>
      </c>
      <c r="D709" s="625" t="e">
        <f t="shared" si="30"/>
        <v>#VALUE!</v>
      </c>
      <c r="E709" s="591"/>
      <c r="F709" s="591"/>
      <c r="G709" s="591"/>
      <c r="H709" s="591"/>
      <c r="I709" s="591"/>
      <c r="J709" s="591"/>
      <c r="K709" s="542"/>
      <c r="O709" s="1134"/>
      <c r="Q709" s="1133"/>
    </row>
    <row r="710" spans="2:17" x14ac:dyDescent="0.3">
      <c r="B710" s="126"/>
      <c r="C710" s="583">
        <v>340</v>
      </c>
      <c r="D710" s="625" t="e">
        <f t="shared" si="30"/>
        <v>#VALUE!</v>
      </c>
      <c r="E710" s="591"/>
      <c r="F710" s="591"/>
      <c r="G710" s="591"/>
      <c r="H710" s="591"/>
      <c r="I710" s="591"/>
      <c r="J710" s="591"/>
      <c r="K710" s="542"/>
      <c r="O710" s="1134"/>
      <c r="Q710" s="1133"/>
    </row>
    <row r="711" spans="2:17" x14ac:dyDescent="0.3">
      <c r="B711" s="126"/>
      <c r="C711" s="583">
        <v>341</v>
      </c>
      <c r="D711" s="625" t="e">
        <f t="shared" si="30"/>
        <v>#VALUE!</v>
      </c>
      <c r="E711" s="591"/>
      <c r="F711" s="591"/>
      <c r="G711" s="591"/>
      <c r="H711" s="591"/>
      <c r="I711" s="591"/>
      <c r="J711" s="591"/>
      <c r="K711" s="542"/>
      <c r="O711" s="1134"/>
      <c r="Q711" s="1133"/>
    </row>
    <row r="712" spans="2:17" x14ac:dyDescent="0.3">
      <c r="B712" s="126"/>
      <c r="C712" s="583">
        <v>342</v>
      </c>
      <c r="D712" s="625" t="e">
        <f t="shared" si="30"/>
        <v>#VALUE!</v>
      </c>
      <c r="E712" s="591"/>
      <c r="F712" s="591"/>
      <c r="G712" s="591"/>
      <c r="H712" s="591"/>
      <c r="I712" s="591"/>
      <c r="J712" s="591"/>
      <c r="K712" s="542"/>
      <c r="O712" s="1134"/>
      <c r="Q712" s="1133"/>
    </row>
    <row r="713" spans="2:17" x14ac:dyDescent="0.3">
      <c r="B713" s="126"/>
      <c r="C713" s="583">
        <v>343</v>
      </c>
      <c r="D713" s="625" t="e">
        <f t="shared" si="30"/>
        <v>#VALUE!</v>
      </c>
      <c r="E713" s="591"/>
      <c r="F713" s="591"/>
      <c r="G713" s="591"/>
      <c r="H713" s="591"/>
      <c r="I713" s="591"/>
      <c r="J713" s="591"/>
      <c r="K713" s="542"/>
      <c r="O713" s="1134"/>
      <c r="Q713" s="1133"/>
    </row>
    <row r="714" spans="2:17" x14ac:dyDescent="0.3">
      <c r="B714" s="126"/>
      <c r="C714" s="583">
        <v>344</v>
      </c>
      <c r="D714" s="625" t="e">
        <f t="shared" si="30"/>
        <v>#VALUE!</v>
      </c>
      <c r="E714" s="591"/>
      <c r="F714" s="591"/>
      <c r="G714" s="591"/>
      <c r="H714" s="591"/>
      <c r="I714" s="591"/>
      <c r="J714" s="591"/>
      <c r="K714" s="542"/>
      <c r="O714" s="1134"/>
      <c r="Q714" s="1133"/>
    </row>
    <row r="715" spans="2:17" x14ac:dyDescent="0.3">
      <c r="B715" s="126"/>
      <c r="C715" s="583">
        <v>345</v>
      </c>
      <c r="D715" s="625" t="e">
        <f t="shared" si="30"/>
        <v>#VALUE!</v>
      </c>
      <c r="E715" s="591"/>
      <c r="F715" s="591"/>
      <c r="G715" s="591"/>
      <c r="H715" s="591"/>
      <c r="I715" s="591"/>
      <c r="J715" s="591"/>
      <c r="K715" s="542"/>
      <c r="O715" s="1134"/>
      <c r="Q715" s="1133"/>
    </row>
    <row r="716" spans="2:17" x14ac:dyDescent="0.3">
      <c r="B716" s="126"/>
      <c r="C716" s="583">
        <v>346</v>
      </c>
      <c r="D716" s="625" t="e">
        <f t="shared" si="30"/>
        <v>#VALUE!</v>
      </c>
      <c r="E716" s="591"/>
      <c r="F716" s="591"/>
      <c r="G716" s="591"/>
      <c r="H716" s="591"/>
      <c r="I716" s="591"/>
      <c r="J716" s="591"/>
      <c r="K716" s="542"/>
      <c r="O716" s="1134"/>
      <c r="Q716" s="1133"/>
    </row>
    <row r="717" spans="2:17" x14ac:dyDescent="0.3">
      <c r="B717" s="126"/>
      <c r="C717" s="583">
        <v>347</v>
      </c>
      <c r="D717" s="625" t="e">
        <f t="shared" si="30"/>
        <v>#VALUE!</v>
      </c>
      <c r="E717" s="591"/>
      <c r="F717" s="591"/>
      <c r="G717" s="591"/>
      <c r="H717" s="591"/>
      <c r="I717" s="591"/>
      <c r="J717" s="591"/>
      <c r="K717" s="542"/>
      <c r="O717" s="1134"/>
      <c r="Q717" s="1133"/>
    </row>
    <row r="718" spans="2:17" x14ac:dyDescent="0.3">
      <c r="B718" s="126"/>
      <c r="C718" s="583">
        <v>348</v>
      </c>
      <c r="D718" s="625" t="e">
        <f t="shared" si="30"/>
        <v>#VALUE!</v>
      </c>
      <c r="E718" s="591"/>
      <c r="F718" s="591"/>
      <c r="G718" s="591"/>
      <c r="H718" s="591"/>
      <c r="I718" s="591"/>
      <c r="J718" s="591"/>
      <c r="K718" s="542"/>
      <c r="O718" s="1134"/>
      <c r="Q718" s="1133"/>
    </row>
    <row r="719" spans="2:17" x14ac:dyDescent="0.3">
      <c r="B719" s="126"/>
      <c r="C719" s="583">
        <v>349</v>
      </c>
      <c r="D719" s="625" t="e">
        <f t="shared" si="30"/>
        <v>#VALUE!</v>
      </c>
      <c r="E719" s="591"/>
      <c r="F719" s="591"/>
      <c r="G719" s="591"/>
      <c r="H719" s="591"/>
      <c r="I719" s="591"/>
      <c r="J719" s="591"/>
      <c r="K719" s="542"/>
      <c r="O719" s="1134"/>
      <c r="Q719" s="1133"/>
    </row>
    <row r="720" spans="2:17" x14ac:dyDescent="0.3">
      <c r="B720" s="126"/>
      <c r="C720" s="583">
        <v>350</v>
      </c>
      <c r="D720" s="625" t="e">
        <f t="shared" si="30"/>
        <v>#VALUE!</v>
      </c>
      <c r="E720" s="591"/>
      <c r="F720" s="591"/>
      <c r="G720" s="591"/>
      <c r="H720" s="591"/>
      <c r="I720" s="591"/>
      <c r="J720" s="591"/>
      <c r="K720" s="542"/>
      <c r="O720" s="1134"/>
      <c r="Q720" s="1133"/>
    </row>
    <row r="721" spans="2:17" x14ac:dyDescent="0.3">
      <c r="B721" s="126"/>
      <c r="C721" s="583">
        <v>351</v>
      </c>
      <c r="D721" s="625" t="e">
        <f t="shared" si="30"/>
        <v>#VALUE!</v>
      </c>
      <c r="E721" s="591"/>
      <c r="F721" s="591"/>
      <c r="G721" s="591"/>
      <c r="H721" s="591"/>
      <c r="I721" s="591"/>
      <c r="J721" s="591"/>
      <c r="K721" s="542"/>
      <c r="O721" s="1134"/>
      <c r="Q721" s="1133"/>
    </row>
    <row r="722" spans="2:17" x14ac:dyDescent="0.3">
      <c r="B722" s="126"/>
      <c r="C722" s="583">
        <v>352</v>
      </c>
      <c r="D722" s="625" t="e">
        <f t="shared" si="30"/>
        <v>#VALUE!</v>
      </c>
      <c r="E722" s="591"/>
      <c r="F722" s="591"/>
      <c r="G722" s="591"/>
      <c r="H722" s="591"/>
      <c r="I722" s="591"/>
      <c r="J722" s="591"/>
      <c r="K722" s="542"/>
      <c r="O722" s="1134"/>
      <c r="Q722" s="1133"/>
    </row>
    <row r="723" spans="2:17" x14ac:dyDescent="0.3">
      <c r="B723" s="126"/>
      <c r="C723" s="583">
        <v>353</v>
      </c>
      <c r="D723" s="625" t="e">
        <f t="shared" si="30"/>
        <v>#VALUE!</v>
      </c>
      <c r="E723" s="591"/>
      <c r="F723" s="591"/>
      <c r="G723" s="591"/>
      <c r="H723" s="591"/>
      <c r="I723" s="591"/>
      <c r="J723" s="591"/>
      <c r="K723" s="542"/>
      <c r="O723" s="1134"/>
      <c r="Q723" s="1133"/>
    </row>
    <row r="724" spans="2:17" x14ac:dyDescent="0.3">
      <c r="B724" s="126"/>
      <c r="C724" s="583">
        <v>354</v>
      </c>
      <c r="D724" s="625" t="e">
        <f t="shared" si="30"/>
        <v>#VALUE!</v>
      </c>
      <c r="E724" s="591"/>
      <c r="F724" s="591"/>
      <c r="G724" s="591"/>
      <c r="H724" s="591"/>
      <c r="I724" s="591"/>
      <c r="J724" s="591"/>
      <c r="K724" s="542"/>
      <c r="O724" s="1134"/>
      <c r="Q724" s="1133"/>
    </row>
    <row r="725" spans="2:17" x14ac:dyDescent="0.3">
      <c r="B725" s="126"/>
      <c r="C725" s="583">
        <v>355</v>
      </c>
      <c r="D725" s="625" t="e">
        <f t="shared" si="30"/>
        <v>#VALUE!</v>
      </c>
      <c r="E725" s="591"/>
      <c r="F725" s="591"/>
      <c r="G725" s="591"/>
      <c r="H725" s="591"/>
      <c r="I725" s="591"/>
      <c r="J725" s="591"/>
      <c r="K725" s="542"/>
      <c r="O725" s="1134"/>
      <c r="Q725" s="1133"/>
    </row>
    <row r="726" spans="2:17" x14ac:dyDescent="0.3">
      <c r="B726" s="126"/>
      <c r="C726" s="583">
        <v>356</v>
      </c>
      <c r="D726" s="625" t="e">
        <f t="shared" si="30"/>
        <v>#VALUE!</v>
      </c>
      <c r="E726" s="591"/>
      <c r="F726" s="591"/>
      <c r="G726" s="591"/>
      <c r="H726" s="591"/>
      <c r="I726" s="591"/>
      <c r="J726" s="591"/>
      <c r="K726" s="542"/>
      <c r="O726" s="1134"/>
      <c r="Q726" s="1133"/>
    </row>
    <row r="727" spans="2:17" x14ac:dyDescent="0.3">
      <c r="B727" s="126"/>
      <c r="C727" s="583">
        <v>357</v>
      </c>
      <c r="D727" s="625" t="e">
        <f t="shared" si="30"/>
        <v>#VALUE!</v>
      </c>
      <c r="E727" s="591"/>
      <c r="F727" s="591"/>
      <c r="G727" s="591"/>
      <c r="H727" s="591"/>
      <c r="I727" s="591"/>
      <c r="J727" s="591"/>
      <c r="K727" s="542"/>
      <c r="O727" s="1134"/>
      <c r="Q727" s="1133"/>
    </row>
    <row r="728" spans="2:17" x14ac:dyDescent="0.3">
      <c r="B728" s="126"/>
      <c r="C728" s="583">
        <v>358</v>
      </c>
      <c r="D728" s="625" t="e">
        <f t="shared" si="30"/>
        <v>#VALUE!</v>
      </c>
      <c r="E728" s="591"/>
      <c r="F728" s="591"/>
      <c r="G728" s="591"/>
      <c r="H728" s="591"/>
      <c r="I728" s="591"/>
      <c r="J728" s="591"/>
      <c r="K728" s="542"/>
      <c r="O728" s="1134"/>
      <c r="Q728" s="1133"/>
    </row>
    <row r="729" spans="2:17" x14ac:dyDescent="0.3">
      <c r="B729" s="126"/>
      <c r="C729" s="583">
        <v>359</v>
      </c>
      <c r="D729" s="625" t="e">
        <f t="shared" si="30"/>
        <v>#VALUE!</v>
      </c>
      <c r="E729" s="591"/>
      <c r="F729" s="591"/>
      <c r="G729" s="591"/>
      <c r="H729" s="591"/>
      <c r="I729" s="591"/>
      <c r="J729" s="591"/>
      <c r="K729" s="542"/>
      <c r="O729" s="1134"/>
      <c r="Q729" s="1133"/>
    </row>
    <row r="730" spans="2:17" x14ac:dyDescent="0.3">
      <c r="B730" s="126"/>
      <c r="C730" s="583">
        <v>360</v>
      </c>
      <c r="D730" s="625" t="e">
        <f t="shared" si="30"/>
        <v>#VALUE!</v>
      </c>
      <c r="E730" s="591"/>
      <c r="F730" s="591"/>
      <c r="G730" s="591"/>
      <c r="H730" s="591"/>
      <c r="I730" s="591"/>
      <c r="J730" s="591"/>
      <c r="K730" s="542"/>
      <c r="O730" s="1134"/>
      <c r="Q730" s="1133"/>
    </row>
    <row r="731" spans="2:17" x14ac:dyDescent="0.3">
      <c r="B731" s="126"/>
      <c r="C731" s="583">
        <v>361</v>
      </c>
      <c r="D731" s="625" t="e">
        <f t="shared" si="30"/>
        <v>#VALUE!</v>
      </c>
      <c r="E731" s="591"/>
      <c r="F731" s="591"/>
      <c r="G731" s="591"/>
      <c r="H731" s="591"/>
      <c r="I731" s="591"/>
      <c r="J731" s="591"/>
      <c r="K731" s="542"/>
      <c r="O731" s="1134"/>
      <c r="Q731" s="1133"/>
    </row>
    <row r="732" spans="2:17" x14ac:dyDescent="0.3">
      <c r="B732" s="126"/>
      <c r="C732" s="583">
        <v>362</v>
      </c>
      <c r="D732" s="625" t="e">
        <f t="shared" si="30"/>
        <v>#VALUE!</v>
      </c>
      <c r="E732" s="591"/>
      <c r="F732" s="591"/>
      <c r="G732" s="591"/>
      <c r="H732" s="591"/>
      <c r="I732" s="591"/>
      <c r="J732" s="591"/>
      <c r="K732" s="542"/>
      <c r="O732" s="1134"/>
      <c r="Q732" s="1133"/>
    </row>
    <row r="733" spans="2:17" x14ac:dyDescent="0.3">
      <c r="B733" s="126"/>
      <c r="C733" s="583">
        <v>363</v>
      </c>
      <c r="D733" s="625" t="e">
        <f t="shared" si="30"/>
        <v>#VALUE!</v>
      </c>
      <c r="E733" s="591"/>
      <c r="F733" s="591"/>
      <c r="G733" s="591"/>
      <c r="H733" s="591"/>
      <c r="I733" s="591"/>
      <c r="J733" s="591"/>
      <c r="K733" s="542"/>
      <c r="O733" s="1134"/>
      <c r="Q733" s="1133"/>
    </row>
    <row r="734" spans="2:17" x14ac:dyDescent="0.3">
      <c r="B734" s="126"/>
      <c r="C734" s="583">
        <v>364</v>
      </c>
      <c r="D734" s="625" t="e">
        <f t="shared" si="30"/>
        <v>#VALUE!</v>
      </c>
      <c r="E734" s="591"/>
      <c r="F734" s="591"/>
      <c r="G734" s="591"/>
      <c r="H734" s="591"/>
      <c r="I734" s="591"/>
      <c r="J734" s="591"/>
      <c r="K734" s="542"/>
      <c r="O734" s="1134"/>
      <c r="Q734" s="1133"/>
    </row>
    <row r="735" spans="2:17" x14ac:dyDescent="0.3">
      <c r="B735" s="126"/>
      <c r="C735" s="583">
        <v>365</v>
      </c>
      <c r="D735" s="625" t="e">
        <f t="shared" si="30"/>
        <v>#VALUE!</v>
      </c>
      <c r="E735" s="591"/>
      <c r="F735" s="591"/>
      <c r="G735" s="591"/>
      <c r="H735" s="591"/>
      <c r="I735" s="591"/>
      <c r="J735" s="591"/>
      <c r="K735" s="542"/>
      <c r="O735" s="1134"/>
      <c r="Q735" s="1133"/>
    </row>
    <row r="736" spans="2:17" x14ac:dyDescent="0.3">
      <c r="B736" s="126"/>
      <c r="C736" s="583">
        <v>366</v>
      </c>
      <c r="D736" s="625" t="e">
        <f t="shared" si="30"/>
        <v>#VALUE!</v>
      </c>
      <c r="E736" s="591"/>
      <c r="F736" s="591"/>
      <c r="G736" s="591"/>
      <c r="H736" s="591"/>
      <c r="I736" s="591"/>
      <c r="J736" s="591"/>
      <c r="K736" s="542"/>
      <c r="O736" s="1134"/>
      <c r="Q736" s="1133"/>
    </row>
    <row r="737" spans="2:17" x14ac:dyDescent="0.3">
      <c r="B737" s="126"/>
      <c r="C737" s="583">
        <v>367</v>
      </c>
      <c r="D737" s="625" t="e">
        <f t="shared" si="30"/>
        <v>#VALUE!</v>
      </c>
      <c r="E737" s="591"/>
      <c r="F737" s="591"/>
      <c r="G737" s="591"/>
      <c r="H737" s="591"/>
      <c r="I737" s="591"/>
      <c r="J737" s="591"/>
      <c r="K737" s="542"/>
      <c r="O737" s="1134"/>
      <c r="Q737" s="1133"/>
    </row>
    <row r="738" spans="2:17" x14ac:dyDescent="0.3">
      <c r="B738" s="126"/>
      <c r="C738" s="583">
        <v>368</v>
      </c>
      <c r="D738" s="625" t="e">
        <f t="shared" si="30"/>
        <v>#VALUE!</v>
      </c>
      <c r="E738" s="591"/>
      <c r="F738" s="591"/>
      <c r="G738" s="591"/>
      <c r="H738" s="591"/>
      <c r="I738" s="591"/>
      <c r="J738" s="591"/>
      <c r="K738" s="542"/>
      <c r="O738" s="1134"/>
      <c r="Q738" s="1133"/>
    </row>
    <row r="739" spans="2:17" x14ac:dyDescent="0.3">
      <c r="B739" s="126"/>
      <c r="C739" s="583">
        <v>369</v>
      </c>
      <c r="D739" s="625" t="e">
        <f t="shared" si="30"/>
        <v>#VALUE!</v>
      </c>
      <c r="E739" s="591"/>
      <c r="F739" s="591"/>
      <c r="G739" s="591"/>
      <c r="H739" s="591"/>
      <c r="I739" s="591"/>
      <c r="J739" s="591"/>
      <c r="K739" s="542"/>
      <c r="O739" s="1134"/>
      <c r="Q739" s="1133"/>
    </row>
    <row r="740" spans="2:17" x14ac:dyDescent="0.3">
      <c r="B740" s="126"/>
      <c r="C740" s="583">
        <v>370</v>
      </c>
      <c r="D740" s="625" t="e">
        <f t="shared" si="30"/>
        <v>#VALUE!</v>
      </c>
      <c r="E740" s="591"/>
      <c r="F740" s="591"/>
      <c r="G740" s="591"/>
      <c r="H740" s="591"/>
      <c r="I740" s="591"/>
      <c r="J740" s="591"/>
      <c r="K740" s="542"/>
      <c r="O740" s="1134"/>
      <c r="Q740" s="1133"/>
    </row>
    <row r="741" spans="2:17" x14ac:dyDescent="0.3">
      <c r="B741" s="126"/>
      <c r="C741" s="583">
        <v>371</v>
      </c>
      <c r="D741" s="625" t="e">
        <f t="shared" si="30"/>
        <v>#VALUE!</v>
      </c>
      <c r="E741" s="591"/>
      <c r="F741" s="591"/>
      <c r="G741" s="591"/>
      <c r="H741" s="591"/>
      <c r="I741" s="591"/>
      <c r="J741" s="591"/>
      <c r="K741" s="542"/>
      <c r="O741" s="1134"/>
      <c r="Q741" s="1133"/>
    </row>
    <row r="742" spans="2:17" x14ac:dyDescent="0.3">
      <c r="B742" s="126"/>
      <c r="C742" s="583">
        <v>372</v>
      </c>
      <c r="D742" s="625" t="e">
        <f t="shared" si="30"/>
        <v>#VALUE!</v>
      </c>
      <c r="E742" s="591"/>
      <c r="F742" s="591"/>
      <c r="G742" s="591"/>
      <c r="H742" s="591"/>
      <c r="I742" s="591"/>
      <c r="J742" s="591"/>
      <c r="K742" s="542"/>
      <c r="O742" s="1134"/>
      <c r="Q742" s="1133"/>
    </row>
    <row r="743" spans="2:17" x14ac:dyDescent="0.3">
      <c r="B743" s="126"/>
      <c r="C743" s="583">
        <v>373</v>
      </c>
      <c r="D743" s="625" t="e">
        <f t="shared" si="30"/>
        <v>#VALUE!</v>
      </c>
      <c r="E743" s="591"/>
      <c r="F743" s="591"/>
      <c r="G743" s="591"/>
      <c r="H743" s="591"/>
      <c r="I743" s="591"/>
      <c r="J743" s="591"/>
      <c r="K743" s="542"/>
      <c r="O743" s="1134"/>
      <c r="Q743" s="1133"/>
    </row>
    <row r="744" spans="2:17" x14ac:dyDescent="0.3">
      <c r="B744" s="126"/>
      <c r="C744" s="583">
        <v>374</v>
      </c>
      <c r="D744" s="625" t="e">
        <f t="shared" si="30"/>
        <v>#VALUE!</v>
      </c>
      <c r="E744" s="591"/>
      <c r="F744" s="591"/>
      <c r="G744" s="591"/>
      <c r="H744" s="591"/>
      <c r="I744" s="591"/>
      <c r="J744" s="591"/>
      <c r="K744" s="542"/>
      <c r="O744" s="1134"/>
      <c r="Q744" s="1133"/>
    </row>
    <row r="745" spans="2:17" x14ac:dyDescent="0.3">
      <c r="B745" s="126"/>
      <c r="C745" s="583">
        <v>375</v>
      </c>
      <c r="D745" s="625" t="e">
        <f t="shared" si="30"/>
        <v>#VALUE!</v>
      </c>
      <c r="E745" s="591"/>
      <c r="F745" s="591"/>
      <c r="G745" s="591"/>
      <c r="H745" s="591"/>
      <c r="I745" s="591"/>
      <c r="J745" s="591"/>
      <c r="K745" s="542"/>
      <c r="O745" s="1134"/>
      <c r="Q745" s="1133"/>
    </row>
    <row r="746" spans="2:17" x14ac:dyDescent="0.3">
      <c r="B746" s="126"/>
      <c r="C746" s="583">
        <v>376</v>
      </c>
      <c r="D746" s="625" t="e">
        <f t="shared" si="30"/>
        <v>#VALUE!</v>
      </c>
      <c r="E746" s="591"/>
      <c r="F746" s="591"/>
      <c r="G746" s="591"/>
      <c r="H746" s="591"/>
      <c r="I746" s="591"/>
      <c r="J746" s="591"/>
      <c r="K746" s="542"/>
      <c r="O746" s="1134"/>
      <c r="Q746" s="1133"/>
    </row>
    <row r="747" spans="2:17" x14ac:dyDescent="0.3">
      <c r="B747" s="126"/>
      <c r="C747" s="583">
        <v>377</v>
      </c>
      <c r="D747" s="625" t="e">
        <f t="shared" si="30"/>
        <v>#VALUE!</v>
      </c>
      <c r="E747" s="591"/>
      <c r="F747" s="591"/>
      <c r="G747" s="591"/>
      <c r="H747" s="591"/>
      <c r="I747" s="591"/>
      <c r="J747" s="591"/>
      <c r="K747" s="542"/>
      <c r="O747" s="1134"/>
      <c r="Q747" s="1133"/>
    </row>
    <row r="748" spans="2:17" x14ac:dyDescent="0.3">
      <c r="B748" s="126"/>
      <c r="C748" s="583">
        <v>378</v>
      </c>
      <c r="D748" s="625" t="e">
        <f t="shared" si="30"/>
        <v>#VALUE!</v>
      </c>
      <c r="E748" s="591"/>
      <c r="F748" s="591"/>
      <c r="G748" s="591"/>
      <c r="H748" s="591"/>
      <c r="I748" s="591"/>
      <c r="J748" s="591"/>
      <c r="K748" s="542"/>
      <c r="O748" s="1134"/>
      <c r="Q748" s="1133"/>
    </row>
    <row r="749" spans="2:17" x14ac:dyDescent="0.3">
      <c r="B749" s="126"/>
      <c r="C749" s="583">
        <v>379</v>
      </c>
      <c r="D749" s="625" t="e">
        <f t="shared" si="30"/>
        <v>#VALUE!</v>
      </c>
      <c r="E749" s="591"/>
      <c r="F749" s="591"/>
      <c r="G749" s="591"/>
      <c r="H749" s="591"/>
      <c r="I749" s="591"/>
      <c r="J749" s="591"/>
      <c r="K749" s="542"/>
      <c r="O749" s="1134"/>
      <c r="Q749" s="1133"/>
    </row>
    <row r="750" spans="2:17" x14ac:dyDescent="0.3">
      <c r="B750" s="126"/>
      <c r="C750" s="583">
        <v>380</v>
      </c>
      <c r="D750" s="625" t="e">
        <f t="shared" si="30"/>
        <v>#VALUE!</v>
      </c>
      <c r="E750" s="591"/>
      <c r="F750" s="591"/>
      <c r="G750" s="591"/>
      <c r="H750" s="591"/>
      <c r="I750" s="591"/>
      <c r="J750" s="591"/>
      <c r="K750" s="542"/>
      <c r="O750" s="1134"/>
      <c r="Q750" s="1133"/>
    </row>
    <row r="751" spans="2:17" x14ac:dyDescent="0.3">
      <c r="B751" s="126"/>
      <c r="C751" s="583">
        <v>381</v>
      </c>
      <c r="D751" s="625" t="e">
        <f t="shared" si="30"/>
        <v>#VALUE!</v>
      </c>
      <c r="E751" s="591"/>
      <c r="F751" s="591"/>
      <c r="G751" s="591"/>
      <c r="H751" s="591"/>
      <c r="I751" s="591"/>
      <c r="J751" s="591"/>
      <c r="K751" s="542"/>
      <c r="O751" s="1134"/>
      <c r="Q751" s="1133"/>
    </row>
    <row r="752" spans="2:17" x14ac:dyDescent="0.3">
      <c r="B752" s="126"/>
      <c r="C752" s="583">
        <v>382</v>
      </c>
      <c r="D752" s="625" t="e">
        <f t="shared" si="30"/>
        <v>#VALUE!</v>
      </c>
      <c r="E752" s="591"/>
      <c r="F752" s="591"/>
      <c r="G752" s="591"/>
      <c r="H752" s="591"/>
      <c r="I752" s="591"/>
      <c r="J752" s="591"/>
      <c r="K752" s="542"/>
      <c r="O752" s="1134"/>
      <c r="Q752" s="1133"/>
    </row>
    <row r="753" spans="2:17" x14ac:dyDescent="0.3">
      <c r="B753" s="126"/>
      <c r="C753" s="583">
        <v>383</v>
      </c>
      <c r="D753" s="625" t="e">
        <f t="shared" si="30"/>
        <v>#VALUE!</v>
      </c>
      <c r="E753" s="591"/>
      <c r="F753" s="591"/>
      <c r="G753" s="591"/>
      <c r="H753" s="591"/>
      <c r="I753" s="591"/>
      <c r="J753" s="591"/>
      <c r="K753" s="542"/>
      <c r="O753" s="1134"/>
      <c r="Q753" s="1133"/>
    </row>
    <row r="754" spans="2:17" x14ac:dyDescent="0.3">
      <c r="B754" s="126"/>
      <c r="C754" s="583">
        <v>384</v>
      </c>
      <c r="D754" s="625" t="e">
        <f t="shared" ref="D754:D817" si="31">$C$349*C754</f>
        <v>#VALUE!</v>
      </c>
      <c r="E754" s="591"/>
      <c r="F754" s="591"/>
      <c r="G754" s="591"/>
      <c r="H754" s="591"/>
      <c r="I754" s="591"/>
      <c r="J754" s="591"/>
      <c r="K754" s="542"/>
      <c r="O754" s="1134"/>
      <c r="Q754" s="1133"/>
    </row>
    <row r="755" spans="2:17" x14ac:dyDescent="0.3">
      <c r="B755" s="126"/>
      <c r="C755" s="583">
        <v>385</v>
      </c>
      <c r="D755" s="625" t="e">
        <f t="shared" si="31"/>
        <v>#VALUE!</v>
      </c>
      <c r="E755" s="591"/>
      <c r="F755" s="591"/>
      <c r="G755" s="591"/>
      <c r="H755" s="591"/>
      <c r="I755" s="591"/>
      <c r="J755" s="591"/>
      <c r="K755" s="542"/>
      <c r="O755" s="1134"/>
      <c r="Q755" s="1133"/>
    </row>
    <row r="756" spans="2:17" x14ac:dyDescent="0.3">
      <c r="B756" s="126"/>
      <c r="C756" s="583">
        <v>386</v>
      </c>
      <c r="D756" s="625" t="e">
        <f t="shared" si="31"/>
        <v>#VALUE!</v>
      </c>
      <c r="E756" s="591"/>
      <c r="F756" s="591"/>
      <c r="G756" s="591"/>
      <c r="H756" s="591"/>
      <c r="I756" s="591"/>
      <c r="J756" s="591"/>
      <c r="K756" s="542"/>
      <c r="O756" s="1134"/>
      <c r="Q756" s="1133"/>
    </row>
    <row r="757" spans="2:17" x14ac:dyDescent="0.3">
      <c r="B757" s="126"/>
      <c r="C757" s="583">
        <v>387</v>
      </c>
      <c r="D757" s="625" t="e">
        <f t="shared" si="31"/>
        <v>#VALUE!</v>
      </c>
      <c r="E757" s="591"/>
      <c r="F757" s="591"/>
      <c r="G757" s="591"/>
      <c r="H757" s="591"/>
      <c r="I757" s="591"/>
      <c r="J757" s="591"/>
      <c r="K757" s="542"/>
      <c r="O757" s="1134"/>
      <c r="Q757" s="1133"/>
    </row>
    <row r="758" spans="2:17" x14ac:dyDescent="0.3">
      <c r="B758" s="126"/>
      <c r="C758" s="583">
        <v>388</v>
      </c>
      <c r="D758" s="625" t="e">
        <f t="shared" si="31"/>
        <v>#VALUE!</v>
      </c>
      <c r="E758" s="591"/>
      <c r="F758" s="591"/>
      <c r="G758" s="591"/>
      <c r="H758" s="591"/>
      <c r="I758" s="591"/>
      <c r="J758" s="591"/>
      <c r="K758" s="542"/>
      <c r="O758" s="1134"/>
      <c r="Q758" s="1133"/>
    </row>
    <row r="759" spans="2:17" x14ac:dyDescent="0.3">
      <c r="B759" s="126"/>
      <c r="C759" s="583">
        <v>389</v>
      </c>
      <c r="D759" s="625" t="e">
        <f t="shared" si="31"/>
        <v>#VALUE!</v>
      </c>
      <c r="E759" s="591"/>
      <c r="F759" s="591"/>
      <c r="G759" s="591"/>
      <c r="H759" s="591"/>
      <c r="I759" s="591"/>
      <c r="J759" s="591"/>
      <c r="K759" s="542"/>
      <c r="O759" s="1134"/>
      <c r="Q759" s="1133"/>
    </row>
    <row r="760" spans="2:17" x14ac:dyDescent="0.3">
      <c r="B760" s="126"/>
      <c r="C760" s="583">
        <v>390</v>
      </c>
      <c r="D760" s="625" t="e">
        <f t="shared" si="31"/>
        <v>#VALUE!</v>
      </c>
      <c r="E760" s="591"/>
      <c r="F760" s="591"/>
      <c r="G760" s="591"/>
      <c r="H760" s="591"/>
      <c r="I760" s="591"/>
      <c r="J760" s="591"/>
      <c r="K760" s="542"/>
      <c r="O760" s="1134"/>
      <c r="Q760" s="1133"/>
    </row>
    <row r="761" spans="2:17" x14ac:dyDescent="0.3">
      <c r="B761" s="126"/>
      <c r="C761" s="583">
        <v>391</v>
      </c>
      <c r="D761" s="625" t="e">
        <f t="shared" si="31"/>
        <v>#VALUE!</v>
      </c>
      <c r="E761" s="591"/>
      <c r="F761" s="591"/>
      <c r="G761" s="591"/>
      <c r="H761" s="591"/>
      <c r="I761" s="591"/>
      <c r="J761" s="591"/>
      <c r="K761" s="542"/>
      <c r="O761" s="1134"/>
      <c r="Q761" s="1133"/>
    </row>
    <row r="762" spans="2:17" x14ac:dyDescent="0.3">
      <c r="B762" s="126"/>
      <c r="C762" s="583">
        <v>392</v>
      </c>
      <c r="D762" s="625" t="e">
        <f t="shared" si="31"/>
        <v>#VALUE!</v>
      </c>
      <c r="E762" s="591"/>
      <c r="F762" s="591"/>
      <c r="G762" s="591"/>
      <c r="H762" s="591"/>
      <c r="I762" s="591"/>
      <c r="J762" s="591"/>
      <c r="K762" s="542"/>
      <c r="O762" s="1134"/>
      <c r="Q762" s="1133"/>
    </row>
    <row r="763" spans="2:17" x14ac:dyDescent="0.3">
      <c r="B763" s="126"/>
      <c r="C763" s="583">
        <v>393</v>
      </c>
      <c r="D763" s="625" t="e">
        <f t="shared" si="31"/>
        <v>#VALUE!</v>
      </c>
      <c r="E763" s="591"/>
      <c r="F763" s="591"/>
      <c r="G763" s="591"/>
      <c r="H763" s="591"/>
      <c r="I763" s="591"/>
      <c r="J763" s="591"/>
      <c r="K763" s="542"/>
      <c r="O763" s="1134"/>
      <c r="Q763" s="1133"/>
    </row>
    <row r="764" spans="2:17" x14ac:dyDescent="0.3">
      <c r="B764" s="126"/>
      <c r="C764" s="583">
        <v>394</v>
      </c>
      <c r="D764" s="625" t="e">
        <f t="shared" si="31"/>
        <v>#VALUE!</v>
      </c>
      <c r="E764" s="591"/>
      <c r="F764" s="591"/>
      <c r="G764" s="591"/>
      <c r="H764" s="591"/>
      <c r="I764" s="591"/>
      <c r="J764" s="591"/>
      <c r="K764" s="542"/>
      <c r="O764" s="1134"/>
      <c r="Q764" s="1133"/>
    </row>
    <row r="765" spans="2:17" x14ac:dyDescent="0.3">
      <c r="B765" s="126"/>
      <c r="C765" s="583">
        <v>395</v>
      </c>
      <c r="D765" s="625" t="e">
        <f t="shared" si="31"/>
        <v>#VALUE!</v>
      </c>
      <c r="E765" s="591"/>
      <c r="F765" s="591"/>
      <c r="G765" s="591"/>
      <c r="H765" s="591"/>
      <c r="I765" s="591"/>
      <c r="J765" s="591"/>
      <c r="K765" s="542"/>
      <c r="O765" s="1134"/>
      <c r="Q765" s="1133"/>
    </row>
    <row r="766" spans="2:17" x14ac:dyDescent="0.3">
      <c r="B766" s="126"/>
      <c r="C766" s="583">
        <v>396</v>
      </c>
      <c r="D766" s="625" t="e">
        <f t="shared" si="31"/>
        <v>#VALUE!</v>
      </c>
      <c r="E766" s="591"/>
      <c r="F766" s="591"/>
      <c r="G766" s="591"/>
      <c r="H766" s="591"/>
      <c r="I766" s="591"/>
      <c r="J766" s="591"/>
      <c r="K766" s="542"/>
      <c r="O766" s="1134"/>
      <c r="Q766" s="1133"/>
    </row>
    <row r="767" spans="2:17" x14ac:dyDescent="0.3">
      <c r="B767" s="126"/>
      <c r="C767" s="583">
        <v>397</v>
      </c>
      <c r="D767" s="625" t="e">
        <f t="shared" si="31"/>
        <v>#VALUE!</v>
      </c>
      <c r="E767" s="591"/>
      <c r="F767" s="591"/>
      <c r="G767" s="591"/>
      <c r="H767" s="591"/>
      <c r="I767" s="591"/>
      <c r="J767" s="591"/>
      <c r="K767" s="542"/>
      <c r="O767" s="1134"/>
      <c r="Q767" s="1133"/>
    </row>
    <row r="768" spans="2:17" x14ac:dyDescent="0.3">
      <c r="B768" s="126"/>
      <c r="C768" s="583">
        <v>398</v>
      </c>
      <c r="D768" s="625" t="e">
        <f t="shared" si="31"/>
        <v>#VALUE!</v>
      </c>
      <c r="E768" s="591"/>
      <c r="F768" s="591"/>
      <c r="G768" s="591"/>
      <c r="H768" s="591"/>
      <c r="I768" s="591"/>
      <c r="J768" s="591"/>
      <c r="K768" s="542"/>
      <c r="O768" s="1134"/>
      <c r="Q768" s="1133"/>
    </row>
    <row r="769" spans="2:17" x14ac:dyDescent="0.3">
      <c r="B769" s="126"/>
      <c r="C769" s="583">
        <v>399</v>
      </c>
      <c r="D769" s="625" t="e">
        <f t="shared" si="31"/>
        <v>#VALUE!</v>
      </c>
      <c r="E769" s="591"/>
      <c r="F769" s="591"/>
      <c r="G769" s="591"/>
      <c r="H769" s="591"/>
      <c r="I769" s="591"/>
      <c r="J769" s="591"/>
      <c r="K769" s="542"/>
      <c r="O769" s="1134"/>
      <c r="Q769" s="1133"/>
    </row>
    <row r="770" spans="2:17" x14ac:dyDescent="0.3">
      <c r="B770" s="126"/>
      <c r="C770" s="583">
        <v>400</v>
      </c>
      <c r="D770" s="625" t="e">
        <f t="shared" si="31"/>
        <v>#VALUE!</v>
      </c>
      <c r="E770" s="591"/>
      <c r="F770" s="591"/>
      <c r="G770" s="591"/>
      <c r="H770" s="591"/>
      <c r="I770" s="591"/>
      <c r="J770" s="591"/>
      <c r="K770" s="542"/>
      <c r="O770" s="1134"/>
      <c r="Q770" s="1133"/>
    </row>
    <row r="771" spans="2:17" x14ac:dyDescent="0.3">
      <c r="B771" s="126"/>
      <c r="C771" s="583">
        <v>401</v>
      </c>
      <c r="D771" s="625" t="e">
        <f t="shared" si="31"/>
        <v>#VALUE!</v>
      </c>
      <c r="E771" s="591"/>
      <c r="F771" s="591"/>
      <c r="G771" s="591"/>
      <c r="H771" s="591"/>
      <c r="I771" s="591"/>
      <c r="J771" s="591"/>
      <c r="K771" s="542"/>
      <c r="O771" s="1134"/>
      <c r="Q771" s="1133"/>
    </row>
    <row r="772" spans="2:17" x14ac:dyDescent="0.3">
      <c r="B772" s="126"/>
      <c r="C772" s="583">
        <v>402</v>
      </c>
      <c r="D772" s="625" t="e">
        <f t="shared" si="31"/>
        <v>#VALUE!</v>
      </c>
      <c r="E772" s="591"/>
      <c r="F772" s="591"/>
      <c r="G772" s="591"/>
      <c r="H772" s="591"/>
      <c r="I772" s="591"/>
      <c r="J772" s="591"/>
      <c r="K772" s="542"/>
      <c r="O772" s="1134"/>
      <c r="Q772" s="1133"/>
    </row>
    <row r="773" spans="2:17" x14ac:dyDescent="0.3">
      <c r="B773" s="126"/>
      <c r="C773" s="583">
        <v>403</v>
      </c>
      <c r="D773" s="625" t="e">
        <f t="shared" si="31"/>
        <v>#VALUE!</v>
      </c>
      <c r="E773" s="591"/>
      <c r="F773" s="591"/>
      <c r="G773" s="591"/>
      <c r="H773" s="591"/>
      <c r="I773" s="591"/>
      <c r="J773" s="591"/>
      <c r="K773" s="542"/>
      <c r="O773" s="1134"/>
      <c r="Q773" s="1133"/>
    </row>
    <row r="774" spans="2:17" x14ac:dyDescent="0.3">
      <c r="B774" s="126"/>
      <c r="C774" s="583">
        <v>404</v>
      </c>
      <c r="D774" s="625" t="e">
        <f t="shared" si="31"/>
        <v>#VALUE!</v>
      </c>
      <c r="E774" s="591"/>
      <c r="F774" s="591"/>
      <c r="G774" s="591"/>
      <c r="H774" s="591"/>
      <c r="I774" s="591"/>
      <c r="J774" s="591"/>
      <c r="K774" s="542"/>
      <c r="O774" s="1134"/>
      <c r="Q774" s="1133"/>
    </row>
    <row r="775" spans="2:17" x14ac:dyDescent="0.3">
      <c r="B775" s="126"/>
      <c r="C775" s="583">
        <v>405</v>
      </c>
      <c r="D775" s="625" t="e">
        <f t="shared" si="31"/>
        <v>#VALUE!</v>
      </c>
      <c r="E775" s="591"/>
      <c r="F775" s="591"/>
      <c r="G775" s="591"/>
      <c r="H775" s="591"/>
      <c r="I775" s="591"/>
      <c r="J775" s="591"/>
      <c r="K775" s="542"/>
      <c r="O775" s="1134"/>
      <c r="Q775" s="1133"/>
    </row>
    <row r="776" spans="2:17" x14ac:dyDescent="0.3">
      <c r="B776" s="126"/>
      <c r="C776" s="583">
        <v>406</v>
      </c>
      <c r="D776" s="625" t="e">
        <f t="shared" si="31"/>
        <v>#VALUE!</v>
      </c>
      <c r="E776" s="591"/>
      <c r="F776" s="591"/>
      <c r="G776" s="591"/>
      <c r="H776" s="591"/>
      <c r="I776" s="591"/>
      <c r="J776" s="591"/>
      <c r="K776" s="542"/>
      <c r="O776" s="1134"/>
      <c r="Q776" s="1133"/>
    </row>
    <row r="777" spans="2:17" x14ac:dyDescent="0.3">
      <c r="B777" s="126"/>
      <c r="C777" s="583">
        <v>407</v>
      </c>
      <c r="D777" s="625" t="e">
        <f t="shared" si="31"/>
        <v>#VALUE!</v>
      </c>
      <c r="E777" s="591"/>
      <c r="F777" s="591"/>
      <c r="G777" s="591"/>
      <c r="H777" s="591"/>
      <c r="I777" s="591"/>
      <c r="J777" s="591"/>
      <c r="K777" s="542"/>
      <c r="O777" s="1134"/>
      <c r="Q777" s="1133"/>
    </row>
    <row r="778" spans="2:17" x14ac:dyDescent="0.3">
      <c r="B778" s="126"/>
      <c r="C778" s="583">
        <v>408</v>
      </c>
      <c r="D778" s="625" t="e">
        <f t="shared" si="31"/>
        <v>#VALUE!</v>
      </c>
      <c r="E778" s="591"/>
      <c r="F778" s="591"/>
      <c r="G778" s="591"/>
      <c r="H778" s="591"/>
      <c r="I778" s="591"/>
      <c r="J778" s="591"/>
      <c r="K778" s="542"/>
      <c r="O778" s="1134"/>
      <c r="Q778" s="1133"/>
    </row>
    <row r="779" spans="2:17" x14ac:dyDescent="0.3">
      <c r="B779" s="126"/>
      <c r="C779" s="583">
        <v>409</v>
      </c>
      <c r="D779" s="625" t="e">
        <f t="shared" si="31"/>
        <v>#VALUE!</v>
      </c>
      <c r="E779" s="591"/>
      <c r="F779" s="591"/>
      <c r="G779" s="591"/>
      <c r="H779" s="591"/>
      <c r="I779" s="591"/>
      <c r="J779" s="591"/>
      <c r="K779" s="542"/>
      <c r="O779" s="1134"/>
      <c r="Q779" s="1133"/>
    </row>
    <row r="780" spans="2:17" x14ac:dyDescent="0.3">
      <c r="B780" s="126"/>
      <c r="C780" s="583">
        <v>410</v>
      </c>
      <c r="D780" s="625" t="e">
        <f t="shared" si="31"/>
        <v>#VALUE!</v>
      </c>
      <c r="E780" s="591"/>
      <c r="F780" s="591"/>
      <c r="G780" s="591"/>
      <c r="H780" s="591"/>
      <c r="I780" s="591"/>
      <c r="J780" s="591"/>
      <c r="K780" s="542"/>
      <c r="O780" s="1134"/>
      <c r="Q780" s="1133"/>
    </row>
    <row r="781" spans="2:17" x14ac:dyDescent="0.3">
      <c r="B781" s="126"/>
      <c r="C781" s="583">
        <v>411</v>
      </c>
      <c r="D781" s="625" t="e">
        <f t="shared" si="31"/>
        <v>#VALUE!</v>
      </c>
      <c r="E781" s="591"/>
      <c r="F781" s="591"/>
      <c r="G781" s="591"/>
      <c r="H781" s="591"/>
      <c r="I781" s="591"/>
      <c r="J781" s="591"/>
      <c r="K781" s="542"/>
      <c r="O781" s="1134"/>
      <c r="Q781" s="1133"/>
    </row>
    <row r="782" spans="2:17" x14ac:dyDescent="0.3">
      <c r="B782" s="126"/>
      <c r="C782" s="583">
        <v>412</v>
      </c>
      <c r="D782" s="625" t="e">
        <f t="shared" si="31"/>
        <v>#VALUE!</v>
      </c>
      <c r="E782" s="591"/>
      <c r="F782" s="591"/>
      <c r="G782" s="591"/>
      <c r="H782" s="591"/>
      <c r="I782" s="591"/>
      <c r="J782" s="591"/>
      <c r="K782" s="542"/>
      <c r="O782" s="1134"/>
      <c r="Q782" s="1133"/>
    </row>
    <row r="783" spans="2:17" x14ac:dyDescent="0.3">
      <c r="B783" s="126"/>
      <c r="C783" s="583">
        <v>413</v>
      </c>
      <c r="D783" s="625" t="e">
        <f t="shared" si="31"/>
        <v>#VALUE!</v>
      </c>
      <c r="E783" s="591"/>
      <c r="F783" s="591"/>
      <c r="G783" s="591"/>
      <c r="H783" s="591"/>
      <c r="I783" s="591"/>
      <c r="J783" s="591"/>
      <c r="K783" s="542"/>
      <c r="O783" s="1134"/>
      <c r="Q783" s="1133"/>
    </row>
    <row r="784" spans="2:17" x14ac:dyDescent="0.3">
      <c r="B784" s="126"/>
      <c r="C784" s="583">
        <v>414</v>
      </c>
      <c r="D784" s="625" t="e">
        <f t="shared" si="31"/>
        <v>#VALUE!</v>
      </c>
      <c r="E784" s="591"/>
      <c r="F784" s="591"/>
      <c r="G784" s="591"/>
      <c r="H784" s="591"/>
      <c r="I784" s="591"/>
      <c r="J784" s="591"/>
      <c r="K784" s="542"/>
      <c r="O784" s="1134"/>
      <c r="Q784" s="1133"/>
    </row>
    <row r="785" spans="2:17" x14ac:dyDescent="0.3">
      <c r="B785" s="126"/>
      <c r="C785" s="583">
        <v>415</v>
      </c>
      <c r="D785" s="625" t="e">
        <f t="shared" si="31"/>
        <v>#VALUE!</v>
      </c>
      <c r="E785" s="591"/>
      <c r="F785" s="591"/>
      <c r="G785" s="591"/>
      <c r="H785" s="591"/>
      <c r="I785" s="591"/>
      <c r="J785" s="591"/>
      <c r="K785" s="542"/>
      <c r="O785" s="1134"/>
      <c r="Q785" s="1133"/>
    </row>
    <row r="786" spans="2:17" x14ac:dyDescent="0.3">
      <c r="B786" s="126"/>
      <c r="C786" s="583">
        <v>416</v>
      </c>
      <c r="D786" s="625" t="e">
        <f t="shared" si="31"/>
        <v>#VALUE!</v>
      </c>
      <c r="E786" s="591"/>
      <c r="F786" s="591"/>
      <c r="G786" s="591"/>
      <c r="H786" s="591"/>
      <c r="I786" s="591"/>
      <c r="J786" s="591"/>
      <c r="K786" s="542"/>
      <c r="O786" s="1134"/>
      <c r="Q786" s="1133"/>
    </row>
    <row r="787" spans="2:17" x14ac:dyDescent="0.3">
      <c r="B787" s="126"/>
      <c r="C787" s="583">
        <v>417</v>
      </c>
      <c r="D787" s="625" t="e">
        <f t="shared" si="31"/>
        <v>#VALUE!</v>
      </c>
      <c r="E787" s="591"/>
      <c r="F787" s="591"/>
      <c r="G787" s="591"/>
      <c r="H787" s="591"/>
      <c r="I787" s="591"/>
      <c r="J787" s="591"/>
      <c r="K787" s="542"/>
      <c r="O787" s="1134"/>
      <c r="Q787" s="1133"/>
    </row>
    <row r="788" spans="2:17" x14ac:dyDescent="0.3">
      <c r="B788" s="126"/>
      <c r="C788" s="583">
        <v>418</v>
      </c>
      <c r="D788" s="625" t="e">
        <f t="shared" si="31"/>
        <v>#VALUE!</v>
      </c>
      <c r="E788" s="591"/>
      <c r="F788" s="591"/>
      <c r="G788" s="591"/>
      <c r="H788" s="591"/>
      <c r="I788" s="591"/>
      <c r="J788" s="591"/>
      <c r="K788" s="542"/>
      <c r="O788" s="1134"/>
      <c r="Q788" s="1133"/>
    </row>
    <row r="789" spans="2:17" x14ac:dyDescent="0.3">
      <c r="B789" s="126"/>
      <c r="C789" s="583">
        <v>419</v>
      </c>
      <c r="D789" s="625" t="e">
        <f t="shared" si="31"/>
        <v>#VALUE!</v>
      </c>
      <c r="E789" s="591"/>
      <c r="F789" s="591"/>
      <c r="G789" s="591"/>
      <c r="H789" s="591"/>
      <c r="I789" s="591"/>
      <c r="J789" s="591"/>
      <c r="K789" s="542"/>
      <c r="O789" s="1134"/>
      <c r="Q789" s="1133"/>
    </row>
    <row r="790" spans="2:17" x14ac:dyDescent="0.3">
      <c r="B790" s="126"/>
      <c r="C790" s="583">
        <v>420</v>
      </c>
      <c r="D790" s="625" t="e">
        <f t="shared" si="31"/>
        <v>#VALUE!</v>
      </c>
      <c r="E790" s="591"/>
      <c r="F790" s="591"/>
      <c r="G790" s="591"/>
      <c r="H790" s="591"/>
      <c r="I790" s="591"/>
      <c r="J790" s="591"/>
      <c r="K790" s="542"/>
      <c r="O790" s="1134"/>
      <c r="Q790" s="1133"/>
    </row>
    <row r="791" spans="2:17" x14ac:dyDescent="0.3">
      <c r="B791" s="126"/>
      <c r="C791" s="583">
        <v>421</v>
      </c>
      <c r="D791" s="625" t="e">
        <f t="shared" si="31"/>
        <v>#VALUE!</v>
      </c>
      <c r="E791" s="591"/>
      <c r="F791" s="591"/>
      <c r="G791" s="591"/>
      <c r="H791" s="591"/>
      <c r="I791" s="591"/>
      <c r="J791" s="591"/>
      <c r="K791" s="542"/>
      <c r="O791" s="1134"/>
      <c r="Q791" s="1133"/>
    </row>
    <row r="792" spans="2:17" x14ac:dyDescent="0.3">
      <c r="B792" s="126"/>
      <c r="C792" s="583">
        <v>422</v>
      </c>
      <c r="D792" s="625" t="e">
        <f t="shared" si="31"/>
        <v>#VALUE!</v>
      </c>
      <c r="E792" s="591"/>
      <c r="F792" s="591"/>
      <c r="G792" s="591"/>
      <c r="H792" s="591"/>
      <c r="I792" s="591"/>
      <c r="J792" s="591"/>
      <c r="K792" s="542"/>
      <c r="O792" s="1134"/>
      <c r="Q792" s="1133"/>
    </row>
    <row r="793" spans="2:17" x14ac:dyDescent="0.3">
      <c r="B793" s="126"/>
      <c r="C793" s="583">
        <v>423</v>
      </c>
      <c r="D793" s="625" t="e">
        <f t="shared" si="31"/>
        <v>#VALUE!</v>
      </c>
      <c r="E793" s="591"/>
      <c r="F793" s="591"/>
      <c r="G793" s="591"/>
      <c r="H793" s="591"/>
      <c r="I793" s="591"/>
      <c r="J793" s="591"/>
      <c r="K793" s="542"/>
      <c r="O793" s="1134"/>
      <c r="Q793" s="1133"/>
    </row>
    <row r="794" spans="2:17" x14ac:dyDescent="0.3">
      <c r="B794" s="126"/>
      <c r="C794" s="583">
        <v>424</v>
      </c>
      <c r="D794" s="625" t="e">
        <f t="shared" si="31"/>
        <v>#VALUE!</v>
      </c>
      <c r="E794" s="591"/>
      <c r="F794" s="591"/>
      <c r="G794" s="591"/>
      <c r="H794" s="591"/>
      <c r="I794" s="591"/>
      <c r="J794" s="591"/>
      <c r="K794" s="542"/>
      <c r="O794" s="1134"/>
      <c r="Q794" s="1133"/>
    </row>
    <row r="795" spans="2:17" x14ac:dyDescent="0.3">
      <c r="B795" s="126"/>
      <c r="C795" s="583">
        <v>425</v>
      </c>
      <c r="D795" s="625" t="e">
        <f t="shared" si="31"/>
        <v>#VALUE!</v>
      </c>
      <c r="E795" s="591"/>
      <c r="F795" s="591"/>
      <c r="G795" s="591"/>
      <c r="H795" s="591"/>
      <c r="I795" s="591"/>
      <c r="J795" s="591"/>
      <c r="K795" s="542"/>
      <c r="O795" s="1134"/>
      <c r="Q795" s="1133"/>
    </row>
    <row r="796" spans="2:17" x14ac:dyDescent="0.3">
      <c r="B796" s="126"/>
      <c r="C796" s="583">
        <v>426</v>
      </c>
      <c r="D796" s="625" t="e">
        <f t="shared" si="31"/>
        <v>#VALUE!</v>
      </c>
      <c r="E796" s="591"/>
      <c r="F796" s="591"/>
      <c r="G796" s="591"/>
      <c r="H796" s="591"/>
      <c r="I796" s="591"/>
      <c r="J796" s="591"/>
      <c r="K796" s="542"/>
      <c r="O796" s="1134"/>
      <c r="Q796" s="1133"/>
    </row>
    <row r="797" spans="2:17" x14ac:dyDescent="0.3">
      <c r="B797" s="126"/>
      <c r="C797" s="583">
        <v>427</v>
      </c>
      <c r="D797" s="625" t="e">
        <f t="shared" si="31"/>
        <v>#VALUE!</v>
      </c>
      <c r="E797" s="591"/>
      <c r="F797" s="591"/>
      <c r="G797" s="591"/>
      <c r="H797" s="591"/>
      <c r="I797" s="591"/>
      <c r="J797" s="591"/>
      <c r="K797" s="542"/>
      <c r="O797" s="1134"/>
      <c r="Q797" s="1133"/>
    </row>
    <row r="798" spans="2:17" x14ac:dyDescent="0.3">
      <c r="B798" s="126"/>
      <c r="C798" s="583">
        <v>428</v>
      </c>
      <c r="D798" s="625" t="e">
        <f t="shared" si="31"/>
        <v>#VALUE!</v>
      </c>
      <c r="E798" s="591"/>
      <c r="F798" s="591"/>
      <c r="G798" s="591"/>
      <c r="H798" s="591"/>
      <c r="I798" s="591"/>
      <c r="J798" s="591"/>
      <c r="K798" s="542"/>
      <c r="O798" s="1134"/>
      <c r="Q798" s="1133"/>
    </row>
    <row r="799" spans="2:17" x14ac:dyDescent="0.3">
      <c r="B799" s="126"/>
      <c r="C799" s="583">
        <v>429</v>
      </c>
      <c r="D799" s="625" t="e">
        <f t="shared" si="31"/>
        <v>#VALUE!</v>
      </c>
      <c r="E799" s="591"/>
      <c r="F799" s="591"/>
      <c r="G799" s="591"/>
      <c r="H799" s="591"/>
      <c r="I799" s="591"/>
      <c r="J799" s="591"/>
      <c r="K799" s="542"/>
      <c r="O799" s="1134"/>
      <c r="Q799" s="1133"/>
    </row>
    <row r="800" spans="2:17" x14ac:dyDescent="0.3">
      <c r="B800" s="126"/>
      <c r="C800" s="583">
        <v>430</v>
      </c>
      <c r="D800" s="625" t="e">
        <f t="shared" si="31"/>
        <v>#VALUE!</v>
      </c>
      <c r="E800" s="591"/>
      <c r="F800" s="591"/>
      <c r="G800" s="591"/>
      <c r="H800" s="591"/>
      <c r="I800" s="591"/>
      <c r="J800" s="591"/>
      <c r="K800" s="542"/>
      <c r="O800" s="1134"/>
      <c r="Q800" s="1133"/>
    </row>
    <row r="801" spans="2:17" x14ac:dyDescent="0.3">
      <c r="B801" s="126"/>
      <c r="C801" s="583">
        <v>431</v>
      </c>
      <c r="D801" s="625" t="e">
        <f t="shared" si="31"/>
        <v>#VALUE!</v>
      </c>
      <c r="E801" s="591"/>
      <c r="F801" s="591"/>
      <c r="G801" s="591"/>
      <c r="H801" s="591"/>
      <c r="I801" s="591"/>
      <c r="J801" s="591"/>
      <c r="K801" s="542"/>
      <c r="O801" s="1134"/>
      <c r="Q801" s="1133"/>
    </row>
    <row r="802" spans="2:17" x14ac:dyDescent="0.3">
      <c r="B802" s="126"/>
      <c r="C802" s="583">
        <v>432</v>
      </c>
      <c r="D802" s="625" t="e">
        <f t="shared" si="31"/>
        <v>#VALUE!</v>
      </c>
      <c r="E802" s="591"/>
      <c r="F802" s="591"/>
      <c r="G802" s="591"/>
      <c r="H802" s="591"/>
      <c r="I802" s="591"/>
      <c r="J802" s="591"/>
      <c r="K802" s="542"/>
      <c r="O802" s="1134"/>
      <c r="Q802" s="1133"/>
    </row>
    <row r="803" spans="2:17" x14ac:dyDescent="0.3">
      <c r="B803" s="126"/>
      <c r="C803" s="583">
        <v>433</v>
      </c>
      <c r="D803" s="625" t="e">
        <f t="shared" si="31"/>
        <v>#VALUE!</v>
      </c>
      <c r="E803" s="591"/>
      <c r="F803" s="591"/>
      <c r="G803" s="591"/>
      <c r="H803" s="591"/>
      <c r="I803" s="591"/>
      <c r="J803" s="591"/>
      <c r="K803" s="542"/>
      <c r="O803" s="1134"/>
      <c r="Q803" s="1133"/>
    </row>
    <row r="804" spans="2:17" x14ac:dyDescent="0.3">
      <c r="B804" s="126"/>
      <c r="C804" s="583">
        <v>434</v>
      </c>
      <c r="D804" s="625" t="e">
        <f t="shared" si="31"/>
        <v>#VALUE!</v>
      </c>
      <c r="E804" s="591"/>
      <c r="F804" s="591"/>
      <c r="G804" s="591"/>
      <c r="H804" s="591"/>
      <c r="I804" s="591"/>
      <c r="J804" s="591"/>
      <c r="K804" s="542"/>
      <c r="O804" s="1134"/>
      <c r="Q804" s="1133"/>
    </row>
    <row r="805" spans="2:17" x14ac:dyDescent="0.3">
      <c r="B805" s="126"/>
      <c r="C805" s="583">
        <v>435</v>
      </c>
      <c r="D805" s="625" t="e">
        <f t="shared" si="31"/>
        <v>#VALUE!</v>
      </c>
      <c r="E805" s="591"/>
      <c r="F805" s="591"/>
      <c r="G805" s="591"/>
      <c r="H805" s="591"/>
      <c r="I805" s="591"/>
      <c r="J805" s="591"/>
      <c r="K805" s="542"/>
      <c r="O805" s="1134"/>
      <c r="Q805" s="1133"/>
    </row>
    <row r="806" spans="2:17" x14ac:dyDescent="0.3">
      <c r="B806" s="126"/>
      <c r="C806" s="583">
        <v>436</v>
      </c>
      <c r="D806" s="625" t="e">
        <f t="shared" si="31"/>
        <v>#VALUE!</v>
      </c>
      <c r="E806" s="591"/>
      <c r="F806" s="591"/>
      <c r="G806" s="591"/>
      <c r="H806" s="591"/>
      <c r="I806" s="591"/>
      <c r="J806" s="591"/>
      <c r="K806" s="542"/>
      <c r="O806" s="1134"/>
      <c r="Q806" s="1133"/>
    </row>
    <row r="807" spans="2:17" x14ac:dyDescent="0.3">
      <c r="B807" s="126"/>
      <c r="C807" s="583">
        <v>437</v>
      </c>
      <c r="D807" s="625" t="e">
        <f t="shared" si="31"/>
        <v>#VALUE!</v>
      </c>
      <c r="E807" s="591"/>
      <c r="F807" s="591"/>
      <c r="G807" s="591"/>
      <c r="H807" s="591"/>
      <c r="I807" s="591"/>
      <c r="J807" s="591"/>
      <c r="K807" s="542"/>
      <c r="O807" s="1134"/>
      <c r="Q807" s="1133"/>
    </row>
    <row r="808" spans="2:17" x14ac:dyDescent="0.3">
      <c r="B808" s="126"/>
      <c r="C808" s="583">
        <v>438</v>
      </c>
      <c r="D808" s="625" t="e">
        <f t="shared" si="31"/>
        <v>#VALUE!</v>
      </c>
      <c r="E808" s="591"/>
      <c r="F808" s="591"/>
      <c r="G808" s="591"/>
      <c r="H808" s="591"/>
      <c r="I808" s="591"/>
      <c r="J808" s="591"/>
      <c r="K808" s="542"/>
      <c r="O808" s="1134"/>
      <c r="Q808" s="1133"/>
    </row>
    <row r="809" spans="2:17" x14ac:dyDescent="0.3">
      <c r="B809" s="126"/>
      <c r="C809" s="583">
        <v>439</v>
      </c>
      <c r="D809" s="625" t="e">
        <f t="shared" si="31"/>
        <v>#VALUE!</v>
      </c>
      <c r="E809" s="591"/>
      <c r="F809" s="591"/>
      <c r="G809" s="591"/>
      <c r="H809" s="591"/>
      <c r="I809" s="591"/>
      <c r="J809" s="591"/>
      <c r="K809" s="542"/>
      <c r="O809" s="1134"/>
      <c r="Q809" s="1133"/>
    </row>
    <row r="810" spans="2:17" x14ac:dyDescent="0.3">
      <c r="B810" s="126"/>
      <c r="C810" s="583">
        <v>440</v>
      </c>
      <c r="D810" s="625" t="e">
        <f t="shared" si="31"/>
        <v>#VALUE!</v>
      </c>
      <c r="E810" s="591"/>
      <c r="F810" s="591"/>
      <c r="G810" s="591"/>
      <c r="H810" s="591"/>
      <c r="I810" s="591"/>
      <c r="J810" s="591"/>
      <c r="K810" s="542"/>
      <c r="O810" s="1134"/>
      <c r="Q810" s="1133"/>
    </row>
    <row r="811" spans="2:17" x14ac:dyDescent="0.3">
      <c r="B811" s="126"/>
      <c r="C811" s="583">
        <v>441</v>
      </c>
      <c r="D811" s="625" t="e">
        <f t="shared" si="31"/>
        <v>#VALUE!</v>
      </c>
      <c r="E811" s="591"/>
      <c r="F811" s="591"/>
      <c r="G811" s="591"/>
      <c r="H811" s="591"/>
      <c r="I811" s="591"/>
      <c r="J811" s="591"/>
      <c r="K811" s="542"/>
      <c r="O811" s="1134"/>
      <c r="Q811" s="1133"/>
    </row>
    <row r="812" spans="2:17" x14ac:dyDescent="0.3">
      <c r="B812" s="126"/>
      <c r="C812" s="583">
        <v>442</v>
      </c>
      <c r="D812" s="625" t="e">
        <f t="shared" si="31"/>
        <v>#VALUE!</v>
      </c>
      <c r="E812" s="591"/>
      <c r="F812" s="591"/>
      <c r="G812" s="591"/>
      <c r="H812" s="591"/>
      <c r="I812" s="591"/>
      <c r="J812" s="591"/>
      <c r="K812" s="542"/>
      <c r="O812" s="1134"/>
      <c r="Q812" s="1133"/>
    </row>
    <row r="813" spans="2:17" x14ac:dyDescent="0.3">
      <c r="B813" s="126"/>
      <c r="C813" s="583">
        <v>443</v>
      </c>
      <c r="D813" s="625" t="e">
        <f t="shared" si="31"/>
        <v>#VALUE!</v>
      </c>
      <c r="E813" s="591"/>
      <c r="F813" s="591"/>
      <c r="G813" s="591"/>
      <c r="H813" s="591"/>
      <c r="I813" s="591"/>
      <c r="J813" s="591"/>
      <c r="K813" s="542"/>
      <c r="O813" s="1134"/>
      <c r="Q813" s="1133"/>
    </row>
    <row r="814" spans="2:17" x14ac:dyDescent="0.3">
      <c r="B814" s="126"/>
      <c r="C814" s="583">
        <v>444</v>
      </c>
      <c r="D814" s="625" t="e">
        <f t="shared" si="31"/>
        <v>#VALUE!</v>
      </c>
      <c r="E814" s="591"/>
      <c r="F814" s="591"/>
      <c r="G814" s="591"/>
      <c r="H814" s="591"/>
      <c r="I814" s="591"/>
      <c r="J814" s="591"/>
      <c r="K814" s="542"/>
      <c r="O814" s="1134"/>
      <c r="Q814" s="1133"/>
    </row>
    <row r="815" spans="2:17" x14ac:dyDescent="0.3">
      <c r="B815" s="126"/>
      <c r="C815" s="583">
        <v>445</v>
      </c>
      <c r="D815" s="625" t="e">
        <f t="shared" si="31"/>
        <v>#VALUE!</v>
      </c>
      <c r="E815" s="591"/>
      <c r="F815" s="591"/>
      <c r="G815" s="591"/>
      <c r="H815" s="591"/>
      <c r="I815" s="591"/>
      <c r="J815" s="591"/>
      <c r="K815" s="542"/>
      <c r="O815" s="1134"/>
      <c r="Q815" s="1133"/>
    </row>
    <row r="816" spans="2:17" x14ac:dyDescent="0.3">
      <c r="B816" s="126"/>
      <c r="C816" s="583">
        <v>446</v>
      </c>
      <c r="D816" s="625" t="e">
        <f t="shared" si="31"/>
        <v>#VALUE!</v>
      </c>
      <c r="E816" s="591"/>
      <c r="F816" s="591"/>
      <c r="G816" s="591"/>
      <c r="H816" s="591"/>
      <c r="I816" s="591"/>
      <c r="J816" s="591"/>
      <c r="K816" s="542"/>
      <c r="O816" s="1134"/>
      <c r="Q816" s="1133"/>
    </row>
    <row r="817" spans="2:17" x14ac:dyDescent="0.3">
      <c r="B817" s="126"/>
      <c r="C817" s="583">
        <v>447</v>
      </c>
      <c r="D817" s="625" t="e">
        <f t="shared" si="31"/>
        <v>#VALUE!</v>
      </c>
      <c r="E817" s="591"/>
      <c r="F817" s="591"/>
      <c r="G817" s="591"/>
      <c r="H817" s="591"/>
      <c r="I817" s="591"/>
      <c r="J817" s="591"/>
      <c r="K817" s="542"/>
      <c r="O817" s="1134"/>
      <c r="Q817" s="1133"/>
    </row>
    <row r="818" spans="2:17" x14ac:dyDescent="0.3">
      <c r="B818" s="126"/>
      <c r="C818" s="583">
        <v>448</v>
      </c>
      <c r="D818" s="625" t="e">
        <f t="shared" ref="D818:D881" si="32">$C$349*C818</f>
        <v>#VALUE!</v>
      </c>
      <c r="E818" s="591"/>
      <c r="F818" s="591"/>
      <c r="G818" s="591"/>
      <c r="H818" s="591"/>
      <c r="I818" s="591"/>
      <c r="J818" s="591"/>
      <c r="K818" s="542"/>
      <c r="O818" s="1134"/>
      <c r="Q818" s="1133"/>
    </row>
    <row r="819" spans="2:17" x14ac:dyDescent="0.3">
      <c r="B819" s="126"/>
      <c r="C819" s="583">
        <v>449</v>
      </c>
      <c r="D819" s="625" t="e">
        <f t="shared" si="32"/>
        <v>#VALUE!</v>
      </c>
      <c r="E819" s="591"/>
      <c r="F819" s="591"/>
      <c r="G819" s="591"/>
      <c r="H819" s="591"/>
      <c r="I819" s="591"/>
      <c r="J819" s="591"/>
      <c r="K819" s="542"/>
      <c r="O819" s="1134"/>
      <c r="Q819" s="1133"/>
    </row>
    <row r="820" spans="2:17" x14ac:dyDescent="0.3">
      <c r="B820" s="126"/>
      <c r="C820" s="583">
        <v>450</v>
      </c>
      <c r="D820" s="625" t="e">
        <f t="shared" si="32"/>
        <v>#VALUE!</v>
      </c>
      <c r="E820" s="591"/>
      <c r="F820" s="591"/>
      <c r="G820" s="591"/>
      <c r="H820" s="591"/>
      <c r="I820" s="591"/>
      <c r="J820" s="591"/>
      <c r="K820" s="542"/>
      <c r="O820" s="1134"/>
      <c r="Q820" s="1133"/>
    </row>
    <row r="821" spans="2:17" x14ac:dyDescent="0.3">
      <c r="B821" s="126"/>
      <c r="C821" s="583">
        <v>451</v>
      </c>
      <c r="D821" s="625" t="e">
        <f t="shared" si="32"/>
        <v>#VALUE!</v>
      </c>
      <c r="E821" s="591"/>
      <c r="F821" s="591"/>
      <c r="G821" s="591"/>
      <c r="H821" s="591"/>
      <c r="I821" s="591"/>
      <c r="J821" s="591"/>
      <c r="K821" s="542"/>
      <c r="O821" s="1134"/>
      <c r="Q821" s="1133"/>
    </row>
    <row r="822" spans="2:17" x14ac:dyDescent="0.3">
      <c r="B822" s="126"/>
      <c r="C822" s="583">
        <v>452</v>
      </c>
      <c r="D822" s="625" t="e">
        <f t="shared" si="32"/>
        <v>#VALUE!</v>
      </c>
      <c r="E822" s="591"/>
      <c r="F822" s="591"/>
      <c r="G822" s="591"/>
      <c r="H822" s="591"/>
      <c r="I822" s="591"/>
      <c r="J822" s="591"/>
      <c r="K822" s="542"/>
      <c r="O822" s="1134"/>
      <c r="Q822" s="1133"/>
    </row>
    <row r="823" spans="2:17" x14ac:dyDescent="0.3">
      <c r="B823" s="126"/>
      <c r="C823" s="583">
        <v>453</v>
      </c>
      <c r="D823" s="625" t="e">
        <f t="shared" si="32"/>
        <v>#VALUE!</v>
      </c>
      <c r="E823" s="591"/>
      <c r="F823" s="591"/>
      <c r="G823" s="591"/>
      <c r="H823" s="591"/>
      <c r="I823" s="591"/>
      <c r="J823" s="591"/>
      <c r="K823" s="542"/>
      <c r="O823" s="1134"/>
      <c r="Q823" s="1133"/>
    </row>
    <row r="824" spans="2:17" x14ac:dyDescent="0.3">
      <c r="B824" s="126"/>
      <c r="C824" s="583">
        <v>454</v>
      </c>
      <c r="D824" s="625" t="e">
        <f t="shared" si="32"/>
        <v>#VALUE!</v>
      </c>
      <c r="E824" s="591"/>
      <c r="F824" s="591"/>
      <c r="G824" s="591"/>
      <c r="H824" s="591"/>
      <c r="I824" s="591"/>
      <c r="J824" s="591"/>
      <c r="K824" s="542"/>
      <c r="O824" s="1134"/>
      <c r="Q824" s="1133"/>
    </row>
    <row r="825" spans="2:17" x14ac:dyDescent="0.3">
      <c r="B825" s="126"/>
      <c r="C825" s="583">
        <v>455</v>
      </c>
      <c r="D825" s="625" t="e">
        <f t="shared" si="32"/>
        <v>#VALUE!</v>
      </c>
      <c r="E825" s="591"/>
      <c r="F825" s="591"/>
      <c r="G825" s="591"/>
      <c r="H825" s="591"/>
      <c r="I825" s="591"/>
      <c r="J825" s="591"/>
      <c r="K825" s="542"/>
      <c r="O825" s="1134"/>
      <c r="Q825" s="1133"/>
    </row>
    <row r="826" spans="2:17" x14ac:dyDescent="0.3">
      <c r="B826" s="126"/>
      <c r="C826" s="583">
        <v>456</v>
      </c>
      <c r="D826" s="625" t="e">
        <f t="shared" si="32"/>
        <v>#VALUE!</v>
      </c>
      <c r="E826" s="591"/>
      <c r="F826" s="591"/>
      <c r="G826" s="591"/>
      <c r="H826" s="591"/>
      <c r="I826" s="591"/>
      <c r="J826" s="591"/>
      <c r="K826" s="542"/>
      <c r="O826" s="1134"/>
      <c r="Q826" s="1133"/>
    </row>
    <row r="827" spans="2:17" x14ac:dyDescent="0.3">
      <c r="B827" s="126"/>
      <c r="C827" s="583">
        <v>457</v>
      </c>
      <c r="D827" s="625" t="e">
        <f t="shared" si="32"/>
        <v>#VALUE!</v>
      </c>
      <c r="E827" s="591"/>
      <c r="F827" s="591"/>
      <c r="G827" s="591"/>
      <c r="H827" s="591"/>
      <c r="I827" s="591"/>
      <c r="J827" s="591"/>
      <c r="K827" s="542"/>
      <c r="O827" s="1134"/>
      <c r="Q827" s="1133"/>
    </row>
    <row r="828" spans="2:17" x14ac:dyDescent="0.3">
      <c r="B828" s="126"/>
      <c r="C828" s="583">
        <v>458</v>
      </c>
      <c r="D828" s="625" t="e">
        <f t="shared" si="32"/>
        <v>#VALUE!</v>
      </c>
      <c r="E828" s="591"/>
      <c r="F828" s="591"/>
      <c r="G828" s="591"/>
      <c r="H828" s="591"/>
      <c r="I828" s="591"/>
      <c r="J828" s="591"/>
      <c r="K828" s="542"/>
      <c r="O828" s="1134"/>
      <c r="Q828" s="1133"/>
    </row>
    <row r="829" spans="2:17" x14ac:dyDescent="0.3">
      <c r="B829" s="126"/>
      <c r="C829" s="583">
        <v>459</v>
      </c>
      <c r="D829" s="625" t="e">
        <f t="shared" si="32"/>
        <v>#VALUE!</v>
      </c>
      <c r="E829" s="591"/>
      <c r="F829" s="591"/>
      <c r="G829" s="591"/>
      <c r="H829" s="591"/>
      <c r="I829" s="591"/>
      <c r="J829" s="591"/>
      <c r="K829" s="542"/>
      <c r="O829" s="1134"/>
      <c r="Q829" s="1133"/>
    </row>
    <row r="830" spans="2:17" x14ac:dyDescent="0.3">
      <c r="B830" s="126"/>
      <c r="C830" s="583">
        <v>460</v>
      </c>
      <c r="D830" s="625" t="e">
        <f t="shared" si="32"/>
        <v>#VALUE!</v>
      </c>
      <c r="E830" s="591"/>
      <c r="F830" s="591"/>
      <c r="G830" s="591"/>
      <c r="H830" s="591"/>
      <c r="I830" s="591"/>
      <c r="J830" s="591"/>
      <c r="K830" s="542"/>
      <c r="O830" s="1134"/>
      <c r="Q830" s="1133"/>
    </row>
    <row r="831" spans="2:17" x14ac:dyDescent="0.3">
      <c r="B831" s="126"/>
      <c r="C831" s="583">
        <v>461</v>
      </c>
      <c r="D831" s="625" t="e">
        <f t="shared" si="32"/>
        <v>#VALUE!</v>
      </c>
      <c r="E831" s="591"/>
      <c r="F831" s="591"/>
      <c r="G831" s="591"/>
      <c r="H831" s="591"/>
      <c r="I831" s="591"/>
      <c r="J831" s="591"/>
      <c r="K831" s="542"/>
      <c r="O831" s="1134"/>
      <c r="Q831" s="1133"/>
    </row>
    <row r="832" spans="2:17" x14ac:dyDescent="0.3">
      <c r="B832" s="126"/>
      <c r="C832" s="583">
        <v>462</v>
      </c>
      <c r="D832" s="625" t="e">
        <f t="shared" si="32"/>
        <v>#VALUE!</v>
      </c>
      <c r="E832" s="591"/>
      <c r="F832" s="591"/>
      <c r="G832" s="591"/>
      <c r="H832" s="591"/>
      <c r="I832" s="591"/>
      <c r="J832" s="591"/>
      <c r="K832" s="542"/>
      <c r="O832" s="1134"/>
      <c r="Q832" s="1133"/>
    </row>
    <row r="833" spans="2:17" x14ac:dyDescent="0.3">
      <c r="B833" s="126"/>
      <c r="C833" s="583">
        <v>463</v>
      </c>
      <c r="D833" s="625" t="e">
        <f t="shared" si="32"/>
        <v>#VALUE!</v>
      </c>
      <c r="E833" s="591"/>
      <c r="F833" s="591"/>
      <c r="G833" s="591"/>
      <c r="H833" s="591"/>
      <c r="I833" s="591"/>
      <c r="J833" s="591"/>
      <c r="K833" s="542"/>
      <c r="O833" s="1134"/>
      <c r="Q833" s="1133"/>
    </row>
    <row r="834" spans="2:17" x14ac:dyDescent="0.3">
      <c r="B834" s="126"/>
      <c r="C834" s="583">
        <v>464</v>
      </c>
      <c r="D834" s="625" t="e">
        <f t="shared" si="32"/>
        <v>#VALUE!</v>
      </c>
      <c r="E834" s="591"/>
      <c r="F834" s="591"/>
      <c r="G834" s="591"/>
      <c r="H834" s="591"/>
      <c r="I834" s="591"/>
      <c r="J834" s="591"/>
      <c r="K834" s="542"/>
      <c r="O834" s="1134"/>
      <c r="Q834" s="1133"/>
    </row>
    <row r="835" spans="2:17" x14ac:dyDescent="0.3">
      <c r="B835" s="126"/>
      <c r="C835" s="583">
        <v>465</v>
      </c>
      <c r="D835" s="625" t="e">
        <f t="shared" si="32"/>
        <v>#VALUE!</v>
      </c>
      <c r="E835" s="591"/>
      <c r="F835" s="591"/>
      <c r="G835" s="591"/>
      <c r="H835" s="591"/>
      <c r="I835" s="591"/>
      <c r="J835" s="591"/>
      <c r="K835" s="542"/>
      <c r="O835" s="1134"/>
      <c r="Q835" s="1133"/>
    </row>
    <row r="836" spans="2:17" x14ac:dyDescent="0.3">
      <c r="B836" s="126"/>
      <c r="C836" s="583">
        <v>466</v>
      </c>
      <c r="D836" s="625" t="e">
        <f t="shared" si="32"/>
        <v>#VALUE!</v>
      </c>
      <c r="E836" s="591"/>
      <c r="F836" s="591"/>
      <c r="G836" s="591"/>
      <c r="H836" s="591"/>
      <c r="I836" s="591"/>
      <c r="J836" s="591"/>
      <c r="K836" s="542"/>
      <c r="O836" s="1134"/>
      <c r="Q836" s="1133"/>
    </row>
    <row r="837" spans="2:17" x14ac:dyDescent="0.3">
      <c r="B837" s="126"/>
      <c r="C837" s="583">
        <v>467</v>
      </c>
      <c r="D837" s="625" t="e">
        <f t="shared" si="32"/>
        <v>#VALUE!</v>
      </c>
      <c r="E837" s="591"/>
      <c r="F837" s="591"/>
      <c r="G837" s="591"/>
      <c r="H837" s="591"/>
      <c r="I837" s="591"/>
      <c r="J837" s="591"/>
      <c r="K837" s="542"/>
      <c r="O837" s="1134"/>
      <c r="Q837" s="1133"/>
    </row>
    <row r="838" spans="2:17" x14ac:dyDescent="0.3">
      <c r="B838" s="126"/>
      <c r="C838" s="583">
        <v>468</v>
      </c>
      <c r="D838" s="625" t="e">
        <f t="shared" si="32"/>
        <v>#VALUE!</v>
      </c>
      <c r="E838" s="591"/>
      <c r="F838" s="591"/>
      <c r="G838" s="591"/>
      <c r="H838" s="591"/>
      <c r="I838" s="591"/>
      <c r="J838" s="591"/>
      <c r="K838" s="542"/>
      <c r="O838" s="1134"/>
      <c r="Q838" s="1133"/>
    </row>
    <row r="839" spans="2:17" x14ac:dyDescent="0.3">
      <c r="B839" s="126"/>
      <c r="C839" s="583">
        <v>469</v>
      </c>
      <c r="D839" s="625" t="e">
        <f t="shared" si="32"/>
        <v>#VALUE!</v>
      </c>
      <c r="E839" s="591"/>
      <c r="F839" s="591"/>
      <c r="G839" s="591"/>
      <c r="H839" s="591"/>
      <c r="I839" s="591"/>
      <c r="J839" s="591"/>
      <c r="K839" s="542"/>
      <c r="O839" s="1134"/>
      <c r="Q839" s="1133"/>
    </row>
    <row r="840" spans="2:17" x14ac:dyDescent="0.3">
      <c r="B840" s="126"/>
      <c r="C840" s="583">
        <v>470</v>
      </c>
      <c r="D840" s="625" t="e">
        <f t="shared" si="32"/>
        <v>#VALUE!</v>
      </c>
      <c r="E840" s="591"/>
      <c r="F840" s="591"/>
      <c r="G840" s="591"/>
      <c r="H840" s="591"/>
      <c r="I840" s="591"/>
      <c r="J840" s="591"/>
      <c r="K840" s="542"/>
      <c r="O840" s="1134"/>
      <c r="Q840" s="1133"/>
    </row>
    <row r="841" spans="2:17" x14ac:dyDescent="0.3">
      <c r="B841" s="126"/>
      <c r="C841" s="583">
        <v>471</v>
      </c>
      <c r="D841" s="625" t="e">
        <f t="shared" si="32"/>
        <v>#VALUE!</v>
      </c>
      <c r="E841" s="591"/>
      <c r="F841" s="591"/>
      <c r="G841" s="591"/>
      <c r="H841" s="591"/>
      <c r="I841" s="591"/>
      <c r="J841" s="591"/>
      <c r="K841" s="542"/>
      <c r="O841" s="1134"/>
      <c r="Q841" s="1133"/>
    </row>
    <row r="842" spans="2:17" x14ac:dyDescent="0.3">
      <c r="B842" s="126"/>
      <c r="C842" s="583">
        <v>472</v>
      </c>
      <c r="D842" s="625" t="e">
        <f t="shared" si="32"/>
        <v>#VALUE!</v>
      </c>
      <c r="E842" s="591"/>
      <c r="F842" s="591"/>
      <c r="G842" s="591"/>
      <c r="H842" s="591"/>
      <c r="I842" s="591"/>
      <c r="J842" s="591"/>
      <c r="K842" s="542"/>
      <c r="O842" s="1134"/>
      <c r="Q842" s="1133"/>
    </row>
    <row r="843" spans="2:17" x14ac:dyDescent="0.3">
      <c r="B843" s="126"/>
      <c r="C843" s="583">
        <v>473</v>
      </c>
      <c r="D843" s="625" t="e">
        <f t="shared" si="32"/>
        <v>#VALUE!</v>
      </c>
      <c r="E843" s="591"/>
      <c r="F843" s="591"/>
      <c r="G843" s="591"/>
      <c r="H843" s="591"/>
      <c r="I843" s="591"/>
      <c r="J843" s="591"/>
      <c r="K843" s="542"/>
      <c r="O843" s="1134"/>
      <c r="Q843" s="1133"/>
    </row>
    <row r="844" spans="2:17" x14ac:dyDescent="0.3">
      <c r="B844" s="126"/>
      <c r="C844" s="583">
        <v>474</v>
      </c>
      <c r="D844" s="625" t="e">
        <f t="shared" si="32"/>
        <v>#VALUE!</v>
      </c>
      <c r="E844" s="591"/>
      <c r="F844" s="591"/>
      <c r="G844" s="591"/>
      <c r="H844" s="591"/>
      <c r="I844" s="591"/>
      <c r="J844" s="591"/>
      <c r="K844" s="542"/>
      <c r="O844" s="1134"/>
      <c r="Q844" s="1133"/>
    </row>
    <row r="845" spans="2:17" x14ac:dyDescent="0.3">
      <c r="B845" s="126"/>
      <c r="C845" s="583">
        <v>475</v>
      </c>
      <c r="D845" s="625" t="e">
        <f t="shared" si="32"/>
        <v>#VALUE!</v>
      </c>
      <c r="E845" s="591"/>
      <c r="F845" s="591"/>
      <c r="G845" s="591"/>
      <c r="H845" s="591"/>
      <c r="I845" s="591"/>
      <c r="J845" s="591"/>
      <c r="K845" s="542"/>
      <c r="O845" s="1134"/>
      <c r="Q845" s="1133"/>
    </row>
    <row r="846" spans="2:17" x14ac:dyDescent="0.3">
      <c r="B846" s="126"/>
      <c r="C846" s="583">
        <v>476</v>
      </c>
      <c r="D846" s="625" t="e">
        <f t="shared" si="32"/>
        <v>#VALUE!</v>
      </c>
      <c r="E846" s="591"/>
      <c r="F846" s="591"/>
      <c r="G846" s="591"/>
      <c r="H846" s="591"/>
      <c r="I846" s="591"/>
      <c r="J846" s="591"/>
      <c r="K846" s="542"/>
      <c r="O846" s="1134"/>
      <c r="Q846" s="1133"/>
    </row>
    <row r="847" spans="2:17" x14ac:dyDescent="0.3">
      <c r="B847" s="126"/>
      <c r="C847" s="583">
        <v>477</v>
      </c>
      <c r="D847" s="625" t="e">
        <f t="shared" si="32"/>
        <v>#VALUE!</v>
      </c>
      <c r="E847" s="591"/>
      <c r="F847" s="591"/>
      <c r="G847" s="591"/>
      <c r="H847" s="591"/>
      <c r="I847" s="591"/>
      <c r="J847" s="591"/>
      <c r="K847" s="542"/>
      <c r="O847" s="1134"/>
      <c r="Q847" s="1133"/>
    </row>
    <row r="848" spans="2:17" x14ac:dyDescent="0.3">
      <c r="B848" s="126"/>
      <c r="C848" s="583">
        <v>478</v>
      </c>
      <c r="D848" s="625" t="e">
        <f t="shared" si="32"/>
        <v>#VALUE!</v>
      </c>
      <c r="E848" s="591"/>
      <c r="F848" s="591"/>
      <c r="G848" s="591"/>
      <c r="H848" s="591"/>
      <c r="I848" s="591"/>
      <c r="J848" s="591"/>
      <c r="K848" s="542"/>
      <c r="O848" s="1134"/>
      <c r="Q848" s="1133"/>
    </row>
    <row r="849" spans="2:17" x14ac:dyDescent="0.3">
      <c r="B849" s="126"/>
      <c r="C849" s="583">
        <v>479</v>
      </c>
      <c r="D849" s="625" t="e">
        <f t="shared" si="32"/>
        <v>#VALUE!</v>
      </c>
      <c r="E849" s="591"/>
      <c r="F849" s="591"/>
      <c r="G849" s="591"/>
      <c r="H849" s="591"/>
      <c r="I849" s="591"/>
      <c r="J849" s="591"/>
      <c r="K849" s="542"/>
      <c r="O849" s="1134"/>
      <c r="Q849" s="1133"/>
    </row>
    <row r="850" spans="2:17" x14ac:dyDescent="0.3">
      <c r="B850" s="126"/>
      <c r="C850" s="583">
        <v>480</v>
      </c>
      <c r="D850" s="625" t="e">
        <f t="shared" si="32"/>
        <v>#VALUE!</v>
      </c>
      <c r="E850" s="591"/>
      <c r="F850" s="591"/>
      <c r="G850" s="591"/>
      <c r="H850" s="591"/>
      <c r="I850" s="591"/>
      <c r="J850" s="591"/>
      <c r="K850" s="542"/>
      <c r="O850" s="1134"/>
      <c r="Q850" s="1133"/>
    </row>
    <row r="851" spans="2:17" x14ac:dyDescent="0.3">
      <c r="B851" s="126"/>
      <c r="C851" s="583">
        <v>481</v>
      </c>
      <c r="D851" s="625" t="e">
        <f t="shared" si="32"/>
        <v>#VALUE!</v>
      </c>
      <c r="E851" s="591"/>
      <c r="F851" s="591"/>
      <c r="G851" s="591"/>
      <c r="H851" s="591"/>
      <c r="I851" s="591"/>
      <c r="J851" s="591"/>
      <c r="K851" s="542"/>
      <c r="O851" s="1134"/>
      <c r="Q851" s="1133"/>
    </row>
    <row r="852" spans="2:17" x14ac:dyDescent="0.3">
      <c r="B852" s="126"/>
      <c r="C852" s="583">
        <v>482</v>
      </c>
      <c r="D852" s="625" t="e">
        <f t="shared" si="32"/>
        <v>#VALUE!</v>
      </c>
      <c r="E852" s="591"/>
      <c r="F852" s="591"/>
      <c r="G852" s="591"/>
      <c r="H852" s="591"/>
      <c r="I852" s="591"/>
      <c r="J852" s="591"/>
      <c r="K852" s="542"/>
      <c r="O852" s="1134"/>
      <c r="Q852" s="1133"/>
    </row>
    <row r="853" spans="2:17" x14ac:dyDescent="0.3">
      <c r="B853" s="126"/>
      <c r="C853" s="583">
        <v>483</v>
      </c>
      <c r="D853" s="625" t="e">
        <f t="shared" si="32"/>
        <v>#VALUE!</v>
      </c>
      <c r="E853" s="591"/>
      <c r="F853" s="591"/>
      <c r="G853" s="591"/>
      <c r="H853" s="591"/>
      <c r="I853" s="591"/>
      <c r="J853" s="591"/>
      <c r="K853" s="542"/>
      <c r="O853" s="1134"/>
      <c r="Q853" s="1133"/>
    </row>
    <row r="854" spans="2:17" x14ac:dyDescent="0.3">
      <c r="B854" s="126"/>
      <c r="C854" s="583">
        <v>484</v>
      </c>
      <c r="D854" s="625" t="e">
        <f t="shared" si="32"/>
        <v>#VALUE!</v>
      </c>
      <c r="E854" s="591"/>
      <c r="F854" s="591"/>
      <c r="G854" s="591"/>
      <c r="H854" s="591"/>
      <c r="I854" s="591"/>
      <c r="J854" s="591"/>
      <c r="K854" s="542"/>
      <c r="O854" s="1134"/>
      <c r="Q854" s="1133"/>
    </row>
    <row r="855" spans="2:17" x14ac:dyDescent="0.3">
      <c r="B855" s="126"/>
      <c r="C855" s="583">
        <v>485</v>
      </c>
      <c r="D855" s="625" t="e">
        <f t="shared" si="32"/>
        <v>#VALUE!</v>
      </c>
      <c r="E855" s="591"/>
      <c r="F855" s="591"/>
      <c r="G855" s="591"/>
      <c r="H855" s="591"/>
      <c r="I855" s="591"/>
      <c r="J855" s="591"/>
      <c r="K855" s="542"/>
      <c r="O855" s="1134"/>
      <c r="Q855" s="1133"/>
    </row>
    <row r="856" spans="2:17" x14ac:dyDescent="0.3">
      <c r="B856" s="126"/>
      <c r="C856" s="583">
        <v>486</v>
      </c>
      <c r="D856" s="625" t="e">
        <f t="shared" si="32"/>
        <v>#VALUE!</v>
      </c>
      <c r="E856" s="591"/>
      <c r="F856" s="591"/>
      <c r="G856" s="591"/>
      <c r="H856" s="591"/>
      <c r="I856" s="591"/>
      <c r="J856" s="591"/>
      <c r="K856" s="542"/>
      <c r="O856" s="1134"/>
      <c r="Q856" s="1133"/>
    </row>
    <row r="857" spans="2:17" x14ac:dyDescent="0.3">
      <c r="B857" s="126"/>
      <c r="C857" s="583">
        <v>487</v>
      </c>
      <c r="D857" s="625" t="e">
        <f t="shared" si="32"/>
        <v>#VALUE!</v>
      </c>
      <c r="E857" s="591"/>
      <c r="F857" s="591"/>
      <c r="G857" s="591"/>
      <c r="H857" s="591"/>
      <c r="I857" s="591"/>
      <c r="J857" s="591"/>
      <c r="K857" s="542"/>
      <c r="O857" s="1134"/>
      <c r="Q857" s="1133"/>
    </row>
    <row r="858" spans="2:17" x14ac:dyDescent="0.3">
      <c r="B858" s="126"/>
      <c r="C858" s="583">
        <v>488</v>
      </c>
      <c r="D858" s="625" t="e">
        <f t="shared" si="32"/>
        <v>#VALUE!</v>
      </c>
      <c r="E858" s="591"/>
      <c r="F858" s="591"/>
      <c r="G858" s="591"/>
      <c r="H858" s="591"/>
      <c r="I858" s="591"/>
      <c r="J858" s="591"/>
      <c r="K858" s="542"/>
      <c r="O858" s="1134"/>
      <c r="Q858" s="1133"/>
    </row>
    <row r="859" spans="2:17" x14ac:dyDescent="0.3">
      <c r="B859" s="126"/>
      <c r="C859" s="583">
        <v>489</v>
      </c>
      <c r="D859" s="625" t="e">
        <f t="shared" si="32"/>
        <v>#VALUE!</v>
      </c>
      <c r="E859" s="591"/>
      <c r="F859" s="591"/>
      <c r="G859" s="591"/>
      <c r="H859" s="591"/>
      <c r="I859" s="591"/>
      <c r="J859" s="591"/>
      <c r="K859" s="542"/>
      <c r="O859" s="1134"/>
      <c r="Q859" s="1133"/>
    </row>
    <row r="860" spans="2:17" x14ac:dyDescent="0.3">
      <c r="B860" s="126"/>
      <c r="C860" s="583">
        <v>490</v>
      </c>
      <c r="D860" s="625" t="e">
        <f t="shared" si="32"/>
        <v>#VALUE!</v>
      </c>
      <c r="E860" s="591"/>
      <c r="F860" s="591"/>
      <c r="G860" s="591"/>
      <c r="H860" s="591"/>
      <c r="I860" s="591"/>
      <c r="J860" s="591"/>
      <c r="K860" s="542"/>
      <c r="O860" s="1134"/>
      <c r="Q860" s="1133"/>
    </row>
    <row r="861" spans="2:17" x14ac:dyDescent="0.3">
      <c r="B861" s="126"/>
      <c r="C861" s="583">
        <v>491</v>
      </c>
      <c r="D861" s="625" t="e">
        <f t="shared" si="32"/>
        <v>#VALUE!</v>
      </c>
      <c r="E861" s="591"/>
      <c r="F861" s="591"/>
      <c r="G861" s="591"/>
      <c r="H861" s="591"/>
      <c r="I861" s="591"/>
      <c r="J861" s="591"/>
      <c r="K861" s="542"/>
      <c r="O861" s="1134"/>
      <c r="Q861" s="1133"/>
    </row>
    <row r="862" spans="2:17" x14ac:dyDescent="0.3">
      <c r="B862" s="126"/>
      <c r="C862" s="583">
        <v>492</v>
      </c>
      <c r="D862" s="625" t="e">
        <f t="shared" si="32"/>
        <v>#VALUE!</v>
      </c>
      <c r="E862" s="591"/>
      <c r="F862" s="591"/>
      <c r="G862" s="591"/>
      <c r="H862" s="591"/>
      <c r="I862" s="591"/>
      <c r="J862" s="591"/>
      <c r="K862" s="542"/>
      <c r="O862" s="1134"/>
      <c r="Q862" s="1133"/>
    </row>
    <row r="863" spans="2:17" x14ac:dyDescent="0.3">
      <c r="B863" s="126"/>
      <c r="C863" s="583">
        <v>493</v>
      </c>
      <c r="D863" s="625" t="e">
        <f t="shared" si="32"/>
        <v>#VALUE!</v>
      </c>
      <c r="E863" s="591"/>
      <c r="F863" s="591"/>
      <c r="G863" s="591"/>
      <c r="H863" s="591"/>
      <c r="I863" s="591"/>
      <c r="J863" s="591"/>
      <c r="K863" s="542"/>
      <c r="O863" s="1134"/>
      <c r="Q863" s="1133"/>
    </row>
    <row r="864" spans="2:17" x14ac:dyDescent="0.3">
      <c r="B864" s="126"/>
      <c r="C864" s="583">
        <v>494</v>
      </c>
      <c r="D864" s="625" t="e">
        <f t="shared" si="32"/>
        <v>#VALUE!</v>
      </c>
      <c r="E864" s="591"/>
      <c r="F864" s="591"/>
      <c r="G864" s="591"/>
      <c r="H864" s="591"/>
      <c r="I864" s="591"/>
      <c r="J864" s="591"/>
      <c r="K864" s="542"/>
      <c r="O864" s="1134"/>
      <c r="Q864" s="1133"/>
    </row>
    <row r="865" spans="2:17" x14ac:dyDescent="0.3">
      <c r="B865" s="126"/>
      <c r="C865" s="583">
        <v>495</v>
      </c>
      <c r="D865" s="625" t="e">
        <f t="shared" si="32"/>
        <v>#VALUE!</v>
      </c>
      <c r="E865" s="591"/>
      <c r="F865" s="591"/>
      <c r="G865" s="591"/>
      <c r="H865" s="591"/>
      <c r="I865" s="591"/>
      <c r="J865" s="591"/>
      <c r="K865" s="542"/>
      <c r="O865" s="1134"/>
      <c r="Q865" s="1133"/>
    </row>
    <row r="866" spans="2:17" x14ac:dyDescent="0.3">
      <c r="B866" s="126"/>
      <c r="C866" s="583">
        <v>496</v>
      </c>
      <c r="D866" s="625" t="e">
        <f t="shared" si="32"/>
        <v>#VALUE!</v>
      </c>
      <c r="E866" s="591"/>
      <c r="F866" s="591"/>
      <c r="G866" s="591"/>
      <c r="H866" s="591"/>
      <c r="I866" s="591"/>
      <c r="J866" s="591"/>
      <c r="K866" s="542"/>
      <c r="O866" s="1134"/>
      <c r="Q866" s="1133"/>
    </row>
    <row r="867" spans="2:17" x14ac:dyDescent="0.3">
      <c r="B867" s="126"/>
      <c r="C867" s="583">
        <v>497</v>
      </c>
      <c r="D867" s="625" t="e">
        <f t="shared" si="32"/>
        <v>#VALUE!</v>
      </c>
      <c r="E867" s="591"/>
      <c r="F867" s="591"/>
      <c r="G867" s="591"/>
      <c r="H867" s="591"/>
      <c r="I867" s="591"/>
      <c r="J867" s="591"/>
      <c r="K867" s="542"/>
      <c r="O867" s="1134"/>
      <c r="Q867" s="1133"/>
    </row>
    <row r="868" spans="2:17" x14ac:dyDescent="0.3">
      <c r="B868" s="126"/>
      <c r="C868" s="583">
        <v>498</v>
      </c>
      <c r="D868" s="625" t="e">
        <f t="shared" si="32"/>
        <v>#VALUE!</v>
      </c>
      <c r="E868" s="591"/>
      <c r="F868" s="591"/>
      <c r="G868" s="591"/>
      <c r="H868" s="591"/>
      <c r="I868" s="591"/>
      <c r="J868" s="591"/>
      <c r="K868" s="542"/>
      <c r="O868" s="1134"/>
      <c r="Q868" s="1133"/>
    </row>
    <row r="869" spans="2:17" x14ac:dyDescent="0.3">
      <c r="B869" s="126"/>
      <c r="C869" s="583">
        <v>499</v>
      </c>
      <c r="D869" s="625" t="e">
        <f t="shared" si="32"/>
        <v>#VALUE!</v>
      </c>
      <c r="E869" s="591"/>
      <c r="F869" s="591"/>
      <c r="G869" s="591"/>
      <c r="H869" s="591"/>
      <c r="I869" s="591"/>
      <c r="J869" s="591"/>
      <c r="K869" s="542"/>
      <c r="O869" s="1134"/>
      <c r="Q869" s="1133"/>
    </row>
    <row r="870" spans="2:17" x14ac:dyDescent="0.3">
      <c r="B870" s="126"/>
      <c r="C870" s="583">
        <v>500</v>
      </c>
      <c r="D870" s="625" t="e">
        <f t="shared" si="32"/>
        <v>#VALUE!</v>
      </c>
      <c r="E870" s="591"/>
      <c r="F870" s="591"/>
      <c r="G870" s="591"/>
      <c r="H870" s="591"/>
      <c r="I870" s="591"/>
      <c r="J870" s="591"/>
      <c r="K870" s="542"/>
      <c r="O870" s="1134"/>
      <c r="Q870" s="1133"/>
    </row>
    <row r="871" spans="2:17" x14ac:dyDescent="0.3">
      <c r="B871" s="126"/>
      <c r="C871" s="583">
        <v>501</v>
      </c>
      <c r="D871" s="625" t="e">
        <f t="shared" si="32"/>
        <v>#VALUE!</v>
      </c>
      <c r="E871" s="591"/>
      <c r="F871" s="591"/>
      <c r="G871" s="591"/>
      <c r="H871" s="591"/>
      <c r="I871" s="591"/>
      <c r="J871" s="591"/>
      <c r="K871" s="542"/>
      <c r="O871" s="1134"/>
      <c r="Q871" s="1133"/>
    </row>
    <row r="872" spans="2:17" x14ac:dyDescent="0.3">
      <c r="B872" s="126"/>
      <c r="C872" s="583">
        <v>502</v>
      </c>
      <c r="D872" s="625" t="e">
        <f t="shared" si="32"/>
        <v>#VALUE!</v>
      </c>
      <c r="E872" s="591"/>
      <c r="F872" s="591"/>
      <c r="G872" s="591"/>
      <c r="H872" s="591"/>
      <c r="I872" s="591"/>
      <c r="J872" s="591"/>
      <c r="K872" s="542"/>
      <c r="O872" s="1134"/>
      <c r="Q872" s="1133"/>
    </row>
    <row r="873" spans="2:17" x14ac:dyDescent="0.3">
      <c r="B873" s="126"/>
      <c r="C873" s="583">
        <v>503</v>
      </c>
      <c r="D873" s="625" t="e">
        <f t="shared" si="32"/>
        <v>#VALUE!</v>
      </c>
      <c r="E873" s="591"/>
      <c r="F873" s="591"/>
      <c r="G873" s="591"/>
      <c r="H873" s="591"/>
      <c r="I873" s="591"/>
      <c r="J873" s="591"/>
      <c r="K873" s="542"/>
      <c r="O873" s="1134"/>
      <c r="Q873" s="1133"/>
    </row>
    <row r="874" spans="2:17" x14ac:dyDescent="0.3">
      <c r="B874" s="126"/>
      <c r="C874" s="583">
        <v>504</v>
      </c>
      <c r="D874" s="625" t="e">
        <f t="shared" si="32"/>
        <v>#VALUE!</v>
      </c>
      <c r="E874" s="591"/>
      <c r="F874" s="591"/>
      <c r="G874" s="591"/>
      <c r="H874" s="591"/>
      <c r="I874" s="591"/>
      <c r="J874" s="591"/>
      <c r="K874" s="542"/>
      <c r="O874" s="1134"/>
      <c r="Q874" s="1133"/>
    </row>
    <row r="875" spans="2:17" x14ac:dyDescent="0.3">
      <c r="B875" s="126"/>
      <c r="C875" s="583">
        <v>505</v>
      </c>
      <c r="D875" s="625" t="e">
        <f t="shared" si="32"/>
        <v>#VALUE!</v>
      </c>
      <c r="E875" s="591"/>
      <c r="F875" s="591"/>
      <c r="G875" s="591"/>
      <c r="H875" s="591"/>
      <c r="I875" s="591"/>
      <c r="J875" s="591"/>
      <c r="K875" s="542"/>
      <c r="O875" s="1134"/>
      <c r="Q875" s="1133"/>
    </row>
    <row r="876" spans="2:17" x14ac:dyDescent="0.3">
      <c r="B876" s="126"/>
      <c r="C876" s="583">
        <v>506</v>
      </c>
      <c r="D876" s="625" t="e">
        <f t="shared" si="32"/>
        <v>#VALUE!</v>
      </c>
      <c r="E876" s="591"/>
      <c r="F876" s="591"/>
      <c r="G876" s="591"/>
      <c r="H876" s="591"/>
      <c r="I876" s="591"/>
      <c r="J876" s="591"/>
      <c r="K876" s="542"/>
      <c r="O876" s="1134"/>
      <c r="Q876" s="1133"/>
    </row>
    <row r="877" spans="2:17" x14ac:dyDescent="0.3">
      <c r="B877" s="126"/>
      <c r="C877" s="583">
        <v>507</v>
      </c>
      <c r="D877" s="625" t="e">
        <f t="shared" si="32"/>
        <v>#VALUE!</v>
      </c>
      <c r="E877" s="591"/>
      <c r="F877" s="591"/>
      <c r="G877" s="591"/>
      <c r="H877" s="591"/>
      <c r="I877" s="591"/>
      <c r="J877" s="591"/>
      <c r="K877" s="542"/>
      <c r="O877" s="1134"/>
      <c r="Q877" s="1133"/>
    </row>
    <row r="878" spans="2:17" x14ac:dyDescent="0.3">
      <c r="B878" s="126"/>
      <c r="C878" s="583">
        <v>508</v>
      </c>
      <c r="D878" s="625" t="e">
        <f t="shared" si="32"/>
        <v>#VALUE!</v>
      </c>
      <c r="E878" s="591"/>
      <c r="F878" s="591"/>
      <c r="G878" s="591"/>
      <c r="H878" s="591"/>
      <c r="I878" s="591"/>
      <c r="J878" s="591"/>
      <c r="K878" s="542"/>
      <c r="O878" s="1134"/>
      <c r="Q878" s="1133"/>
    </row>
    <row r="879" spans="2:17" x14ac:dyDescent="0.3">
      <c r="B879" s="126"/>
      <c r="C879" s="583">
        <v>509</v>
      </c>
      <c r="D879" s="625" t="e">
        <f t="shared" si="32"/>
        <v>#VALUE!</v>
      </c>
      <c r="E879" s="591"/>
      <c r="F879" s="591"/>
      <c r="G879" s="591"/>
      <c r="H879" s="591"/>
      <c r="I879" s="591"/>
      <c r="J879" s="591"/>
      <c r="K879" s="542"/>
      <c r="O879" s="1134"/>
      <c r="Q879" s="1133"/>
    </row>
    <row r="880" spans="2:17" x14ac:dyDescent="0.3">
      <c r="B880" s="126"/>
      <c r="C880" s="583">
        <v>510</v>
      </c>
      <c r="D880" s="625" t="e">
        <f t="shared" si="32"/>
        <v>#VALUE!</v>
      </c>
      <c r="E880" s="591"/>
      <c r="F880" s="591"/>
      <c r="G880" s="591"/>
      <c r="H880" s="591"/>
      <c r="I880" s="591"/>
      <c r="J880" s="591"/>
      <c r="K880" s="542"/>
      <c r="O880" s="1134"/>
      <c r="Q880" s="1133"/>
    </row>
    <row r="881" spans="2:17" x14ac:dyDescent="0.3">
      <c r="B881" s="126"/>
      <c r="C881" s="583">
        <v>511</v>
      </c>
      <c r="D881" s="625" t="e">
        <f t="shared" si="32"/>
        <v>#VALUE!</v>
      </c>
      <c r="E881" s="591"/>
      <c r="F881" s="591"/>
      <c r="G881" s="591"/>
      <c r="H881" s="591"/>
      <c r="I881" s="591"/>
      <c r="J881" s="591"/>
      <c r="K881" s="542"/>
      <c r="O881" s="1134"/>
      <c r="Q881" s="1133"/>
    </row>
    <row r="882" spans="2:17" x14ac:dyDescent="0.3">
      <c r="B882" s="126"/>
      <c r="C882" s="583">
        <v>512</v>
      </c>
      <c r="D882" s="625" t="e">
        <f t="shared" ref="D882:D945" si="33">$C$349*C882</f>
        <v>#VALUE!</v>
      </c>
      <c r="E882" s="591"/>
      <c r="F882" s="591"/>
      <c r="G882" s="591"/>
      <c r="H882" s="591"/>
      <c r="I882" s="591"/>
      <c r="J882" s="591"/>
      <c r="K882" s="542"/>
      <c r="O882" s="1134"/>
      <c r="Q882" s="1133"/>
    </row>
    <row r="883" spans="2:17" x14ac:dyDescent="0.3">
      <c r="B883" s="126"/>
      <c r="C883" s="583">
        <v>513</v>
      </c>
      <c r="D883" s="625" t="e">
        <f t="shared" si="33"/>
        <v>#VALUE!</v>
      </c>
      <c r="E883" s="591"/>
      <c r="F883" s="591"/>
      <c r="G883" s="591"/>
      <c r="H883" s="591"/>
      <c r="I883" s="591"/>
      <c r="J883" s="591"/>
      <c r="K883" s="542"/>
      <c r="O883" s="1134"/>
      <c r="Q883" s="1133"/>
    </row>
    <row r="884" spans="2:17" x14ac:dyDescent="0.3">
      <c r="B884" s="126"/>
      <c r="C884" s="583">
        <v>514</v>
      </c>
      <c r="D884" s="625" t="e">
        <f t="shared" si="33"/>
        <v>#VALUE!</v>
      </c>
      <c r="E884" s="591"/>
      <c r="F884" s="591"/>
      <c r="G884" s="591"/>
      <c r="H884" s="591"/>
      <c r="I884" s="591"/>
      <c r="J884" s="591"/>
      <c r="K884" s="542"/>
      <c r="O884" s="1134"/>
      <c r="Q884" s="1133"/>
    </row>
    <row r="885" spans="2:17" x14ac:dyDescent="0.3">
      <c r="B885" s="126"/>
      <c r="C885" s="583">
        <v>515</v>
      </c>
      <c r="D885" s="625" t="e">
        <f t="shared" si="33"/>
        <v>#VALUE!</v>
      </c>
      <c r="E885" s="591"/>
      <c r="F885" s="591"/>
      <c r="G885" s="591"/>
      <c r="H885" s="591"/>
      <c r="I885" s="591"/>
      <c r="J885" s="591"/>
      <c r="K885" s="542"/>
      <c r="O885" s="1134"/>
      <c r="Q885" s="1133"/>
    </row>
    <row r="886" spans="2:17" x14ac:dyDescent="0.3">
      <c r="B886" s="126"/>
      <c r="C886" s="583">
        <v>516</v>
      </c>
      <c r="D886" s="625" t="e">
        <f t="shared" si="33"/>
        <v>#VALUE!</v>
      </c>
      <c r="E886" s="591"/>
      <c r="F886" s="591"/>
      <c r="G886" s="591"/>
      <c r="H886" s="591"/>
      <c r="I886" s="591"/>
      <c r="J886" s="591"/>
      <c r="K886" s="542"/>
      <c r="O886" s="1134"/>
      <c r="Q886" s="1133"/>
    </row>
    <row r="887" spans="2:17" x14ac:dyDescent="0.3">
      <c r="B887" s="126"/>
      <c r="C887" s="583">
        <v>517</v>
      </c>
      <c r="D887" s="625" t="e">
        <f t="shared" si="33"/>
        <v>#VALUE!</v>
      </c>
      <c r="E887" s="591"/>
      <c r="F887" s="591"/>
      <c r="G887" s="591"/>
      <c r="H887" s="591"/>
      <c r="I887" s="591"/>
      <c r="J887" s="591"/>
      <c r="K887" s="542"/>
      <c r="O887" s="1134"/>
      <c r="Q887" s="1133"/>
    </row>
    <row r="888" spans="2:17" x14ac:dyDescent="0.3">
      <c r="B888" s="126"/>
      <c r="C888" s="583">
        <v>518</v>
      </c>
      <c r="D888" s="625" t="e">
        <f t="shared" si="33"/>
        <v>#VALUE!</v>
      </c>
      <c r="E888" s="591"/>
      <c r="F888" s="591"/>
      <c r="G888" s="591"/>
      <c r="H888" s="591"/>
      <c r="I888" s="591"/>
      <c r="J888" s="591"/>
      <c r="K888" s="542"/>
      <c r="O888" s="1134"/>
      <c r="Q888" s="1133"/>
    </row>
    <row r="889" spans="2:17" x14ac:dyDescent="0.3">
      <c r="B889" s="126"/>
      <c r="C889" s="583">
        <v>519</v>
      </c>
      <c r="D889" s="625" t="e">
        <f t="shared" si="33"/>
        <v>#VALUE!</v>
      </c>
      <c r="E889" s="591"/>
      <c r="F889" s="591"/>
      <c r="G889" s="591"/>
      <c r="H889" s="591"/>
      <c r="I889" s="591"/>
      <c r="J889" s="591"/>
      <c r="K889" s="542"/>
      <c r="O889" s="1134"/>
      <c r="Q889" s="1133"/>
    </row>
    <row r="890" spans="2:17" x14ac:dyDescent="0.3">
      <c r="B890" s="126"/>
      <c r="C890" s="583">
        <v>520</v>
      </c>
      <c r="D890" s="625" t="e">
        <f t="shared" si="33"/>
        <v>#VALUE!</v>
      </c>
      <c r="E890" s="591"/>
      <c r="F890" s="591"/>
      <c r="G890" s="591"/>
      <c r="H890" s="591"/>
      <c r="I890" s="591"/>
      <c r="J890" s="591"/>
      <c r="K890" s="542"/>
      <c r="O890" s="1134"/>
      <c r="Q890" s="1133"/>
    </row>
    <row r="891" spans="2:17" x14ac:dyDescent="0.3">
      <c r="B891" s="126"/>
      <c r="C891" s="583">
        <v>521</v>
      </c>
      <c r="D891" s="625" t="e">
        <f t="shared" si="33"/>
        <v>#VALUE!</v>
      </c>
      <c r="E891" s="591"/>
      <c r="F891" s="591"/>
      <c r="G891" s="591"/>
      <c r="H891" s="591"/>
      <c r="I891" s="591"/>
      <c r="J891" s="591"/>
      <c r="K891" s="542"/>
      <c r="O891" s="1134"/>
      <c r="Q891" s="1133"/>
    </row>
    <row r="892" spans="2:17" x14ac:dyDescent="0.3">
      <c r="B892" s="126"/>
      <c r="C892" s="583">
        <v>522</v>
      </c>
      <c r="D892" s="625" t="e">
        <f t="shared" si="33"/>
        <v>#VALUE!</v>
      </c>
      <c r="E892" s="591"/>
      <c r="F892" s="591"/>
      <c r="G892" s="591"/>
      <c r="H892" s="591"/>
      <c r="I892" s="591"/>
      <c r="J892" s="591"/>
      <c r="K892" s="542"/>
      <c r="O892" s="1134"/>
      <c r="Q892" s="1133"/>
    </row>
    <row r="893" spans="2:17" x14ac:dyDescent="0.3">
      <c r="B893" s="126"/>
      <c r="C893" s="583">
        <v>523</v>
      </c>
      <c r="D893" s="625" t="e">
        <f t="shared" si="33"/>
        <v>#VALUE!</v>
      </c>
      <c r="E893" s="591"/>
      <c r="F893" s="591"/>
      <c r="G893" s="591"/>
      <c r="H893" s="591"/>
      <c r="I893" s="591"/>
      <c r="J893" s="591"/>
      <c r="K893" s="542"/>
      <c r="O893" s="1134"/>
      <c r="Q893" s="1133"/>
    </row>
    <row r="894" spans="2:17" x14ac:dyDescent="0.3">
      <c r="B894" s="126"/>
      <c r="C894" s="583">
        <v>524</v>
      </c>
      <c r="D894" s="625" t="e">
        <f t="shared" si="33"/>
        <v>#VALUE!</v>
      </c>
      <c r="E894" s="591"/>
      <c r="F894" s="591"/>
      <c r="G894" s="591"/>
      <c r="H894" s="591"/>
      <c r="I894" s="591"/>
      <c r="J894" s="591"/>
      <c r="K894" s="542"/>
      <c r="O894" s="1134"/>
      <c r="Q894" s="1133"/>
    </row>
    <row r="895" spans="2:17" x14ac:dyDescent="0.3">
      <c r="B895" s="126"/>
      <c r="C895" s="583">
        <v>525</v>
      </c>
      <c r="D895" s="625" t="e">
        <f t="shared" si="33"/>
        <v>#VALUE!</v>
      </c>
      <c r="E895" s="591"/>
      <c r="F895" s="591"/>
      <c r="G895" s="591"/>
      <c r="H895" s="591"/>
      <c r="I895" s="591"/>
      <c r="J895" s="591"/>
      <c r="K895" s="542"/>
      <c r="O895" s="1134"/>
      <c r="Q895" s="1133"/>
    </row>
    <row r="896" spans="2:17" x14ac:dyDescent="0.3">
      <c r="B896" s="126"/>
      <c r="C896" s="583">
        <v>526</v>
      </c>
      <c r="D896" s="625" t="e">
        <f t="shared" si="33"/>
        <v>#VALUE!</v>
      </c>
      <c r="E896" s="591"/>
      <c r="F896" s="591"/>
      <c r="G896" s="591"/>
      <c r="H896" s="591"/>
      <c r="I896" s="591"/>
      <c r="J896" s="591"/>
      <c r="K896" s="542"/>
      <c r="O896" s="1134"/>
      <c r="Q896" s="1133"/>
    </row>
    <row r="897" spans="2:17" x14ac:dyDescent="0.3">
      <c r="B897" s="126"/>
      <c r="C897" s="583">
        <v>527</v>
      </c>
      <c r="D897" s="625" t="e">
        <f t="shared" si="33"/>
        <v>#VALUE!</v>
      </c>
      <c r="E897" s="591"/>
      <c r="F897" s="591"/>
      <c r="G897" s="591"/>
      <c r="H897" s="591"/>
      <c r="I897" s="591"/>
      <c r="J897" s="591"/>
      <c r="K897" s="542"/>
      <c r="O897" s="1134"/>
      <c r="Q897" s="1133"/>
    </row>
    <row r="898" spans="2:17" x14ac:dyDescent="0.3">
      <c r="B898" s="126"/>
      <c r="C898" s="583">
        <v>528</v>
      </c>
      <c r="D898" s="625" t="e">
        <f t="shared" si="33"/>
        <v>#VALUE!</v>
      </c>
      <c r="E898" s="591"/>
      <c r="F898" s="591"/>
      <c r="G898" s="591"/>
      <c r="H898" s="591"/>
      <c r="I898" s="591"/>
      <c r="J898" s="591"/>
      <c r="K898" s="542"/>
      <c r="O898" s="1134"/>
      <c r="Q898" s="1133"/>
    </row>
    <row r="899" spans="2:17" x14ac:dyDescent="0.3">
      <c r="B899" s="126"/>
      <c r="C899" s="583">
        <v>529</v>
      </c>
      <c r="D899" s="625" t="e">
        <f t="shared" si="33"/>
        <v>#VALUE!</v>
      </c>
      <c r="E899" s="591"/>
      <c r="F899" s="591"/>
      <c r="G899" s="591"/>
      <c r="H899" s="591"/>
      <c r="I899" s="591"/>
      <c r="J899" s="591"/>
      <c r="K899" s="542"/>
      <c r="O899" s="1134"/>
      <c r="Q899" s="1133"/>
    </row>
    <row r="900" spans="2:17" x14ac:dyDescent="0.3">
      <c r="B900" s="126"/>
      <c r="C900" s="583">
        <v>530</v>
      </c>
      <c r="D900" s="625" t="e">
        <f t="shared" si="33"/>
        <v>#VALUE!</v>
      </c>
      <c r="E900" s="591"/>
      <c r="F900" s="591"/>
      <c r="G900" s="591"/>
      <c r="H900" s="591"/>
      <c r="I900" s="591"/>
      <c r="J900" s="591"/>
      <c r="K900" s="542"/>
      <c r="O900" s="1134"/>
      <c r="Q900" s="1133"/>
    </row>
    <row r="901" spans="2:17" x14ac:dyDescent="0.3">
      <c r="B901" s="126"/>
      <c r="C901" s="583">
        <v>531</v>
      </c>
      <c r="D901" s="625" t="e">
        <f t="shared" si="33"/>
        <v>#VALUE!</v>
      </c>
      <c r="E901" s="591"/>
      <c r="F901" s="591"/>
      <c r="G901" s="591"/>
      <c r="H901" s="591"/>
      <c r="I901" s="591"/>
      <c r="J901" s="591"/>
      <c r="K901" s="542"/>
      <c r="O901" s="1134"/>
      <c r="Q901" s="1133"/>
    </row>
    <row r="902" spans="2:17" x14ac:dyDescent="0.3">
      <c r="B902" s="126"/>
      <c r="C902" s="583">
        <v>532</v>
      </c>
      <c r="D902" s="625" t="e">
        <f t="shared" si="33"/>
        <v>#VALUE!</v>
      </c>
      <c r="E902" s="591"/>
      <c r="F902" s="591"/>
      <c r="G902" s="591"/>
      <c r="H902" s="591"/>
      <c r="I902" s="591"/>
      <c r="J902" s="591"/>
      <c r="K902" s="542"/>
      <c r="O902" s="1134"/>
      <c r="Q902" s="1133"/>
    </row>
    <row r="903" spans="2:17" x14ac:dyDescent="0.3">
      <c r="B903" s="126"/>
      <c r="C903" s="583">
        <v>533</v>
      </c>
      <c r="D903" s="625" t="e">
        <f t="shared" si="33"/>
        <v>#VALUE!</v>
      </c>
      <c r="E903" s="591"/>
      <c r="F903" s="591"/>
      <c r="G903" s="591"/>
      <c r="H903" s="591"/>
      <c r="I903" s="591"/>
      <c r="J903" s="591"/>
      <c r="K903" s="542"/>
      <c r="O903" s="1134"/>
      <c r="Q903" s="1133"/>
    </row>
    <row r="904" spans="2:17" x14ac:dyDescent="0.3">
      <c r="B904" s="126"/>
      <c r="C904" s="583">
        <v>534</v>
      </c>
      <c r="D904" s="625" t="e">
        <f t="shared" si="33"/>
        <v>#VALUE!</v>
      </c>
      <c r="E904" s="591"/>
      <c r="F904" s="591"/>
      <c r="G904" s="591"/>
      <c r="H904" s="591"/>
      <c r="I904" s="591"/>
      <c r="J904" s="591"/>
      <c r="K904" s="542"/>
      <c r="O904" s="1134"/>
      <c r="Q904" s="1133"/>
    </row>
    <row r="905" spans="2:17" x14ac:dyDescent="0.3">
      <c r="B905" s="126"/>
      <c r="C905" s="583">
        <v>535</v>
      </c>
      <c r="D905" s="625" t="e">
        <f t="shared" si="33"/>
        <v>#VALUE!</v>
      </c>
      <c r="E905" s="591"/>
      <c r="F905" s="591"/>
      <c r="G905" s="591"/>
      <c r="H905" s="591"/>
      <c r="I905" s="591"/>
      <c r="J905" s="591"/>
      <c r="K905" s="542"/>
      <c r="O905" s="1134"/>
      <c r="Q905" s="1133"/>
    </row>
    <row r="906" spans="2:17" x14ac:dyDescent="0.3">
      <c r="B906" s="126"/>
      <c r="C906" s="583">
        <v>536</v>
      </c>
      <c r="D906" s="625" t="e">
        <f t="shared" si="33"/>
        <v>#VALUE!</v>
      </c>
      <c r="E906" s="591"/>
      <c r="F906" s="591"/>
      <c r="G906" s="591"/>
      <c r="H906" s="591"/>
      <c r="I906" s="591"/>
      <c r="J906" s="591"/>
      <c r="K906" s="542"/>
      <c r="O906" s="1134"/>
      <c r="Q906" s="1133"/>
    </row>
    <row r="907" spans="2:17" x14ac:dyDescent="0.3">
      <c r="B907" s="126"/>
      <c r="C907" s="583">
        <v>537</v>
      </c>
      <c r="D907" s="625" t="e">
        <f t="shared" si="33"/>
        <v>#VALUE!</v>
      </c>
      <c r="E907" s="591"/>
      <c r="F907" s="591"/>
      <c r="G907" s="591"/>
      <c r="H907" s="591"/>
      <c r="I907" s="591"/>
      <c r="J907" s="591"/>
      <c r="K907" s="542"/>
      <c r="O907" s="1134"/>
      <c r="Q907" s="1133"/>
    </row>
    <row r="908" spans="2:17" x14ac:dyDescent="0.3">
      <c r="B908" s="126"/>
      <c r="C908" s="583">
        <v>538</v>
      </c>
      <c r="D908" s="625" t="e">
        <f t="shared" si="33"/>
        <v>#VALUE!</v>
      </c>
      <c r="E908" s="591"/>
      <c r="F908" s="591"/>
      <c r="G908" s="591"/>
      <c r="H908" s="591"/>
      <c r="I908" s="591"/>
      <c r="J908" s="591"/>
      <c r="K908" s="542"/>
      <c r="O908" s="1134"/>
      <c r="Q908" s="1133"/>
    </row>
    <row r="909" spans="2:17" x14ac:dyDescent="0.3">
      <c r="B909" s="126"/>
      <c r="C909" s="583">
        <v>539</v>
      </c>
      <c r="D909" s="625" t="e">
        <f t="shared" si="33"/>
        <v>#VALUE!</v>
      </c>
      <c r="E909" s="591"/>
      <c r="F909" s="591"/>
      <c r="G909" s="591"/>
      <c r="H909" s="591"/>
      <c r="I909" s="591"/>
      <c r="J909" s="591"/>
      <c r="K909" s="542"/>
      <c r="O909" s="1134"/>
      <c r="Q909" s="1133"/>
    </row>
    <row r="910" spans="2:17" x14ac:dyDescent="0.3">
      <c r="B910" s="126"/>
      <c r="C910" s="583">
        <v>540</v>
      </c>
      <c r="D910" s="625" t="e">
        <f t="shared" si="33"/>
        <v>#VALUE!</v>
      </c>
      <c r="E910" s="591"/>
      <c r="F910" s="591"/>
      <c r="G910" s="591"/>
      <c r="H910" s="591"/>
      <c r="I910" s="591"/>
      <c r="J910" s="591"/>
      <c r="K910" s="542"/>
      <c r="O910" s="1134"/>
      <c r="Q910" s="1133"/>
    </row>
    <row r="911" spans="2:17" x14ac:dyDescent="0.3">
      <c r="B911" s="126"/>
      <c r="C911" s="583">
        <v>541</v>
      </c>
      <c r="D911" s="625" t="e">
        <f t="shared" si="33"/>
        <v>#VALUE!</v>
      </c>
      <c r="E911" s="591"/>
      <c r="F911" s="591"/>
      <c r="G911" s="591"/>
      <c r="H911" s="591"/>
      <c r="I911" s="591"/>
      <c r="J911" s="591"/>
      <c r="K911" s="542"/>
      <c r="O911" s="1134"/>
      <c r="Q911" s="1133"/>
    </row>
    <row r="912" spans="2:17" x14ac:dyDescent="0.3">
      <c r="B912" s="126"/>
      <c r="C912" s="583">
        <v>542</v>
      </c>
      <c r="D912" s="625" t="e">
        <f t="shared" si="33"/>
        <v>#VALUE!</v>
      </c>
      <c r="E912" s="591"/>
      <c r="F912" s="591"/>
      <c r="G912" s="591"/>
      <c r="H912" s="591"/>
      <c r="I912" s="591"/>
      <c r="J912" s="591"/>
      <c r="K912" s="542"/>
      <c r="O912" s="1134"/>
      <c r="Q912" s="1133"/>
    </row>
    <row r="913" spans="2:17" x14ac:dyDescent="0.3">
      <c r="B913" s="126"/>
      <c r="C913" s="583">
        <v>543</v>
      </c>
      <c r="D913" s="625" t="e">
        <f t="shared" si="33"/>
        <v>#VALUE!</v>
      </c>
      <c r="E913" s="591"/>
      <c r="F913" s="591"/>
      <c r="G913" s="591"/>
      <c r="H913" s="591"/>
      <c r="I913" s="591"/>
      <c r="J913" s="591"/>
      <c r="K913" s="542"/>
      <c r="O913" s="1134"/>
      <c r="Q913" s="1133"/>
    </row>
    <row r="914" spans="2:17" x14ac:dyDescent="0.3">
      <c r="B914" s="126"/>
      <c r="C914" s="583">
        <v>544</v>
      </c>
      <c r="D914" s="625" t="e">
        <f t="shared" si="33"/>
        <v>#VALUE!</v>
      </c>
      <c r="E914" s="591"/>
      <c r="F914" s="591"/>
      <c r="G914" s="591"/>
      <c r="H914" s="591"/>
      <c r="I914" s="591"/>
      <c r="J914" s="591"/>
      <c r="K914" s="542"/>
      <c r="O914" s="1134"/>
      <c r="Q914" s="1133"/>
    </row>
    <row r="915" spans="2:17" x14ac:dyDescent="0.3">
      <c r="B915" s="126"/>
      <c r="C915" s="583">
        <v>545</v>
      </c>
      <c r="D915" s="625" t="e">
        <f t="shared" si="33"/>
        <v>#VALUE!</v>
      </c>
      <c r="E915" s="591"/>
      <c r="F915" s="591"/>
      <c r="G915" s="591"/>
      <c r="H915" s="591"/>
      <c r="I915" s="591"/>
      <c r="J915" s="591"/>
      <c r="K915" s="542"/>
      <c r="O915" s="1134"/>
      <c r="Q915" s="1133"/>
    </row>
    <row r="916" spans="2:17" x14ac:dyDescent="0.3">
      <c r="B916" s="126"/>
      <c r="C916" s="583">
        <v>546</v>
      </c>
      <c r="D916" s="625" t="e">
        <f t="shared" si="33"/>
        <v>#VALUE!</v>
      </c>
      <c r="E916" s="591"/>
      <c r="F916" s="591"/>
      <c r="G916" s="591"/>
      <c r="H916" s="591"/>
      <c r="I916" s="591"/>
      <c r="J916" s="591"/>
      <c r="K916" s="542"/>
      <c r="O916" s="1134"/>
      <c r="Q916" s="1133"/>
    </row>
    <row r="917" spans="2:17" x14ac:dyDescent="0.3">
      <c r="B917" s="126"/>
      <c r="C917" s="583">
        <v>547</v>
      </c>
      <c r="D917" s="625" t="e">
        <f t="shared" si="33"/>
        <v>#VALUE!</v>
      </c>
      <c r="E917" s="591"/>
      <c r="F917" s="591"/>
      <c r="G917" s="591"/>
      <c r="H917" s="591"/>
      <c r="I917" s="591"/>
      <c r="J917" s="591"/>
      <c r="K917" s="542"/>
      <c r="O917" s="1134"/>
      <c r="Q917" s="1133"/>
    </row>
    <row r="918" spans="2:17" x14ac:dyDescent="0.3">
      <c r="B918" s="126"/>
      <c r="C918" s="583">
        <v>548</v>
      </c>
      <c r="D918" s="625" t="e">
        <f t="shared" si="33"/>
        <v>#VALUE!</v>
      </c>
      <c r="E918" s="591"/>
      <c r="F918" s="591"/>
      <c r="G918" s="591"/>
      <c r="H918" s="591"/>
      <c r="I918" s="591"/>
      <c r="J918" s="591"/>
      <c r="K918" s="542"/>
      <c r="O918" s="1134"/>
      <c r="Q918" s="1133"/>
    </row>
    <row r="919" spans="2:17" x14ac:dyDescent="0.3">
      <c r="B919" s="126"/>
      <c r="C919" s="583">
        <v>549</v>
      </c>
      <c r="D919" s="625" t="e">
        <f t="shared" si="33"/>
        <v>#VALUE!</v>
      </c>
      <c r="E919" s="591"/>
      <c r="F919" s="591"/>
      <c r="G919" s="591"/>
      <c r="H919" s="591"/>
      <c r="I919" s="591"/>
      <c r="J919" s="591"/>
      <c r="K919" s="542"/>
      <c r="O919" s="1134"/>
      <c r="Q919" s="1133"/>
    </row>
    <row r="920" spans="2:17" x14ac:dyDescent="0.3">
      <c r="B920" s="126"/>
      <c r="C920" s="583">
        <v>550</v>
      </c>
      <c r="D920" s="625" t="e">
        <f t="shared" si="33"/>
        <v>#VALUE!</v>
      </c>
      <c r="E920" s="591"/>
      <c r="F920" s="591"/>
      <c r="G920" s="591"/>
      <c r="H920" s="591"/>
      <c r="I920" s="591"/>
      <c r="J920" s="591"/>
      <c r="K920" s="542"/>
      <c r="O920" s="1134"/>
      <c r="Q920" s="1133"/>
    </row>
    <row r="921" spans="2:17" x14ac:dyDescent="0.3">
      <c r="B921" s="126"/>
      <c r="C921" s="583">
        <v>551</v>
      </c>
      <c r="D921" s="625" t="e">
        <f t="shared" si="33"/>
        <v>#VALUE!</v>
      </c>
      <c r="E921" s="591"/>
      <c r="F921" s="591"/>
      <c r="G921" s="591"/>
      <c r="H921" s="591"/>
      <c r="I921" s="591"/>
      <c r="J921" s="591"/>
      <c r="K921" s="542"/>
      <c r="O921" s="1134"/>
      <c r="Q921" s="1133"/>
    </row>
    <row r="922" spans="2:17" x14ac:dyDescent="0.3">
      <c r="B922" s="126"/>
      <c r="C922" s="583">
        <v>552</v>
      </c>
      <c r="D922" s="625" t="e">
        <f t="shared" si="33"/>
        <v>#VALUE!</v>
      </c>
      <c r="E922" s="591"/>
      <c r="F922" s="591"/>
      <c r="G922" s="591"/>
      <c r="H922" s="591"/>
      <c r="I922" s="591"/>
      <c r="J922" s="591"/>
      <c r="K922" s="542"/>
      <c r="O922" s="1134"/>
      <c r="Q922" s="1133"/>
    </row>
    <row r="923" spans="2:17" x14ac:dyDescent="0.3">
      <c r="B923" s="126"/>
      <c r="C923" s="583">
        <v>553</v>
      </c>
      <c r="D923" s="625" t="e">
        <f t="shared" si="33"/>
        <v>#VALUE!</v>
      </c>
      <c r="E923" s="591"/>
      <c r="F923" s="591"/>
      <c r="G923" s="591"/>
      <c r="H923" s="591"/>
      <c r="I923" s="591"/>
      <c r="J923" s="591"/>
      <c r="K923" s="542"/>
      <c r="O923" s="1134"/>
      <c r="Q923" s="1133"/>
    </row>
    <row r="924" spans="2:17" x14ac:dyDescent="0.3">
      <c r="B924" s="126"/>
      <c r="C924" s="583">
        <v>554</v>
      </c>
      <c r="D924" s="625" t="e">
        <f t="shared" si="33"/>
        <v>#VALUE!</v>
      </c>
      <c r="E924" s="591"/>
      <c r="F924" s="591"/>
      <c r="G924" s="591"/>
      <c r="H924" s="591"/>
      <c r="I924" s="591"/>
      <c r="J924" s="591"/>
      <c r="K924" s="542"/>
      <c r="O924" s="1134"/>
      <c r="Q924" s="1133"/>
    </row>
    <row r="925" spans="2:17" x14ac:dyDescent="0.3">
      <c r="B925" s="126"/>
      <c r="C925" s="583">
        <v>555</v>
      </c>
      <c r="D925" s="625" t="e">
        <f t="shared" si="33"/>
        <v>#VALUE!</v>
      </c>
      <c r="E925" s="591"/>
      <c r="F925" s="591"/>
      <c r="G925" s="591"/>
      <c r="H925" s="591"/>
      <c r="I925" s="591"/>
      <c r="J925" s="591"/>
      <c r="K925" s="542"/>
      <c r="O925" s="1134"/>
      <c r="Q925" s="1133"/>
    </row>
    <row r="926" spans="2:17" x14ac:dyDescent="0.3">
      <c r="B926" s="126"/>
      <c r="C926" s="583">
        <v>556</v>
      </c>
      <c r="D926" s="625" t="e">
        <f t="shared" si="33"/>
        <v>#VALUE!</v>
      </c>
      <c r="E926" s="591"/>
      <c r="F926" s="591"/>
      <c r="G926" s="591"/>
      <c r="H926" s="591"/>
      <c r="I926" s="591"/>
      <c r="J926" s="591"/>
      <c r="K926" s="542"/>
      <c r="O926" s="1134"/>
      <c r="Q926" s="1133"/>
    </row>
    <row r="927" spans="2:17" x14ac:dyDescent="0.3">
      <c r="B927" s="126"/>
      <c r="C927" s="583">
        <v>557</v>
      </c>
      <c r="D927" s="625" t="e">
        <f t="shared" si="33"/>
        <v>#VALUE!</v>
      </c>
      <c r="E927" s="591"/>
      <c r="F927" s="591"/>
      <c r="G927" s="591"/>
      <c r="H927" s="591"/>
      <c r="I927" s="591"/>
      <c r="J927" s="591"/>
      <c r="K927" s="542"/>
      <c r="O927" s="1134"/>
      <c r="Q927" s="1133"/>
    </row>
    <row r="928" spans="2:17" x14ac:dyDescent="0.3">
      <c r="B928" s="126"/>
      <c r="C928" s="583">
        <v>558</v>
      </c>
      <c r="D928" s="625" t="e">
        <f t="shared" si="33"/>
        <v>#VALUE!</v>
      </c>
      <c r="E928" s="591"/>
      <c r="F928" s="591"/>
      <c r="G928" s="591"/>
      <c r="H928" s="591"/>
      <c r="I928" s="591"/>
      <c r="J928" s="591"/>
      <c r="K928" s="542"/>
      <c r="O928" s="1134"/>
      <c r="Q928" s="1133"/>
    </row>
    <row r="929" spans="2:17" x14ac:dyDescent="0.3">
      <c r="B929" s="126"/>
      <c r="C929" s="583">
        <v>559</v>
      </c>
      <c r="D929" s="625" t="e">
        <f t="shared" si="33"/>
        <v>#VALUE!</v>
      </c>
      <c r="E929" s="591"/>
      <c r="F929" s="591"/>
      <c r="G929" s="591"/>
      <c r="H929" s="591"/>
      <c r="I929" s="591"/>
      <c r="J929" s="591"/>
      <c r="K929" s="542"/>
      <c r="O929" s="1134"/>
      <c r="Q929" s="1133"/>
    </row>
    <row r="930" spans="2:17" x14ac:dyDescent="0.3">
      <c r="B930" s="126"/>
      <c r="C930" s="583">
        <v>560</v>
      </c>
      <c r="D930" s="625" t="e">
        <f t="shared" si="33"/>
        <v>#VALUE!</v>
      </c>
      <c r="E930" s="591"/>
      <c r="F930" s="591"/>
      <c r="G930" s="591"/>
      <c r="H930" s="591"/>
      <c r="I930" s="591"/>
      <c r="J930" s="591"/>
      <c r="K930" s="542"/>
      <c r="O930" s="1134"/>
      <c r="Q930" s="1133"/>
    </row>
    <row r="931" spans="2:17" x14ac:dyDescent="0.3">
      <c r="B931" s="126"/>
      <c r="C931" s="583">
        <v>561</v>
      </c>
      <c r="D931" s="625" t="e">
        <f t="shared" si="33"/>
        <v>#VALUE!</v>
      </c>
      <c r="E931" s="591"/>
      <c r="F931" s="591"/>
      <c r="G931" s="591"/>
      <c r="H931" s="591"/>
      <c r="I931" s="591"/>
      <c r="J931" s="591"/>
      <c r="K931" s="542"/>
      <c r="O931" s="1134"/>
      <c r="Q931" s="1133"/>
    </row>
    <row r="932" spans="2:17" x14ac:dyDescent="0.3">
      <c r="B932" s="126"/>
      <c r="C932" s="583">
        <v>562</v>
      </c>
      <c r="D932" s="625" t="e">
        <f t="shared" si="33"/>
        <v>#VALUE!</v>
      </c>
      <c r="E932" s="591"/>
      <c r="F932" s="591"/>
      <c r="G932" s="591"/>
      <c r="H932" s="591"/>
      <c r="I932" s="591"/>
      <c r="J932" s="591"/>
      <c r="K932" s="542"/>
      <c r="O932" s="1134"/>
      <c r="Q932" s="1133"/>
    </row>
    <row r="933" spans="2:17" x14ac:dyDescent="0.3">
      <c r="B933" s="126"/>
      <c r="C933" s="583">
        <v>563</v>
      </c>
      <c r="D933" s="625" t="e">
        <f t="shared" si="33"/>
        <v>#VALUE!</v>
      </c>
      <c r="E933" s="591"/>
      <c r="F933" s="591"/>
      <c r="G933" s="591"/>
      <c r="H933" s="591"/>
      <c r="I933" s="591"/>
      <c r="J933" s="591"/>
      <c r="K933" s="542"/>
      <c r="O933" s="1134"/>
      <c r="Q933" s="1133"/>
    </row>
    <row r="934" spans="2:17" x14ac:dyDescent="0.3">
      <c r="B934" s="126"/>
      <c r="C934" s="583">
        <v>564</v>
      </c>
      <c r="D934" s="625" t="e">
        <f t="shared" si="33"/>
        <v>#VALUE!</v>
      </c>
      <c r="E934" s="591"/>
      <c r="F934" s="591"/>
      <c r="G934" s="591"/>
      <c r="H934" s="591"/>
      <c r="I934" s="591"/>
      <c r="J934" s="591"/>
      <c r="K934" s="542"/>
      <c r="O934" s="1134"/>
      <c r="Q934" s="1133"/>
    </row>
    <row r="935" spans="2:17" x14ac:dyDescent="0.3">
      <c r="B935" s="126"/>
      <c r="C935" s="583">
        <v>565</v>
      </c>
      <c r="D935" s="625" t="e">
        <f t="shared" si="33"/>
        <v>#VALUE!</v>
      </c>
      <c r="E935" s="591"/>
      <c r="F935" s="591"/>
      <c r="G935" s="591"/>
      <c r="H935" s="591"/>
      <c r="I935" s="591"/>
      <c r="J935" s="591"/>
      <c r="K935" s="542"/>
      <c r="O935" s="1134"/>
      <c r="Q935" s="1133"/>
    </row>
    <row r="936" spans="2:17" x14ac:dyDescent="0.3">
      <c r="B936" s="126"/>
      <c r="C936" s="583">
        <v>566</v>
      </c>
      <c r="D936" s="625" t="e">
        <f t="shared" si="33"/>
        <v>#VALUE!</v>
      </c>
      <c r="E936" s="591"/>
      <c r="F936" s="591"/>
      <c r="G936" s="591"/>
      <c r="H936" s="591"/>
      <c r="I936" s="591"/>
      <c r="J936" s="591"/>
      <c r="K936" s="542"/>
      <c r="O936" s="1134"/>
      <c r="Q936" s="1133"/>
    </row>
    <row r="937" spans="2:17" x14ac:dyDescent="0.3">
      <c r="B937" s="126"/>
      <c r="C937" s="583">
        <v>567</v>
      </c>
      <c r="D937" s="625" t="e">
        <f t="shared" si="33"/>
        <v>#VALUE!</v>
      </c>
      <c r="E937" s="591"/>
      <c r="F937" s="591"/>
      <c r="G937" s="591"/>
      <c r="H937" s="591"/>
      <c r="I937" s="591"/>
      <c r="J937" s="591"/>
      <c r="K937" s="542"/>
      <c r="O937" s="1134"/>
      <c r="Q937" s="1133"/>
    </row>
    <row r="938" spans="2:17" x14ac:dyDescent="0.3">
      <c r="B938" s="126"/>
      <c r="C938" s="583">
        <v>568</v>
      </c>
      <c r="D938" s="625" t="e">
        <f t="shared" si="33"/>
        <v>#VALUE!</v>
      </c>
      <c r="E938" s="591"/>
      <c r="F938" s="591"/>
      <c r="G938" s="591"/>
      <c r="H938" s="591"/>
      <c r="I938" s="591"/>
      <c r="J938" s="591"/>
      <c r="K938" s="542"/>
      <c r="O938" s="1134"/>
      <c r="Q938" s="1133"/>
    </row>
    <row r="939" spans="2:17" x14ac:dyDescent="0.3">
      <c r="B939" s="126"/>
      <c r="C939" s="583">
        <v>569</v>
      </c>
      <c r="D939" s="625" t="e">
        <f t="shared" si="33"/>
        <v>#VALUE!</v>
      </c>
      <c r="E939" s="591"/>
      <c r="F939" s="591"/>
      <c r="G939" s="591"/>
      <c r="H939" s="591"/>
      <c r="I939" s="591"/>
      <c r="J939" s="591"/>
      <c r="K939" s="542"/>
      <c r="O939" s="1134"/>
      <c r="Q939" s="1133"/>
    </row>
    <row r="940" spans="2:17" x14ac:dyDescent="0.3">
      <c r="B940" s="126"/>
      <c r="C940" s="583">
        <v>570</v>
      </c>
      <c r="D940" s="625" t="e">
        <f t="shared" si="33"/>
        <v>#VALUE!</v>
      </c>
      <c r="E940" s="591"/>
      <c r="F940" s="591"/>
      <c r="G940" s="591"/>
      <c r="H940" s="591"/>
      <c r="I940" s="591"/>
      <c r="J940" s="591"/>
      <c r="K940" s="542"/>
      <c r="O940" s="1134"/>
      <c r="Q940" s="1133"/>
    </row>
    <row r="941" spans="2:17" x14ac:dyDescent="0.3">
      <c r="B941" s="126"/>
      <c r="C941" s="583">
        <v>571</v>
      </c>
      <c r="D941" s="625" t="e">
        <f t="shared" si="33"/>
        <v>#VALUE!</v>
      </c>
      <c r="E941" s="591"/>
      <c r="F941" s="591"/>
      <c r="G941" s="591"/>
      <c r="H941" s="591"/>
      <c r="I941" s="591"/>
      <c r="J941" s="591"/>
      <c r="K941" s="542"/>
      <c r="O941" s="1134"/>
      <c r="Q941" s="1133"/>
    </row>
    <row r="942" spans="2:17" x14ac:dyDescent="0.3">
      <c r="B942" s="126"/>
      <c r="C942" s="583">
        <v>572</v>
      </c>
      <c r="D942" s="625" t="e">
        <f t="shared" si="33"/>
        <v>#VALUE!</v>
      </c>
      <c r="E942" s="591"/>
      <c r="F942" s="591"/>
      <c r="G942" s="591"/>
      <c r="H942" s="591"/>
      <c r="I942" s="591"/>
      <c r="J942" s="591"/>
      <c r="K942" s="542"/>
      <c r="O942" s="1134"/>
      <c r="Q942" s="1133"/>
    </row>
    <row r="943" spans="2:17" x14ac:dyDescent="0.3">
      <c r="B943" s="126"/>
      <c r="C943" s="583">
        <v>573</v>
      </c>
      <c r="D943" s="625" t="e">
        <f t="shared" si="33"/>
        <v>#VALUE!</v>
      </c>
      <c r="E943" s="591"/>
      <c r="F943" s="591"/>
      <c r="G943" s="591"/>
      <c r="H943" s="591"/>
      <c r="I943" s="591"/>
      <c r="J943" s="591"/>
      <c r="K943" s="542"/>
      <c r="O943" s="1134"/>
      <c r="Q943" s="1133"/>
    </row>
    <row r="944" spans="2:17" x14ac:dyDescent="0.3">
      <c r="B944" s="126"/>
      <c r="C944" s="583">
        <v>574</v>
      </c>
      <c r="D944" s="625" t="e">
        <f t="shared" si="33"/>
        <v>#VALUE!</v>
      </c>
      <c r="E944" s="591"/>
      <c r="F944" s="591"/>
      <c r="G944" s="591"/>
      <c r="H944" s="591"/>
      <c r="I944" s="591"/>
      <c r="J944" s="591"/>
      <c r="K944" s="542"/>
      <c r="O944" s="1134"/>
      <c r="Q944" s="1133"/>
    </row>
    <row r="945" spans="2:17" x14ac:dyDescent="0.3">
      <c r="B945" s="126"/>
      <c r="C945" s="583">
        <v>575</v>
      </c>
      <c r="D945" s="625" t="e">
        <f t="shared" si="33"/>
        <v>#VALUE!</v>
      </c>
      <c r="E945" s="591"/>
      <c r="F945" s="591"/>
      <c r="G945" s="591"/>
      <c r="H945" s="591"/>
      <c r="I945" s="591"/>
      <c r="J945" s="591"/>
      <c r="K945" s="542"/>
      <c r="O945" s="1134"/>
      <c r="Q945" s="1133"/>
    </row>
    <row r="946" spans="2:17" x14ac:dyDescent="0.3">
      <c r="B946" s="126"/>
      <c r="C946" s="583">
        <v>576</v>
      </c>
      <c r="D946" s="625" t="e">
        <f t="shared" ref="D946:D1009" si="34">$C$349*C946</f>
        <v>#VALUE!</v>
      </c>
      <c r="E946" s="591"/>
      <c r="F946" s="591"/>
      <c r="G946" s="591"/>
      <c r="H946" s="591"/>
      <c r="I946" s="591"/>
      <c r="J946" s="591"/>
      <c r="K946" s="542"/>
      <c r="O946" s="1134"/>
      <c r="Q946" s="1133"/>
    </row>
    <row r="947" spans="2:17" x14ac:dyDescent="0.3">
      <c r="B947" s="126"/>
      <c r="C947" s="583">
        <v>577</v>
      </c>
      <c r="D947" s="625" t="e">
        <f t="shared" si="34"/>
        <v>#VALUE!</v>
      </c>
      <c r="E947" s="591"/>
      <c r="F947" s="591"/>
      <c r="G947" s="591"/>
      <c r="H947" s="591"/>
      <c r="I947" s="591"/>
      <c r="J947" s="591"/>
      <c r="K947" s="542"/>
      <c r="O947" s="1134"/>
      <c r="Q947" s="1133"/>
    </row>
    <row r="948" spans="2:17" x14ac:dyDescent="0.3">
      <c r="B948" s="126"/>
      <c r="C948" s="583">
        <v>578</v>
      </c>
      <c r="D948" s="625" t="e">
        <f t="shared" si="34"/>
        <v>#VALUE!</v>
      </c>
      <c r="E948" s="591"/>
      <c r="F948" s="591"/>
      <c r="G948" s="591"/>
      <c r="H948" s="591"/>
      <c r="I948" s="591"/>
      <c r="J948" s="591"/>
      <c r="K948" s="542"/>
      <c r="O948" s="1134"/>
      <c r="Q948" s="1133"/>
    </row>
    <row r="949" spans="2:17" x14ac:dyDescent="0.3">
      <c r="B949" s="126"/>
      <c r="C949" s="583">
        <v>579</v>
      </c>
      <c r="D949" s="625" t="e">
        <f t="shared" si="34"/>
        <v>#VALUE!</v>
      </c>
      <c r="E949" s="591"/>
      <c r="F949" s="591"/>
      <c r="G949" s="591"/>
      <c r="H949" s="591"/>
      <c r="I949" s="591"/>
      <c r="J949" s="591"/>
      <c r="K949" s="542"/>
      <c r="O949" s="1134"/>
      <c r="Q949" s="1133"/>
    </row>
    <row r="950" spans="2:17" x14ac:dyDescent="0.3">
      <c r="B950" s="126"/>
      <c r="C950" s="583">
        <v>580</v>
      </c>
      <c r="D950" s="625" t="e">
        <f t="shared" si="34"/>
        <v>#VALUE!</v>
      </c>
      <c r="E950" s="591"/>
      <c r="F950" s="591"/>
      <c r="G950" s="591"/>
      <c r="H950" s="591"/>
      <c r="I950" s="591"/>
      <c r="J950" s="591"/>
      <c r="K950" s="542"/>
      <c r="O950" s="1134"/>
      <c r="Q950" s="1133"/>
    </row>
    <row r="951" spans="2:17" x14ac:dyDescent="0.3">
      <c r="B951" s="126"/>
      <c r="C951" s="583">
        <v>581</v>
      </c>
      <c r="D951" s="625" t="e">
        <f t="shared" si="34"/>
        <v>#VALUE!</v>
      </c>
      <c r="E951" s="591"/>
      <c r="F951" s="591"/>
      <c r="G951" s="591"/>
      <c r="H951" s="591"/>
      <c r="I951" s="591"/>
      <c r="J951" s="591"/>
      <c r="K951" s="542"/>
      <c r="O951" s="1134"/>
      <c r="Q951" s="1133"/>
    </row>
    <row r="952" spans="2:17" x14ac:dyDescent="0.3">
      <c r="B952" s="126"/>
      <c r="C952" s="583">
        <v>582</v>
      </c>
      <c r="D952" s="625" t="e">
        <f t="shared" si="34"/>
        <v>#VALUE!</v>
      </c>
      <c r="E952" s="591"/>
      <c r="F952" s="591"/>
      <c r="G952" s="591"/>
      <c r="H952" s="591"/>
      <c r="I952" s="591"/>
      <c r="J952" s="591"/>
      <c r="K952" s="542"/>
      <c r="O952" s="1134"/>
      <c r="Q952" s="1133"/>
    </row>
    <row r="953" spans="2:17" x14ac:dyDescent="0.3">
      <c r="B953" s="126"/>
      <c r="C953" s="583">
        <v>583</v>
      </c>
      <c r="D953" s="625" t="e">
        <f t="shared" si="34"/>
        <v>#VALUE!</v>
      </c>
      <c r="E953" s="591"/>
      <c r="F953" s="591"/>
      <c r="G953" s="591"/>
      <c r="H953" s="591"/>
      <c r="I953" s="591"/>
      <c r="J953" s="591"/>
      <c r="K953" s="542"/>
      <c r="O953" s="1134"/>
      <c r="Q953" s="1133"/>
    </row>
    <row r="954" spans="2:17" x14ac:dyDescent="0.3">
      <c r="B954" s="126"/>
      <c r="C954" s="583">
        <v>584</v>
      </c>
      <c r="D954" s="625" t="e">
        <f t="shared" si="34"/>
        <v>#VALUE!</v>
      </c>
      <c r="E954" s="591"/>
      <c r="F954" s="591"/>
      <c r="G954" s="591"/>
      <c r="H954" s="591"/>
      <c r="I954" s="591"/>
      <c r="J954" s="591"/>
      <c r="K954" s="542"/>
      <c r="O954" s="1134"/>
      <c r="Q954" s="1133"/>
    </row>
    <row r="955" spans="2:17" x14ac:dyDescent="0.3">
      <c r="B955" s="126"/>
      <c r="C955" s="583">
        <v>585</v>
      </c>
      <c r="D955" s="625" t="e">
        <f t="shared" si="34"/>
        <v>#VALUE!</v>
      </c>
      <c r="E955" s="591"/>
      <c r="F955" s="591"/>
      <c r="G955" s="591"/>
      <c r="H955" s="591"/>
      <c r="I955" s="591"/>
      <c r="J955" s="591"/>
      <c r="K955" s="542"/>
      <c r="O955" s="1134"/>
      <c r="Q955" s="1133"/>
    </row>
    <row r="956" spans="2:17" x14ac:dyDescent="0.3">
      <c r="B956" s="126"/>
      <c r="C956" s="583">
        <v>586</v>
      </c>
      <c r="D956" s="625" t="e">
        <f t="shared" si="34"/>
        <v>#VALUE!</v>
      </c>
      <c r="E956" s="591"/>
      <c r="F956" s="591"/>
      <c r="G956" s="591"/>
      <c r="H956" s="591"/>
      <c r="I956" s="591"/>
      <c r="J956" s="591"/>
      <c r="K956" s="542"/>
      <c r="O956" s="1134"/>
      <c r="Q956" s="1133"/>
    </row>
    <row r="957" spans="2:17" x14ac:dyDescent="0.3">
      <c r="B957" s="126"/>
      <c r="C957" s="583">
        <v>587</v>
      </c>
      <c r="D957" s="625" t="e">
        <f t="shared" si="34"/>
        <v>#VALUE!</v>
      </c>
      <c r="E957" s="591"/>
      <c r="F957" s="591"/>
      <c r="G957" s="591"/>
      <c r="H957" s="591"/>
      <c r="I957" s="591"/>
      <c r="J957" s="591"/>
      <c r="K957" s="542"/>
      <c r="O957" s="1134"/>
      <c r="Q957" s="1133"/>
    </row>
    <row r="958" spans="2:17" x14ac:dyDescent="0.3">
      <c r="B958" s="126"/>
      <c r="C958" s="583">
        <v>588</v>
      </c>
      <c r="D958" s="625" t="e">
        <f t="shared" si="34"/>
        <v>#VALUE!</v>
      </c>
      <c r="E958" s="591"/>
      <c r="F958" s="591"/>
      <c r="G958" s="591"/>
      <c r="H958" s="591"/>
      <c r="I958" s="591"/>
      <c r="J958" s="591"/>
      <c r="K958" s="542"/>
      <c r="O958" s="1134"/>
      <c r="Q958" s="1133"/>
    </row>
    <row r="959" spans="2:17" x14ac:dyDescent="0.3">
      <c r="B959" s="126"/>
      <c r="C959" s="583">
        <v>589</v>
      </c>
      <c r="D959" s="625" t="e">
        <f t="shared" si="34"/>
        <v>#VALUE!</v>
      </c>
      <c r="E959" s="591"/>
      <c r="F959" s="591"/>
      <c r="G959" s="591"/>
      <c r="H959" s="591"/>
      <c r="I959" s="591"/>
      <c r="J959" s="591"/>
      <c r="K959" s="542"/>
      <c r="O959" s="1134"/>
      <c r="Q959" s="1133"/>
    </row>
    <row r="960" spans="2:17" x14ac:dyDescent="0.3">
      <c r="B960" s="126"/>
      <c r="C960" s="583">
        <v>590</v>
      </c>
      <c r="D960" s="625" t="e">
        <f t="shared" si="34"/>
        <v>#VALUE!</v>
      </c>
      <c r="E960" s="591"/>
      <c r="F960" s="591"/>
      <c r="G960" s="591"/>
      <c r="H960" s="591"/>
      <c r="I960" s="591"/>
      <c r="J960" s="591"/>
      <c r="K960" s="542"/>
      <c r="O960" s="1134"/>
      <c r="Q960" s="1133"/>
    </row>
    <row r="961" spans="2:17" x14ac:dyDescent="0.3">
      <c r="B961" s="126"/>
      <c r="C961" s="583">
        <v>591</v>
      </c>
      <c r="D961" s="625" t="e">
        <f t="shared" si="34"/>
        <v>#VALUE!</v>
      </c>
      <c r="E961" s="591"/>
      <c r="F961" s="591"/>
      <c r="G961" s="591"/>
      <c r="H961" s="591"/>
      <c r="I961" s="591"/>
      <c r="J961" s="591"/>
      <c r="K961" s="542"/>
      <c r="O961" s="1134"/>
      <c r="Q961" s="1133"/>
    </row>
    <row r="962" spans="2:17" x14ac:dyDescent="0.3">
      <c r="B962" s="126"/>
      <c r="C962" s="583">
        <v>592</v>
      </c>
      <c r="D962" s="625" t="e">
        <f t="shared" si="34"/>
        <v>#VALUE!</v>
      </c>
      <c r="E962" s="591"/>
      <c r="F962" s="591"/>
      <c r="G962" s="591"/>
      <c r="H962" s="591"/>
      <c r="I962" s="591"/>
      <c r="J962" s="591"/>
      <c r="K962" s="542"/>
      <c r="O962" s="1134"/>
      <c r="Q962" s="1133"/>
    </row>
    <row r="963" spans="2:17" x14ac:dyDescent="0.3">
      <c r="B963" s="126"/>
      <c r="C963" s="583">
        <v>593</v>
      </c>
      <c r="D963" s="625" t="e">
        <f t="shared" si="34"/>
        <v>#VALUE!</v>
      </c>
      <c r="E963" s="591"/>
      <c r="F963" s="591"/>
      <c r="G963" s="591"/>
      <c r="H963" s="591"/>
      <c r="I963" s="591"/>
      <c r="J963" s="591"/>
      <c r="K963" s="542"/>
      <c r="O963" s="1134"/>
      <c r="Q963" s="1133"/>
    </row>
    <row r="964" spans="2:17" x14ac:dyDescent="0.3">
      <c r="B964" s="126"/>
      <c r="C964" s="583">
        <v>594</v>
      </c>
      <c r="D964" s="625" t="e">
        <f t="shared" si="34"/>
        <v>#VALUE!</v>
      </c>
      <c r="E964" s="591"/>
      <c r="F964" s="591"/>
      <c r="G964" s="591"/>
      <c r="H964" s="591"/>
      <c r="I964" s="591"/>
      <c r="J964" s="591"/>
      <c r="K964" s="542"/>
      <c r="O964" s="1134"/>
      <c r="Q964" s="1133"/>
    </row>
    <row r="965" spans="2:17" x14ac:dyDescent="0.3">
      <c r="B965" s="126"/>
      <c r="C965" s="583">
        <v>595</v>
      </c>
      <c r="D965" s="625" t="e">
        <f t="shared" si="34"/>
        <v>#VALUE!</v>
      </c>
      <c r="E965" s="591"/>
      <c r="F965" s="591"/>
      <c r="G965" s="591"/>
      <c r="H965" s="591"/>
      <c r="I965" s="591"/>
      <c r="J965" s="591"/>
      <c r="K965" s="542"/>
      <c r="O965" s="1134"/>
      <c r="Q965" s="1133"/>
    </row>
    <row r="966" spans="2:17" x14ac:dyDescent="0.3">
      <c r="B966" s="126"/>
      <c r="C966" s="583">
        <v>596</v>
      </c>
      <c r="D966" s="625" t="e">
        <f t="shared" si="34"/>
        <v>#VALUE!</v>
      </c>
      <c r="E966" s="591"/>
      <c r="F966" s="591"/>
      <c r="G966" s="591"/>
      <c r="H966" s="591"/>
      <c r="I966" s="591"/>
      <c r="J966" s="591"/>
      <c r="K966" s="542"/>
      <c r="O966" s="1134"/>
      <c r="Q966" s="1133"/>
    </row>
    <row r="967" spans="2:17" x14ac:dyDescent="0.3">
      <c r="B967" s="126"/>
      <c r="C967" s="583">
        <v>597</v>
      </c>
      <c r="D967" s="625" t="e">
        <f t="shared" si="34"/>
        <v>#VALUE!</v>
      </c>
      <c r="E967" s="591"/>
      <c r="F967" s="591"/>
      <c r="G967" s="591"/>
      <c r="H967" s="591"/>
      <c r="I967" s="591"/>
      <c r="J967" s="591"/>
      <c r="K967" s="542"/>
      <c r="O967" s="1134"/>
      <c r="Q967" s="1133"/>
    </row>
    <row r="968" spans="2:17" x14ac:dyDescent="0.3">
      <c r="B968" s="126"/>
      <c r="C968" s="583">
        <v>598</v>
      </c>
      <c r="D968" s="625" t="e">
        <f t="shared" si="34"/>
        <v>#VALUE!</v>
      </c>
      <c r="E968" s="591"/>
      <c r="F968" s="591"/>
      <c r="G968" s="591"/>
      <c r="H968" s="591"/>
      <c r="I968" s="591"/>
      <c r="J968" s="591"/>
      <c r="K968" s="542"/>
      <c r="O968" s="1134"/>
      <c r="Q968" s="1133"/>
    </row>
    <row r="969" spans="2:17" x14ac:dyDescent="0.3">
      <c r="B969" s="126"/>
      <c r="C969" s="583">
        <v>599</v>
      </c>
      <c r="D969" s="625" t="e">
        <f t="shared" si="34"/>
        <v>#VALUE!</v>
      </c>
      <c r="E969" s="591"/>
      <c r="F969" s="591"/>
      <c r="G969" s="591"/>
      <c r="H969" s="591"/>
      <c r="I969" s="591"/>
      <c r="J969" s="591"/>
      <c r="K969" s="542"/>
      <c r="O969" s="1134"/>
      <c r="Q969" s="1133"/>
    </row>
    <row r="970" spans="2:17" x14ac:dyDescent="0.3">
      <c r="B970" s="126"/>
      <c r="C970" s="583">
        <v>600</v>
      </c>
      <c r="D970" s="625" t="e">
        <f t="shared" si="34"/>
        <v>#VALUE!</v>
      </c>
      <c r="E970" s="591"/>
      <c r="F970" s="591"/>
      <c r="G970" s="591"/>
      <c r="H970" s="591"/>
      <c r="I970" s="591"/>
      <c r="J970" s="591"/>
      <c r="K970" s="542"/>
      <c r="O970" s="1134"/>
      <c r="Q970" s="1133"/>
    </row>
    <row r="971" spans="2:17" x14ac:dyDescent="0.3">
      <c r="B971" s="126"/>
      <c r="C971" s="583">
        <v>601</v>
      </c>
      <c r="D971" s="625" t="e">
        <f t="shared" si="34"/>
        <v>#VALUE!</v>
      </c>
      <c r="E971" s="591"/>
      <c r="F971" s="591"/>
      <c r="G971" s="591"/>
      <c r="H971" s="591"/>
      <c r="I971" s="591"/>
      <c r="J971" s="591"/>
      <c r="K971" s="542"/>
      <c r="O971" s="1134"/>
      <c r="Q971" s="1133"/>
    </row>
    <row r="972" spans="2:17" x14ac:dyDescent="0.3">
      <c r="B972" s="126"/>
      <c r="C972" s="583">
        <v>602</v>
      </c>
      <c r="D972" s="625" t="e">
        <f t="shared" si="34"/>
        <v>#VALUE!</v>
      </c>
      <c r="E972" s="591"/>
      <c r="F972" s="591"/>
      <c r="G972" s="591"/>
      <c r="H972" s="591"/>
      <c r="I972" s="591"/>
      <c r="J972" s="591"/>
      <c r="K972" s="542"/>
      <c r="O972" s="1134"/>
      <c r="Q972" s="1133"/>
    </row>
    <row r="973" spans="2:17" x14ac:dyDescent="0.3">
      <c r="B973" s="126"/>
      <c r="C973" s="583">
        <v>603</v>
      </c>
      <c r="D973" s="625" t="e">
        <f t="shared" si="34"/>
        <v>#VALUE!</v>
      </c>
      <c r="E973" s="591"/>
      <c r="F973" s="591"/>
      <c r="G973" s="591"/>
      <c r="H973" s="591"/>
      <c r="I973" s="591"/>
      <c r="J973" s="591"/>
      <c r="K973" s="542"/>
      <c r="O973" s="1134"/>
      <c r="Q973" s="1133"/>
    </row>
    <row r="974" spans="2:17" x14ac:dyDescent="0.3">
      <c r="B974" s="126"/>
      <c r="C974" s="583">
        <v>604</v>
      </c>
      <c r="D974" s="625" t="e">
        <f t="shared" si="34"/>
        <v>#VALUE!</v>
      </c>
      <c r="E974" s="591"/>
      <c r="F974" s="591"/>
      <c r="G974" s="591"/>
      <c r="H974" s="591"/>
      <c r="I974" s="591"/>
      <c r="J974" s="591"/>
      <c r="K974" s="542"/>
      <c r="O974" s="1134"/>
      <c r="Q974" s="1133"/>
    </row>
    <row r="975" spans="2:17" x14ac:dyDescent="0.3">
      <c r="B975" s="126"/>
      <c r="C975" s="583">
        <v>605</v>
      </c>
      <c r="D975" s="625" t="e">
        <f t="shared" si="34"/>
        <v>#VALUE!</v>
      </c>
      <c r="E975" s="591"/>
      <c r="F975" s="591"/>
      <c r="G975" s="591"/>
      <c r="H975" s="591"/>
      <c r="I975" s="591"/>
      <c r="J975" s="591"/>
      <c r="K975" s="542"/>
      <c r="O975" s="1134"/>
      <c r="Q975" s="1133"/>
    </row>
    <row r="976" spans="2:17" x14ac:dyDescent="0.3">
      <c r="B976" s="126"/>
      <c r="C976" s="583">
        <v>606</v>
      </c>
      <c r="D976" s="625" t="e">
        <f t="shared" si="34"/>
        <v>#VALUE!</v>
      </c>
      <c r="E976" s="591"/>
      <c r="F976" s="591"/>
      <c r="G976" s="591"/>
      <c r="H976" s="591"/>
      <c r="I976" s="591"/>
      <c r="J976" s="591"/>
      <c r="K976" s="542"/>
      <c r="O976" s="1134"/>
      <c r="Q976" s="1133"/>
    </row>
    <row r="977" spans="2:17" x14ac:dyDescent="0.3">
      <c r="B977" s="126"/>
      <c r="C977" s="583">
        <v>607</v>
      </c>
      <c r="D977" s="625" t="e">
        <f t="shared" si="34"/>
        <v>#VALUE!</v>
      </c>
      <c r="E977" s="591"/>
      <c r="F977" s="591"/>
      <c r="G977" s="591"/>
      <c r="H977" s="591"/>
      <c r="I977" s="591"/>
      <c r="J977" s="591"/>
      <c r="K977" s="542"/>
      <c r="O977" s="1134"/>
      <c r="Q977" s="1133"/>
    </row>
    <row r="978" spans="2:17" x14ac:dyDescent="0.3">
      <c r="B978" s="126"/>
      <c r="C978" s="583">
        <v>608</v>
      </c>
      <c r="D978" s="625" t="e">
        <f t="shared" si="34"/>
        <v>#VALUE!</v>
      </c>
      <c r="E978" s="591"/>
      <c r="F978" s="591"/>
      <c r="G978" s="591"/>
      <c r="H978" s="591"/>
      <c r="I978" s="591"/>
      <c r="J978" s="591"/>
      <c r="K978" s="542"/>
      <c r="O978" s="1134"/>
      <c r="Q978" s="1133"/>
    </row>
    <row r="979" spans="2:17" x14ac:dyDescent="0.3">
      <c r="B979" s="126"/>
      <c r="C979" s="583">
        <v>609</v>
      </c>
      <c r="D979" s="625" t="e">
        <f t="shared" si="34"/>
        <v>#VALUE!</v>
      </c>
      <c r="E979" s="591"/>
      <c r="F979" s="591"/>
      <c r="G979" s="591"/>
      <c r="H979" s="591"/>
      <c r="I979" s="591"/>
      <c r="J979" s="591"/>
      <c r="K979" s="542"/>
      <c r="O979" s="1134"/>
      <c r="Q979" s="1133"/>
    </row>
    <row r="980" spans="2:17" x14ac:dyDescent="0.3">
      <c r="B980" s="126"/>
      <c r="C980" s="583">
        <v>610</v>
      </c>
      <c r="D980" s="625" t="e">
        <f t="shared" si="34"/>
        <v>#VALUE!</v>
      </c>
      <c r="E980" s="591"/>
      <c r="F980" s="591"/>
      <c r="G980" s="591"/>
      <c r="H980" s="591"/>
      <c r="I980" s="591"/>
      <c r="J980" s="591"/>
      <c r="K980" s="542"/>
      <c r="O980" s="1134"/>
      <c r="Q980" s="1133"/>
    </row>
    <row r="981" spans="2:17" x14ac:dyDescent="0.3">
      <c r="B981" s="126"/>
      <c r="C981" s="583">
        <v>611</v>
      </c>
      <c r="D981" s="625" t="e">
        <f t="shared" si="34"/>
        <v>#VALUE!</v>
      </c>
      <c r="E981" s="591"/>
      <c r="F981" s="591"/>
      <c r="G981" s="591"/>
      <c r="H981" s="591"/>
      <c r="I981" s="591"/>
      <c r="J981" s="591"/>
      <c r="K981" s="542"/>
      <c r="O981" s="1134"/>
      <c r="Q981" s="1133"/>
    </row>
    <row r="982" spans="2:17" x14ac:dyDescent="0.3">
      <c r="B982" s="126"/>
      <c r="C982" s="583">
        <v>612</v>
      </c>
      <c r="D982" s="625" t="e">
        <f t="shared" si="34"/>
        <v>#VALUE!</v>
      </c>
      <c r="E982" s="591"/>
      <c r="F982" s="591"/>
      <c r="G982" s="591"/>
      <c r="H982" s="591"/>
      <c r="I982" s="591"/>
      <c r="J982" s="591"/>
      <c r="K982" s="542"/>
      <c r="O982" s="1134"/>
      <c r="Q982" s="1133"/>
    </row>
    <row r="983" spans="2:17" x14ac:dyDescent="0.3">
      <c r="B983" s="126"/>
      <c r="C983" s="583">
        <v>613</v>
      </c>
      <c r="D983" s="625" t="e">
        <f t="shared" si="34"/>
        <v>#VALUE!</v>
      </c>
      <c r="E983" s="591"/>
      <c r="F983" s="591"/>
      <c r="G983" s="591"/>
      <c r="H983" s="591"/>
      <c r="I983" s="591"/>
      <c r="J983" s="591"/>
      <c r="K983" s="542"/>
      <c r="O983" s="1134"/>
      <c r="Q983" s="1133"/>
    </row>
    <row r="984" spans="2:17" x14ac:dyDescent="0.3">
      <c r="B984" s="126"/>
      <c r="C984" s="583">
        <v>614</v>
      </c>
      <c r="D984" s="625" t="e">
        <f t="shared" si="34"/>
        <v>#VALUE!</v>
      </c>
      <c r="E984" s="591"/>
      <c r="F984" s="591"/>
      <c r="G984" s="591"/>
      <c r="H984" s="591"/>
      <c r="I984" s="591"/>
      <c r="J984" s="591"/>
      <c r="K984" s="542"/>
      <c r="O984" s="1134"/>
      <c r="Q984" s="1133"/>
    </row>
    <row r="985" spans="2:17" x14ac:dyDescent="0.3">
      <c r="B985" s="126"/>
      <c r="C985" s="583">
        <v>615</v>
      </c>
      <c r="D985" s="625" t="e">
        <f t="shared" si="34"/>
        <v>#VALUE!</v>
      </c>
      <c r="E985" s="591"/>
      <c r="F985" s="591"/>
      <c r="G985" s="591"/>
      <c r="H985" s="591"/>
      <c r="I985" s="591"/>
      <c r="J985" s="591"/>
      <c r="K985" s="542"/>
      <c r="O985" s="1134"/>
      <c r="Q985" s="1133"/>
    </row>
    <row r="986" spans="2:17" x14ac:dyDescent="0.3">
      <c r="B986" s="126"/>
      <c r="C986" s="583">
        <v>616</v>
      </c>
      <c r="D986" s="625" t="e">
        <f t="shared" si="34"/>
        <v>#VALUE!</v>
      </c>
      <c r="E986" s="591"/>
      <c r="F986" s="591"/>
      <c r="G986" s="591"/>
      <c r="H986" s="591"/>
      <c r="I986" s="591"/>
      <c r="J986" s="591"/>
      <c r="K986" s="542"/>
      <c r="O986" s="1134"/>
      <c r="Q986" s="1133"/>
    </row>
    <row r="987" spans="2:17" x14ac:dyDescent="0.3">
      <c r="B987" s="126"/>
      <c r="C987" s="583">
        <v>617</v>
      </c>
      <c r="D987" s="625" t="e">
        <f t="shared" si="34"/>
        <v>#VALUE!</v>
      </c>
      <c r="E987" s="591"/>
      <c r="F987" s="591"/>
      <c r="G987" s="591"/>
      <c r="H987" s="591"/>
      <c r="I987" s="591"/>
      <c r="J987" s="591"/>
      <c r="K987" s="542"/>
      <c r="O987" s="1134"/>
      <c r="Q987" s="1133"/>
    </row>
    <row r="988" spans="2:17" x14ac:dyDescent="0.3">
      <c r="B988" s="126"/>
      <c r="C988" s="583">
        <v>618</v>
      </c>
      <c r="D988" s="625" t="e">
        <f t="shared" si="34"/>
        <v>#VALUE!</v>
      </c>
      <c r="E988" s="591"/>
      <c r="F988" s="591"/>
      <c r="G988" s="591"/>
      <c r="H988" s="591"/>
      <c r="I988" s="591"/>
      <c r="J988" s="591"/>
      <c r="K988" s="542"/>
      <c r="O988" s="1134"/>
      <c r="Q988" s="1133"/>
    </row>
    <row r="989" spans="2:17" x14ac:dyDescent="0.3">
      <c r="B989" s="126"/>
      <c r="C989" s="583">
        <v>619</v>
      </c>
      <c r="D989" s="625" t="e">
        <f t="shared" si="34"/>
        <v>#VALUE!</v>
      </c>
      <c r="E989" s="591"/>
      <c r="F989" s="591"/>
      <c r="G989" s="591"/>
      <c r="H989" s="591"/>
      <c r="I989" s="591"/>
      <c r="J989" s="591"/>
      <c r="K989" s="542"/>
      <c r="O989" s="1134"/>
      <c r="Q989" s="1133"/>
    </row>
    <row r="990" spans="2:17" x14ac:dyDescent="0.3">
      <c r="B990" s="126"/>
      <c r="C990" s="583">
        <v>620</v>
      </c>
      <c r="D990" s="625" t="e">
        <f t="shared" si="34"/>
        <v>#VALUE!</v>
      </c>
      <c r="E990" s="591"/>
      <c r="F990" s="591"/>
      <c r="G990" s="591"/>
      <c r="H990" s="591"/>
      <c r="I990" s="591"/>
      <c r="J990" s="591"/>
      <c r="K990" s="542"/>
      <c r="O990" s="1134"/>
      <c r="Q990" s="1133"/>
    </row>
    <row r="991" spans="2:17" x14ac:dyDescent="0.3">
      <c r="B991" s="126"/>
      <c r="C991" s="583">
        <v>621</v>
      </c>
      <c r="D991" s="625" t="e">
        <f t="shared" si="34"/>
        <v>#VALUE!</v>
      </c>
      <c r="E991" s="591"/>
      <c r="F991" s="591"/>
      <c r="G991" s="591"/>
      <c r="H991" s="591"/>
      <c r="I991" s="591"/>
      <c r="J991" s="591"/>
      <c r="K991" s="542"/>
      <c r="O991" s="1134"/>
      <c r="Q991" s="1133"/>
    </row>
    <row r="992" spans="2:17" x14ac:dyDescent="0.3">
      <c r="B992" s="126"/>
      <c r="C992" s="583">
        <v>622</v>
      </c>
      <c r="D992" s="625" t="e">
        <f t="shared" si="34"/>
        <v>#VALUE!</v>
      </c>
      <c r="E992" s="591"/>
      <c r="F992" s="591"/>
      <c r="G992" s="591"/>
      <c r="H992" s="591"/>
      <c r="I992" s="591"/>
      <c r="J992" s="591"/>
      <c r="K992" s="542"/>
      <c r="O992" s="1134"/>
      <c r="Q992" s="1133"/>
    </row>
    <row r="993" spans="2:17" x14ac:dyDescent="0.3">
      <c r="B993" s="126"/>
      <c r="C993" s="583">
        <v>623</v>
      </c>
      <c r="D993" s="625" t="e">
        <f t="shared" si="34"/>
        <v>#VALUE!</v>
      </c>
      <c r="E993" s="591"/>
      <c r="F993" s="591"/>
      <c r="G993" s="591"/>
      <c r="H993" s="591"/>
      <c r="I993" s="591"/>
      <c r="J993" s="591"/>
      <c r="K993" s="542"/>
      <c r="O993" s="1134"/>
      <c r="Q993" s="1133"/>
    </row>
    <row r="994" spans="2:17" x14ac:dyDescent="0.3">
      <c r="B994" s="126"/>
      <c r="C994" s="583">
        <v>624</v>
      </c>
      <c r="D994" s="625" t="e">
        <f t="shared" si="34"/>
        <v>#VALUE!</v>
      </c>
      <c r="E994" s="591"/>
      <c r="F994" s="591"/>
      <c r="G994" s="591"/>
      <c r="H994" s="591"/>
      <c r="I994" s="591"/>
      <c r="J994" s="591"/>
      <c r="K994" s="542"/>
      <c r="O994" s="1134"/>
      <c r="Q994" s="1133"/>
    </row>
    <row r="995" spans="2:17" x14ac:dyDescent="0.3">
      <c r="B995" s="126"/>
      <c r="C995" s="583">
        <v>625</v>
      </c>
      <c r="D995" s="625" t="e">
        <f t="shared" si="34"/>
        <v>#VALUE!</v>
      </c>
      <c r="E995" s="591"/>
      <c r="F995" s="591"/>
      <c r="G995" s="591"/>
      <c r="H995" s="591"/>
      <c r="I995" s="591"/>
      <c r="J995" s="591"/>
      <c r="K995" s="542"/>
      <c r="O995" s="1134"/>
      <c r="Q995" s="1133"/>
    </row>
    <row r="996" spans="2:17" x14ac:dyDescent="0.3">
      <c r="B996" s="126"/>
      <c r="C996" s="583">
        <v>626</v>
      </c>
      <c r="D996" s="625" t="e">
        <f t="shared" si="34"/>
        <v>#VALUE!</v>
      </c>
      <c r="E996" s="591"/>
      <c r="F996" s="591"/>
      <c r="G996" s="591"/>
      <c r="H996" s="591"/>
      <c r="I996" s="591"/>
      <c r="J996" s="591"/>
      <c r="K996" s="542"/>
      <c r="O996" s="1134"/>
      <c r="Q996" s="1133"/>
    </row>
    <row r="997" spans="2:17" x14ac:dyDescent="0.3">
      <c r="B997" s="126"/>
      <c r="C997" s="583">
        <v>627</v>
      </c>
      <c r="D997" s="625" t="e">
        <f t="shared" si="34"/>
        <v>#VALUE!</v>
      </c>
      <c r="E997" s="591"/>
      <c r="F997" s="591"/>
      <c r="G997" s="591"/>
      <c r="H997" s="591"/>
      <c r="I997" s="591"/>
      <c r="J997" s="591"/>
      <c r="K997" s="542"/>
      <c r="O997" s="1134"/>
      <c r="Q997" s="1133"/>
    </row>
    <row r="998" spans="2:17" x14ac:dyDescent="0.3">
      <c r="B998" s="126"/>
      <c r="C998" s="583">
        <v>628</v>
      </c>
      <c r="D998" s="625" t="e">
        <f t="shared" si="34"/>
        <v>#VALUE!</v>
      </c>
      <c r="E998" s="591"/>
      <c r="F998" s="591"/>
      <c r="G998" s="591"/>
      <c r="H998" s="591"/>
      <c r="I998" s="591"/>
      <c r="J998" s="591"/>
      <c r="K998" s="542"/>
      <c r="O998" s="1134"/>
      <c r="Q998" s="1133"/>
    </row>
    <row r="999" spans="2:17" x14ac:dyDescent="0.3">
      <c r="B999" s="126"/>
      <c r="C999" s="583">
        <v>629</v>
      </c>
      <c r="D999" s="625" t="e">
        <f t="shared" si="34"/>
        <v>#VALUE!</v>
      </c>
      <c r="E999" s="591"/>
      <c r="F999" s="591"/>
      <c r="G999" s="591"/>
      <c r="H999" s="591"/>
      <c r="I999" s="591"/>
      <c r="J999" s="591"/>
      <c r="K999" s="542"/>
      <c r="O999" s="1134"/>
      <c r="Q999" s="1133"/>
    </row>
    <row r="1000" spans="2:17" x14ac:dyDescent="0.3">
      <c r="B1000" s="126"/>
      <c r="C1000" s="583">
        <v>630</v>
      </c>
      <c r="D1000" s="625" t="e">
        <f t="shared" si="34"/>
        <v>#VALUE!</v>
      </c>
      <c r="E1000" s="591"/>
      <c r="F1000" s="591"/>
      <c r="G1000" s="591"/>
      <c r="H1000" s="591"/>
      <c r="I1000" s="591"/>
      <c r="J1000" s="591"/>
      <c r="K1000" s="542"/>
      <c r="O1000" s="1134"/>
      <c r="Q1000" s="1133"/>
    </row>
    <row r="1001" spans="2:17" x14ac:dyDescent="0.3">
      <c r="B1001" s="126"/>
      <c r="C1001" s="583">
        <v>631</v>
      </c>
      <c r="D1001" s="625" t="e">
        <f t="shared" si="34"/>
        <v>#VALUE!</v>
      </c>
      <c r="E1001" s="591"/>
      <c r="F1001" s="591"/>
      <c r="G1001" s="591"/>
      <c r="H1001" s="591"/>
      <c r="I1001" s="591"/>
      <c r="J1001" s="591"/>
      <c r="K1001" s="542"/>
      <c r="O1001" s="1134"/>
      <c r="Q1001" s="1133"/>
    </row>
    <row r="1002" spans="2:17" x14ac:dyDescent="0.3">
      <c r="B1002" s="126"/>
      <c r="C1002" s="583">
        <v>632</v>
      </c>
      <c r="D1002" s="625" t="e">
        <f t="shared" si="34"/>
        <v>#VALUE!</v>
      </c>
      <c r="E1002" s="591"/>
      <c r="F1002" s="591"/>
      <c r="G1002" s="591"/>
      <c r="H1002" s="591"/>
      <c r="I1002" s="591"/>
      <c r="J1002" s="591"/>
      <c r="K1002" s="542"/>
      <c r="O1002" s="1134"/>
      <c r="Q1002" s="1133"/>
    </row>
    <row r="1003" spans="2:17" x14ac:dyDescent="0.3">
      <c r="B1003" s="126"/>
      <c r="C1003" s="583">
        <v>633</v>
      </c>
      <c r="D1003" s="625" t="e">
        <f t="shared" si="34"/>
        <v>#VALUE!</v>
      </c>
      <c r="E1003" s="591"/>
      <c r="F1003" s="591"/>
      <c r="G1003" s="591"/>
      <c r="H1003" s="591"/>
      <c r="I1003" s="591"/>
      <c r="J1003" s="591"/>
      <c r="K1003" s="542"/>
      <c r="O1003" s="1134"/>
      <c r="Q1003" s="1133"/>
    </row>
    <row r="1004" spans="2:17" x14ac:dyDescent="0.3">
      <c r="B1004" s="126"/>
      <c r="C1004" s="583">
        <v>634</v>
      </c>
      <c r="D1004" s="625" t="e">
        <f t="shared" si="34"/>
        <v>#VALUE!</v>
      </c>
      <c r="E1004" s="591"/>
      <c r="F1004" s="591"/>
      <c r="G1004" s="591"/>
      <c r="H1004" s="591"/>
      <c r="I1004" s="591"/>
      <c r="J1004" s="591"/>
      <c r="K1004" s="542"/>
      <c r="O1004" s="1134"/>
      <c r="Q1004" s="1133"/>
    </row>
    <row r="1005" spans="2:17" x14ac:dyDescent="0.3">
      <c r="B1005" s="126"/>
      <c r="C1005" s="583">
        <v>635</v>
      </c>
      <c r="D1005" s="625" t="e">
        <f t="shared" si="34"/>
        <v>#VALUE!</v>
      </c>
      <c r="E1005" s="591"/>
      <c r="F1005" s="591"/>
      <c r="G1005" s="591"/>
      <c r="H1005" s="591"/>
      <c r="I1005" s="591"/>
      <c r="J1005" s="591"/>
      <c r="K1005" s="542"/>
      <c r="O1005" s="1134"/>
      <c r="Q1005" s="1133"/>
    </row>
    <row r="1006" spans="2:17" x14ac:dyDescent="0.3">
      <c r="B1006" s="126"/>
      <c r="C1006" s="583">
        <v>636</v>
      </c>
      <c r="D1006" s="625" t="e">
        <f t="shared" si="34"/>
        <v>#VALUE!</v>
      </c>
      <c r="E1006" s="591"/>
      <c r="F1006" s="591"/>
      <c r="G1006" s="591"/>
      <c r="H1006" s="591"/>
      <c r="I1006" s="591"/>
      <c r="J1006" s="591"/>
      <c r="K1006" s="542"/>
      <c r="O1006" s="1134"/>
      <c r="Q1006" s="1133"/>
    </row>
    <row r="1007" spans="2:17" x14ac:dyDescent="0.3">
      <c r="B1007" s="126"/>
      <c r="C1007" s="583">
        <v>637</v>
      </c>
      <c r="D1007" s="625" t="e">
        <f t="shared" si="34"/>
        <v>#VALUE!</v>
      </c>
      <c r="E1007" s="591"/>
      <c r="F1007" s="591"/>
      <c r="G1007" s="591"/>
      <c r="H1007" s="591"/>
      <c r="I1007" s="591"/>
      <c r="J1007" s="591"/>
      <c r="K1007" s="542"/>
      <c r="O1007" s="1134"/>
      <c r="Q1007" s="1133"/>
    </row>
    <row r="1008" spans="2:17" x14ac:dyDescent="0.3">
      <c r="B1008" s="126"/>
      <c r="C1008" s="583">
        <v>638</v>
      </c>
      <c r="D1008" s="625" t="e">
        <f t="shared" si="34"/>
        <v>#VALUE!</v>
      </c>
      <c r="E1008" s="591"/>
      <c r="F1008" s="591"/>
      <c r="G1008" s="591"/>
      <c r="H1008" s="591"/>
      <c r="I1008" s="591"/>
      <c r="J1008" s="591"/>
      <c r="K1008" s="542"/>
      <c r="O1008" s="1134"/>
      <c r="Q1008" s="1133"/>
    </row>
    <row r="1009" spans="2:17" x14ac:dyDescent="0.3">
      <c r="B1009" s="126"/>
      <c r="C1009" s="583">
        <v>639</v>
      </c>
      <c r="D1009" s="625" t="e">
        <f t="shared" si="34"/>
        <v>#VALUE!</v>
      </c>
      <c r="E1009" s="591"/>
      <c r="F1009" s="591"/>
      <c r="G1009" s="591"/>
      <c r="H1009" s="591"/>
      <c r="I1009" s="591"/>
      <c r="J1009" s="591"/>
      <c r="K1009" s="542"/>
      <c r="O1009" s="1134"/>
      <c r="Q1009" s="1133"/>
    </row>
    <row r="1010" spans="2:17" x14ac:dyDescent="0.3">
      <c r="B1010" s="126"/>
      <c r="C1010" s="583">
        <v>640</v>
      </c>
      <c r="D1010" s="625" t="e">
        <f t="shared" ref="D1010:D1073" si="35">$C$349*C1010</f>
        <v>#VALUE!</v>
      </c>
      <c r="E1010" s="591"/>
      <c r="F1010" s="591"/>
      <c r="G1010" s="591"/>
      <c r="H1010" s="591"/>
      <c r="I1010" s="591"/>
      <c r="J1010" s="591"/>
      <c r="K1010" s="542"/>
      <c r="O1010" s="1134"/>
      <c r="Q1010" s="1133"/>
    </row>
    <row r="1011" spans="2:17" x14ac:dyDescent="0.3">
      <c r="B1011" s="126"/>
      <c r="C1011" s="583">
        <v>641</v>
      </c>
      <c r="D1011" s="625" t="e">
        <f t="shared" si="35"/>
        <v>#VALUE!</v>
      </c>
      <c r="E1011" s="591"/>
      <c r="F1011" s="591"/>
      <c r="G1011" s="591"/>
      <c r="H1011" s="591"/>
      <c r="I1011" s="591"/>
      <c r="J1011" s="591"/>
      <c r="K1011" s="542"/>
      <c r="O1011" s="1134"/>
      <c r="Q1011" s="1133"/>
    </row>
    <row r="1012" spans="2:17" x14ac:dyDescent="0.3">
      <c r="B1012" s="126"/>
      <c r="C1012" s="583">
        <v>642</v>
      </c>
      <c r="D1012" s="625" t="e">
        <f t="shared" si="35"/>
        <v>#VALUE!</v>
      </c>
      <c r="E1012" s="591"/>
      <c r="F1012" s="591"/>
      <c r="G1012" s="591"/>
      <c r="H1012" s="591"/>
      <c r="I1012" s="591"/>
      <c r="J1012" s="591"/>
      <c r="K1012" s="542"/>
      <c r="O1012" s="1134"/>
      <c r="Q1012" s="1133"/>
    </row>
    <row r="1013" spans="2:17" x14ac:dyDescent="0.3">
      <c r="B1013" s="126"/>
      <c r="C1013" s="583">
        <v>643</v>
      </c>
      <c r="D1013" s="625" t="e">
        <f t="shared" si="35"/>
        <v>#VALUE!</v>
      </c>
      <c r="E1013" s="591"/>
      <c r="F1013" s="591"/>
      <c r="G1013" s="591"/>
      <c r="H1013" s="591"/>
      <c r="I1013" s="591"/>
      <c r="J1013" s="591"/>
      <c r="K1013" s="542"/>
      <c r="O1013" s="1134"/>
      <c r="Q1013" s="1133"/>
    </row>
    <row r="1014" spans="2:17" x14ac:dyDescent="0.3">
      <c r="B1014" s="126"/>
      <c r="C1014" s="583">
        <v>644</v>
      </c>
      <c r="D1014" s="625" t="e">
        <f t="shared" si="35"/>
        <v>#VALUE!</v>
      </c>
      <c r="E1014" s="591"/>
      <c r="F1014" s="591"/>
      <c r="G1014" s="591"/>
      <c r="H1014" s="591"/>
      <c r="I1014" s="591"/>
      <c r="J1014" s="591"/>
      <c r="K1014" s="542"/>
      <c r="O1014" s="1134"/>
      <c r="Q1014" s="1133"/>
    </row>
    <row r="1015" spans="2:17" x14ac:dyDescent="0.3">
      <c r="B1015" s="126"/>
      <c r="C1015" s="583">
        <v>645</v>
      </c>
      <c r="D1015" s="625" t="e">
        <f t="shared" si="35"/>
        <v>#VALUE!</v>
      </c>
      <c r="E1015" s="591"/>
      <c r="F1015" s="591"/>
      <c r="G1015" s="591"/>
      <c r="H1015" s="591"/>
      <c r="I1015" s="591"/>
      <c r="J1015" s="591"/>
      <c r="K1015" s="542"/>
      <c r="O1015" s="1134"/>
      <c r="Q1015" s="1133"/>
    </row>
    <row r="1016" spans="2:17" x14ac:dyDescent="0.3">
      <c r="B1016" s="126"/>
      <c r="C1016" s="583">
        <v>646</v>
      </c>
      <c r="D1016" s="625" t="e">
        <f t="shared" si="35"/>
        <v>#VALUE!</v>
      </c>
      <c r="E1016" s="591"/>
      <c r="F1016" s="591"/>
      <c r="G1016" s="591"/>
      <c r="H1016" s="591"/>
      <c r="I1016" s="591"/>
      <c r="J1016" s="591"/>
      <c r="K1016" s="542"/>
      <c r="O1016" s="1134"/>
      <c r="Q1016" s="1133"/>
    </row>
    <row r="1017" spans="2:17" x14ac:dyDescent="0.3">
      <c r="B1017" s="126"/>
      <c r="C1017" s="583">
        <v>647</v>
      </c>
      <c r="D1017" s="625" t="e">
        <f t="shared" si="35"/>
        <v>#VALUE!</v>
      </c>
      <c r="E1017" s="591"/>
      <c r="F1017" s="591"/>
      <c r="G1017" s="591"/>
      <c r="H1017" s="591"/>
      <c r="I1017" s="591"/>
      <c r="J1017" s="591"/>
      <c r="K1017" s="542"/>
      <c r="O1017" s="1134"/>
      <c r="Q1017" s="1133"/>
    </row>
    <row r="1018" spans="2:17" x14ac:dyDescent="0.3">
      <c r="B1018" s="126"/>
      <c r="C1018" s="583">
        <v>648</v>
      </c>
      <c r="D1018" s="625" t="e">
        <f t="shared" si="35"/>
        <v>#VALUE!</v>
      </c>
      <c r="E1018" s="591"/>
      <c r="F1018" s="591"/>
      <c r="G1018" s="591"/>
      <c r="H1018" s="591"/>
      <c r="I1018" s="591"/>
      <c r="J1018" s="591"/>
      <c r="K1018" s="542"/>
      <c r="O1018" s="1134"/>
      <c r="Q1018" s="1133"/>
    </row>
    <row r="1019" spans="2:17" x14ac:dyDescent="0.3">
      <c r="B1019" s="126"/>
      <c r="C1019" s="583">
        <v>649</v>
      </c>
      <c r="D1019" s="625" t="e">
        <f t="shared" si="35"/>
        <v>#VALUE!</v>
      </c>
      <c r="E1019" s="591"/>
      <c r="F1019" s="591"/>
      <c r="G1019" s="591"/>
      <c r="H1019" s="591"/>
      <c r="I1019" s="591"/>
      <c r="J1019" s="591"/>
      <c r="K1019" s="542"/>
      <c r="O1019" s="1134"/>
      <c r="Q1019" s="1133"/>
    </row>
    <row r="1020" spans="2:17" x14ac:dyDescent="0.3">
      <c r="B1020" s="126"/>
      <c r="C1020" s="583">
        <v>650</v>
      </c>
      <c r="D1020" s="625" t="e">
        <f t="shared" si="35"/>
        <v>#VALUE!</v>
      </c>
      <c r="E1020" s="591"/>
      <c r="F1020" s="591"/>
      <c r="G1020" s="591"/>
      <c r="H1020" s="591"/>
      <c r="I1020" s="591"/>
      <c r="J1020" s="591"/>
      <c r="K1020" s="542"/>
      <c r="O1020" s="1134"/>
      <c r="Q1020" s="1133"/>
    </row>
    <row r="1021" spans="2:17" x14ac:dyDescent="0.3">
      <c r="B1021" s="126"/>
      <c r="C1021" s="583">
        <v>651</v>
      </c>
      <c r="D1021" s="625" t="e">
        <f t="shared" si="35"/>
        <v>#VALUE!</v>
      </c>
      <c r="E1021" s="591"/>
      <c r="F1021" s="591"/>
      <c r="G1021" s="591"/>
      <c r="H1021" s="591"/>
      <c r="I1021" s="591"/>
      <c r="J1021" s="591"/>
      <c r="K1021" s="542"/>
      <c r="O1021" s="1134"/>
      <c r="Q1021" s="1133"/>
    </row>
    <row r="1022" spans="2:17" x14ac:dyDescent="0.3">
      <c r="B1022" s="126"/>
      <c r="C1022" s="583">
        <v>652</v>
      </c>
      <c r="D1022" s="625" t="e">
        <f t="shared" si="35"/>
        <v>#VALUE!</v>
      </c>
      <c r="E1022" s="591"/>
      <c r="F1022" s="591"/>
      <c r="G1022" s="591"/>
      <c r="H1022" s="591"/>
      <c r="I1022" s="591"/>
      <c r="J1022" s="591"/>
      <c r="K1022" s="542"/>
      <c r="O1022" s="1134"/>
      <c r="Q1022" s="1133"/>
    </row>
    <row r="1023" spans="2:17" x14ac:dyDescent="0.3">
      <c r="B1023" s="126"/>
      <c r="C1023" s="583">
        <v>653</v>
      </c>
      <c r="D1023" s="625" t="e">
        <f t="shared" si="35"/>
        <v>#VALUE!</v>
      </c>
      <c r="E1023" s="591"/>
      <c r="F1023" s="591"/>
      <c r="G1023" s="591"/>
      <c r="H1023" s="591"/>
      <c r="I1023" s="591"/>
      <c r="J1023" s="591"/>
      <c r="K1023" s="542"/>
      <c r="O1023" s="1134"/>
      <c r="Q1023" s="1133"/>
    </row>
    <row r="1024" spans="2:17" x14ac:dyDescent="0.3">
      <c r="B1024" s="126"/>
      <c r="C1024" s="583">
        <v>654</v>
      </c>
      <c r="D1024" s="625" t="e">
        <f t="shared" si="35"/>
        <v>#VALUE!</v>
      </c>
      <c r="E1024" s="591"/>
      <c r="F1024" s="591"/>
      <c r="G1024" s="591"/>
      <c r="H1024" s="591"/>
      <c r="I1024" s="591"/>
      <c r="J1024" s="591"/>
      <c r="K1024" s="542"/>
      <c r="O1024" s="1134"/>
      <c r="Q1024" s="1133"/>
    </row>
    <row r="1025" spans="2:17" x14ac:dyDescent="0.3">
      <c r="B1025" s="126"/>
      <c r="C1025" s="583">
        <v>655</v>
      </c>
      <c r="D1025" s="625" t="e">
        <f t="shared" si="35"/>
        <v>#VALUE!</v>
      </c>
      <c r="E1025" s="591"/>
      <c r="F1025" s="591"/>
      <c r="G1025" s="591"/>
      <c r="H1025" s="591"/>
      <c r="I1025" s="591"/>
      <c r="J1025" s="591"/>
      <c r="K1025" s="542"/>
      <c r="O1025" s="1134"/>
      <c r="Q1025" s="1133"/>
    </row>
    <row r="1026" spans="2:17" x14ac:dyDescent="0.3">
      <c r="B1026" s="126"/>
      <c r="C1026" s="583">
        <v>656</v>
      </c>
      <c r="D1026" s="625" t="e">
        <f t="shared" si="35"/>
        <v>#VALUE!</v>
      </c>
      <c r="E1026" s="591"/>
      <c r="F1026" s="591"/>
      <c r="G1026" s="591"/>
      <c r="H1026" s="591"/>
      <c r="I1026" s="591"/>
      <c r="J1026" s="591"/>
      <c r="K1026" s="542"/>
      <c r="O1026" s="1134"/>
      <c r="Q1026" s="1133"/>
    </row>
    <row r="1027" spans="2:17" x14ac:dyDescent="0.3">
      <c r="B1027" s="126"/>
      <c r="C1027" s="583">
        <v>657</v>
      </c>
      <c r="D1027" s="625" t="e">
        <f t="shared" si="35"/>
        <v>#VALUE!</v>
      </c>
      <c r="E1027" s="591"/>
      <c r="F1027" s="591"/>
      <c r="G1027" s="591"/>
      <c r="H1027" s="591"/>
      <c r="I1027" s="591"/>
      <c r="J1027" s="591"/>
      <c r="K1027" s="542"/>
      <c r="O1027" s="1134"/>
      <c r="Q1027" s="1133"/>
    </row>
    <row r="1028" spans="2:17" x14ac:dyDescent="0.3">
      <c r="B1028" s="126"/>
      <c r="C1028" s="583">
        <v>658</v>
      </c>
      <c r="D1028" s="625" t="e">
        <f t="shared" si="35"/>
        <v>#VALUE!</v>
      </c>
      <c r="E1028" s="591"/>
      <c r="F1028" s="591"/>
      <c r="G1028" s="591"/>
      <c r="H1028" s="591"/>
      <c r="I1028" s="591"/>
      <c r="J1028" s="591"/>
      <c r="K1028" s="542"/>
      <c r="O1028" s="1134"/>
      <c r="Q1028" s="1133"/>
    </row>
    <row r="1029" spans="2:17" x14ac:dyDescent="0.3">
      <c r="B1029" s="126"/>
      <c r="C1029" s="583">
        <v>659</v>
      </c>
      <c r="D1029" s="625" t="e">
        <f t="shared" si="35"/>
        <v>#VALUE!</v>
      </c>
      <c r="E1029" s="591"/>
      <c r="F1029" s="591"/>
      <c r="G1029" s="591"/>
      <c r="H1029" s="591"/>
      <c r="I1029" s="591"/>
      <c r="J1029" s="591"/>
      <c r="K1029" s="542"/>
      <c r="O1029" s="1134"/>
      <c r="Q1029" s="1133"/>
    </row>
    <row r="1030" spans="2:17" x14ac:dyDescent="0.3">
      <c r="B1030" s="126"/>
      <c r="C1030" s="583">
        <v>660</v>
      </c>
      <c r="D1030" s="625" t="e">
        <f t="shared" si="35"/>
        <v>#VALUE!</v>
      </c>
      <c r="E1030" s="591"/>
      <c r="F1030" s="591"/>
      <c r="G1030" s="591"/>
      <c r="H1030" s="591"/>
      <c r="I1030" s="591"/>
      <c r="J1030" s="591"/>
      <c r="K1030" s="542"/>
      <c r="O1030" s="1134"/>
      <c r="Q1030" s="1133"/>
    </row>
    <row r="1031" spans="2:17" x14ac:dyDescent="0.3">
      <c r="B1031" s="126"/>
      <c r="C1031" s="583">
        <v>661</v>
      </c>
      <c r="D1031" s="625" t="e">
        <f t="shared" si="35"/>
        <v>#VALUE!</v>
      </c>
      <c r="E1031" s="591"/>
      <c r="F1031" s="591"/>
      <c r="G1031" s="591"/>
      <c r="H1031" s="591"/>
      <c r="I1031" s="591"/>
      <c r="J1031" s="591"/>
      <c r="K1031" s="542"/>
      <c r="O1031" s="1134"/>
      <c r="Q1031" s="1133"/>
    </row>
    <row r="1032" spans="2:17" x14ac:dyDescent="0.3">
      <c r="B1032" s="126"/>
      <c r="C1032" s="583">
        <v>662</v>
      </c>
      <c r="D1032" s="625" t="e">
        <f t="shared" si="35"/>
        <v>#VALUE!</v>
      </c>
      <c r="E1032" s="591"/>
      <c r="F1032" s="591"/>
      <c r="G1032" s="591"/>
      <c r="H1032" s="591"/>
      <c r="I1032" s="591"/>
      <c r="J1032" s="591"/>
      <c r="K1032" s="542"/>
      <c r="O1032" s="1134"/>
      <c r="Q1032" s="1133"/>
    </row>
    <row r="1033" spans="2:17" x14ac:dyDescent="0.3">
      <c r="B1033" s="126"/>
      <c r="C1033" s="583">
        <v>663</v>
      </c>
      <c r="D1033" s="625" t="e">
        <f t="shared" si="35"/>
        <v>#VALUE!</v>
      </c>
      <c r="E1033" s="591"/>
      <c r="F1033" s="591"/>
      <c r="G1033" s="591"/>
      <c r="H1033" s="591"/>
      <c r="I1033" s="591"/>
      <c r="J1033" s="591"/>
      <c r="K1033" s="542"/>
      <c r="O1033" s="1134"/>
      <c r="Q1033" s="1133"/>
    </row>
    <row r="1034" spans="2:17" x14ac:dyDescent="0.3">
      <c r="B1034" s="126"/>
      <c r="C1034" s="583">
        <v>664</v>
      </c>
      <c r="D1034" s="625" t="e">
        <f t="shared" si="35"/>
        <v>#VALUE!</v>
      </c>
      <c r="E1034" s="591"/>
      <c r="F1034" s="591"/>
      <c r="G1034" s="591"/>
      <c r="H1034" s="591"/>
      <c r="I1034" s="591"/>
      <c r="J1034" s="591"/>
      <c r="K1034" s="542"/>
      <c r="O1034" s="1134"/>
      <c r="Q1034" s="1133"/>
    </row>
    <row r="1035" spans="2:17" x14ac:dyDescent="0.3">
      <c r="B1035" s="126"/>
      <c r="C1035" s="583">
        <v>665</v>
      </c>
      <c r="D1035" s="625" t="e">
        <f t="shared" si="35"/>
        <v>#VALUE!</v>
      </c>
      <c r="E1035" s="591"/>
      <c r="F1035" s="591"/>
      <c r="G1035" s="591"/>
      <c r="H1035" s="591"/>
      <c r="I1035" s="591"/>
      <c r="J1035" s="591"/>
      <c r="K1035" s="542"/>
      <c r="O1035" s="1134"/>
      <c r="Q1035" s="1133"/>
    </row>
    <row r="1036" spans="2:17" x14ac:dyDescent="0.3">
      <c r="B1036" s="126"/>
      <c r="C1036" s="583">
        <v>666</v>
      </c>
      <c r="D1036" s="625" t="e">
        <f t="shared" si="35"/>
        <v>#VALUE!</v>
      </c>
      <c r="E1036" s="591"/>
      <c r="F1036" s="591"/>
      <c r="G1036" s="591"/>
      <c r="H1036" s="591"/>
      <c r="I1036" s="591"/>
      <c r="J1036" s="591"/>
      <c r="K1036" s="542"/>
      <c r="O1036" s="1134"/>
      <c r="Q1036" s="1133"/>
    </row>
    <row r="1037" spans="2:17" x14ac:dyDescent="0.3">
      <c r="B1037" s="126"/>
      <c r="C1037" s="583">
        <v>667</v>
      </c>
      <c r="D1037" s="625" t="e">
        <f t="shared" si="35"/>
        <v>#VALUE!</v>
      </c>
      <c r="E1037" s="591"/>
      <c r="F1037" s="591"/>
      <c r="G1037" s="591"/>
      <c r="H1037" s="591"/>
      <c r="I1037" s="591"/>
      <c r="J1037" s="591"/>
      <c r="K1037" s="542"/>
      <c r="O1037" s="1134"/>
      <c r="Q1037" s="1133"/>
    </row>
    <row r="1038" spans="2:17" x14ac:dyDescent="0.3">
      <c r="B1038" s="126"/>
      <c r="C1038" s="583">
        <v>668</v>
      </c>
      <c r="D1038" s="625" t="e">
        <f t="shared" si="35"/>
        <v>#VALUE!</v>
      </c>
      <c r="E1038" s="591"/>
      <c r="F1038" s="591"/>
      <c r="G1038" s="591"/>
      <c r="H1038" s="591"/>
      <c r="I1038" s="591"/>
      <c r="J1038" s="591"/>
      <c r="K1038" s="542"/>
      <c r="O1038" s="1134"/>
      <c r="Q1038" s="1133"/>
    </row>
    <row r="1039" spans="2:17" x14ac:dyDescent="0.3">
      <c r="B1039" s="126"/>
      <c r="C1039" s="583">
        <v>669</v>
      </c>
      <c r="D1039" s="625" t="e">
        <f t="shared" si="35"/>
        <v>#VALUE!</v>
      </c>
      <c r="E1039" s="591"/>
      <c r="F1039" s="591"/>
      <c r="G1039" s="591"/>
      <c r="H1039" s="591"/>
      <c r="I1039" s="591"/>
      <c r="J1039" s="591"/>
      <c r="K1039" s="542"/>
      <c r="O1039" s="1134"/>
      <c r="Q1039" s="1133"/>
    </row>
    <row r="1040" spans="2:17" x14ac:dyDescent="0.3">
      <c r="B1040" s="126"/>
      <c r="C1040" s="583">
        <v>670</v>
      </c>
      <c r="D1040" s="625" t="e">
        <f t="shared" si="35"/>
        <v>#VALUE!</v>
      </c>
      <c r="E1040" s="591"/>
      <c r="F1040" s="591"/>
      <c r="G1040" s="591"/>
      <c r="H1040" s="591"/>
      <c r="I1040" s="591"/>
      <c r="J1040" s="591"/>
      <c r="K1040" s="542"/>
      <c r="O1040" s="1134"/>
      <c r="Q1040" s="1133"/>
    </row>
    <row r="1041" spans="2:17" x14ac:dyDescent="0.3">
      <c r="B1041" s="126"/>
      <c r="C1041" s="583">
        <v>671</v>
      </c>
      <c r="D1041" s="625" t="e">
        <f t="shared" si="35"/>
        <v>#VALUE!</v>
      </c>
      <c r="E1041" s="591"/>
      <c r="F1041" s="591"/>
      <c r="G1041" s="591"/>
      <c r="H1041" s="591"/>
      <c r="I1041" s="591"/>
      <c r="J1041" s="591"/>
      <c r="K1041" s="542"/>
      <c r="O1041" s="1134"/>
      <c r="Q1041" s="1133"/>
    </row>
    <row r="1042" spans="2:17" x14ac:dyDescent="0.3">
      <c r="B1042" s="126"/>
      <c r="C1042" s="583">
        <v>672</v>
      </c>
      <c r="D1042" s="625" t="e">
        <f t="shared" si="35"/>
        <v>#VALUE!</v>
      </c>
      <c r="E1042" s="591"/>
      <c r="F1042" s="591"/>
      <c r="G1042" s="591"/>
      <c r="H1042" s="591"/>
      <c r="I1042" s="591"/>
      <c r="J1042" s="591"/>
      <c r="K1042" s="542"/>
      <c r="O1042" s="1134"/>
      <c r="Q1042" s="1133"/>
    </row>
    <row r="1043" spans="2:17" x14ac:dyDescent="0.3">
      <c r="B1043" s="126"/>
      <c r="C1043" s="583">
        <v>673</v>
      </c>
      <c r="D1043" s="625" t="e">
        <f t="shared" si="35"/>
        <v>#VALUE!</v>
      </c>
      <c r="E1043" s="591"/>
      <c r="F1043" s="591"/>
      <c r="G1043" s="591"/>
      <c r="H1043" s="591"/>
      <c r="I1043" s="591"/>
      <c r="J1043" s="591"/>
      <c r="K1043" s="542"/>
      <c r="O1043" s="1134"/>
      <c r="Q1043" s="1133"/>
    </row>
    <row r="1044" spans="2:17" x14ac:dyDescent="0.3">
      <c r="B1044" s="126"/>
      <c r="C1044" s="583">
        <v>674</v>
      </c>
      <c r="D1044" s="625" t="e">
        <f t="shared" si="35"/>
        <v>#VALUE!</v>
      </c>
      <c r="E1044" s="591"/>
      <c r="F1044" s="591"/>
      <c r="G1044" s="591"/>
      <c r="H1044" s="591"/>
      <c r="I1044" s="591"/>
      <c r="J1044" s="591"/>
      <c r="K1044" s="542"/>
      <c r="O1044" s="1134"/>
      <c r="Q1044" s="1133"/>
    </row>
    <row r="1045" spans="2:17" x14ac:dyDescent="0.3">
      <c r="B1045" s="126"/>
      <c r="C1045" s="583">
        <v>675</v>
      </c>
      <c r="D1045" s="625" t="e">
        <f t="shared" si="35"/>
        <v>#VALUE!</v>
      </c>
      <c r="E1045" s="591"/>
      <c r="F1045" s="591"/>
      <c r="G1045" s="591"/>
      <c r="H1045" s="591"/>
      <c r="I1045" s="591"/>
      <c r="J1045" s="591"/>
      <c r="K1045" s="542"/>
      <c r="O1045" s="1134"/>
      <c r="Q1045" s="1133"/>
    </row>
    <row r="1046" spans="2:17" x14ac:dyDescent="0.3">
      <c r="B1046" s="126"/>
      <c r="C1046" s="583">
        <v>676</v>
      </c>
      <c r="D1046" s="625" t="e">
        <f t="shared" si="35"/>
        <v>#VALUE!</v>
      </c>
      <c r="E1046" s="591"/>
      <c r="F1046" s="591"/>
      <c r="G1046" s="591"/>
      <c r="H1046" s="591"/>
      <c r="I1046" s="591"/>
      <c r="J1046" s="591"/>
      <c r="K1046" s="542"/>
      <c r="O1046" s="1134"/>
      <c r="Q1046" s="1133"/>
    </row>
    <row r="1047" spans="2:17" x14ac:dyDescent="0.3">
      <c r="B1047" s="126"/>
      <c r="C1047" s="583">
        <v>677</v>
      </c>
      <c r="D1047" s="625" t="e">
        <f t="shared" si="35"/>
        <v>#VALUE!</v>
      </c>
      <c r="E1047" s="591"/>
      <c r="F1047" s="591"/>
      <c r="G1047" s="591"/>
      <c r="H1047" s="591"/>
      <c r="I1047" s="591"/>
      <c r="J1047" s="591"/>
      <c r="K1047" s="542"/>
      <c r="O1047" s="1134"/>
      <c r="Q1047" s="1133"/>
    </row>
    <row r="1048" spans="2:17" x14ac:dyDescent="0.3">
      <c r="B1048" s="126"/>
      <c r="C1048" s="583">
        <v>678</v>
      </c>
      <c r="D1048" s="625" t="e">
        <f t="shared" si="35"/>
        <v>#VALUE!</v>
      </c>
      <c r="E1048" s="591"/>
      <c r="F1048" s="591"/>
      <c r="G1048" s="591"/>
      <c r="H1048" s="591"/>
      <c r="I1048" s="591"/>
      <c r="J1048" s="591"/>
      <c r="K1048" s="542"/>
      <c r="O1048" s="1134"/>
      <c r="Q1048" s="1133"/>
    </row>
    <row r="1049" spans="2:17" x14ac:dyDescent="0.3">
      <c r="B1049" s="126"/>
      <c r="C1049" s="583">
        <v>679</v>
      </c>
      <c r="D1049" s="625" t="e">
        <f t="shared" si="35"/>
        <v>#VALUE!</v>
      </c>
      <c r="E1049" s="591"/>
      <c r="F1049" s="591"/>
      <c r="G1049" s="591"/>
      <c r="H1049" s="591"/>
      <c r="I1049" s="591"/>
      <c r="J1049" s="591"/>
      <c r="K1049" s="542"/>
      <c r="O1049" s="1134"/>
      <c r="Q1049" s="1133"/>
    </row>
    <row r="1050" spans="2:17" x14ac:dyDescent="0.3">
      <c r="B1050" s="126"/>
      <c r="C1050" s="583">
        <v>680</v>
      </c>
      <c r="D1050" s="625" t="e">
        <f t="shared" si="35"/>
        <v>#VALUE!</v>
      </c>
      <c r="E1050" s="591"/>
      <c r="F1050" s="591"/>
      <c r="G1050" s="591"/>
      <c r="H1050" s="591"/>
      <c r="I1050" s="591"/>
      <c r="J1050" s="591"/>
      <c r="K1050" s="542"/>
      <c r="O1050" s="1134"/>
      <c r="Q1050" s="1133"/>
    </row>
    <row r="1051" spans="2:17" x14ac:dyDescent="0.3">
      <c r="B1051" s="126"/>
      <c r="C1051" s="583">
        <v>681</v>
      </c>
      <c r="D1051" s="625" t="e">
        <f t="shared" si="35"/>
        <v>#VALUE!</v>
      </c>
      <c r="E1051" s="591"/>
      <c r="F1051" s="591"/>
      <c r="G1051" s="591"/>
      <c r="H1051" s="591"/>
      <c r="I1051" s="591"/>
      <c r="J1051" s="591"/>
      <c r="K1051" s="542"/>
      <c r="O1051" s="1134"/>
      <c r="Q1051" s="1133"/>
    </row>
    <row r="1052" spans="2:17" x14ac:dyDescent="0.3">
      <c r="B1052" s="126"/>
      <c r="C1052" s="583">
        <v>682</v>
      </c>
      <c r="D1052" s="625" t="e">
        <f t="shared" si="35"/>
        <v>#VALUE!</v>
      </c>
      <c r="E1052" s="591"/>
      <c r="F1052" s="591"/>
      <c r="G1052" s="591"/>
      <c r="H1052" s="591"/>
      <c r="I1052" s="591"/>
      <c r="J1052" s="591"/>
      <c r="K1052" s="542"/>
      <c r="O1052" s="1134"/>
      <c r="Q1052" s="1133"/>
    </row>
    <row r="1053" spans="2:17" x14ac:dyDescent="0.3">
      <c r="B1053" s="126"/>
      <c r="C1053" s="583">
        <v>683</v>
      </c>
      <c r="D1053" s="625" t="e">
        <f t="shared" si="35"/>
        <v>#VALUE!</v>
      </c>
      <c r="E1053" s="591"/>
      <c r="F1053" s="591"/>
      <c r="G1053" s="591"/>
      <c r="H1053" s="591"/>
      <c r="I1053" s="591"/>
      <c r="J1053" s="591"/>
      <c r="K1053" s="542"/>
      <c r="O1053" s="1134"/>
      <c r="Q1053" s="1133"/>
    </row>
    <row r="1054" spans="2:17" x14ac:dyDescent="0.3">
      <c r="B1054" s="126"/>
      <c r="C1054" s="583">
        <v>684</v>
      </c>
      <c r="D1054" s="625" t="e">
        <f t="shared" si="35"/>
        <v>#VALUE!</v>
      </c>
      <c r="E1054" s="591"/>
      <c r="F1054" s="591"/>
      <c r="G1054" s="591"/>
      <c r="H1054" s="591"/>
      <c r="I1054" s="591"/>
      <c r="J1054" s="591"/>
      <c r="K1054" s="542"/>
      <c r="O1054" s="1134"/>
      <c r="Q1054" s="1133"/>
    </row>
    <row r="1055" spans="2:17" x14ac:dyDescent="0.3">
      <c r="B1055" s="126"/>
      <c r="C1055" s="583">
        <v>685</v>
      </c>
      <c r="D1055" s="625" t="e">
        <f t="shared" si="35"/>
        <v>#VALUE!</v>
      </c>
      <c r="E1055" s="591"/>
      <c r="F1055" s="591"/>
      <c r="G1055" s="591"/>
      <c r="H1055" s="591"/>
      <c r="I1055" s="591"/>
      <c r="J1055" s="591"/>
      <c r="K1055" s="542"/>
      <c r="O1055" s="1134"/>
      <c r="Q1055" s="1133"/>
    </row>
    <row r="1056" spans="2:17" x14ac:dyDescent="0.3">
      <c r="B1056" s="126"/>
      <c r="C1056" s="583">
        <v>686</v>
      </c>
      <c r="D1056" s="625" t="e">
        <f t="shared" si="35"/>
        <v>#VALUE!</v>
      </c>
      <c r="E1056" s="591"/>
      <c r="F1056" s="591"/>
      <c r="G1056" s="591"/>
      <c r="H1056" s="591"/>
      <c r="I1056" s="591"/>
      <c r="J1056" s="591"/>
      <c r="K1056" s="542"/>
      <c r="O1056" s="1134"/>
      <c r="Q1056" s="1133"/>
    </row>
    <row r="1057" spans="2:17" x14ac:dyDescent="0.3">
      <c r="B1057" s="126"/>
      <c r="C1057" s="583">
        <v>687</v>
      </c>
      <c r="D1057" s="625" t="e">
        <f t="shared" si="35"/>
        <v>#VALUE!</v>
      </c>
      <c r="E1057" s="591"/>
      <c r="F1057" s="591"/>
      <c r="G1057" s="591"/>
      <c r="H1057" s="591"/>
      <c r="I1057" s="591"/>
      <c r="J1057" s="591"/>
      <c r="K1057" s="542"/>
      <c r="O1057" s="1134"/>
      <c r="Q1057" s="1133"/>
    </row>
    <row r="1058" spans="2:17" x14ac:dyDescent="0.3">
      <c r="B1058" s="126"/>
      <c r="C1058" s="583">
        <v>688</v>
      </c>
      <c r="D1058" s="625" t="e">
        <f t="shared" si="35"/>
        <v>#VALUE!</v>
      </c>
      <c r="E1058" s="591"/>
      <c r="F1058" s="591"/>
      <c r="G1058" s="591"/>
      <c r="H1058" s="591"/>
      <c r="I1058" s="591"/>
      <c r="J1058" s="591"/>
      <c r="K1058" s="542"/>
      <c r="O1058" s="1134"/>
      <c r="Q1058" s="1133"/>
    </row>
    <row r="1059" spans="2:17" x14ac:dyDescent="0.3">
      <c r="B1059" s="126"/>
      <c r="C1059" s="583">
        <v>689</v>
      </c>
      <c r="D1059" s="625" t="e">
        <f t="shared" si="35"/>
        <v>#VALUE!</v>
      </c>
      <c r="E1059" s="591"/>
      <c r="F1059" s="591"/>
      <c r="G1059" s="591"/>
      <c r="H1059" s="591"/>
      <c r="I1059" s="591"/>
      <c r="J1059" s="591"/>
      <c r="K1059" s="542"/>
      <c r="O1059" s="1134"/>
      <c r="Q1059" s="1133"/>
    </row>
    <row r="1060" spans="2:17" x14ac:dyDescent="0.3">
      <c r="B1060" s="126"/>
      <c r="C1060" s="583">
        <v>690</v>
      </c>
      <c r="D1060" s="625" t="e">
        <f t="shared" si="35"/>
        <v>#VALUE!</v>
      </c>
      <c r="E1060" s="591"/>
      <c r="F1060" s="591"/>
      <c r="G1060" s="591"/>
      <c r="H1060" s="591"/>
      <c r="I1060" s="591"/>
      <c r="J1060" s="591"/>
      <c r="K1060" s="542"/>
      <c r="O1060" s="1134"/>
      <c r="Q1060" s="1133"/>
    </row>
    <row r="1061" spans="2:17" x14ac:dyDescent="0.3">
      <c r="B1061" s="126"/>
      <c r="C1061" s="583">
        <v>691</v>
      </c>
      <c r="D1061" s="625" t="e">
        <f t="shared" si="35"/>
        <v>#VALUE!</v>
      </c>
      <c r="E1061" s="591"/>
      <c r="F1061" s="591"/>
      <c r="G1061" s="591"/>
      <c r="H1061" s="591"/>
      <c r="I1061" s="591"/>
      <c r="J1061" s="591"/>
      <c r="K1061" s="542"/>
      <c r="O1061" s="1134"/>
      <c r="Q1061" s="1133"/>
    </row>
    <row r="1062" spans="2:17" x14ac:dyDescent="0.3">
      <c r="B1062" s="126"/>
      <c r="C1062" s="583">
        <v>692</v>
      </c>
      <c r="D1062" s="625" t="e">
        <f t="shared" si="35"/>
        <v>#VALUE!</v>
      </c>
      <c r="E1062" s="591"/>
      <c r="F1062" s="591"/>
      <c r="G1062" s="591"/>
      <c r="H1062" s="591"/>
      <c r="I1062" s="591"/>
      <c r="J1062" s="591"/>
      <c r="K1062" s="542"/>
      <c r="O1062" s="1134"/>
      <c r="Q1062" s="1133"/>
    </row>
    <row r="1063" spans="2:17" x14ac:dyDescent="0.3">
      <c r="B1063" s="126"/>
      <c r="C1063" s="583">
        <v>693</v>
      </c>
      <c r="D1063" s="625" t="e">
        <f t="shared" si="35"/>
        <v>#VALUE!</v>
      </c>
      <c r="E1063" s="591"/>
      <c r="F1063" s="591"/>
      <c r="G1063" s="591"/>
      <c r="H1063" s="591"/>
      <c r="I1063" s="591"/>
      <c r="J1063" s="591"/>
      <c r="K1063" s="542"/>
      <c r="O1063" s="1134"/>
      <c r="Q1063" s="1133"/>
    </row>
    <row r="1064" spans="2:17" x14ac:dyDescent="0.3">
      <c r="B1064" s="126"/>
      <c r="C1064" s="583">
        <v>694</v>
      </c>
      <c r="D1064" s="625" t="e">
        <f t="shared" si="35"/>
        <v>#VALUE!</v>
      </c>
      <c r="E1064" s="591"/>
      <c r="F1064" s="591"/>
      <c r="G1064" s="591"/>
      <c r="H1064" s="591"/>
      <c r="I1064" s="591"/>
      <c r="J1064" s="591"/>
      <c r="K1064" s="542"/>
      <c r="O1064" s="1134"/>
      <c r="Q1064" s="1133"/>
    </row>
    <row r="1065" spans="2:17" x14ac:dyDescent="0.3">
      <c r="B1065" s="126"/>
      <c r="C1065" s="583">
        <v>695</v>
      </c>
      <c r="D1065" s="625" t="e">
        <f t="shared" si="35"/>
        <v>#VALUE!</v>
      </c>
      <c r="E1065" s="591"/>
      <c r="F1065" s="591"/>
      <c r="G1065" s="591"/>
      <c r="H1065" s="591"/>
      <c r="I1065" s="591"/>
      <c r="J1065" s="591"/>
      <c r="K1065" s="542"/>
      <c r="O1065" s="1134"/>
      <c r="Q1065" s="1133"/>
    </row>
    <row r="1066" spans="2:17" x14ac:dyDescent="0.3">
      <c r="B1066" s="126"/>
      <c r="C1066" s="583">
        <v>696</v>
      </c>
      <c r="D1066" s="625" t="e">
        <f t="shared" si="35"/>
        <v>#VALUE!</v>
      </c>
      <c r="E1066" s="591"/>
      <c r="F1066" s="591"/>
      <c r="G1066" s="591"/>
      <c r="H1066" s="591"/>
      <c r="I1066" s="591"/>
      <c r="J1066" s="591"/>
      <c r="K1066" s="542"/>
      <c r="O1066" s="1134"/>
      <c r="Q1066" s="1133"/>
    </row>
    <row r="1067" spans="2:17" x14ac:dyDescent="0.3">
      <c r="B1067" s="126"/>
      <c r="C1067" s="583">
        <v>697</v>
      </c>
      <c r="D1067" s="625" t="e">
        <f t="shared" si="35"/>
        <v>#VALUE!</v>
      </c>
      <c r="E1067" s="591"/>
      <c r="F1067" s="591"/>
      <c r="G1067" s="591"/>
      <c r="H1067" s="591"/>
      <c r="I1067" s="591"/>
      <c r="J1067" s="591"/>
      <c r="K1067" s="542"/>
      <c r="O1067" s="1134"/>
      <c r="Q1067" s="1133"/>
    </row>
    <row r="1068" spans="2:17" x14ac:dyDescent="0.3">
      <c r="B1068" s="126"/>
      <c r="C1068" s="583">
        <v>698</v>
      </c>
      <c r="D1068" s="625" t="e">
        <f t="shared" si="35"/>
        <v>#VALUE!</v>
      </c>
      <c r="E1068" s="591"/>
      <c r="F1068" s="591"/>
      <c r="G1068" s="591"/>
      <c r="H1068" s="591"/>
      <c r="I1068" s="591"/>
      <c r="J1068" s="591"/>
      <c r="K1068" s="542"/>
      <c r="O1068" s="1134"/>
      <c r="Q1068" s="1133"/>
    </row>
    <row r="1069" spans="2:17" x14ac:dyDescent="0.3">
      <c r="B1069" s="126"/>
      <c r="C1069" s="583">
        <v>699</v>
      </c>
      <c r="D1069" s="625" t="e">
        <f t="shared" si="35"/>
        <v>#VALUE!</v>
      </c>
      <c r="E1069" s="591"/>
      <c r="F1069" s="591"/>
      <c r="G1069" s="591"/>
      <c r="H1069" s="591"/>
      <c r="I1069" s="591"/>
      <c r="J1069" s="591"/>
      <c r="K1069" s="542"/>
      <c r="O1069" s="1134"/>
      <c r="Q1069" s="1133"/>
    </row>
    <row r="1070" spans="2:17" x14ac:dyDescent="0.3">
      <c r="B1070" s="126"/>
      <c r="C1070" s="583">
        <v>700</v>
      </c>
      <c r="D1070" s="625" t="e">
        <f t="shared" si="35"/>
        <v>#VALUE!</v>
      </c>
      <c r="E1070" s="591"/>
      <c r="F1070" s="591"/>
      <c r="G1070" s="591"/>
      <c r="H1070" s="591"/>
      <c r="I1070" s="591"/>
      <c r="J1070" s="591"/>
      <c r="K1070" s="542"/>
      <c r="O1070" s="1134"/>
      <c r="Q1070" s="1133"/>
    </row>
    <row r="1071" spans="2:17" x14ac:dyDescent="0.3">
      <c r="B1071" s="126"/>
      <c r="C1071" s="583">
        <v>701</v>
      </c>
      <c r="D1071" s="625" t="e">
        <f t="shared" si="35"/>
        <v>#VALUE!</v>
      </c>
      <c r="E1071" s="591"/>
      <c r="F1071" s="591"/>
      <c r="G1071" s="591"/>
      <c r="H1071" s="591"/>
      <c r="I1071" s="591"/>
      <c r="J1071" s="591"/>
      <c r="K1071" s="542"/>
      <c r="O1071" s="1134"/>
      <c r="Q1071" s="1133"/>
    </row>
    <row r="1072" spans="2:17" x14ac:dyDescent="0.3">
      <c r="B1072" s="126"/>
      <c r="C1072" s="583">
        <v>702</v>
      </c>
      <c r="D1072" s="625" t="e">
        <f t="shared" si="35"/>
        <v>#VALUE!</v>
      </c>
      <c r="E1072" s="591"/>
      <c r="F1072" s="591"/>
      <c r="G1072" s="591"/>
      <c r="H1072" s="591"/>
      <c r="I1072" s="591"/>
      <c r="J1072" s="591"/>
      <c r="K1072" s="542"/>
      <c r="O1072" s="1134"/>
      <c r="Q1072" s="1133"/>
    </row>
    <row r="1073" spans="2:17" x14ac:dyDescent="0.3">
      <c r="B1073" s="126"/>
      <c r="C1073" s="583">
        <v>703</v>
      </c>
      <c r="D1073" s="625" t="e">
        <f t="shared" si="35"/>
        <v>#VALUE!</v>
      </c>
      <c r="E1073" s="591"/>
      <c r="F1073" s="591"/>
      <c r="G1073" s="591"/>
      <c r="H1073" s="591"/>
      <c r="I1073" s="591"/>
      <c r="J1073" s="591"/>
      <c r="K1073" s="542"/>
      <c r="O1073" s="1134"/>
      <c r="Q1073" s="1133"/>
    </row>
    <row r="1074" spans="2:17" x14ac:dyDescent="0.3">
      <c r="B1074" s="126"/>
      <c r="C1074" s="583">
        <v>704</v>
      </c>
      <c r="D1074" s="625" t="e">
        <f t="shared" ref="D1074:D1137" si="36">$C$349*C1074</f>
        <v>#VALUE!</v>
      </c>
      <c r="E1074" s="591"/>
      <c r="F1074" s="591"/>
      <c r="G1074" s="591"/>
      <c r="H1074" s="591"/>
      <c r="I1074" s="591"/>
      <c r="J1074" s="591"/>
      <c r="K1074" s="542"/>
      <c r="O1074" s="1134"/>
      <c r="Q1074" s="1133"/>
    </row>
    <row r="1075" spans="2:17" x14ac:dyDescent="0.3">
      <c r="B1075" s="126"/>
      <c r="C1075" s="583">
        <v>705</v>
      </c>
      <c r="D1075" s="625" t="e">
        <f t="shared" si="36"/>
        <v>#VALUE!</v>
      </c>
      <c r="E1075" s="591"/>
      <c r="F1075" s="591"/>
      <c r="G1075" s="591"/>
      <c r="H1075" s="591"/>
      <c r="I1075" s="591"/>
      <c r="J1075" s="591"/>
      <c r="K1075" s="542"/>
      <c r="O1075" s="1134"/>
      <c r="Q1075" s="1133"/>
    </row>
    <row r="1076" spans="2:17" x14ac:dyDescent="0.3">
      <c r="B1076" s="126"/>
      <c r="C1076" s="583">
        <v>706</v>
      </c>
      <c r="D1076" s="625" t="e">
        <f t="shared" si="36"/>
        <v>#VALUE!</v>
      </c>
      <c r="E1076" s="591"/>
      <c r="F1076" s="591"/>
      <c r="G1076" s="591"/>
      <c r="H1076" s="591"/>
      <c r="I1076" s="591"/>
      <c r="J1076" s="591"/>
      <c r="K1076" s="542"/>
      <c r="O1076" s="1134"/>
      <c r="Q1076" s="1133"/>
    </row>
    <row r="1077" spans="2:17" x14ac:dyDescent="0.3">
      <c r="B1077" s="126"/>
      <c r="C1077" s="583">
        <v>707</v>
      </c>
      <c r="D1077" s="625" t="e">
        <f t="shared" si="36"/>
        <v>#VALUE!</v>
      </c>
      <c r="E1077" s="591"/>
      <c r="F1077" s="591"/>
      <c r="G1077" s="591"/>
      <c r="H1077" s="591"/>
      <c r="I1077" s="591"/>
      <c r="J1077" s="591"/>
      <c r="K1077" s="542"/>
      <c r="O1077" s="1134"/>
      <c r="Q1077" s="1133"/>
    </row>
    <row r="1078" spans="2:17" x14ac:dyDescent="0.3">
      <c r="B1078" s="126"/>
      <c r="C1078" s="583">
        <v>708</v>
      </c>
      <c r="D1078" s="625" t="e">
        <f t="shared" si="36"/>
        <v>#VALUE!</v>
      </c>
      <c r="E1078" s="591"/>
      <c r="F1078" s="591"/>
      <c r="G1078" s="591"/>
      <c r="H1078" s="591"/>
      <c r="I1078" s="591"/>
      <c r="J1078" s="591"/>
      <c r="K1078" s="542"/>
      <c r="O1078" s="1134"/>
      <c r="Q1078" s="1133"/>
    </row>
    <row r="1079" spans="2:17" x14ac:dyDescent="0.3">
      <c r="B1079" s="126"/>
      <c r="C1079" s="583">
        <v>709</v>
      </c>
      <c r="D1079" s="625" t="e">
        <f t="shared" si="36"/>
        <v>#VALUE!</v>
      </c>
      <c r="E1079" s="591"/>
      <c r="F1079" s="591"/>
      <c r="G1079" s="591"/>
      <c r="H1079" s="591"/>
      <c r="I1079" s="591"/>
      <c r="J1079" s="591"/>
      <c r="K1079" s="542"/>
      <c r="O1079" s="1134"/>
      <c r="Q1079" s="1133"/>
    </row>
    <row r="1080" spans="2:17" x14ac:dyDescent="0.3">
      <c r="B1080" s="126"/>
      <c r="C1080" s="583">
        <v>710</v>
      </c>
      <c r="D1080" s="625" t="e">
        <f t="shared" si="36"/>
        <v>#VALUE!</v>
      </c>
      <c r="E1080" s="591"/>
      <c r="F1080" s="591"/>
      <c r="G1080" s="591"/>
      <c r="H1080" s="591"/>
      <c r="I1080" s="591"/>
      <c r="J1080" s="591"/>
      <c r="K1080" s="542"/>
      <c r="O1080" s="1134"/>
      <c r="Q1080" s="1133"/>
    </row>
    <row r="1081" spans="2:17" x14ac:dyDescent="0.3">
      <c r="B1081" s="126"/>
      <c r="C1081" s="583">
        <v>711</v>
      </c>
      <c r="D1081" s="625" t="e">
        <f t="shared" si="36"/>
        <v>#VALUE!</v>
      </c>
      <c r="E1081" s="591"/>
      <c r="F1081" s="591"/>
      <c r="G1081" s="591"/>
      <c r="H1081" s="591"/>
      <c r="I1081" s="591"/>
      <c r="J1081" s="591"/>
      <c r="K1081" s="542"/>
      <c r="O1081" s="1134"/>
      <c r="Q1081" s="1133"/>
    </row>
    <row r="1082" spans="2:17" x14ac:dyDescent="0.3">
      <c r="B1082" s="126"/>
      <c r="C1082" s="583">
        <v>712</v>
      </c>
      <c r="D1082" s="625" t="e">
        <f t="shared" si="36"/>
        <v>#VALUE!</v>
      </c>
      <c r="E1082" s="591"/>
      <c r="F1082" s="591"/>
      <c r="G1082" s="591"/>
      <c r="H1082" s="591"/>
      <c r="I1082" s="591"/>
      <c r="J1082" s="591"/>
      <c r="K1082" s="542"/>
      <c r="O1082" s="1134"/>
      <c r="Q1082" s="1133"/>
    </row>
    <row r="1083" spans="2:17" x14ac:dyDescent="0.3">
      <c r="B1083" s="126"/>
      <c r="C1083" s="583">
        <v>713</v>
      </c>
      <c r="D1083" s="625" t="e">
        <f t="shared" si="36"/>
        <v>#VALUE!</v>
      </c>
      <c r="E1083" s="591"/>
      <c r="F1083" s="591"/>
      <c r="G1083" s="591"/>
      <c r="H1083" s="591"/>
      <c r="I1083" s="591"/>
      <c r="J1083" s="591"/>
      <c r="K1083" s="542"/>
      <c r="O1083" s="1134"/>
      <c r="Q1083" s="1133"/>
    </row>
    <row r="1084" spans="2:17" x14ac:dyDescent="0.3">
      <c r="B1084" s="126"/>
      <c r="C1084" s="583">
        <v>714</v>
      </c>
      <c r="D1084" s="625" t="e">
        <f t="shared" si="36"/>
        <v>#VALUE!</v>
      </c>
      <c r="E1084" s="591"/>
      <c r="F1084" s="591"/>
      <c r="G1084" s="591"/>
      <c r="H1084" s="591"/>
      <c r="I1084" s="591"/>
      <c r="J1084" s="591"/>
      <c r="K1084" s="542"/>
      <c r="O1084" s="1134"/>
      <c r="Q1084" s="1133"/>
    </row>
    <row r="1085" spans="2:17" x14ac:dyDescent="0.3">
      <c r="B1085" s="126"/>
      <c r="C1085" s="583">
        <v>715</v>
      </c>
      <c r="D1085" s="625" t="e">
        <f t="shared" si="36"/>
        <v>#VALUE!</v>
      </c>
      <c r="E1085" s="591"/>
      <c r="F1085" s="591"/>
      <c r="G1085" s="591"/>
      <c r="H1085" s="591"/>
      <c r="I1085" s="591"/>
      <c r="J1085" s="591"/>
      <c r="K1085" s="542"/>
      <c r="O1085" s="1134"/>
      <c r="Q1085" s="1133"/>
    </row>
    <row r="1086" spans="2:17" x14ac:dyDescent="0.3">
      <c r="B1086" s="126"/>
      <c r="C1086" s="583">
        <v>716</v>
      </c>
      <c r="D1086" s="625" t="e">
        <f t="shared" si="36"/>
        <v>#VALUE!</v>
      </c>
      <c r="E1086" s="591"/>
      <c r="F1086" s="591"/>
      <c r="G1086" s="591"/>
      <c r="H1086" s="591"/>
      <c r="I1086" s="591"/>
      <c r="J1086" s="591"/>
      <c r="K1086" s="542"/>
      <c r="O1086" s="1134"/>
      <c r="Q1086" s="1133"/>
    </row>
    <row r="1087" spans="2:17" x14ac:dyDescent="0.3">
      <c r="B1087" s="126"/>
      <c r="C1087" s="583">
        <v>717</v>
      </c>
      <c r="D1087" s="625" t="e">
        <f t="shared" si="36"/>
        <v>#VALUE!</v>
      </c>
      <c r="E1087" s="591"/>
      <c r="F1087" s="591"/>
      <c r="G1087" s="591"/>
      <c r="H1087" s="591"/>
      <c r="I1087" s="591"/>
      <c r="J1087" s="591"/>
      <c r="K1087" s="542"/>
      <c r="O1087" s="1134"/>
      <c r="Q1087" s="1133"/>
    </row>
    <row r="1088" spans="2:17" x14ac:dyDescent="0.3">
      <c r="B1088" s="126"/>
      <c r="C1088" s="583">
        <v>718</v>
      </c>
      <c r="D1088" s="625" t="e">
        <f t="shared" si="36"/>
        <v>#VALUE!</v>
      </c>
      <c r="E1088" s="591"/>
      <c r="F1088" s="591"/>
      <c r="G1088" s="591"/>
      <c r="H1088" s="591"/>
      <c r="I1088" s="591"/>
      <c r="J1088" s="591"/>
      <c r="K1088" s="542"/>
      <c r="O1088" s="1134"/>
      <c r="Q1088" s="1133"/>
    </row>
    <row r="1089" spans="2:17" x14ac:dyDescent="0.3">
      <c r="B1089" s="126"/>
      <c r="C1089" s="583">
        <v>719</v>
      </c>
      <c r="D1089" s="625" t="e">
        <f t="shared" si="36"/>
        <v>#VALUE!</v>
      </c>
      <c r="E1089" s="591"/>
      <c r="F1089" s="591"/>
      <c r="G1089" s="591"/>
      <c r="H1089" s="591"/>
      <c r="I1089" s="591"/>
      <c r="J1089" s="591"/>
      <c r="K1089" s="542"/>
      <c r="O1089" s="1134"/>
      <c r="Q1089" s="1133"/>
    </row>
    <row r="1090" spans="2:17" x14ac:dyDescent="0.3">
      <c r="B1090" s="126"/>
      <c r="C1090" s="583">
        <v>720</v>
      </c>
      <c r="D1090" s="625" t="e">
        <f t="shared" si="36"/>
        <v>#VALUE!</v>
      </c>
      <c r="E1090" s="591"/>
      <c r="F1090" s="591"/>
      <c r="G1090" s="591"/>
      <c r="H1090" s="591"/>
      <c r="I1090" s="591"/>
      <c r="J1090" s="591"/>
      <c r="K1090" s="542"/>
      <c r="O1090" s="1134"/>
      <c r="Q1090" s="1133"/>
    </row>
    <row r="1091" spans="2:17" x14ac:dyDescent="0.3">
      <c r="B1091" s="126"/>
      <c r="C1091" s="583">
        <v>721</v>
      </c>
      <c r="D1091" s="625" t="e">
        <f t="shared" si="36"/>
        <v>#VALUE!</v>
      </c>
      <c r="E1091" s="591"/>
      <c r="F1091" s="591"/>
      <c r="G1091" s="591"/>
      <c r="H1091" s="591"/>
      <c r="I1091" s="591"/>
      <c r="J1091" s="591"/>
      <c r="K1091" s="542"/>
      <c r="O1091" s="1134"/>
      <c r="Q1091" s="1133"/>
    </row>
    <row r="1092" spans="2:17" x14ac:dyDescent="0.3">
      <c r="B1092" s="126"/>
      <c r="C1092" s="583">
        <v>722</v>
      </c>
      <c r="D1092" s="625" t="e">
        <f t="shared" si="36"/>
        <v>#VALUE!</v>
      </c>
      <c r="E1092" s="591"/>
      <c r="F1092" s="591"/>
      <c r="G1092" s="591"/>
      <c r="H1092" s="591"/>
      <c r="I1092" s="591"/>
      <c r="J1092" s="591"/>
      <c r="K1092" s="542"/>
      <c r="O1092" s="1134"/>
      <c r="Q1092" s="1133"/>
    </row>
    <row r="1093" spans="2:17" x14ac:dyDescent="0.3">
      <c r="B1093" s="126"/>
      <c r="C1093" s="583">
        <v>723</v>
      </c>
      <c r="D1093" s="625" t="e">
        <f t="shared" si="36"/>
        <v>#VALUE!</v>
      </c>
      <c r="E1093" s="591"/>
      <c r="F1093" s="591"/>
      <c r="G1093" s="591"/>
      <c r="H1093" s="591"/>
      <c r="I1093" s="591"/>
      <c r="J1093" s="591"/>
      <c r="K1093" s="542"/>
      <c r="O1093" s="1134"/>
      <c r="Q1093" s="1133"/>
    </row>
    <row r="1094" spans="2:17" x14ac:dyDescent="0.3">
      <c r="B1094" s="126"/>
      <c r="C1094" s="583">
        <v>724</v>
      </c>
      <c r="D1094" s="625" t="e">
        <f t="shared" si="36"/>
        <v>#VALUE!</v>
      </c>
      <c r="E1094" s="591"/>
      <c r="F1094" s="591"/>
      <c r="G1094" s="591"/>
      <c r="H1094" s="591"/>
      <c r="I1094" s="591"/>
      <c r="J1094" s="591"/>
      <c r="K1094" s="542"/>
      <c r="O1094" s="1134"/>
      <c r="Q1094" s="1133"/>
    </row>
    <row r="1095" spans="2:17" x14ac:dyDescent="0.3">
      <c r="B1095" s="126"/>
      <c r="C1095" s="583">
        <v>725</v>
      </c>
      <c r="D1095" s="625" t="e">
        <f t="shared" si="36"/>
        <v>#VALUE!</v>
      </c>
      <c r="E1095" s="591"/>
      <c r="F1095" s="591"/>
      <c r="G1095" s="591"/>
      <c r="H1095" s="591"/>
      <c r="I1095" s="591"/>
      <c r="J1095" s="591"/>
      <c r="K1095" s="542"/>
      <c r="O1095" s="1134"/>
      <c r="Q1095" s="1133"/>
    </row>
    <row r="1096" spans="2:17" x14ac:dyDescent="0.3">
      <c r="B1096" s="126"/>
      <c r="C1096" s="583">
        <v>726</v>
      </c>
      <c r="D1096" s="625" t="e">
        <f t="shared" si="36"/>
        <v>#VALUE!</v>
      </c>
      <c r="E1096" s="591"/>
      <c r="F1096" s="591"/>
      <c r="G1096" s="591"/>
      <c r="H1096" s="591"/>
      <c r="I1096" s="591"/>
      <c r="J1096" s="591"/>
      <c r="K1096" s="542"/>
      <c r="O1096" s="1134"/>
      <c r="Q1096" s="1133"/>
    </row>
    <row r="1097" spans="2:17" x14ac:dyDescent="0.3">
      <c r="B1097" s="126"/>
      <c r="C1097" s="583">
        <v>727</v>
      </c>
      <c r="D1097" s="625" t="e">
        <f t="shared" si="36"/>
        <v>#VALUE!</v>
      </c>
      <c r="E1097" s="591"/>
      <c r="F1097" s="591"/>
      <c r="G1097" s="591"/>
      <c r="H1097" s="591"/>
      <c r="I1097" s="591"/>
      <c r="J1097" s="591"/>
      <c r="K1097" s="542"/>
      <c r="O1097" s="1134"/>
      <c r="Q1097" s="1133"/>
    </row>
    <row r="1098" spans="2:17" x14ac:dyDescent="0.3">
      <c r="B1098" s="126"/>
      <c r="C1098" s="583">
        <v>728</v>
      </c>
      <c r="D1098" s="625" t="e">
        <f t="shared" si="36"/>
        <v>#VALUE!</v>
      </c>
      <c r="E1098" s="591"/>
      <c r="F1098" s="591"/>
      <c r="G1098" s="591"/>
      <c r="H1098" s="591"/>
      <c r="I1098" s="591"/>
      <c r="J1098" s="591"/>
      <c r="K1098" s="542"/>
      <c r="O1098" s="1134"/>
      <c r="Q1098" s="1133"/>
    </row>
    <row r="1099" spans="2:17" x14ac:dyDescent="0.3">
      <c r="B1099" s="126"/>
      <c r="C1099" s="583">
        <v>729</v>
      </c>
      <c r="D1099" s="625" t="e">
        <f t="shared" si="36"/>
        <v>#VALUE!</v>
      </c>
      <c r="E1099" s="591"/>
      <c r="F1099" s="591"/>
      <c r="G1099" s="591"/>
      <c r="H1099" s="591"/>
      <c r="I1099" s="591"/>
      <c r="J1099" s="591"/>
      <c r="K1099" s="542"/>
      <c r="O1099" s="1134"/>
      <c r="Q1099" s="1133"/>
    </row>
    <row r="1100" spans="2:17" x14ac:dyDescent="0.3">
      <c r="B1100" s="126"/>
      <c r="C1100" s="583">
        <v>730</v>
      </c>
      <c r="D1100" s="625" t="e">
        <f t="shared" si="36"/>
        <v>#VALUE!</v>
      </c>
      <c r="E1100" s="591"/>
      <c r="F1100" s="591"/>
      <c r="G1100" s="591"/>
      <c r="H1100" s="591"/>
      <c r="I1100" s="591"/>
      <c r="J1100" s="591"/>
      <c r="K1100" s="542"/>
      <c r="O1100" s="1134"/>
      <c r="Q1100" s="1133"/>
    </row>
    <row r="1101" spans="2:17" x14ac:dyDescent="0.3">
      <c r="B1101" s="126"/>
      <c r="C1101" s="583">
        <v>731</v>
      </c>
      <c r="D1101" s="625" t="e">
        <f t="shared" si="36"/>
        <v>#VALUE!</v>
      </c>
      <c r="E1101" s="591"/>
      <c r="F1101" s="591"/>
      <c r="G1101" s="591"/>
      <c r="H1101" s="591"/>
      <c r="I1101" s="591"/>
      <c r="J1101" s="591"/>
      <c r="K1101" s="542"/>
      <c r="O1101" s="1134"/>
      <c r="Q1101" s="1133"/>
    </row>
    <row r="1102" spans="2:17" x14ac:dyDescent="0.3">
      <c r="B1102" s="126"/>
      <c r="C1102" s="583">
        <v>732</v>
      </c>
      <c r="D1102" s="625" t="e">
        <f t="shared" si="36"/>
        <v>#VALUE!</v>
      </c>
      <c r="E1102" s="591"/>
      <c r="F1102" s="591"/>
      <c r="G1102" s="591"/>
      <c r="H1102" s="591"/>
      <c r="I1102" s="591"/>
      <c r="J1102" s="591"/>
      <c r="K1102" s="542"/>
      <c r="O1102" s="1134"/>
      <c r="Q1102" s="1133"/>
    </row>
    <row r="1103" spans="2:17" x14ac:dyDescent="0.3">
      <c r="B1103" s="126"/>
      <c r="C1103" s="583">
        <v>733</v>
      </c>
      <c r="D1103" s="625" t="e">
        <f t="shared" si="36"/>
        <v>#VALUE!</v>
      </c>
      <c r="E1103" s="591"/>
      <c r="F1103" s="591"/>
      <c r="G1103" s="591"/>
      <c r="H1103" s="591"/>
      <c r="I1103" s="591"/>
      <c r="J1103" s="591"/>
      <c r="K1103" s="542"/>
      <c r="O1103" s="1134"/>
      <c r="Q1103" s="1133"/>
    </row>
    <row r="1104" spans="2:17" x14ac:dyDescent="0.3">
      <c r="B1104" s="126"/>
      <c r="C1104" s="583">
        <v>734</v>
      </c>
      <c r="D1104" s="625" t="e">
        <f t="shared" si="36"/>
        <v>#VALUE!</v>
      </c>
      <c r="E1104" s="591"/>
      <c r="F1104" s="591"/>
      <c r="G1104" s="591"/>
      <c r="H1104" s="591"/>
      <c r="I1104" s="591"/>
      <c r="J1104" s="591"/>
      <c r="K1104" s="542"/>
      <c r="O1104" s="1134"/>
      <c r="Q1104" s="1133"/>
    </row>
    <row r="1105" spans="2:17" x14ac:dyDescent="0.3">
      <c r="B1105" s="126"/>
      <c r="C1105" s="583">
        <v>735</v>
      </c>
      <c r="D1105" s="625" t="e">
        <f t="shared" si="36"/>
        <v>#VALUE!</v>
      </c>
      <c r="E1105" s="591"/>
      <c r="F1105" s="591"/>
      <c r="G1105" s="591"/>
      <c r="H1105" s="591"/>
      <c r="I1105" s="591"/>
      <c r="J1105" s="591"/>
      <c r="K1105" s="542"/>
      <c r="O1105" s="1134"/>
      <c r="Q1105" s="1133"/>
    </row>
    <row r="1106" spans="2:17" x14ac:dyDescent="0.3">
      <c r="B1106" s="126"/>
      <c r="C1106" s="583">
        <v>736</v>
      </c>
      <c r="D1106" s="625" t="e">
        <f t="shared" si="36"/>
        <v>#VALUE!</v>
      </c>
      <c r="E1106" s="591"/>
      <c r="F1106" s="591"/>
      <c r="G1106" s="591"/>
      <c r="H1106" s="591"/>
      <c r="I1106" s="591"/>
      <c r="J1106" s="591"/>
      <c r="K1106" s="542"/>
      <c r="O1106" s="1134"/>
      <c r="Q1106" s="1133"/>
    </row>
    <row r="1107" spans="2:17" x14ac:dyDescent="0.3">
      <c r="B1107" s="126"/>
      <c r="C1107" s="583">
        <v>737</v>
      </c>
      <c r="D1107" s="625" t="e">
        <f t="shared" si="36"/>
        <v>#VALUE!</v>
      </c>
      <c r="E1107" s="591"/>
      <c r="F1107" s="591"/>
      <c r="G1107" s="591"/>
      <c r="H1107" s="591"/>
      <c r="I1107" s="591"/>
      <c r="J1107" s="591"/>
      <c r="K1107" s="542"/>
      <c r="O1107" s="1134"/>
      <c r="Q1107" s="1133"/>
    </row>
    <row r="1108" spans="2:17" x14ac:dyDescent="0.3">
      <c r="B1108" s="126"/>
      <c r="C1108" s="583">
        <v>738</v>
      </c>
      <c r="D1108" s="625" t="e">
        <f t="shared" si="36"/>
        <v>#VALUE!</v>
      </c>
      <c r="E1108" s="591"/>
      <c r="F1108" s="591"/>
      <c r="G1108" s="591"/>
      <c r="H1108" s="591"/>
      <c r="I1108" s="591"/>
      <c r="J1108" s="591"/>
      <c r="K1108" s="542"/>
      <c r="O1108" s="1134"/>
      <c r="Q1108" s="1133"/>
    </row>
    <row r="1109" spans="2:17" x14ac:dyDescent="0.3">
      <c r="B1109" s="126"/>
      <c r="C1109" s="583">
        <v>739</v>
      </c>
      <c r="D1109" s="625" t="e">
        <f t="shared" si="36"/>
        <v>#VALUE!</v>
      </c>
      <c r="E1109" s="591"/>
      <c r="F1109" s="591"/>
      <c r="G1109" s="591"/>
      <c r="H1109" s="591"/>
      <c r="I1109" s="591"/>
      <c r="J1109" s="591"/>
      <c r="K1109" s="542"/>
      <c r="O1109" s="1134"/>
      <c r="Q1109" s="1133"/>
    </row>
    <row r="1110" spans="2:17" x14ac:dyDescent="0.3">
      <c r="B1110" s="126"/>
      <c r="C1110" s="583">
        <v>740</v>
      </c>
      <c r="D1110" s="625" t="e">
        <f t="shared" si="36"/>
        <v>#VALUE!</v>
      </c>
      <c r="E1110" s="591"/>
      <c r="F1110" s="591"/>
      <c r="G1110" s="591"/>
      <c r="H1110" s="591"/>
      <c r="I1110" s="591"/>
      <c r="J1110" s="591"/>
      <c r="K1110" s="542"/>
      <c r="O1110" s="1134"/>
      <c r="Q1110" s="1133"/>
    </row>
    <row r="1111" spans="2:17" x14ac:dyDescent="0.3">
      <c r="B1111" s="126"/>
      <c r="C1111" s="583">
        <v>741</v>
      </c>
      <c r="D1111" s="625" t="e">
        <f t="shared" si="36"/>
        <v>#VALUE!</v>
      </c>
      <c r="E1111" s="591"/>
      <c r="F1111" s="591"/>
      <c r="G1111" s="591"/>
      <c r="H1111" s="591"/>
      <c r="I1111" s="591"/>
      <c r="J1111" s="591"/>
      <c r="K1111" s="542"/>
      <c r="O1111" s="1134"/>
      <c r="Q1111" s="1133"/>
    </row>
    <row r="1112" spans="2:17" x14ac:dyDescent="0.3">
      <c r="B1112" s="126"/>
      <c r="C1112" s="583">
        <v>742</v>
      </c>
      <c r="D1112" s="625" t="e">
        <f t="shared" si="36"/>
        <v>#VALUE!</v>
      </c>
      <c r="E1112" s="591"/>
      <c r="F1112" s="591"/>
      <c r="G1112" s="591"/>
      <c r="H1112" s="591"/>
      <c r="I1112" s="591"/>
      <c r="J1112" s="591"/>
      <c r="K1112" s="542"/>
      <c r="O1112" s="1134"/>
      <c r="Q1112" s="1133"/>
    </row>
    <row r="1113" spans="2:17" x14ac:dyDescent="0.3">
      <c r="B1113" s="126"/>
      <c r="C1113" s="583">
        <v>743</v>
      </c>
      <c r="D1113" s="625" t="e">
        <f t="shared" si="36"/>
        <v>#VALUE!</v>
      </c>
      <c r="E1113" s="591"/>
      <c r="F1113" s="591"/>
      <c r="G1113" s="591"/>
      <c r="H1113" s="591"/>
      <c r="I1113" s="591"/>
      <c r="J1113" s="591"/>
      <c r="K1113" s="542"/>
      <c r="O1113" s="1134"/>
      <c r="Q1113" s="1133"/>
    </row>
    <row r="1114" spans="2:17" x14ac:dyDescent="0.3">
      <c r="B1114" s="126"/>
      <c r="C1114" s="583">
        <v>744</v>
      </c>
      <c r="D1114" s="625" t="e">
        <f t="shared" si="36"/>
        <v>#VALUE!</v>
      </c>
      <c r="E1114" s="591"/>
      <c r="F1114" s="591"/>
      <c r="G1114" s="591"/>
      <c r="H1114" s="591"/>
      <c r="I1114" s="591"/>
      <c r="J1114" s="591"/>
      <c r="K1114" s="542"/>
      <c r="O1114" s="1134"/>
      <c r="Q1114" s="1133"/>
    </row>
    <row r="1115" spans="2:17" x14ac:dyDescent="0.3">
      <c r="B1115" s="126"/>
      <c r="C1115" s="583">
        <v>745</v>
      </c>
      <c r="D1115" s="625" t="e">
        <f t="shared" si="36"/>
        <v>#VALUE!</v>
      </c>
      <c r="E1115" s="591"/>
      <c r="F1115" s="591"/>
      <c r="G1115" s="591"/>
      <c r="H1115" s="591"/>
      <c r="I1115" s="591"/>
      <c r="J1115" s="591"/>
      <c r="K1115" s="542"/>
      <c r="O1115" s="1134"/>
      <c r="Q1115" s="1133"/>
    </row>
    <row r="1116" spans="2:17" x14ac:dyDescent="0.3">
      <c r="B1116" s="126"/>
      <c r="C1116" s="583">
        <v>746</v>
      </c>
      <c r="D1116" s="625" t="e">
        <f t="shared" si="36"/>
        <v>#VALUE!</v>
      </c>
      <c r="E1116" s="591"/>
      <c r="F1116" s="591"/>
      <c r="G1116" s="591"/>
      <c r="H1116" s="591"/>
      <c r="I1116" s="591"/>
      <c r="J1116" s="591"/>
      <c r="K1116" s="542"/>
      <c r="O1116" s="1134"/>
      <c r="Q1116" s="1133"/>
    </row>
    <row r="1117" spans="2:17" x14ac:dyDescent="0.3">
      <c r="B1117" s="126"/>
      <c r="C1117" s="583">
        <v>747</v>
      </c>
      <c r="D1117" s="625" t="e">
        <f t="shared" si="36"/>
        <v>#VALUE!</v>
      </c>
      <c r="E1117" s="591"/>
      <c r="F1117" s="591"/>
      <c r="G1117" s="591"/>
      <c r="H1117" s="591"/>
      <c r="I1117" s="591"/>
      <c r="J1117" s="591"/>
      <c r="K1117" s="542"/>
      <c r="O1117" s="1134"/>
      <c r="Q1117" s="1133"/>
    </row>
    <row r="1118" spans="2:17" x14ac:dyDescent="0.3">
      <c r="B1118" s="126"/>
      <c r="C1118" s="583">
        <v>748</v>
      </c>
      <c r="D1118" s="625" t="e">
        <f t="shared" si="36"/>
        <v>#VALUE!</v>
      </c>
      <c r="E1118" s="591"/>
      <c r="F1118" s="591"/>
      <c r="G1118" s="591"/>
      <c r="H1118" s="591"/>
      <c r="I1118" s="591"/>
      <c r="J1118" s="591"/>
      <c r="K1118" s="542"/>
      <c r="O1118" s="1134"/>
      <c r="Q1118" s="1133"/>
    </row>
    <row r="1119" spans="2:17" x14ac:dyDescent="0.3">
      <c r="B1119" s="126"/>
      <c r="C1119" s="583">
        <v>749</v>
      </c>
      <c r="D1119" s="625" t="e">
        <f t="shared" si="36"/>
        <v>#VALUE!</v>
      </c>
      <c r="E1119" s="591"/>
      <c r="F1119" s="591"/>
      <c r="G1119" s="591"/>
      <c r="H1119" s="591"/>
      <c r="I1119" s="591"/>
      <c r="J1119" s="591"/>
      <c r="K1119" s="542"/>
      <c r="O1119" s="1134"/>
      <c r="Q1119" s="1133"/>
    </row>
    <row r="1120" spans="2:17" x14ac:dyDescent="0.3">
      <c r="B1120" s="126"/>
      <c r="C1120" s="583">
        <v>750</v>
      </c>
      <c r="D1120" s="625" t="e">
        <f t="shared" si="36"/>
        <v>#VALUE!</v>
      </c>
      <c r="E1120" s="591"/>
      <c r="F1120" s="591"/>
      <c r="G1120" s="591"/>
      <c r="H1120" s="591"/>
      <c r="I1120" s="591"/>
      <c r="J1120" s="591"/>
      <c r="K1120" s="542"/>
      <c r="O1120" s="1134"/>
      <c r="Q1120" s="1133"/>
    </row>
    <row r="1121" spans="2:17" x14ac:dyDescent="0.3">
      <c r="B1121" s="126"/>
      <c r="C1121" s="583">
        <v>751</v>
      </c>
      <c r="D1121" s="625" t="e">
        <f t="shared" si="36"/>
        <v>#VALUE!</v>
      </c>
      <c r="E1121" s="591"/>
      <c r="F1121" s="591"/>
      <c r="G1121" s="591"/>
      <c r="H1121" s="591"/>
      <c r="I1121" s="591"/>
      <c r="J1121" s="591"/>
      <c r="K1121" s="542"/>
      <c r="O1121" s="1134"/>
      <c r="Q1121" s="1133"/>
    </row>
    <row r="1122" spans="2:17" x14ac:dyDescent="0.3">
      <c r="B1122" s="126"/>
      <c r="C1122" s="583">
        <v>752</v>
      </c>
      <c r="D1122" s="625" t="e">
        <f t="shared" si="36"/>
        <v>#VALUE!</v>
      </c>
      <c r="E1122" s="591"/>
      <c r="F1122" s="591"/>
      <c r="G1122" s="591"/>
      <c r="H1122" s="591"/>
      <c r="I1122" s="591"/>
      <c r="J1122" s="591"/>
      <c r="K1122" s="542"/>
      <c r="O1122" s="1134"/>
      <c r="Q1122" s="1133"/>
    </row>
    <row r="1123" spans="2:17" x14ac:dyDescent="0.3">
      <c r="B1123" s="126"/>
      <c r="C1123" s="583">
        <v>753</v>
      </c>
      <c r="D1123" s="625" t="e">
        <f t="shared" si="36"/>
        <v>#VALUE!</v>
      </c>
      <c r="E1123" s="591"/>
      <c r="F1123" s="591"/>
      <c r="G1123" s="591"/>
      <c r="H1123" s="591"/>
      <c r="I1123" s="591"/>
      <c r="J1123" s="591"/>
      <c r="K1123" s="542"/>
      <c r="O1123" s="1134"/>
      <c r="Q1123" s="1133"/>
    </row>
    <row r="1124" spans="2:17" x14ac:dyDescent="0.3">
      <c r="B1124" s="126"/>
      <c r="C1124" s="583">
        <v>754</v>
      </c>
      <c r="D1124" s="625" t="e">
        <f t="shared" si="36"/>
        <v>#VALUE!</v>
      </c>
      <c r="E1124" s="591"/>
      <c r="F1124" s="591"/>
      <c r="G1124" s="591"/>
      <c r="H1124" s="591"/>
      <c r="I1124" s="591"/>
      <c r="J1124" s="591"/>
      <c r="K1124" s="542"/>
      <c r="O1124" s="1134"/>
      <c r="Q1124" s="1133"/>
    </row>
    <row r="1125" spans="2:17" x14ac:dyDescent="0.3">
      <c r="B1125" s="126"/>
      <c r="C1125" s="583">
        <v>755</v>
      </c>
      <c r="D1125" s="625" t="e">
        <f t="shared" si="36"/>
        <v>#VALUE!</v>
      </c>
      <c r="E1125" s="591"/>
      <c r="F1125" s="591"/>
      <c r="G1125" s="591"/>
      <c r="H1125" s="591"/>
      <c r="I1125" s="591"/>
      <c r="J1125" s="591"/>
      <c r="K1125" s="542"/>
      <c r="O1125" s="1134"/>
      <c r="Q1125" s="1133"/>
    </row>
    <row r="1126" spans="2:17" x14ac:dyDescent="0.3">
      <c r="B1126" s="126"/>
      <c r="C1126" s="583">
        <v>756</v>
      </c>
      <c r="D1126" s="625" t="e">
        <f t="shared" si="36"/>
        <v>#VALUE!</v>
      </c>
      <c r="E1126" s="591"/>
      <c r="F1126" s="591"/>
      <c r="G1126" s="591"/>
      <c r="H1126" s="591"/>
      <c r="I1126" s="591"/>
      <c r="J1126" s="591"/>
      <c r="K1126" s="542"/>
      <c r="O1126" s="1134"/>
      <c r="Q1126" s="1133"/>
    </row>
    <row r="1127" spans="2:17" x14ac:dyDescent="0.3">
      <c r="B1127" s="126"/>
      <c r="C1127" s="583">
        <v>757</v>
      </c>
      <c r="D1127" s="625" t="e">
        <f t="shared" si="36"/>
        <v>#VALUE!</v>
      </c>
      <c r="E1127" s="591"/>
      <c r="F1127" s="591"/>
      <c r="G1127" s="591"/>
      <c r="H1127" s="591"/>
      <c r="I1127" s="591"/>
      <c r="J1127" s="591"/>
      <c r="K1127" s="542"/>
      <c r="O1127" s="1134"/>
      <c r="Q1127" s="1133"/>
    </row>
    <row r="1128" spans="2:17" x14ac:dyDescent="0.3">
      <c r="B1128" s="126"/>
      <c r="C1128" s="583">
        <v>758</v>
      </c>
      <c r="D1128" s="625" t="e">
        <f t="shared" si="36"/>
        <v>#VALUE!</v>
      </c>
      <c r="E1128" s="591"/>
      <c r="F1128" s="591"/>
      <c r="G1128" s="591"/>
      <c r="H1128" s="591"/>
      <c r="I1128" s="591"/>
      <c r="J1128" s="591"/>
      <c r="K1128" s="542"/>
      <c r="O1128" s="1134"/>
      <c r="Q1128" s="1133"/>
    </row>
    <row r="1129" spans="2:17" x14ac:dyDescent="0.3">
      <c r="B1129" s="126"/>
      <c r="C1129" s="583">
        <v>759</v>
      </c>
      <c r="D1129" s="625" t="e">
        <f t="shared" si="36"/>
        <v>#VALUE!</v>
      </c>
      <c r="E1129" s="591"/>
      <c r="F1129" s="591"/>
      <c r="G1129" s="591"/>
      <c r="H1129" s="591"/>
      <c r="I1129" s="591"/>
      <c r="J1129" s="591"/>
      <c r="K1129" s="542"/>
      <c r="O1129" s="1134"/>
      <c r="Q1129" s="1133"/>
    </row>
    <row r="1130" spans="2:17" x14ac:dyDescent="0.3">
      <c r="B1130" s="126"/>
      <c r="C1130" s="583">
        <v>760</v>
      </c>
      <c r="D1130" s="625" t="e">
        <f t="shared" si="36"/>
        <v>#VALUE!</v>
      </c>
      <c r="E1130" s="591"/>
      <c r="F1130" s="591"/>
      <c r="G1130" s="591"/>
      <c r="H1130" s="591"/>
      <c r="I1130" s="591"/>
      <c r="J1130" s="591"/>
      <c r="K1130" s="542"/>
      <c r="O1130" s="1134"/>
      <c r="Q1130" s="1133"/>
    </row>
    <row r="1131" spans="2:17" x14ac:dyDescent="0.3">
      <c r="B1131" s="126"/>
      <c r="C1131" s="583">
        <v>761</v>
      </c>
      <c r="D1131" s="625" t="e">
        <f t="shared" si="36"/>
        <v>#VALUE!</v>
      </c>
      <c r="E1131" s="591"/>
      <c r="F1131" s="591"/>
      <c r="G1131" s="591"/>
      <c r="H1131" s="591"/>
      <c r="I1131" s="591"/>
      <c r="J1131" s="591"/>
      <c r="K1131" s="542"/>
      <c r="O1131" s="1134"/>
      <c r="Q1131" s="1133"/>
    </row>
    <row r="1132" spans="2:17" x14ac:dyDescent="0.3">
      <c r="B1132" s="126"/>
      <c r="C1132" s="583">
        <v>762</v>
      </c>
      <c r="D1132" s="625" t="e">
        <f t="shared" si="36"/>
        <v>#VALUE!</v>
      </c>
      <c r="E1132" s="591"/>
      <c r="F1132" s="591"/>
      <c r="G1132" s="591"/>
      <c r="H1132" s="591"/>
      <c r="I1132" s="591"/>
      <c r="J1132" s="591"/>
      <c r="K1132" s="542"/>
      <c r="O1132" s="1134"/>
      <c r="Q1132" s="1133"/>
    </row>
    <row r="1133" spans="2:17" x14ac:dyDescent="0.3">
      <c r="B1133" s="126"/>
      <c r="C1133" s="583">
        <v>763</v>
      </c>
      <c r="D1133" s="625" t="e">
        <f t="shared" si="36"/>
        <v>#VALUE!</v>
      </c>
      <c r="E1133" s="591"/>
      <c r="F1133" s="591"/>
      <c r="G1133" s="591"/>
      <c r="H1133" s="591"/>
      <c r="I1133" s="591"/>
      <c r="J1133" s="591"/>
      <c r="K1133" s="542"/>
      <c r="O1133" s="1134"/>
      <c r="Q1133" s="1133"/>
    </row>
    <row r="1134" spans="2:17" x14ac:dyDescent="0.3">
      <c r="B1134" s="126"/>
      <c r="C1134" s="583">
        <v>764</v>
      </c>
      <c r="D1134" s="625" t="e">
        <f t="shared" si="36"/>
        <v>#VALUE!</v>
      </c>
      <c r="E1134" s="591"/>
      <c r="F1134" s="591"/>
      <c r="G1134" s="591"/>
      <c r="H1134" s="591"/>
      <c r="I1134" s="591"/>
      <c r="J1134" s="591"/>
      <c r="K1134" s="542"/>
      <c r="O1134" s="1134"/>
      <c r="Q1134" s="1133"/>
    </row>
    <row r="1135" spans="2:17" x14ac:dyDescent="0.3">
      <c r="B1135" s="126"/>
      <c r="C1135" s="583">
        <v>765</v>
      </c>
      <c r="D1135" s="625" t="e">
        <f t="shared" si="36"/>
        <v>#VALUE!</v>
      </c>
      <c r="E1135" s="591"/>
      <c r="F1135" s="591"/>
      <c r="G1135" s="591"/>
      <c r="H1135" s="591"/>
      <c r="I1135" s="591"/>
      <c r="J1135" s="591"/>
      <c r="K1135" s="542"/>
      <c r="O1135" s="1134"/>
      <c r="Q1135" s="1133"/>
    </row>
    <row r="1136" spans="2:17" x14ac:dyDescent="0.3">
      <c r="B1136" s="126"/>
      <c r="C1136" s="583">
        <v>766</v>
      </c>
      <c r="D1136" s="625" t="e">
        <f t="shared" si="36"/>
        <v>#VALUE!</v>
      </c>
      <c r="E1136" s="591"/>
      <c r="F1136" s="591"/>
      <c r="G1136" s="591"/>
      <c r="H1136" s="591"/>
      <c r="I1136" s="591"/>
      <c r="J1136" s="591"/>
      <c r="K1136" s="542"/>
      <c r="O1136" s="1134"/>
      <c r="Q1136" s="1133"/>
    </row>
    <row r="1137" spans="2:17" x14ac:dyDescent="0.3">
      <c r="B1137" s="126"/>
      <c r="C1137" s="583">
        <v>767</v>
      </c>
      <c r="D1137" s="625" t="e">
        <f t="shared" si="36"/>
        <v>#VALUE!</v>
      </c>
      <c r="E1137" s="591"/>
      <c r="F1137" s="591"/>
      <c r="G1137" s="591"/>
      <c r="H1137" s="591"/>
      <c r="I1137" s="591"/>
      <c r="J1137" s="591"/>
      <c r="K1137" s="542"/>
      <c r="O1137" s="1134"/>
      <c r="Q1137" s="1133"/>
    </row>
    <row r="1138" spans="2:17" x14ac:dyDescent="0.3">
      <c r="B1138" s="126"/>
      <c r="C1138" s="583">
        <v>768</v>
      </c>
      <c r="D1138" s="625" t="e">
        <f t="shared" ref="D1138:D1201" si="37">$C$349*C1138</f>
        <v>#VALUE!</v>
      </c>
      <c r="E1138" s="591"/>
      <c r="F1138" s="591"/>
      <c r="G1138" s="591"/>
      <c r="H1138" s="591"/>
      <c r="I1138" s="591"/>
      <c r="J1138" s="591"/>
      <c r="K1138" s="542"/>
      <c r="O1138" s="1134"/>
      <c r="Q1138" s="1133"/>
    </row>
    <row r="1139" spans="2:17" x14ac:dyDescent="0.3">
      <c r="B1139" s="126"/>
      <c r="C1139" s="583">
        <v>769</v>
      </c>
      <c r="D1139" s="625" t="e">
        <f t="shared" si="37"/>
        <v>#VALUE!</v>
      </c>
      <c r="E1139" s="591"/>
      <c r="F1139" s="591"/>
      <c r="G1139" s="591"/>
      <c r="H1139" s="591"/>
      <c r="I1139" s="591"/>
      <c r="J1139" s="591"/>
      <c r="K1139" s="542"/>
      <c r="O1139" s="1134"/>
      <c r="Q1139" s="1133"/>
    </row>
    <row r="1140" spans="2:17" x14ac:dyDescent="0.3">
      <c r="B1140" s="126"/>
      <c r="C1140" s="583">
        <v>770</v>
      </c>
      <c r="D1140" s="625" t="e">
        <f t="shared" si="37"/>
        <v>#VALUE!</v>
      </c>
      <c r="E1140" s="591"/>
      <c r="F1140" s="591"/>
      <c r="G1140" s="591"/>
      <c r="H1140" s="591"/>
      <c r="I1140" s="591"/>
      <c r="J1140" s="591"/>
      <c r="K1140" s="542"/>
      <c r="O1140" s="1134"/>
      <c r="Q1140" s="1133"/>
    </row>
    <row r="1141" spans="2:17" x14ac:dyDescent="0.3">
      <c r="B1141" s="126"/>
      <c r="C1141" s="583">
        <v>771</v>
      </c>
      <c r="D1141" s="625" t="e">
        <f t="shared" si="37"/>
        <v>#VALUE!</v>
      </c>
      <c r="E1141" s="591"/>
      <c r="F1141" s="591"/>
      <c r="G1141" s="591"/>
      <c r="H1141" s="591"/>
      <c r="I1141" s="591"/>
      <c r="J1141" s="591"/>
      <c r="K1141" s="542"/>
      <c r="O1141" s="1134"/>
      <c r="Q1141" s="1133"/>
    </row>
    <row r="1142" spans="2:17" x14ac:dyDescent="0.3">
      <c r="B1142" s="126"/>
      <c r="C1142" s="583">
        <v>772</v>
      </c>
      <c r="D1142" s="625" t="e">
        <f t="shared" si="37"/>
        <v>#VALUE!</v>
      </c>
      <c r="E1142" s="591"/>
      <c r="F1142" s="591"/>
      <c r="G1142" s="591"/>
      <c r="H1142" s="591"/>
      <c r="I1142" s="591"/>
      <c r="J1142" s="591"/>
      <c r="K1142" s="542"/>
      <c r="O1142" s="1134"/>
      <c r="Q1142" s="1133"/>
    </row>
    <row r="1143" spans="2:17" x14ac:dyDescent="0.3">
      <c r="B1143" s="126"/>
      <c r="C1143" s="583">
        <v>773</v>
      </c>
      <c r="D1143" s="625" t="e">
        <f t="shared" si="37"/>
        <v>#VALUE!</v>
      </c>
      <c r="E1143" s="591"/>
      <c r="F1143" s="591"/>
      <c r="G1143" s="591"/>
      <c r="H1143" s="591"/>
      <c r="I1143" s="591"/>
      <c r="J1143" s="591"/>
      <c r="K1143" s="542"/>
      <c r="O1143" s="1134"/>
      <c r="Q1143" s="1133"/>
    </row>
    <row r="1144" spans="2:17" x14ac:dyDescent="0.3">
      <c r="B1144" s="126"/>
      <c r="C1144" s="583">
        <v>774</v>
      </c>
      <c r="D1144" s="625" t="e">
        <f t="shared" si="37"/>
        <v>#VALUE!</v>
      </c>
      <c r="E1144" s="591"/>
      <c r="F1144" s="591"/>
      <c r="G1144" s="591"/>
      <c r="H1144" s="591"/>
      <c r="I1144" s="591"/>
      <c r="J1144" s="591"/>
      <c r="K1144" s="542"/>
      <c r="O1144" s="1134"/>
      <c r="Q1144" s="1133"/>
    </row>
    <row r="1145" spans="2:17" x14ac:dyDescent="0.3">
      <c r="B1145" s="126"/>
      <c r="C1145" s="583">
        <v>775</v>
      </c>
      <c r="D1145" s="625" t="e">
        <f t="shared" si="37"/>
        <v>#VALUE!</v>
      </c>
      <c r="E1145" s="591"/>
      <c r="F1145" s="591"/>
      <c r="G1145" s="591"/>
      <c r="H1145" s="591"/>
      <c r="I1145" s="591"/>
      <c r="J1145" s="591"/>
      <c r="K1145" s="542"/>
      <c r="O1145" s="1134"/>
      <c r="Q1145" s="1133"/>
    </row>
    <row r="1146" spans="2:17" x14ac:dyDescent="0.3">
      <c r="B1146" s="126"/>
      <c r="C1146" s="583">
        <v>776</v>
      </c>
      <c r="D1146" s="625" t="e">
        <f t="shared" si="37"/>
        <v>#VALUE!</v>
      </c>
      <c r="E1146" s="591"/>
      <c r="F1146" s="591"/>
      <c r="G1146" s="591"/>
      <c r="H1146" s="591"/>
      <c r="I1146" s="591"/>
      <c r="J1146" s="591"/>
      <c r="K1146" s="542"/>
      <c r="O1146" s="1134"/>
      <c r="Q1146" s="1133"/>
    </row>
    <row r="1147" spans="2:17" x14ac:dyDescent="0.3">
      <c r="B1147" s="126"/>
      <c r="C1147" s="583">
        <v>777</v>
      </c>
      <c r="D1147" s="625" t="e">
        <f t="shared" si="37"/>
        <v>#VALUE!</v>
      </c>
      <c r="E1147" s="591"/>
      <c r="F1147" s="591"/>
      <c r="G1147" s="591"/>
      <c r="H1147" s="591"/>
      <c r="I1147" s="591"/>
      <c r="J1147" s="591"/>
      <c r="K1147" s="542"/>
      <c r="O1147" s="1134"/>
      <c r="Q1147" s="1133"/>
    </row>
    <row r="1148" spans="2:17" x14ac:dyDescent="0.3">
      <c r="B1148" s="126"/>
      <c r="C1148" s="583">
        <v>778</v>
      </c>
      <c r="D1148" s="625" t="e">
        <f t="shared" si="37"/>
        <v>#VALUE!</v>
      </c>
      <c r="E1148" s="591"/>
      <c r="F1148" s="591"/>
      <c r="G1148" s="591"/>
      <c r="H1148" s="591"/>
      <c r="I1148" s="591"/>
      <c r="J1148" s="591"/>
      <c r="K1148" s="542"/>
      <c r="O1148" s="1134"/>
      <c r="Q1148" s="1133"/>
    </row>
    <row r="1149" spans="2:17" x14ac:dyDescent="0.3">
      <c r="B1149" s="126"/>
      <c r="C1149" s="583">
        <v>779</v>
      </c>
      <c r="D1149" s="625" t="e">
        <f t="shared" si="37"/>
        <v>#VALUE!</v>
      </c>
      <c r="E1149" s="591"/>
      <c r="F1149" s="591"/>
      <c r="G1149" s="591"/>
      <c r="H1149" s="591"/>
      <c r="I1149" s="591"/>
      <c r="J1149" s="591"/>
      <c r="K1149" s="542"/>
      <c r="O1149" s="1134"/>
      <c r="Q1149" s="1133"/>
    </row>
    <row r="1150" spans="2:17" x14ac:dyDescent="0.3">
      <c r="B1150" s="126"/>
      <c r="C1150" s="583">
        <v>780</v>
      </c>
      <c r="D1150" s="625" t="e">
        <f t="shared" si="37"/>
        <v>#VALUE!</v>
      </c>
      <c r="E1150" s="591"/>
      <c r="F1150" s="591"/>
      <c r="G1150" s="591"/>
      <c r="H1150" s="591"/>
      <c r="I1150" s="591"/>
      <c r="J1150" s="591"/>
      <c r="K1150" s="542"/>
      <c r="O1150" s="1134"/>
      <c r="Q1150" s="1133"/>
    </row>
    <row r="1151" spans="2:17" x14ac:dyDescent="0.3">
      <c r="B1151" s="126"/>
      <c r="C1151" s="583">
        <v>781</v>
      </c>
      <c r="D1151" s="625" t="e">
        <f t="shared" si="37"/>
        <v>#VALUE!</v>
      </c>
      <c r="E1151" s="591"/>
      <c r="F1151" s="591"/>
      <c r="G1151" s="591"/>
      <c r="H1151" s="591"/>
      <c r="I1151" s="591"/>
      <c r="J1151" s="591"/>
      <c r="K1151" s="542"/>
      <c r="O1151" s="1134"/>
      <c r="Q1151" s="1133"/>
    </row>
    <row r="1152" spans="2:17" x14ac:dyDescent="0.3">
      <c r="B1152" s="126"/>
      <c r="C1152" s="583">
        <v>782</v>
      </c>
      <c r="D1152" s="625" t="e">
        <f t="shared" si="37"/>
        <v>#VALUE!</v>
      </c>
      <c r="E1152" s="591"/>
      <c r="F1152" s="591"/>
      <c r="G1152" s="591"/>
      <c r="H1152" s="591"/>
      <c r="I1152" s="591"/>
      <c r="J1152" s="591"/>
      <c r="K1152" s="542"/>
      <c r="O1152" s="1134"/>
      <c r="Q1152" s="1133"/>
    </row>
    <row r="1153" spans="2:17" x14ac:dyDescent="0.3">
      <c r="B1153" s="126"/>
      <c r="C1153" s="583">
        <v>783</v>
      </c>
      <c r="D1153" s="625" t="e">
        <f t="shared" si="37"/>
        <v>#VALUE!</v>
      </c>
      <c r="E1153" s="591"/>
      <c r="F1153" s="591"/>
      <c r="G1153" s="591"/>
      <c r="H1153" s="591"/>
      <c r="I1153" s="591"/>
      <c r="J1153" s="591"/>
      <c r="K1153" s="542"/>
      <c r="O1153" s="1134"/>
      <c r="Q1153" s="1133"/>
    </row>
    <row r="1154" spans="2:17" x14ac:dyDescent="0.3">
      <c r="B1154" s="126"/>
      <c r="C1154" s="583">
        <v>784</v>
      </c>
      <c r="D1154" s="625" t="e">
        <f t="shared" si="37"/>
        <v>#VALUE!</v>
      </c>
      <c r="E1154" s="591"/>
      <c r="F1154" s="591"/>
      <c r="G1154" s="591"/>
      <c r="H1154" s="591"/>
      <c r="I1154" s="591"/>
      <c r="J1154" s="591"/>
      <c r="K1154" s="542"/>
      <c r="O1154" s="1134"/>
      <c r="Q1154" s="1133"/>
    </row>
    <row r="1155" spans="2:17" x14ac:dyDescent="0.3">
      <c r="B1155" s="126"/>
      <c r="C1155" s="583">
        <v>785</v>
      </c>
      <c r="D1155" s="625" t="e">
        <f t="shared" si="37"/>
        <v>#VALUE!</v>
      </c>
      <c r="E1155" s="591"/>
      <c r="F1155" s="591"/>
      <c r="G1155" s="591"/>
      <c r="H1155" s="591"/>
      <c r="I1155" s="591"/>
      <c r="J1155" s="591"/>
      <c r="K1155" s="542"/>
      <c r="O1155" s="1134"/>
      <c r="Q1155" s="1133"/>
    </row>
    <row r="1156" spans="2:17" x14ac:dyDescent="0.3">
      <c r="B1156" s="126"/>
      <c r="C1156" s="583">
        <v>786</v>
      </c>
      <c r="D1156" s="625" t="e">
        <f t="shared" si="37"/>
        <v>#VALUE!</v>
      </c>
      <c r="E1156" s="591"/>
      <c r="F1156" s="591"/>
      <c r="G1156" s="591"/>
      <c r="H1156" s="591"/>
      <c r="I1156" s="591"/>
      <c r="J1156" s="591"/>
      <c r="K1156" s="542"/>
      <c r="O1156" s="1134"/>
      <c r="Q1156" s="1133"/>
    </row>
    <row r="1157" spans="2:17" x14ac:dyDescent="0.3">
      <c r="B1157" s="126"/>
      <c r="C1157" s="583">
        <v>787</v>
      </c>
      <c r="D1157" s="625" t="e">
        <f t="shared" si="37"/>
        <v>#VALUE!</v>
      </c>
      <c r="E1157" s="591"/>
      <c r="F1157" s="591"/>
      <c r="G1157" s="591"/>
      <c r="H1157" s="591"/>
      <c r="I1157" s="591"/>
      <c r="J1157" s="591"/>
      <c r="K1157" s="542"/>
      <c r="O1157" s="1134"/>
      <c r="Q1157" s="1133"/>
    </row>
    <row r="1158" spans="2:17" x14ac:dyDescent="0.3">
      <c r="B1158" s="126"/>
      <c r="C1158" s="583">
        <v>788</v>
      </c>
      <c r="D1158" s="625" t="e">
        <f t="shared" si="37"/>
        <v>#VALUE!</v>
      </c>
      <c r="E1158" s="591"/>
      <c r="F1158" s="591"/>
      <c r="G1158" s="591"/>
      <c r="H1158" s="591"/>
      <c r="I1158" s="591"/>
      <c r="J1158" s="591"/>
      <c r="K1158" s="542"/>
      <c r="O1158" s="1134"/>
      <c r="Q1158" s="1133"/>
    </row>
    <row r="1159" spans="2:17" x14ac:dyDescent="0.3">
      <c r="B1159" s="126"/>
      <c r="C1159" s="583">
        <v>789</v>
      </c>
      <c r="D1159" s="625" t="e">
        <f t="shared" si="37"/>
        <v>#VALUE!</v>
      </c>
      <c r="E1159" s="591"/>
      <c r="F1159" s="591"/>
      <c r="G1159" s="591"/>
      <c r="H1159" s="591"/>
      <c r="I1159" s="591"/>
      <c r="J1159" s="591"/>
      <c r="K1159" s="542"/>
      <c r="O1159" s="1134"/>
      <c r="Q1159" s="1133"/>
    </row>
    <row r="1160" spans="2:17" x14ac:dyDescent="0.3">
      <c r="B1160" s="126"/>
      <c r="C1160" s="583">
        <v>790</v>
      </c>
      <c r="D1160" s="625" t="e">
        <f t="shared" si="37"/>
        <v>#VALUE!</v>
      </c>
      <c r="E1160" s="591"/>
      <c r="F1160" s="591"/>
      <c r="G1160" s="591"/>
      <c r="H1160" s="591"/>
      <c r="I1160" s="591"/>
      <c r="J1160" s="591"/>
      <c r="K1160" s="542"/>
      <c r="O1160" s="1134"/>
      <c r="Q1160" s="1133"/>
    </row>
    <row r="1161" spans="2:17" x14ac:dyDescent="0.3">
      <c r="B1161" s="126"/>
      <c r="C1161" s="583">
        <v>791</v>
      </c>
      <c r="D1161" s="625" t="e">
        <f t="shared" si="37"/>
        <v>#VALUE!</v>
      </c>
      <c r="E1161" s="591"/>
      <c r="F1161" s="591"/>
      <c r="G1161" s="591"/>
      <c r="H1161" s="591"/>
      <c r="I1161" s="591"/>
      <c r="J1161" s="591"/>
      <c r="K1161" s="542"/>
      <c r="O1161" s="1134"/>
      <c r="Q1161" s="1133"/>
    </row>
    <row r="1162" spans="2:17" x14ac:dyDescent="0.3">
      <c r="B1162" s="126"/>
      <c r="C1162" s="583">
        <v>792</v>
      </c>
      <c r="D1162" s="625" t="e">
        <f t="shared" si="37"/>
        <v>#VALUE!</v>
      </c>
      <c r="E1162" s="591"/>
      <c r="F1162" s="591"/>
      <c r="G1162" s="591"/>
      <c r="H1162" s="591"/>
      <c r="I1162" s="591"/>
      <c r="J1162" s="591"/>
      <c r="K1162" s="542"/>
      <c r="O1162" s="1134"/>
      <c r="Q1162" s="1133"/>
    </row>
    <row r="1163" spans="2:17" x14ac:dyDescent="0.3">
      <c r="B1163" s="126"/>
      <c r="C1163" s="583">
        <v>793</v>
      </c>
      <c r="D1163" s="625" t="e">
        <f t="shared" si="37"/>
        <v>#VALUE!</v>
      </c>
      <c r="E1163" s="591"/>
      <c r="F1163" s="591"/>
      <c r="G1163" s="591"/>
      <c r="H1163" s="591"/>
      <c r="I1163" s="591"/>
      <c r="J1163" s="591"/>
      <c r="K1163" s="542"/>
      <c r="O1163" s="1134"/>
      <c r="Q1163" s="1133"/>
    </row>
    <row r="1164" spans="2:17" x14ac:dyDescent="0.3">
      <c r="B1164" s="126"/>
      <c r="C1164" s="583">
        <v>794</v>
      </c>
      <c r="D1164" s="625" t="e">
        <f t="shared" si="37"/>
        <v>#VALUE!</v>
      </c>
      <c r="E1164" s="591"/>
      <c r="F1164" s="591"/>
      <c r="G1164" s="591"/>
      <c r="H1164" s="591"/>
      <c r="I1164" s="591"/>
      <c r="J1164" s="591"/>
      <c r="K1164" s="542"/>
      <c r="O1164" s="1134"/>
      <c r="Q1164" s="1133"/>
    </row>
    <row r="1165" spans="2:17" x14ac:dyDescent="0.3">
      <c r="B1165" s="126"/>
      <c r="C1165" s="583">
        <v>795</v>
      </c>
      <c r="D1165" s="625" t="e">
        <f t="shared" si="37"/>
        <v>#VALUE!</v>
      </c>
      <c r="E1165" s="591"/>
      <c r="F1165" s="591"/>
      <c r="G1165" s="591"/>
      <c r="H1165" s="591"/>
      <c r="I1165" s="591"/>
      <c r="J1165" s="591"/>
      <c r="K1165" s="542"/>
      <c r="O1165" s="1134"/>
      <c r="Q1165" s="1133"/>
    </row>
    <row r="1166" spans="2:17" x14ac:dyDescent="0.3">
      <c r="B1166" s="126"/>
      <c r="C1166" s="583">
        <v>796</v>
      </c>
      <c r="D1166" s="625" t="e">
        <f t="shared" si="37"/>
        <v>#VALUE!</v>
      </c>
      <c r="E1166" s="591"/>
      <c r="F1166" s="591"/>
      <c r="G1166" s="591"/>
      <c r="H1166" s="591"/>
      <c r="I1166" s="591"/>
      <c r="J1166" s="591"/>
      <c r="K1166" s="542"/>
      <c r="O1166" s="1134"/>
      <c r="Q1166" s="1133"/>
    </row>
    <row r="1167" spans="2:17" x14ac:dyDescent="0.3">
      <c r="B1167" s="126"/>
      <c r="C1167" s="583">
        <v>797</v>
      </c>
      <c r="D1167" s="625" t="e">
        <f t="shared" si="37"/>
        <v>#VALUE!</v>
      </c>
      <c r="E1167" s="591"/>
      <c r="F1167" s="591"/>
      <c r="G1167" s="591"/>
      <c r="H1167" s="591"/>
      <c r="I1167" s="591"/>
      <c r="J1167" s="591"/>
      <c r="K1167" s="542"/>
      <c r="O1167" s="1134"/>
      <c r="Q1167" s="1133"/>
    </row>
    <row r="1168" spans="2:17" x14ac:dyDescent="0.3">
      <c r="B1168" s="126"/>
      <c r="C1168" s="583">
        <v>798</v>
      </c>
      <c r="D1168" s="625" t="e">
        <f t="shared" si="37"/>
        <v>#VALUE!</v>
      </c>
      <c r="E1168" s="591"/>
      <c r="F1168" s="591"/>
      <c r="G1168" s="591"/>
      <c r="H1168" s="591"/>
      <c r="I1168" s="591"/>
      <c r="J1168" s="591"/>
      <c r="K1168" s="542"/>
      <c r="O1168" s="1134"/>
      <c r="Q1168" s="1133"/>
    </row>
    <row r="1169" spans="2:17" x14ac:dyDescent="0.3">
      <c r="B1169" s="126"/>
      <c r="C1169" s="583">
        <v>799</v>
      </c>
      <c r="D1169" s="625" t="e">
        <f t="shared" si="37"/>
        <v>#VALUE!</v>
      </c>
      <c r="E1169" s="591"/>
      <c r="F1169" s="591"/>
      <c r="G1169" s="591"/>
      <c r="H1169" s="591"/>
      <c r="I1169" s="591"/>
      <c r="J1169" s="591"/>
      <c r="K1169" s="542"/>
      <c r="O1169" s="1134"/>
      <c r="Q1169" s="1133"/>
    </row>
    <row r="1170" spans="2:17" x14ac:dyDescent="0.3">
      <c r="B1170" s="126"/>
      <c r="C1170" s="583">
        <v>800</v>
      </c>
      <c r="D1170" s="625" t="e">
        <f t="shared" si="37"/>
        <v>#VALUE!</v>
      </c>
      <c r="E1170" s="591"/>
      <c r="F1170" s="591"/>
      <c r="G1170" s="591"/>
      <c r="H1170" s="591"/>
      <c r="I1170" s="591"/>
      <c r="J1170" s="591"/>
      <c r="K1170" s="542"/>
      <c r="O1170" s="1134"/>
      <c r="Q1170" s="1133"/>
    </row>
    <row r="1171" spans="2:17" x14ac:dyDescent="0.3">
      <c r="B1171" s="126"/>
      <c r="C1171" s="583">
        <v>801</v>
      </c>
      <c r="D1171" s="625" t="e">
        <f t="shared" si="37"/>
        <v>#VALUE!</v>
      </c>
      <c r="E1171" s="591"/>
      <c r="F1171" s="591"/>
      <c r="G1171" s="591"/>
      <c r="H1171" s="591"/>
      <c r="I1171" s="591"/>
      <c r="J1171" s="591"/>
      <c r="K1171" s="542"/>
      <c r="O1171" s="1134"/>
      <c r="Q1171" s="1133"/>
    </row>
    <row r="1172" spans="2:17" x14ac:dyDescent="0.3">
      <c r="B1172" s="126"/>
      <c r="C1172" s="583">
        <v>802</v>
      </c>
      <c r="D1172" s="625" t="e">
        <f t="shared" si="37"/>
        <v>#VALUE!</v>
      </c>
      <c r="E1172" s="591"/>
      <c r="F1172" s="591"/>
      <c r="G1172" s="591"/>
      <c r="H1172" s="591"/>
      <c r="I1172" s="591"/>
      <c r="J1172" s="591"/>
      <c r="K1172" s="542"/>
      <c r="O1172" s="1134"/>
      <c r="Q1172" s="1133"/>
    </row>
    <row r="1173" spans="2:17" x14ac:dyDescent="0.3">
      <c r="B1173" s="126"/>
      <c r="C1173" s="583">
        <v>803</v>
      </c>
      <c r="D1173" s="625" t="e">
        <f t="shared" si="37"/>
        <v>#VALUE!</v>
      </c>
      <c r="E1173" s="591"/>
      <c r="F1173" s="591"/>
      <c r="G1173" s="591"/>
      <c r="H1173" s="591"/>
      <c r="I1173" s="591"/>
      <c r="J1173" s="591"/>
      <c r="K1173" s="542"/>
      <c r="O1173" s="1134"/>
      <c r="Q1173" s="1133"/>
    </row>
    <row r="1174" spans="2:17" x14ac:dyDescent="0.3">
      <c r="B1174" s="126"/>
      <c r="C1174" s="583">
        <v>804</v>
      </c>
      <c r="D1174" s="625" t="e">
        <f t="shared" si="37"/>
        <v>#VALUE!</v>
      </c>
      <c r="E1174" s="591"/>
      <c r="F1174" s="591"/>
      <c r="G1174" s="591"/>
      <c r="H1174" s="591"/>
      <c r="I1174" s="591"/>
      <c r="J1174" s="591"/>
      <c r="K1174" s="542"/>
      <c r="O1174" s="1134"/>
      <c r="Q1174" s="1133"/>
    </row>
    <row r="1175" spans="2:17" x14ac:dyDescent="0.3">
      <c r="B1175" s="126"/>
      <c r="C1175" s="583">
        <v>805</v>
      </c>
      <c r="D1175" s="625" t="e">
        <f t="shared" si="37"/>
        <v>#VALUE!</v>
      </c>
      <c r="E1175" s="591"/>
      <c r="F1175" s="591"/>
      <c r="G1175" s="591"/>
      <c r="H1175" s="591"/>
      <c r="I1175" s="591"/>
      <c r="J1175" s="591"/>
      <c r="K1175" s="542"/>
      <c r="O1175" s="1134"/>
      <c r="Q1175" s="1133"/>
    </row>
    <row r="1176" spans="2:17" x14ac:dyDescent="0.3">
      <c r="B1176" s="126"/>
      <c r="C1176" s="583">
        <v>806</v>
      </c>
      <c r="D1176" s="625" t="e">
        <f t="shared" si="37"/>
        <v>#VALUE!</v>
      </c>
      <c r="E1176" s="591"/>
      <c r="F1176" s="591"/>
      <c r="G1176" s="591"/>
      <c r="H1176" s="591"/>
      <c r="I1176" s="591"/>
      <c r="J1176" s="591"/>
      <c r="K1176" s="542"/>
      <c r="O1176" s="1134"/>
      <c r="Q1176" s="1133"/>
    </row>
    <row r="1177" spans="2:17" x14ac:dyDescent="0.3">
      <c r="B1177" s="126"/>
      <c r="C1177" s="583">
        <v>807</v>
      </c>
      <c r="D1177" s="625" t="e">
        <f t="shared" si="37"/>
        <v>#VALUE!</v>
      </c>
      <c r="E1177" s="591"/>
      <c r="F1177" s="591"/>
      <c r="G1177" s="591"/>
      <c r="H1177" s="591"/>
      <c r="I1177" s="591"/>
      <c r="J1177" s="591"/>
      <c r="K1177" s="542"/>
      <c r="O1177" s="1134"/>
      <c r="Q1177" s="1133"/>
    </row>
    <row r="1178" spans="2:17" x14ac:dyDescent="0.3">
      <c r="B1178" s="126"/>
      <c r="C1178" s="583">
        <v>808</v>
      </c>
      <c r="D1178" s="625" t="e">
        <f t="shared" si="37"/>
        <v>#VALUE!</v>
      </c>
      <c r="E1178" s="591"/>
      <c r="F1178" s="591"/>
      <c r="G1178" s="591"/>
      <c r="H1178" s="591"/>
      <c r="I1178" s="591"/>
      <c r="J1178" s="591"/>
      <c r="K1178" s="542"/>
      <c r="O1178" s="1134"/>
      <c r="Q1178" s="1133"/>
    </row>
    <row r="1179" spans="2:17" x14ac:dyDescent="0.3">
      <c r="B1179" s="126"/>
      <c r="C1179" s="583">
        <v>809</v>
      </c>
      <c r="D1179" s="625" t="e">
        <f t="shared" si="37"/>
        <v>#VALUE!</v>
      </c>
      <c r="E1179" s="591"/>
      <c r="F1179" s="591"/>
      <c r="G1179" s="591"/>
      <c r="H1179" s="591"/>
      <c r="I1179" s="591"/>
      <c r="J1179" s="591"/>
      <c r="K1179" s="542"/>
      <c r="O1179" s="1134"/>
      <c r="Q1179" s="1133"/>
    </row>
    <row r="1180" spans="2:17" x14ac:dyDescent="0.3">
      <c r="B1180" s="126"/>
      <c r="C1180" s="583">
        <v>810</v>
      </c>
      <c r="D1180" s="625" t="e">
        <f t="shared" si="37"/>
        <v>#VALUE!</v>
      </c>
      <c r="E1180" s="591"/>
      <c r="F1180" s="591"/>
      <c r="G1180" s="591"/>
      <c r="H1180" s="591"/>
      <c r="I1180" s="591"/>
      <c r="J1180" s="591"/>
      <c r="K1180" s="542"/>
      <c r="O1180" s="1134"/>
      <c r="Q1180" s="1133"/>
    </row>
    <row r="1181" spans="2:17" x14ac:dyDescent="0.3">
      <c r="B1181" s="126"/>
      <c r="C1181" s="583">
        <v>811</v>
      </c>
      <c r="D1181" s="625" t="e">
        <f t="shared" si="37"/>
        <v>#VALUE!</v>
      </c>
      <c r="E1181" s="591"/>
      <c r="F1181" s="591"/>
      <c r="G1181" s="591"/>
      <c r="H1181" s="591"/>
      <c r="I1181" s="591"/>
      <c r="J1181" s="591"/>
      <c r="K1181" s="542"/>
      <c r="O1181" s="1134"/>
      <c r="Q1181" s="1133"/>
    </row>
    <row r="1182" spans="2:17" x14ac:dyDescent="0.3">
      <c r="B1182" s="126"/>
      <c r="C1182" s="583">
        <v>812</v>
      </c>
      <c r="D1182" s="625" t="e">
        <f t="shared" si="37"/>
        <v>#VALUE!</v>
      </c>
      <c r="E1182" s="591"/>
      <c r="F1182" s="591"/>
      <c r="G1182" s="591"/>
      <c r="H1182" s="591"/>
      <c r="I1182" s="591"/>
      <c r="J1182" s="591"/>
      <c r="K1182" s="542"/>
      <c r="O1182" s="1134"/>
      <c r="Q1182" s="1133"/>
    </row>
    <row r="1183" spans="2:17" x14ac:dyDescent="0.3">
      <c r="B1183" s="126"/>
      <c r="C1183" s="583">
        <v>813</v>
      </c>
      <c r="D1183" s="625" t="e">
        <f t="shared" si="37"/>
        <v>#VALUE!</v>
      </c>
      <c r="E1183" s="591"/>
      <c r="F1183" s="591"/>
      <c r="G1183" s="591"/>
      <c r="H1183" s="591"/>
      <c r="I1183" s="591"/>
      <c r="J1183" s="591"/>
      <c r="K1183" s="542"/>
      <c r="O1183" s="1134"/>
      <c r="Q1183" s="1133"/>
    </row>
    <row r="1184" spans="2:17" x14ac:dyDescent="0.3">
      <c r="B1184" s="126"/>
      <c r="C1184" s="583">
        <v>814</v>
      </c>
      <c r="D1184" s="625" t="e">
        <f t="shared" si="37"/>
        <v>#VALUE!</v>
      </c>
      <c r="E1184" s="591"/>
      <c r="F1184" s="591"/>
      <c r="G1184" s="591"/>
      <c r="H1184" s="591"/>
      <c r="I1184" s="591"/>
      <c r="J1184" s="591"/>
      <c r="K1184" s="542"/>
      <c r="O1184" s="1134"/>
      <c r="Q1184" s="1133"/>
    </row>
    <row r="1185" spans="2:17" x14ac:dyDescent="0.3">
      <c r="B1185" s="126"/>
      <c r="C1185" s="583">
        <v>815</v>
      </c>
      <c r="D1185" s="625" t="e">
        <f t="shared" si="37"/>
        <v>#VALUE!</v>
      </c>
      <c r="E1185" s="591"/>
      <c r="F1185" s="591"/>
      <c r="G1185" s="591"/>
      <c r="H1185" s="591"/>
      <c r="I1185" s="591"/>
      <c r="J1185" s="591"/>
      <c r="K1185" s="542"/>
      <c r="O1185" s="1134"/>
      <c r="Q1185" s="1133"/>
    </row>
    <row r="1186" spans="2:17" x14ac:dyDescent="0.3">
      <c r="B1186" s="126"/>
      <c r="C1186" s="583">
        <v>816</v>
      </c>
      <c r="D1186" s="625" t="e">
        <f t="shared" si="37"/>
        <v>#VALUE!</v>
      </c>
      <c r="E1186" s="591"/>
      <c r="F1186" s="591"/>
      <c r="G1186" s="591"/>
      <c r="H1186" s="591"/>
      <c r="I1186" s="591"/>
      <c r="J1186" s="591"/>
      <c r="K1186" s="542"/>
      <c r="O1186" s="1134"/>
      <c r="Q1186" s="1133"/>
    </row>
    <row r="1187" spans="2:17" x14ac:dyDescent="0.3">
      <c r="B1187" s="126"/>
      <c r="C1187" s="583">
        <v>817</v>
      </c>
      <c r="D1187" s="625" t="e">
        <f t="shared" si="37"/>
        <v>#VALUE!</v>
      </c>
      <c r="E1187" s="591"/>
      <c r="F1187" s="591"/>
      <c r="G1187" s="591"/>
      <c r="H1187" s="591"/>
      <c r="I1187" s="591"/>
      <c r="J1187" s="591"/>
      <c r="K1187" s="542"/>
      <c r="O1187" s="1134"/>
      <c r="Q1187" s="1133"/>
    </row>
    <row r="1188" spans="2:17" x14ac:dyDescent="0.3">
      <c r="B1188" s="126"/>
      <c r="C1188" s="583">
        <v>818</v>
      </c>
      <c r="D1188" s="625" t="e">
        <f t="shared" si="37"/>
        <v>#VALUE!</v>
      </c>
      <c r="E1188" s="591"/>
      <c r="F1188" s="591"/>
      <c r="G1188" s="591"/>
      <c r="H1188" s="591"/>
      <c r="I1188" s="591"/>
      <c r="J1188" s="591"/>
      <c r="K1188" s="542"/>
      <c r="O1188" s="1134"/>
      <c r="Q1188" s="1133"/>
    </row>
    <row r="1189" spans="2:17" x14ac:dyDescent="0.3">
      <c r="B1189" s="126"/>
      <c r="C1189" s="583">
        <v>819</v>
      </c>
      <c r="D1189" s="625" t="e">
        <f t="shared" si="37"/>
        <v>#VALUE!</v>
      </c>
      <c r="E1189" s="591"/>
      <c r="F1189" s="591"/>
      <c r="G1189" s="591"/>
      <c r="H1189" s="591"/>
      <c r="I1189" s="591"/>
      <c r="J1189" s="591"/>
      <c r="K1189" s="542"/>
      <c r="O1189" s="1134"/>
      <c r="Q1189" s="1133"/>
    </row>
    <row r="1190" spans="2:17" x14ac:dyDescent="0.3">
      <c r="B1190" s="126"/>
      <c r="C1190" s="583">
        <v>820</v>
      </c>
      <c r="D1190" s="625" t="e">
        <f t="shared" si="37"/>
        <v>#VALUE!</v>
      </c>
      <c r="E1190" s="591"/>
      <c r="F1190" s="591"/>
      <c r="G1190" s="591"/>
      <c r="H1190" s="591"/>
      <c r="I1190" s="591"/>
      <c r="J1190" s="591"/>
      <c r="K1190" s="542"/>
      <c r="O1190" s="1134"/>
      <c r="Q1190" s="1133"/>
    </row>
    <row r="1191" spans="2:17" x14ac:dyDescent="0.3">
      <c r="B1191" s="126"/>
      <c r="C1191" s="583">
        <v>821</v>
      </c>
      <c r="D1191" s="625" t="e">
        <f t="shared" si="37"/>
        <v>#VALUE!</v>
      </c>
      <c r="E1191" s="591"/>
      <c r="F1191" s="591"/>
      <c r="G1191" s="591"/>
      <c r="H1191" s="591"/>
      <c r="I1191" s="591"/>
      <c r="J1191" s="591"/>
      <c r="K1191" s="542"/>
      <c r="O1191" s="1134"/>
      <c r="Q1191" s="1133"/>
    </row>
    <row r="1192" spans="2:17" x14ac:dyDescent="0.3">
      <c r="B1192" s="126"/>
      <c r="C1192" s="583">
        <v>822</v>
      </c>
      <c r="D1192" s="625" t="e">
        <f t="shared" si="37"/>
        <v>#VALUE!</v>
      </c>
      <c r="E1192" s="591"/>
      <c r="F1192" s="591"/>
      <c r="G1192" s="591"/>
      <c r="H1192" s="591"/>
      <c r="I1192" s="591"/>
      <c r="J1192" s="591"/>
      <c r="K1192" s="542"/>
      <c r="O1192" s="1134"/>
      <c r="Q1192" s="1133"/>
    </row>
    <row r="1193" spans="2:17" x14ac:dyDescent="0.3">
      <c r="B1193" s="126"/>
      <c r="C1193" s="583">
        <v>823</v>
      </c>
      <c r="D1193" s="625" t="e">
        <f t="shared" si="37"/>
        <v>#VALUE!</v>
      </c>
      <c r="E1193" s="591"/>
      <c r="F1193" s="591"/>
      <c r="G1193" s="591"/>
      <c r="H1193" s="591"/>
      <c r="I1193" s="591"/>
      <c r="J1193" s="591"/>
      <c r="K1193" s="542"/>
      <c r="O1193" s="1134"/>
      <c r="Q1193" s="1133"/>
    </row>
    <row r="1194" spans="2:17" x14ac:dyDescent="0.3">
      <c r="B1194" s="126"/>
      <c r="C1194" s="583">
        <v>824</v>
      </c>
      <c r="D1194" s="625" t="e">
        <f t="shared" si="37"/>
        <v>#VALUE!</v>
      </c>
      <c r="E1194" s="591"/>
      <c r="F1194" s="591"/>
      <c r="G1194" s="591"/>
      <c r="H1194" s="591"/>
      <c r="I1194" s="591"/>
      <c r="J1194" s="591"/>
      <c r="K1194" s="542"/>
      <c r="O1194" s="1134"/>
      <c r="Q1194" s="1133"/>
    </row>
    <row r="1195" spans="2:17" x14ac:dyDescent="0.3">
      <c r="B1195" s="126"/>
      <c r="C1195" s="583">
        <v>825</v>
      </c>
      <c r="D1195" s="625" t="e">
        <f t="shared" si="37"/>
        <v>#VALUE!</v>
      </c>
      <c r="E1195" s="591"/>
      <c r="F1195" s="591"/>
      <c r="G1195" s="591"/>
      <c r="H1195" s="591"/>
      <c r="I1195" s="591"/>
      <c r="J1195" s="591"/>
      <c r="K1195" s="542"/>
      <c r="O1195" s="1134"/>
      <c r="Q1195" s="1133"/>
    </row>
    <row r="1196" spans="2:17" x14ac:dyDescent="0.3">
      <c r="B1196" s="126"/>
      <c r="C1196" s="583">
        <v>826</v>
      </c>
      <c r="D1196" s="625" t="e">
        <f t="shared" si="37"/>
        <v>#VALUE!</v>
      </c>
      <c r="E1196" s="591"/>
      <c r="F1196" s="591"/>
      <c r="G1196" s="591"/>
      <c r="H1196" s="591"/>
      <c r="I1196" s="591"/>
      <c r="J1196" s="591"/>
      <c r="K1196" s="542"/>
      <c r="O1196" s="1134"/>
      <c r="Q1196" s="1133"/>
    </row>
    <row r="1197" spans="2:17" x14ac:dyDescent="0.3">
      <c r="B1197" s="126"/>
      <c r="C1197" s="583">
        <v>827</v>
      </c>
      <c r="D1197" s="625" t="e">
        <f t="shared" si="37"/>
        <v>#VALUE!</v>
      </c>
      <c r="E1197" s="591"/>
      <c r="F1197" s="591"/>
      <c r="G1197" s="591"/>
      <c r="H1197" s="591"/>
      <c r="I1197" s="591"/>
      <c r="J1197" s="591"/>
      <c r="K1197" s="542"/>
      <c r="O1197" s="1134"/>
      <c r="Q1197" s="1133"/>
    </row>
    <row r="1198" spans="2:17" x14ac:dyDescent="0.3">
      <c r="B1198" s="126"/>
      <c r="C1198" s="583">
        <v>828</v>
      </c>
      <c r="D1198" s="625" t="e">
        <f t="shared" si="37"/>
        <v>#VALUE!</v>
      </c>
      <c r="E1198" s="591"/>
      <c r="F1198" s="591"/>
      <c r="G1198" s="591"/>
      <c r="H1198" s="591"/>
      <c r="I1198" s="591"/>
      <c r="J1198" s="591"/>
      <c r="K1198" s="542"/>
      <c r="O1198" s="1134"/>
      <c r="Q1198" s="1133"/>
    </row>
    <row r="1199" spans="2:17" x14ac:dyDescent="0.3">
      <c r="B1199" s="126"/>
      <c r="C1199" s="583">
        <v>829</v>
      </c>
      <c r="D1199" s="625" t="e">
        <f t="shared" si="37"/>
        <v>#VALUE!</v>
      </c>
      <c r="E1199" s="591"/>
      <c r="F1199" s="591"/>
      <c r="G1199" s="591"/>
      <c r="H1199" s="591"/>
      <c r="I1199" s="591"/>
      <c r="J1199" s="591"/>
      <c r="K1199" s="542"/>
      <c r="O1199" s="1134"/>
      <c r="Q1199" s="1133"/>
    </row>
    <row r="1200" spans="2:17" x14ac:dyDescent="0.3">
      <c r="B1200" s="126"/>
      <c r="C1200" s="583">
        <v>830</v>
      </c>
      <c r="D1200" s="625" t="e">
        <f t="shared" si="37"/>
        <v>#VALUE!</v>
      </c>
      <c r="E1200" s="591"/>
      <c r="F1200" s="591"/>
      <c r="G1200" s="591"/>
      <c r="H1200" s="591"/>
      <c r="I1200" s="591"/>
      <c r="J1200" s="591"/>
      <c r="K1200" s="542"/>
      <c r="O1200" s="1134"/>
      <c r="Q1200" s="1133"/>
    </row>
    <row r="1201" spans="2:17" x14ac:dyDescent="0.3">
      <c r="B1201" s="126"/>
      <c r="C1201" s="583">
        <v>831</v>
      </c>
      <c r="D1201" s="625" t="e">
        <f t="shared" si="37"/>
        <v>#VALUE!</v>
      </c>
      <c r="E1201" s="591"/>
      <c r="F1201" s="591"/>
      <c r="G1201" s="591"/>
      <c r="H1201" s="591"/>
      <c r="I1201" s="591"/>
      <c r="J1201" s="591"/>
      <c r="K1201" s="542"/>
      <c r="O1201" s="1134"/>
      <c r="Q1201" s="1133"/>
    </row>
    <row r="1202" spans="2:17" x14ac:dyDescent="0.3">
      <c r="B1202" s="126"/>
      <c r="C1202" s="583">
        <v>832</v>
      </c>
      <c r="D1202" s="625" t="e">
        <f t="shared" ref="D1202:D1265" si="38">$C$349*C1202</f>
        <v>#VALUE!</v>
      </c>
      <c r="E1202" s="591"/>
      <c r="F1202" s="591"/>
      <c r="G1202" s="591"/>
      <c r="H1202" s="591"/>
      <c r="I1202" s="591"/>
      <c r="J1202" s="591"/>
      <c r="K1202" s="542"/>
      <c r="O1202" s="1134"/>
      <c r="Q1202" s="1133"/>
    </row>
    <row r="1203" spans="2:17" x14ac:dyDescent="0.3">
      <c r="B1203" s="126"/>
      <c r="C1203" s="583">
        <v>833</v>
      </c>
      <c r="D1203" s="625" t="e">
        <f t="shared" si="38"/>
        <v>#VALUE!</v>
      </c>
      <c r="E1203" s="591"/>
      <c r="F1203" s="591"/>
      <c r="G1203" s="591"/>
      <c r="H1203" s="591"/>
      <c r="I1203" s="591"/>
      <c r="J1203" s="591"/>
      <c r="K1203" s="542"/>
      <c r="O1203" s="1134"/>
      <c r="Q1203" s="1133"/>
    </row>
    <row r="1204" spans="2:17" x14ac:dyDescent="0.3">
      <c r="B1204" s="126"/>
      <c r="C1204" s="583">
        <v>834</v>
      </c>
      <c r="D1204" s="625" t="e">
        <f t="shared" si="38"/>
        <v>#VALUE!</v>
      </c>
      <c r="E1204" s="591"/>
      <c r="F1204" s="591"/>
      <c r="G1204" s="591"/>
      <c r="H1204" s="591"/>
      <c r="I1204" s="591"/>
      <c r="J1204" s="591"/>
      <c r="K1204" s="542"/>
      <c r="O1204" s="1134"/>
      <c r="Q1204" s="1133"/>
    </row>
    <row r="1205" spans="2:17" x14ac:dyDescent="0.3">
      <c r="B1205" s="126"/>
      <c r="C1205" s="583">
        <v>835</v>
      </c>
      <c r="D1205" s="625" t="e">
        <f t="shared" si="38"/>
        <v>#VALUE!</v>
      </c>
      <c r="E1205" s="591"/>
      <c r="F1205" s="591"/>
      <c r="G1205" s="591"/>
      <c r="H1205" s="591"/>
      <c r="I1205" s="591"/>
      <c r="J1205" s="591"/>
      <c r="K1205" s="542"/>
      <c r="O1205" s="1134"/>
      <c r="Q1205" s="1133"/>
    </row>
    <row r="1206" spans="2:17" x14ac:dyDescent="0.3">
      <c r="B1206" s="126"/>
      <c r="C1206" s="583">
        <v>836</v>
      </c>
      <c r="D1206" s="625" t="e">
        <f t="shared" si="38"/>
        <v>#VALUE!</v>
      </c>
      <c r="E1206" s="591"/>
      <c r="F1206" s="591"/>
      <c r="G1206" s="591"/>
      <c r="H1206" s="591"/>
      <c r="I1206" s="591"/>
      <c r="J1206" s="591"/>
      <c r="K1206" s="542"/>
      <c r="O1206" s="1134"/>
      <c r="Q1206" s="1133"/>
    </row>
    <row r="1207" spans="2:17" x14ac:dyDescent="0.3">
      <c r="B1207" s="126"/>
      <c r="C1207" s="583">
        <v>837</v>
      </c>
      <c r="D1207" s="625" t="e">
        <f t="shared" si="38"/>
        <v>#VALUE!</v>
      </c>
      <c r="E1207" s="591"/>
      <c r="F1207" s="591"/>
      <c r="G1207" s="591"/>
      <c r="H1207" s="591"/>
      <c r="I1207" s="591"/>
      <c r="J1207" s="591"/>
      <c r="K1207" s="542"/>
      <c r="O1207" s="1134"/>
      <c r="Q1207" s="1133"/>
    </row>
    <row r="1208" spans="2:17" x14ac:dyDescent="0.3">
      <c r="B1208" s="126"/>
      <c r="C1208" s="583">
        <v>838</v>
      </c>
      <c r="D1208" s="625" t="e">
        <f t="shared" si="38"/>
        <v>#VALUE!</v>
      </c>
      <c r="E1208" s="591"/>
      <c r="F1208" s="591"/>
      <c r="G1208" s="591"/>
      <c r="H1208" s="591"/>
      <c r="I1208" s="591"/>
      <c r="J1208" s="591"/>
      <c r="K1208" s="542"/>
      <c r="O1208" s="1134"/>
      <c r="Q1208" s="1133"/>
    </row>
    <row r="1209" spans="2:17" x14ac:dyDescent="0.3">
      <c r="B1209" s="126"/>
      <c r="C1209" s="583">
        <v>839</v>
      </c>
      <c r="D1209" s="625" t="e">
        <f t="shared" si="38"/>
        <v>#VALUE!</v>
      </c>
      <c r="E1209" s="591"/>
      <c r="F1209" s="591"/>
      <c r="G1209" s="591"/>
      <c r="H1209" s="591"/>
      <c r="I1209" s="591"/>
      <c r="J1209" s="591"/>
      <c r="K1209" s="542"/>
      <c r="O1209" s="1134"/>
      <c r="Q1209" s="1133"/>
    </row>
    <row r="1210" spans="2:17" x14ac:dyDescent="0.3">
      <c r="B1210" s="126"/>
      <c r="C1210" s="583">
        <v>840</v>
      </c>
      <c r="D1210" s="625" t="e">
        <f t="shared" si="38"/>
        <v>#VALUE!</v>
      </c>
      <c r="E1210" s="591"/>
      <c r="F1210" s="591"/>
      <c r="G1210" s="591"/>
      <c r="H1210" s="591"/>
      <c r="I1210" s="591"/>
      <c r="J1210" s="591"/>
      <c r="K1210" s="542"/>
      <c r="O1210" s="1134"/>
      <c r="Q1210" s="1133"/>
    </row>
    <row r="1211" spans="2:17" x14ac:dyDescent="0.3">
      <c r="B1211" s="126"/>
      <c r="C1211" s="583">
        <v>841</v>
      </c>
      <c r="D1211" s="625" t="e">
        <f t="shared" si="38"/>
        <v>#VALUE!</v>
      </c>
      <c r="E1211" s="591"/>
      <c r="F1211" s="591"/>
      <c r="G1211" s="591"/>
      <c r="H1211" s="591"/>
      <c r="I1211" s="591"/>
      <c r="J1211" s="591"/>
      <c r="K1211" s="542"/>
      <c r="O1211" s="1134"/>
      <c r="Q1211" s="1133"/>
    </row>
    <row r="1212" spans="2:17" x14ac:dyDescent="0.3">
      <c r="B1212" s="126"/>
      <c r="C1212" s="583">
        <v>842</v>
      </c>
      <c r="D1212" s="625" t="e">
        <f t="shared" si="38"/>
        <v>#VALUE!</v>
      </c>
      <c r="E1212" s="591"/>
      <c r="F1212" s="591"/>
      <c r="G1212" s="591"/>
      <c r="H1212" s="591"/>
      <c r="I1212" s="591"/>
      <c r="J1212" s="591"/>
      <c r="K1212" s="542"/>
      <c r="O1212" s="1134"/>
      <c r="Q1212" s="1133"/>
    </row>
    <row r="1213" spans="2:17" x14ac:dyDescent="0.3">
      <c r="B1213" s="126"/>
      <c r="C1213" s="583">
        <v>843</v>
      </c>
      <c r="D1213" s="625" t="e">
        <f t="shared" si="38"/>
        <v>#VALUE!</v>
      </c>
      <c r="E1213" s="591"/>
      <c r="F1213" s="591"/>
      <c r="G1213" s="591"/>
      <c r="H1213" s="591"/>
      <c r="I1213" s="591"/>
      <c r="J1213" s="591"/>
      <c r="K1213" s="542"/>
      <c r="O1213" s="1134"/>
      <c r="Q1213" s="1133"/>
    </row>
    <row r="1214" spans="2:17" x14ac:dyDescent="0.3">
      <c r="B1214" s="126"/>
      <c r="C1214" s="583">
        <v>844</v>
      </c>
      <c r="D1214" s="625" t="e">
        <f t="shared" si="38"/>
        <v>#VALUE!</v>
      </c>
      <c r="E1214" s="591"/>
      <c r="F1214" s="591"/>
      <c r="G1214" s="591"/>
      <c r="H1214" s="591"/>
      <c r="I1214" s="591"/>
      <c r="J1214" s="591"/>
      <c r="K1214" s="542"/>
      <c r="O1214" s="1134"/>
      <c r="Q1214" s="1133"/>
    </row>
    <row r="1215" spans="2:17" x14ac:dyDescent="0.3">
      <c r="B1215" s="126"/>
      <c r="C1215" s="583">
        <v>845</v>
      </c>
      <c r="D1215" s="625" t="e">
        <f t="shared" si="38"/>
        <v>#VALUE!</v>
      </c>
      <c r="E1215" s="591"/>
      <c r="F1215" s="591"/>
      <c r="G1215" s="591"/>
      <c r="H1215" s="591"/>
      <c r="I1215" s="591"/>
      <c r="J1215" s="591"/>
      <c r="K1215" s="542"/>
      <c r="O1215" s="1134"/>
      <c r="Q1215" s="1133"/>
    </row>
    <row r="1216" spans="2:17" x14ac:dyDescent="0.3">
      <c r="B1216" s="126"/>
      <c r="C1216" s="583">
        <v>846</v>
      </c>
      <c r="D1216" s="625" t="e">
        <f t="shared" si="38"/>
        <v>#VALUE!</v>
      </c>
      <c r="E1216" s="591"/>
      <c r="F1216" s="591"/>
      <c r="G1216" s="591"/>
      <c r="H1216" s="591"/>
      <c r="I1216" s="591"/>
      <c r="J1216" s="591"/>
      <c r="K1216" s="542"/>
      <c r="O1216" s="1134"/>
      <c r="Q1216" s="1133"/>
    </row>
    <row r="1217" spans="2:17" x14ac:dyDescent="0.3">
      <c r="B1217" s="126"/>
      <c r="C1217" s="583">
        <v>847</v>
      </c>
      <c r="D1217" s="625" t="e">
        <f t="shared" si="38"/>
        <v>#VALUE!</v>
      </c>
      <c r="E1217" s="591"/>
      <c r="F1217" s="591"/>
      <c r="G1217" s="591"/>
      <c r="H1217" s="591"/>
      <c r="I1217" s="591"/>
      <c r="J1217" s="591"/>
      <c r="K1217" s="542"/>
      <c r="O1217" s="1134"/>
      <c r="Q1217" s="1133"/>
    </row>
    <row r="1218" spans="2:17" x14ac:dyDescent="0.3">
      <c r="B1218" s="126"/>
      <c r="C1218" s="583">
        <v>848</v>
      </c>
      <c r="D1218" s="625" t="e">
        <f t="shared" si="38"/>
        <v>#VALUE!</v>
      </c>
      <c r="E1218" s="591"/>
      <c r="F1218" s="591"/>
      <c r="G1218" s="591"/>
      <c r="H1218" s="591"/>
      <c r="I1218" s="591"/>
      <c r="J1218" s="591"/>
      <c r="K1218" s="542"/>
      <c r="O1218" s="1134"/>
      <c r="Q1218" s="1133"/>
    </row>
    <row r="1219" spans="2:17" x14ac:dyDescent="0.3">
      <c r="B1219" s="126"/>
      <c r="C1219" s="583">
        <v>849</v>
      </c>
      <c r="D1219" s="625" t="e">
        <f t="shared" si="38"/>
        <v>#VALUE!</v>
      </c>
      <c r="E1219" s="591"/>
      <c r="F1219" s="591"/>
      <c r="G1219" s="591"/>
      <c r="H1219" s="591"/>
      <c r="I1219" s="591"/>
      <c r="J1219" s="591"/>
      <c r="K1219" s="542"/>
      <c r="O1219" s="1134"/>
      <c r="Q1219" s="1133"/>
    </row>
    <row r="1220" spans="2:17" x14ac:dyDescent="0.3">
      <c r="B1220" s="126"/>
      <c r="C1220" s="583">
        <v>850</v>
      </c>
      <c r="D1220" s="625" t="e">
        <f t="shared" si="38"/>
        <v>#VALUE!</v>
      </c>
      <c r="E1220" s="591"/>
      <c r="F1220" s="591"/>
      <c r="G1220" s="591"/>
      <c r="H1220" s="591"/>
      <c r="I1220" s="591"/>
      <c r="J1220" s="591"/>
      <c r="K1220" s="542"/>
      <c r="O1220" s="1134"/>
      <c r="Q1220" s="1133"/>
    </row>
    <row r="1221" spans="2:17" x14ac:dyDescent="0.3">
      <c r="B1221" s="126"/>
      <c r="C1221" s="583">
        <v>851</v>
      </c>
      <c r="D1221" s="625" t="e">
        <f t="shared" si="38"/>
        <v>#VALUE!</v>
      </c>
      <c r="E1221" s="591"/>
      <c r="F1221" s="591"/>
      <c r="G1221" s="591"/>
      <c r="H1221" s="591"/>
      <c r="I1221" s="591"/>
      <c r="J1221" s="591"/>
      <c r="K1221" s="542"/>
      <c r="O1221" s="1134"/>
      <c r="Q1221" s="1133"/>
    </row>
    <row r="1222" spans="2:17" x14ac:dyDescent="0.3">
      <c r="B1222" s="126"/>
      <c r="C1222" s="583">
        <v>852</v>
      </c>
      <c r="D1222" s="625" t="e">
        <f t="shared" si="38"/>
        <v>#VALUE!</v>
      </c>
      <c r="E1222" s="591"/>
      <c r="F1222" s="591"/>
      <c r="G1222" s="591"/>
      <c r="H1222" s="591"/>
      <c r="I1222" s="591"/>
      <c r="J1222" s="591"/>
      <c r="K1222" s="542"/>
      <c r="O1222" s="1134"/>
      <c r="Q1222" s="1133"/>
    </row>
    <row r="1223" spans="2:17" x14ac:dyDescent="0.3">
      <c r="B1223" s="126"/>
      <c r="C1223" s="583">
        <v>853</v>
      </c>
      <c r="D1223" s="625" t="e">
        <f t="shared" si="38"/>
        <v>#VALUE!</v>
      </c>
      <c r="E1223" s="591"/>
      <c r="F1223" s="591"/>
      <c r="G1223" s="591"/>
      <c r="H1223" s="591"/>
      <c r="I1223" s="591"/>
      <c r="J1223" s="591"/>
      <c r="K1223" s="542"/>
      <c r="O1223" s="1134"/>
      <c r="Q1223" s="1133"/>
    </row>
    <row r="1224" spans="2:17" x14ac:dyDescent="0.3">
      <c r="B1224" s="126"/>
      <c r="C1224" s="583">
        <v>854</v>
      </c>
      <c r="D1224" s="625" t="e">
        <f t="shared" si="38"/>
        <v>#VALUE!</v>
      </c>
      <c r="E1224" s="591"/>
      <c r="F1224" s="591"/>
      <c r="G1224" s="591"/>
      <c r="H1224" s="591"/>
      <c r="I1224" s="591"/>
      <c r="J1224" s="591"/>
      <c r="K1224" s="542"/>
      <c r="O1224" s="1134"/>
      <c r="Q1224" s="1133"/>
    </row>
    <row r="1225" spans="2:17" x14ac:dyDescent="0.3">
      <c r="B1225" s="126"/>
      <c r="C1225" s="583">
        <v>855</v>
      </c>
      <c r="D1225" s="625" t="e">
        <f t="shared" si="38"/>
        <v>#VALUE!</v>
      </c>
      <c r="E1225" s="591"/>
      <c r="F1225" s="591"/>
      <c r="G1225" s="591"/>
      <c r="H1225" s="591"/>
      <c r="I1225" s="591"/>
      <c r="J1225" s="591"/>
      <c r="K1225" s="542"/>
      <c r="O1225" s="1134"/>
      <c r="Q1225" s="1133"/>
    </row>
    <row r="1226" spans="2:17" x14ac:dyDescent="0.3">
      <c r="B1226" s="126"/>
      <c r="C1226" s="583">
        <v>856</v>
      </c>
      <c r="D1226" s="625" t="e">
        <f t="shared" si="38"/>
        <v>#VALUE!</v>
      </c>
      <c r="E1226" s="591"/>
      <c r="F1226" s="591"/>
      <c r="G1226" s="591"/>
      <c r="H1226" s="591"/>
      <c r="I1226" s="591"/>
      <c r="J1226" s="591"/>
      <c r="K1226" s="542"/>
      <c r="O1226" s="1134"/>
      <c r="Q1226" s="1133"/>
    </row>
    <row r="1227" spans="2:17" x14ac:dyDescent="0.3">
      <c r="B1227" s="126"/>
      <c r="C1227" s="583">
        <v>857</v>
      </c>
      <c r="D1227" s="625" t="e">
        <f t="shared" si="38"/>
        <v>#VALUE!</v>
      </c>
      <c r="E1227" s="591"/>
      <c r="F1227" s="591"/>
      <c r="G1227" s="591"/>
      <c r="H1227" s="591"/>
      <c r="I1227" s="591"/>
      <c r="J1227" s="591"/>
      <c r="K1227" s="542"/>
      <c r="O1227" s="1134"/>
      <c r="Q1227" s="1133"/>
    </row>
    <row r="1228" spans="2:17" x14ac:dyDescent="0.3">
      <c r="B1228" s="126"/>
      <c r="C1228" s="583">
        <v>858</v>
      </c>
      <c r="D1228" s="625" t="e">
        <f t="shared" si="38"/>
        <v>#VALUE!</v>
      </c>
      <c r="E1228" s="591"/>
      <c r="F1228" s="591"/>
      <c r="G1228" s="591"/>
      <c r="H1228" s="591"/>
      <c r="I1228" s="591"/>
      <c r="J1228" s="591"/>
      <c r="K1228" s="542"/>
      <c r="O1228" s="1134"/>
      <c r="Q1228" s="1133"/>
    </row>
    <row r="1229" spans="2:17" x14ac:dyDescent="0.3">
      <c r="B1229" s="126"/>
      <c r="C1229" s="583">
        <v>859</v>
      </c>
      <c r="D1229" s="625" t="e">
        <f t="shared" si="38"/>
        <v>#VALUE!</v>
      </c>
      <c r="E1229" s="591"/>
      <c r="F1229" s="591"/>
      <c r="G1229" s="591"/>
      <c r="H1229" s="591"/>
      <c r="I1229" s="591"/>
      <c r="J1229" s="591"/>
      <c r="K1229" s="542"/>
      <c r="O1229" s="1134"/>
      <c r="Q1229" s="1133"/>
    </row>
    <row r="1230" spans="2:17" x14ac:dyDescent="0.3">
      <c r="B1230" s="126"/>
      <c r="C1230" s="583">
        <v>860</v>
      </c>
      <c r="D1230" s="625" t="e">
        <f t="shared" si="38"/>
        <v>#VALUE!</v>
      </c>
      <c r="E1230" s="591"/>
      <c r="F1230" s="591"/>
      <c r="G1230" s="591"/>
      <c r="H1230" s="591"/>
      <c r="I1230" s="591"/>
      <c r="J1230" s="591"/>
      <c r="K1230" s="542"/>
      <c r="O1230" s="1134"/>
      <c r="Q1230" s="1133"/>
    </row>
    <row r="1231" spans="2:17" x14ac:dyDescent="0.3">
      <c r="B1231" s="126"/>
      <c r="C1231" s="583">
        <v>861</v>
      </c>
      <c r="D1231" s="625" t="e">
        <f t="shared" si="38"/>
        <v>#VALUE!</v>
      </c>
      <c r="E1231" s="591"/>
      <c r="F1231" s="591"/>
      <c r="G1231" s="591"/>
      <c r="H1231" s="591"/>
      <c r="I1231" s="591"/>
      <c r="J1231" s="591"/>
      <c r="K1231" s="542"/>
      <c r="O1231" s="1134"/>
      <c r="Q1231" s="1133"/>
    </row>
    <row r="1232" spans="2:17" x14ac:dyDescent="0.3">
      <c r="B1232" s="126"/>
      <c r="C1232" s="583">
        <v>862</v>
      </c>
      <c r="D1232" s="625" t="e">
        <f t="shared" si="38"/>
        <v>#VALUE!</v>
      </c>
      <c r="E1232" s="591"/>
      <c r="F1232" s="591"/>
      <c r="G1232" s="591"/>
      <c r="H1232" s="591"/>
      <c r="I1232" s="591"/>
      <c r="J1232" s="591"/>
      <c r="K1232" s="542"/>
      <c r="O1232" s="1134"/>
      <c r="Q1232" s="1133"/>
    </row>
    <row r="1233" spans="2:17" x14ac:dyDescent="0.3">
      <c r="B1233" s="126"/>
      <c r="C1233" s="583">
        <v>863</v>
      </c>
      <c r="D1233" s="625" t="e">
        <f t="shared" si="38"/>
        <v>#VALUE!</v>
      </c>
      <c r="E1233" s="591"/>
      <c r="F1233" s="591"/>
      <c r="G1233" s="591"/>
      <c r="H1233" s="591"/>
      <c r="I1233" s="591"/>
      <c r="J1233" s="591"/>
      <c r="K1233" s="542"/>
      <c r="O1233" s="1134"/>
      <c r="Q1233" s="1133"/>
    </row>
    <row r="1234" spans="2:17" x14ac:dyDescent="0.3">
      <c r="B1234" s="126"/>
      <c r="C1234" s="583">
        <v>864</v>
      </c>
      <c r="D1234" s="625" t="e">
        <f t="shared" si="38"/>
        <v>#VALUE!</v>
      </c>
      <c r="E1234" s="591"/>
      <c r="F1234" s="591"/>
      <c r="G1234" s="591"/>
      <c r="H1234" s="591"/>
      <c r="I1234" s="591"/>
      <c r="J1234" s="591"/>
      <c r="K1234" s="542"/>
      <c r="O1234" s="1134"/>
      <c r="Q1234" s="1133"/>
    </row>
    <row r="1235" spans="2:17" x14ac:dyDescent="0.3">
      <c r="B1235" s="126"/>
      <c r="C1235" s="583">
        <v>865</v>
      </c>
      <c r="D1235" s="625" t="e">
        <f t="shared" si="38"/>
        <v>#VALUE!</v>
      </c>
      <c r="E1235" s="591"/>
      <c r="F1235" s="591"/>
      <c r="G1235" s="591"/>
      <c r="H1235" s="591"/>
      <c r="I1235" s="591"/>
      <c r="J1235" s="591"/>
      <c r="K1235" s="542"/>
      <c r="O1235" s="1134"/>
      <c r="Q1235" s="1133"/>
    </row>
    <row r="1236" spans="2:17" x14ac:dyDescent="0.3">
      <c r="B1236" s="126"/>
      <c r="C1236" s="583">
        <v>866</v>
      </c>
      <c r="D1236" s="625" t="e">
        <f t="shared" si="38"/>
        <v>#VALUE!</v>
      </c>
      <c r="E1236" s="591"/>
      <c r="F1236" s="591"/>
      <c r="G1236" s="591"/>
      <c r="H1236" s="591"/>
      <c r="I1236" s="591"/>
      <c r="J1236" s="591"/>
      <c r="K1236" s="542"/>
      <c r="O1236" s="1134"/>
      <c r="Q1236" s="1133"/>
    </row>
    <row r="1237" spans="2:17" x14ac:dyDescent="0.3">
      <c r="B1237" s="126"/>
      <c r="C1237" s="583">
        <v>867</v>
      </c>
      <c r="D1237" s="625" t="e">
        <f t="shared" si="38"/>
        <v>#VALUE!</v>
      </c>
      <c r="E1237" s="591"/>
      <c r="F1237" s="591"/>
      <c r="G1237" s="591"/>
      <c r="H1237" s="591"/>
      <c r="I1237" s="591"/>
      <c r="J1237" s="591"/>
      <c r="K1237" s="542"/>
      <c r="O1237" s="1134"/>
      <c r="Q1237" s="1133"/>
    </row>
    <row r="1238" spans="2:17" x14ac:dyDescent="0.3">
      <c r="B1238" s="126"/>
      <c r="C1238" s="583">
        <v>868</v>
      </c>
      <c r="D1238" s="625" t="e">
        <f t="shared" si="38"/>
        <v>#VALUE!</v>
      </c>
      <c r="E1238" s="591"/>
      <c r="F1238" s="591"/>
      <c r="G1238" s="591"/>
      <c r="H1238" s="591"/>
      <c r="I1238" s="591"/>
      <c r="J1238" s="591"/>
      <c r="K1238" s="542"/>
      <c r="O1238" s="1134"/>
      <c r="Q1238" s="1133"/>
    </row>
    <row r="1239" spans="2:17" x14ac:dyDescent="0.3">
      <c r="B1239" s="126"/>
      <c r="C1239" s="583">
        <v>869</v>
      </c>
      <c r="D1239" s="625" t="e">
        <f t="shared" si="38"/>
        <v>#VALUE!</v>
      </c>
      <c r="E1239" s="591"/>
      <c r="F1239" s="591"/>
      <c r="G1239" s="591"/>
      <c r="H1239" s="591"/>
      <c r="I1239" s="591"/>
      <c r="J1239" s="591"/>
      <c r="K1239" s="542"/>
      <c r="O1239" s="1134"/>
      <c r="Q1239" s="1133"/>
    </row>
    <row r="1240" spans="2:17" x14ac:dyDescent="0.3">
      <c r="B1240" s="126"/>
      <c r="C1240" s="583">
        <v>870</v>
      </c>
      <c r="D1240" s="625" t="e">
        <f t="shared" si="38"/>
        <v>#VALUE!</v>
      </c>
      <c r="E1240" s="591"/>
      <c r="F1240" s="591"/>
      <c r="G1240" s="591"/>
      <c r="H1240" s="591"/>
      <c r="I1240" s="591"/>
      <c r="J1240" s="591"/>
      <c r="K1240" s="542"/>
      <c r="O1240" s="1134"/>
      <c r="Q1240" s="1133"/>
    </row>
    <row r="1241" spans="2:17" x14ac:dyDescent="0.3">
      <c r="B1241" s="126"/>
      <c r="C1241" s="583">
        <v>871</v>
      </c>
      <c r="D1241" s="625" t="e">
        <f t="shared" si="38"/>
        <v>#VALUE!</v>
      </c>
      <c r="E1241" s="591"/>
      <c r="F1241" s="591"/>
      <c r="G1241" s="591"/>
      <c r="H1241" s="591"/>
      <c r="I1241" s="591"/>
      <c r="J1241" s="591"/>
      <c r="K1241" s="542"/>
      <c r="O1241" s="1134"/>
      <c r="Q1241" s="1133"/>
    </row>
    <row r="1242" spans="2:17" x14ac:dyDescent="0.3">
      <c r="B1242" s="126"/>
      <c r="C1242" s="583">
        <v>872</v>
      </c>
      <c r="D1242" s="625" t="e">
        <f t="shared" si="38"/>
        <v>#VALUE!</v>
      </c>
      <c r="E1242" s="591"/>
      <c r="F1242" s="591"/>
      <c r="G1242" s="591"/>
      <c r="H1242" s="591"/>
      <c r="I1242" s="591"/>
      <c r="J1242" s="591"/>
      <c r="K1242" s="542"/>
      <c r="O1242" s="1134"/>
      <c r="Q1242" s="1133"/>
    </row>
    <row r="1243" spans="2:17" x14ac:dyDescent="0.3">
      <c r="B1243" s="126"/>
      <c r="C1243" s="583">
        <v>873</v>
      </c>
      <c r="D1243" s="625" t="e">
        <f t="shared" si="38"/>
        <v>#VALUE!</v>
      </c>
      <c r="E1243" s="591"/>
      <c r="F1243" s="591"/>
      <c r="G1243" s="591"/>
      <c r="H1243" s="591"/>
      <c r="I1243" s="591"/>
      <c r="J1243" s="591"/>
      <c r="K1243" s="542"/>
      <c r="O1243" s="1134"/>
      <c r="Q1243" s="1133"/>
    </row>
    <row r="1244" spans="2:17" x14ac:dyDescent="0.3">
      <c r="B1244" s="126"/>
      <c r="C1244" s="583">
        <v>874</v>
      </c>
      <c r="D1244" s="625" t="e">
        <f t="shared" si="38"/>
        <v>#VALUE!</v>
      </c>
      <c r="E1244" s="591"/>
      <c r="F1244" s="591"/>
      <c r="G1244" s="591"/>
      <c r="H1244" s="591"/>
      <c r="I1244" s="591"/>
      <c r="J1244" s="591"/>
      <c r="K1244" s="542"/>
      <c r="O1244" s="1134"/>
      <c r="Q1244" s="1133"/>
    </row>
    <row r="1245" spans="2:17" x14ac:dyDescent="0.3">
      <c r="B1245" s="126"/>
      <c r="C1245" s="583">
        <v>875</v>
      </c>
      <c r="D1245" s="625" t="e">
        <f t="shared" si="38"/>
        <v>#VALUE!</v>
      </c>
      <c r="E1245" s="591"/>
      <c r="F1245" s="591"/>
      <c r="G1245" s="591"/>
      <c r="H1245" s="591"/>
      <c r="I1245" s="591"/>
      <c r="J1245" s="591"/>
      <c r="K1245" s="542"/>
      <c r="O1245" s="1134"/>
      <c r="Q1245" s="1133"/>
    </row>
    <row r="1246" spans="2:17" x14ac:dyDescent="0.3">
      <c r="B1246" s="126"/>
      <c r="C1246" s="583">
        <v>876</v>
      </c>
      <c r="D1246" s="625" t="e">
        <f t="shared" si="38"/>
        <v>#VALUE!</v>
      </c>
      <c r="E1246" s="591"/>
      <c r="F1246" s="591"/>
      <c r="G1246" s="591"/>
      <c r="H1246" s="591"/>
      <c r="I1246" s="591"/>
      <c r="J1246" s="591"/>
      <c r="K1246" s="542"/>
      <c r="O1246" s="1134"/>
      <c r="Q1246" s="1133"/>
    </row>
    <row r="1247" spans="2:17" x14ac:dyDescent="0.3">
      <c r="B1247" s="126"/>
      <c r="C1247" s="583">
        <v>877</v>
      </c>
      <c r="D1247" s="625" t="e">
        <f t="shared" si="38"/>
        <v>#VALUE!</v>
      </c>
      <c r="E1247" s="591"/>
      <c r="F1247" s="591"/>
      <c r="G1247" s="591"/>
      <c r="H1247" s="591"/>
      <c r="I1247" s="591"/>
      <c r="J1247" s="591"/>
      <c r="K1247" s="542"/>
      <c r="O1247" s="1134"/>
      <c r="Q1247" s="1133"/>
    </row>
    <row r="1248" spans="2:17" x14ac:dyDescent="0.3">
      <c r="B1248" s="126"/>
      <c r="C1248" s="583">
        <v>878</v>
      </c>
      <c r="D1248" s="625" t="e">
        <f t="shared" si="38"/>
        <v>#VALUE!</v>
      </c>
      <c r="E1248" s="591"/>
      <c r="F1248" s="591"/>
      <c r="G1248" s="591"/>
      <c r="H1248" s="591"/>
      <c r="I1248" s="591"/>
      <c r="J1248" s="591"/>
      <c r="K1248" s="542"/>
      <c r="O1248" s="1134"/>
      <c r="Q1248" s="1133"/>
    </row>
    <row r="1249" spans="2:17" x14ac:dyDescent="0.3">
      <c r="B1249" s="126"/>
      <c r="C1249" s="583">
        <v>879</v>
      </c>
      <c r="D1249" s="625" t="e">
        <f t="shared" si="38"/>
        <v>#VALUE!</v>
      </c>
      <c r="E1249" s="591"/>
      <c r="F1249" s="591"/>
      <c r="G1249" s="591"/>
      <c r="H1249" s="591"/>
      <c r="I1249" s="591"/>
      <c r="J1249" s="591"/>
      <c r="K1249" s="542"/>
      <c r="O1249" s="1134"/>
      <c r="Q1249" s="1133"/>
    </row>
    <row r="1250" spans="2:17" x14ac:dyDescent="0.3">
      <c r="B1250" s="126"/>
      <c r="C1250" s="583">
        <v>880</v>
      </c>
      <c r="D1250" s="625" t="e">
        <f t="shared" si="38"/>
        <v>#VALUE!</v>
      </c>
      <c r="E1250" s="591"/>
      <c r="F1250" s="591"/>
      <c r="G1250" s="591"/>
      <c r="H1250" s="591"/>
      <c r="I1250" s="591"/>
      <c r="J1250" s="591"/>
      <c r="K1250" s="542"/>
      <c r="O1250" s="1134"/>
      <c r="Q1250" s="1133"/>
    </row>
    <row r="1251" spans="2:17" x14ac:dyDescent="0.3">
      <c r="B1251" s="126"/>
      <c r="C1251" s="583">
        <v>881</v>
      </c>
      <c r="D1251" s="625" t="e">
        <f t="shared" si="38"/>
        <v>#VALUE!</v>
      </c>
      <c r="E1251" s="591"/>
      <c r="F1251" s="591"/>
      <c r="G1251" s="591"/>
      <c r="H1251" s="591"/>
      <c r="I1251" s="591"/>
      <c r="J1251" s="591"/>
      <c r="K1251" s="542"/>
      <c r="O1251" s="1134"/>
      <c r="Q1251" s="1133"/>
    </row>
    <row r="1252" spans="2:17" x14ac:dyDescent="0.3">
      <c r="B1252" s="126"/>
      <c r="C1252" s="583">
        <v>882</v>
      </c>
      <c r="D1252" s="625" t="e">
        <f t="shared" si="38"/>
        <v>#VALUE!</v>
      </c>
      <c r="E1252" s="591"/>
      <c r="F1252" s="591"/>
      <c r="G1252" s="591"/>
      <c r="H1252" s="591"/>
      <c r="I1252" s="591"/>
      <c r="J1252" s="591"/>
      <c r="K1252" s="542"/>
      <c r="O1252" s="1134"/>
      <c r="Q1252" s="1133"/>
    </row>
    <row r="1253" spans="2:17" x14ac:dyDescent="0.3">
      <c r="B1253" s="126"/>
      <c r="C1253" s="583">
        <v>883</v>
      </c>
      <c r="D1253" s="625" t="e">
        <f t="shared" si="38"/>
        <v>#VALUE!</v>
      </c>
      <c r="E1253" s="591"/>
      <c r="F1253" s="591"/>
      <c r="G1253" s="591"/>
      <c r="H1253" s="591"/>
      <c r="I1253" s="591"/>
      <c r="J1253" s="591"/>
      <c r="K1253" s="542"/>
      <c r="O1253" s="1134"/>
      <c r="Q1253" s="1133"/>
    </row>
    <row r="1254" spans="2:17" x14ac:dyDescent="0.3">
      <c r="B1254" s="126"/>
      <c r="C1254" s="583">
        <v>884</v>
      </c>
      <c r="D1254" s="625" t="e">
        <f t="shared" si="38"/>
        <v>#VALUE!</v>
      </c>
      <c r="E1254" s="591"/>
      <c r="F1254" s="591"/>
      <c r="G1254" s="591"/>
      <c r="H1254" s="591"/>
      <c r="I1254" s="591"/>
      <c r="J1254" s="591"/>
      <c r="K1254" s="542"/>
      <c r="O1254" s="1134"/>
      <c r="Q1254" s="1133"/>
    </row>
    <row r="1255" spans="2:17" x14ac:dyDescent="0.3">
      <c r="B1255" s="126"/>
      <c r="C1255" s="583">
        <v>885</v>
      </c>
      <c r="D1255" s="625" t="e">
        <f t="shared" si="38"/>
        <v>#VALUE!</v>
      </c>
      <c r="E1255" s="591"/>
      <c r="F1255" s="591"/>
      <c r="G1255" s="591"/>
      <c r="H1255" s="591"/>
      <c r="I1255" s="591"/>
      <c r="J1255" s="591"/>
      <c r="K1255" s="542"/>
      <c r="O1255" s="1134"/>
      <c r="Q1255" s="1133"/>
    </row>
    <row r="1256" spans="2:17" x14ac:dyDescent="0.3">
      <c r="B1256" s="126"/>
      <c r="C1256" s="583">
        <v>886</v>
      </c>
      <c r="D1256" s="625" t="e">
        <f t="shared" si="38"/>
        <v>#VALUE!</v>
      </c>
      <c r="E1256" s="591"/>
      <c r="F1256" s="591"/>
      <c r="G1256" s="591"/>
      <c r="H1256" s="591"/>
      <c r="I1256" s="591"/>
      <c r="J1256" s="591"/>
      <c r="K1256" s="542"/>
      <c r="O1256" s="1134"/>
      <c r="Q1256" s="1133"/>
    </row>
    <row r="1257" spans="2:17" x14ac:dyDescent="0.3">
      <c r="B1257" s="126"/>
      <c r="C1257" s="583">
        <v>887</v>
      </c>
      <c r="D1257" s="625" t="e">
        <f t="shared" si="38"/>
        <v>#VALUE!</v>
      </c>
      <c r="E1257" s="591"/>
      <c r="F1257" s="591"/>
      <c r="G1257" s="591"/>
      <c r="H1257" s="591"/>
      <c r="I1257" s="591"/>
      <c r="J1257" s="591"/>
      <c r="K1257" s="542"/>
      <c r="O1257" s="1134"/>
      <c r="Q1257" s="1133"/>
    </row>
    <row r="1258" spans="2:17" x14ac:dyDescent="0.3">
      <c r="B1258" s="126"/>
      <c r="C1258" s="583">
        <v>888</v>
      </c>
      <c r="D1258" s="625" t="e">
        <f t="shared" si="38"/>
        <v>#VALUE!</v>
      </c>
      <c r="E1258" s="591"/>
      <c r="F1258" s="591"/>
      <c r="G1258" s="591"/>
      <c r="H1258" s="591"/>
      <c r="I1258" s="591"/>
      <c r="J1258" s="591"/>
      <c r="K1258" s="542"/>
      <c r="O1258" s="1134"/>
      <c r="Q1258" s="1133"/>
    </row>
    <row r="1259" spans="2:17" x14ac:dyDescent="0.3">
      <c r="B1259" s="126"/>
      <c r="C1259" s="583">
        <v>889</v>
      </c>
      <c r="D1259" s="625" t="e">
        <f t="shared" si="38"/>
        <v>#VALUE!</v>
      </c>
      <c r="E1259" s="591"/>
      <c r="F1259" s="591"/>
      <c r="G1259" s="591"/>
      <c r="H1259" s="591"/>
      <c r="I1259" s="591"/>
      <c r="J1259" s="591"/>
      <c r="K1259" s="542"/>
      <c r="O1259" s="1134"/>
      <c r="Q1259" s="1133"/>
    </row>
    <row r="1260" spans="2:17" x14ac:dyDescent="0.3">
      <c r="B1260" s="126"/>
      <c r="C1260" s="583">
        <v>890</v>
      </c>
      <c r="D1260" s="625" t="e">
        <f t="shared" si="38"/>
        <v>#VALUE!</v>
      </c>
      <c r="E1260" s="591"/>
      <c r="F1260" s="591"/>
      <c r="G1260" s="591"/>
      <c r="H1260" s="591"/>
      <c r="I1260" s="591"/>
      <c r="J1260" s="591"/>
      <c r="K1260" s="542"/>
      <c r="O1260" s="1134"/>
      <c r="Q1260" s="1133"/>
    </row>
    <row r="1261" spans="2:17" x14ac:dyDescent="0.3">
      <c r="B1261" s="126"/>
      <c r="C1261" s="583">
        <v>891</v>
      </c>
      <c r="D1261" s="625" t="e">
        <f t="shared" si="38"/>
        <v>#VALUE!</v>
      </c>
      <c r="E1261" s="591"/>
      <c r="F1261" s="591"/>
      <c r="G1261" s="591"/>
      <c r="H1261" s="591"/>
      <c r="I1261" s="591"/>
      <c r="J1261" s="591"/>
      <c r="K1261" s="542"/>
      <c r="O1261" s="1134"/>
      <c r="Q1261" s="1133"/>
    </row>
    <row r="1262" spans="2:17" x14ac:dyDescent="0.3">
      <c r="B1262" s="126"/>
      <c r="C1262" s="583">
        <v>892</v>
      </c>
      <c r="D1262" s="625" t="e">
        <f t="shared" si="38"/>
        <v>#VALUE!</v>
      </c>
      <c r="E1262" s="591"/>
      <c r="F1262" s="591"/>
      <c r="G1262" s="591"/>
      <c r="H1262" s="591"/>
      <c r="I1262" s="591"/>
      <c r="J1262" s="591"/>
      <c r="K1262" s="542"/>
      <c r="O1262" s="1134"/>
      <c r="Q1262" s="1133"/>
    </row>
    <row r="1263" spans="2:17" x14ac:dyDescent="0.3">
      <c r="B1263" s="126"/>
      <c r="C1263" s="583">
        <v>893</v>
      </c>
      <c r="D1263" s="625" t="e">
        <f t="shared" si="38"/>
        <v>#VALUE!</v>
      </c>
      <c r="E1263" s="591"/>
      <c r="F1263" s="591"/>
      <c r="G1263" s="591"/>
      <c r="H1263" s="591"/>
      <c r="I1263" s="591"/>
      <c r="J1263" s="591"/>
      <c r="K1263" s="542"/>
      <c r="O1263" s="1134"/>
      <c r="Q1263" s="1133"/>
    </row>
    <row r="1264" spans="2:17" x14ac:dyDescent="0.3">
      <c r="B1264" s="126"/>
      <c r="C1264" s="583">
        <v>894</v>
      </c>
      <c r="D1264" s="625" t="e">
        <f t="shared" si="38"/>
        <v>#VALUE!</v>
      </c>
      <c r="E1264" s="591"/>
      <c r="F1264" s="591"/>
      <c r="G1264" s="591"/>
      <c r="H1264" s="591"/>
      <c r="I1264" s="591"/>
      <c r="J1264" s="591"/>
      <c r="K1264" s="542"/>
      <c r="O1264" s="1134"/>
      <c r="Q1264" s="1133"/>
    </row>
    <row r="1265" spans="2:17" x14ac:dyDescent="0.3">
      <c r="B1265" s="126"/>
      <c r="C1265" s="583">
        <v>895</v>
      </c>
      <c r="D1265" s="625" t="e">
        <f t="shared" si="38"/>
        <v>#VALUE!</v>
      </c>
      <c r="E1265" s="591"/>
      <c r="F1265" s="591"/>
      <c r="G1265" s="591"/>
      <c r="H1265" s="591"/>
      <c r="I1265" s="591"/>
      <c r="J1265" s="591"/>
      <c r="K1265" s="542"/>
      <c r="O1265" s="1134"/>
      <c r="Q1265" s="1133"/>
    </row>
    <row r="1266" spans="2:17" x14ac:dyDescent="0.3">
      <c r="B1266" s="126"/>
      <c r="C1266" s="583">
        <v>896</v>
      </c>
      <c r="D1266" s="625" t="e">
        <f t="shared" ref="D1266:D1329" si="39">$C$349*C1266</f>
        <v>#VALUE!</v>
      </c>
      <c r="E1266" s="591"/>
      <c r="F1266" s="591"/>
      <c r="G1266" s="591"/>
      <c r="H1266" s="591"/>
      <c r="I1266" s="591"/>
      <c r="J1266" s="591"/>
      <c r="K1266" s="542"/>
      <c r="O1266" s="1134"/>
      <c r="Q1266" s="1133"/>
    </row>
    <row r="1267" spans="2:17" x14ac:dyDescent="0.3">
      <c r="B1267" s="126"/>
      <c r="C1267" s="583">
        <v>897</v>
      </c>
      <c r="D1267" s="625" t="e">
        <f t="shared" si="39"/>
        <v>#VALUE!</v>
      </c>
      <c r="E1267" s="591"/>
      <c r="F1267" s="591"/>
      <c r="G1267" s="591"/>
      <c r="H1267" s="591"/>
      <c r="I1267" s="591"/>
      <c r="J1267" s="591"/>
      <c r="K1267" s="542"/>
      <c r="O1267" s="1134"/>
      <c r="Q1267" s="1133"/>
    </row>
    <row r="1268" spans="2:17" x14ac:dyDescent="0.3">
      <c r="B1268" s="126"/>
      <c r="C1268" s="583">
        <v>898</v>
      </c>
      <c r="D1268" s="625" t="e">
        <f t="shared" si="39"/>
        <v>#VALUE!</v>
      </c>
      <c r="E1268" s="591"/>
      <c r="F1268" s="591"/>
      <c r="G1268" s="591"/>
      <c r="H1268" s="591"/>
      <c r="I1268" s="591"/>
      <c r="J1268" s="591"/>
      <c r="K1268" s="542"/>
      <c r="O1268" s="1134"/>
      <c r="Q1268" s="1133"/>
    </row>
    <row r="1269" spans="2:17" x14ac:dyDescent="0.3">
      <c r="B1269" s="126"/>
      <c r="C1269" s="583">
        <v>899</v>
      </c>
      <c r="D1269" s="625" t="e">
        <f t="shared" si="39"/>
        <v>#VALUE!</v>
      </c>
      <c r="E1269" s="591"/>
      <c r="F1269" s="591"/>
      <c r="G1269" s="591"/>
      <c r="H1269" s="591"/>
      <c r="I1269" s="591"/>
      <c r="J1269" s="591"/>
      <c r="K1269" s="542"/>
      <c r="O1269" s="1134"/>
      <c r="Q1269" s="1133"/>
    </row>
    <row r="1270" spans="2:17" x14ac:dyDescent="0.3">
      <c r="B1270" s="126"/>
      <c r="C1270" s="583">
        <v>900</v>
      </c>
      <c r="D1270" s="625" t="e">
        <f t="shared" si="39"/>
        <v>#VALUE!</v>
      </c>
      <c r="E1270" s="591"/>
      <c r="F1270" s="591"/>
      <c r="G1270" s="591"/>
      <c r="H1270" s="591"/>
      <c r="I1270" s="591"/>
      <c r="J1270" s="591"/>
      <c r="K1270" s="542"/>
      <c r="O1270" s="1134"/>
      <c r="Q1270" s="1133"/>
    </row>
    <row r="1271" spans="2:17" x14ac:dyDescent="0.3">
      <c r="B1271" s="126"/>
      <c r="C1271" s="583">
        <v>901</v>
      </c>
      <c r="D1271" s="625" t="e">
        <f t="shared" si="39"/>
        <v>#VALUE!</v>
      </c>
      <c r="E1271" s="591"/>
      <c r="F1271" s="591"/>
      <c r="G1271" s="591"/>
      <c r="H1271" s="591"/>
      <c r="I1271" s="591"/>
      <c r="J1271" s="591"/>
      <c r="K1271" s="542"/>
      <c r="O1271" s="1134"/>
      <c r="Q1271" s="1133"/>
    </row>
    <row r="1272" spans="2:17" x14ac:dyDescent="0.3">
      <c r="B1272" s="126"/>
      <c r="C1272" s="583">
        <v>902</v>
      </c>
      <c r="D1272" s="625" t="e">
        <f t="shared" si="39"/>
        <v>#VALUE!</v>
      </c>
      <c r="E1272" s="591"/>
      <c r="F1272" s="591"/>
      <c r="G1272" s="591"/>
      <c r="H1272" s="591"/>
      <c r="I1272" s="591"/>
      <c r="J1272" s="591"/>
      <c r="K1272" s="542"/>
      <c r="O1272" s="1134"/>
      <c r="Q1272" s="1133"/>
    </row>
    <row r="1273" spans="2:17" x14ac:dyDescent="0.3">
      <c r="B1273" s="126"/>
      <c r="C1273" s="583">
        <v>903</v>
      </c>
      <c r="D1273" s="625" t="e">
        <f t="shared" si="39"/>
        <v>#VALUE!</v>
      </c>
      <c r="E1273" s="591"/>
      <c r="F1273" s="591"/>
      <c r="G1273" s="591"/>
      <c r="H1273" s="591"/>
      <c r="I1273" s="591"/>
      <c r="J1273" s="591"/>
      <c r="K1273" s="542"/>
      <c r="O1273" s="1134"/>
      <c r="Q1273" s="1133"/>
    </row>
    <row r="1274" spans="2:17" x14ac:dyDescent="0.3">
      <c r="B1274" s="126"/>
      <c r="C1274" s="583">
        <v>904</v>
      </c>
      <c r="D1274" s="625" t="e">
        <f t="shared" si="39"/>
        <v>#VALUE!</v>
      </c>
      <c r="E1274" s="591"/>
      <c r="F1274" s="591"/>
      <c r="G1274" s="591"/>
      <c r="H1274" s="591"/>
      <c r="I1274" s="591"/>
      <c r="J1274" s="591"/>
      <c r="K1274" s="542"/>
      <c r="O1274" s="1134"/>
      <c r="Q1274" s="1133"/>
    </row>
    <row r="1275" spans="2:17" x14ac:dyDescent="0.3">
      <c r="B1275" s="126"/>
      <c r="C1275" s="583">
        <v>905</v>
      </c>
      <c r="D1275" s="625" t="e">
        <f t="shared" si="39"/>
        <v>#VALUE!</v>
      </c>
      <c r="E1275" s="591"/>
      <c r="F1275" s="591"/>
      <c r="G1275" s="591"/>
      <c r="H1275" s="591"/>
      <c r="I1275" s="591"/>
      <c r="J1275" s="591"/>
      <c r="K1275" s="542"/>
      <c r="O1275" s="1134"/>
      <c r="Q1275" s="1133"/>
    </row>
    <row r="1276" spans="2:17" x14ac:dyDescent="0.3">
      <c r="B1276" s="126"/>
      <c r="C1276" s="583">
        <v>906</v>
      </c>
      <c r="D1276" s="625" t="e">
        <f t="shared" si="39"/>
        <v>#VALUE!</v>
      </c>
      <c r="E1276" s="591"/>
      <c r="F1276" s="591"/>
      <c r="G1276" s="591"/>
      <c r="H1276" s="591"/>
      <c r="I1276" s="591"/>
      <c r="J1276" s="591"/>
      <c r="K1276" s="542"/>
      <c r="O1276" s="1134"/>
      <c r="Q1276" s="1133"/>
    </row>
    <row r="1277" spans="2:17" x14ac:dyDescent="0.3">
      <c r="B1277" s="126"/>
      <c r="C1277" s="583">
        <v>907</v>
      </c>
      <c r="D1277" s="625" t="e">
        <f t="shared" si="39"/>
        <v>#VALUE!</v>
      </c>
      <c r="E1277" s="591"/>
      <c r="F1277" s="591"/>
      <c r="G1277" s="591"/>
      <c r="H1277" s="591"/>
      <c r="I1277" s="591"/>
      <c r="J1277" s="591"/>
      <c r="K1277" s="542"/>
      <c r="O1277" s="1134"/>
      <c r="Q1277" s="1133"/>
    </row>
    <row r="1278" spans="2:17" x14ac:dyDescent="0.3">
      <c r="B1278" s="126"/>
      <c r="C1278" s="583">
        <v>908</v>
      </c>
      <c r="D1278" s="625" t="e">
        <f t="shared" si="39"/>
        <v>#VALUE!</v>
      </c>
      <c r="E1278" s="591"/>
      <c r="F1278" s="591"/>
      <c r="G1278" s="591"/>
      <c r="H1278" s="591"/>
      <c r="I1278" s="591"/>
      <c r="J1278" s="591"/>
      <c r="K1278" s="542"/>
      <c r="O1278" s="1134"/>
      <c r="Q1278" s="1133"/>
    </row>
    <row r="1279" spans="2:17" x14ac:dyDescent="0.3">
      <c r="B1279" s="126"/>
      <c r="C1279" s="583">
        <v>909</v>
      </c>
      <c r="D1279" s="625" t="e">
        <f t="shared" si="39"/>
        <v>#VALUE!</v>
      </c>
      <c r="E1279" s="591"/>
      <c r="F1279" s="591"/>
      <c r="G1279" s="591"/>
      <c r="H1279" s="591"/>
      <c r="I1279" s="591"/>
      <c r="J1279" s="591"/>
      <c r="K1279" s="542"/>
      <c r="O1279" s="1134"/>
      <c r="Q1279" s="1133"/>
    </row>
    <row r="1280" spans="2:17" x14ac:dyDescent="0.3">
      <c r="B1280" s="126"/>
      <c r="C1280" s="583">
        <v>910</v>
      </c>
      <c r="D1280" s="625" t="e">
        <f t="shared" si="39"/>
        <v>#VALUE!</v>
      </c>
      <c r="E1280" s="591"/>
      <c r="F1280" s="591"/>
      <c r="G1280" s="591"/>
      <c r="H1280" s="591"/>
      <c r="I1280" s="591"/>
      <c r="J1280" s="591"/>
      <c r="K1280" s="542"/>
      <c r="O1280" s="1134"/>
      <c r="Q1280" s="1133"/>
    </row>
    <row r="1281" spans="2:17" x14ac:dyDescent="0.3">
      <c r="B1281" s="126"/>
      <c r="C1281" s="583">
        <v>911</v>
      </c>
      <c r="D1281" s="625" t="e">
        <f t="shared" si="39"/>
        <v>#VALUE!</v>
      </c>
      <c r="E1281" s="591"/>
      <c r="F1281" s="591"/>
      <c r="G1281" s="591"/>
      <c r="H1281" s="591"/>
      <c r="I1281" s="591"/>
      <c r="J1281" s="591"/>
      <c r="K1281" s="542"/>
      <c r="O1281" s="1134"/>
      <c r="Q1281" s="1133"/>
    </row>
    <row r="1282" spans="2:17" x14ac:dyDescent="0.3">
      <c r="B1282" s="126"/>
      <c r="C1282" s="583">
        <v>912</v>
      </c>
      <c r="D1282" s="625" t="e">
        <f t="shared" si="39"/>
        <v>#VALUE!</v>
      </c>
      <c r="E1282" s="591"/>
      <c r="F1282" s="591"/>
      <c r="G1282" s="591"/>
      <c r="H1282" s="591"/>
      <c r="I1282" s="591"/>
      <c r="J1282" s="591"/>
      <c r="K1282" s="542"/>
      <c r="O1282" s="1134"/>
      <c r="Q1282" s="1133"/>
    </row>
    <row r="1283" spans="2:17" x14ac:dyDescent="0.3">
      <c r="B1283" s="126"/>
      <c r="C1283" s="583">
        <v>913</v>
      </c>
      <c r="D1283" s="625" t="e">
        <f t="shared" si="39"/>
        <v>#VALUE!</v>
      </c>
      <c r="E1283" s="591"/>
      <c r="F1283" s="591"/>
      <c r="G1283" s="591"/>
      <c r="H1283" s="591"/>
      <c r="I1283" s="591"/>
      <c r="J1283" s="591"/>
      <c r="K1283" s="542"/>
      <c r="O1283" s="1134"/>
      <c r="Q1283" s="1133"/>
    </row>
    <row r="1284" spans="2:17" x14ac:dyDescent="0.3">
      <c r="B1284" s="126"/>
      <c r="C1284" s="583">
        <v>914</v>
      </c>
      <c r="D1284" s="625" t="e">
        <f t="shared" si="39"/>
        <v>#VALUE!</v>
      </c>
      <c r="E1284" s="591"/>
      <c r="F1284" s="591"/>
      <c r="G1284" s="591"/>
      <c r="H1284" s="591"/>
      <c r="I1284" s="591"/>
      <c r="J1284" s="591"/>
      <c r="K1284" s="542"/>
      <c r="O1284" s="1134"/>
      <c r="Q1284" s="1133"/>
    </row>
    <row r="1285" spans="2:17" x14ac:dyDescent="0.3">
      <c r="B1285" s="126"/>
      <c r="C1285" s="583">
        <v>915</v>
      </c>
      <c r="D1285" s="625" t="e">
        <f t="shared" si="39"/>
        <v>#VALUE!</v>
      </c>
      <c r="E1285" s="591"/>
      <c r="F1285" s="591"/>
      <c r="G1285" s="591"/>
      <c r="H1285" s="591"/>
      <c r="I1285" s="591"/>
      <c r="J1285" s="591"/>
      <c r="K1285" s="542"/>
      <c r="O1285" s="1134"/>
      <c r="Q1285" s="1133"/>
    </row>
    <row r="1286" spans="2:17" x14ac:dyDescent="0.3">
      <c r="B1286" s="126"/>
      <c r="C1286" s="583">
        <v>916</v>
      </c>
      <c r="D1286" s="625" t="e">
        <f t="shared" si="39"/>
        <v>#VALUE!</v>
      </c>
      <c r="E1286" s="591"/>
      <c r="F1286" s="591"/>
      <c r="G1286" s="591"/>
      <c r="H1286" s="591"/>
      <c r="I1286" s="591"/>
      <c r="J1286" s="591"/>
      <c r="K1286" s="542"/>
      <c r="O1286" s="1134"/>
      <c r="Q1286" s="1133"/>
    </row>
    <row r="1287" spans="2:17" x14ac:dyDescent="0.3">
      <c r="B1287" s="126"/>
      <c r="C1287" s="583">
        <v>917</v>
      </c>
      <c r="D1287" s="625" t="e">
        <f t="shared" si="39"/>
        <v>#VALUE!</v>
      </c>
      <c r="E1287" s="591"/>
      <c r="F1287" s="591"/>
      <c r="G1287" s="591"/>
      <c r="H1287" s="591"/>
      <c r="I1287" s="591"/>
      <c r="J1287" s="591"/>
      <c r="K1287" s="542"/>
      <c r="O1287" s="1134"/>
      <c r="Q1287" s="1133"/>
    </row>
    <row r="1288" spans="2:17" x14ac:dyDescent="0.3">
      <c r="B1288" s="126"/>
      <c r="C1288" s="583">
        <v>918</v>
      </c>
      <c r="D1288" s="625" t="e">
        <f t="shared" si="39"/>
        <v>#VALUE!</v>
      </c>
      <c r="E1288" s="591"/>
      <c r="F1288" s="591"/>
      <c r="G1288" s="591"/>
      <c r="H1288" s="591"/>
      <c r="I1288" s="591"/>
      <c r="J1288" s="591"/>
      <c r="K1288" s="542"/>
      <c r="O1288" s="1134"/>
      <c r="Q1288" s="1133"/>
    </row>
    <row r="1289" spans="2:17" x14ac:dyDescent="0.3">
      <c r="B1289" s="126"/>
      <c r="C1289" s="583">
        <v>919</v>
      </c>
      <c r="D1289" s="625" t="e">
        <f t="shared" si="39"/>
        <v>#VALUE!</v>
      </c>
      <c r="E1289" s="591"/>
      <c r="F1289" s="591"/>
      <c r="G1289" s="591"/>
      <c r="H1289" s="591"/>
      <c r="I1289" s="591"/>
      <c r="J1289" s="591"/>
      <c r="K1289" s="542"/>
      <c r="O1289" s="1134"/>
      <c r="Q1289" s="1133"/>
    </row>
    <row r="1290" spans="2:17" x14ac:dyDescent="0.3">
      <c r="B1290" s="126"/>
      <c r="C1290" s="583">
        <v>920</v>
      </c>
      <c r="D1290" s="625" t="e">
        <f t="shared" si="39"/>
        <v>#VALUE!</v>
      </c>
      <c r="E1290" s="591"/>
      <c r="F1290" s="591"/>
      <c r="G1290" s="591"/>
      <c r="H1290" s="591"/>
      <c r="I1290" s="591"/>
      <c r="J1290" s="591"/>
      <c r="K1290" s="542"/>
      <c r="O1290" s="1134"/>
      <c r="Q1290" s="1133"/>
    </row>
    <row r="1291" spans="2:17" x14ac:dyDescent="0.3">
      <c r="B1291" s="126"/>
      <c r="C1291" s="583">
        <v>921</v>
      </c>
      <c r="D1291" s="625" t="e">
        <f t="shared" si="39"/>
        <v>#VALUE!</v>
      </c>
      <c r="E1291" s="591"/>
      <c r="F1291" s="591"/>
      <c r="G1291" s="591"/>
      <c r="H1291" s="591"/>
      <c r="I1291" s="591"/>
      <c r="J1291" s="591"/>
      <c r="K1291" s="542"/>
      <c r="O1291" s="1134"/>
      <c r="Q1291" s="1133"/>
    </row>
    <row r="1292" spans="2:17" x14ac:dyDescent="0.3">
      <c r="B1292" s="126"/>
      <c r="C1292" s="583">
        <v>922</v>
      </c>
      <c r="D1292" s="625" t="e">
        <f t="shared" si="39"/>
        <v>#VALUE!</v>
      </c>
      <c r="E1292" s="591"/>
      <c r="F1292" s="591"/>
      <c r="G1292" s="591"/>
      <c r="H1292" s="591"/>
      <c r="I1292" s="591"/>
      <c r="J1292" s="591"/>
      <c r="K1292" s="542"/>
      <c r="O1292" s="1134"/>
      <c r="Q1292" s="1133"/>
    </row>
    <row r="1293" spans="2:17" x14ac:dyDescent="0.3">
      <c r="B1293" s="126"/>
      <c r="C1293" s="583">
        <v>923</v>
      </c>
      <c r="D1293" s="625" t="e">
        <f t="shared" si="39"/>
        <v>#VALUE!</v>
      </c>
      <c r="E1293" s="591"/>
      <c r="F1293" s="591"/>
      <c r="G1293" s="591"/>
      <c r="H1293" s="591"/>
      <c r="I1293" s="591"/>
      <c r="J1293" s="591"/>
      <c r="K1293" s="542"/>
      <c r="O1293" s="1134"/>
      <c r="Q1293" s="1133"/>
    </row>
    <row r="1294" spans="2:17" x14ac:dyDescent="0.3">
      <c r="B1294" s="126"/>
      <c r="C1294" s="583">
        <v>924</v>
      </c>
      <c r="D1294" s="625" t="e">
        <f t="shared" si="39"/>
        <v>#VALUE!</v>
      </c>
      <c r="E1294" s="591"/>
      <c r="F1294" s="591"/>
      <c r="G1294" s="591"/>
      <c r="H1294" s="591"/>
      <c r="I1294" s="591"/>
      <c r="J1294" s="591"/>
      <c r="K1294" s="542"/>
      <c r="O1294" s="1134"/>
      <c r="Q1294" s="1133"/>
    </row>
    <row r="1295" spans="2:17" x14ac:dyDescent="0.3">
      <c r="B1295" s="126"/>
      <c r="C1295" s="583">
        <v>925</v>
      </c>
      <c r="D1295" s="625" t="e">
        <f t="shared" si="39"/>
        <v>#VALUE!</v>
      </c>
      <c r="E1295" s="591"/>
      <c r="F1295" s="591"/>
      <c r="G1295" s="591"/>
      <c r="H1295" s="591"/>
      <c r="I1295" s="591"/>
      <c r="J1295" s="591"/>
      <c r="K1295" s="542"/>
      <c r="O1295" s="1134"/>
      <c r="Q1295" s="1133"/>
    </row>
    <row r="1296" spans="2:17" x14ac:dyDescent="0.3">
      <c r="B1296" s="126"/>
      <c r="C1296" s="583">
        <v>926</v>
      </c>
      <c r="D1296" s="625" t="e">
        <f t="shared" si="39"/>
        <v>#VALUE!</v>
      </c>
      <c r="E1296" s="591"/>
      <c r="F1296" s="591"/>
      <c r="G1296" s="591"/>
      <c r="H1296" s="591"/>
      <c r="I1296" s="591"/>
      <c r="J1296" s="591"/>
      <c r="K1296" s="542"/>
      <c r="O1296" s="1134"/>
      <c r="Q1296" s="1133"/>
    </row>
    <row r="1297" spans="2:17" x14ac:dyDescent="0.3">
      <c r="B1297" s="126"/>
      <c r="C1297" s="583">
        <v>927</v>
      </c>
      <c r="D1297" s="625" t="e">
        <f t="shared" si="39"/>
        <v>#VALUE!</v>
      </c>
      <c r="E1297" s="591"/>
      <c r="F1297" s="591"/>
      <c r="G1297" s="591"/>
      <c r="H1297" s="591"/>
      <c r="I1297" s="591"/>
      <c r="J1297" s="591"/>
      <c r="K1297" s="542"/>
      <c r="O1297" s="1134"/>
      <c r="Q1297" s="1133"/>
    </row>
    <row r="1298" spans="2:17" x14ac:dyDescent="0.3">
      <c r="B1298" s="126"/>
      <c r="C1298" s="583">
        <v>928</v>
      </c>
      <c r="D1298" s="625" t="e">
        <f t="shared" si="39"/>
        <v>#VALUE!</v>
      </c>
      <c r="E1298" s="591"/>
      <c r="F1298" s="591"/>
      <c r="G1298" s="591"/>
      <c r="H1298" s="591"/>
      <c r="I1298" s="591"/>
      <c r="J1298" s="591"/>
      <c r="K1298" s="542"/>
      <c r="O1298" s="1134"/>
      <c r="Q1298" s="1133"/>
    </row>
    <row r="1299" spans="2:17" x14ac:dyDescent="0.3">
      <c r="B1299" s="126"/>
      <c r="C1299" s="583">
        <v>929</v>
      </c>
      <c r="D1299" s="625" t="e">
        <f t="shared" si="39"/>
        <v>#VALUE!</v>
      </c>
      <c r="E1299" s="591"/>
      <c r="F1299" s="591"/>
      <c r="G1299" s="591"/>
      <c r="H1299" s="591"/>
      <c r="I1299" s="591"/>
      <c r="J1299" s="591"/>
      <c r="K1299" s="542"/>
      <c r="O1299" s="1134"/>
      <c r="Q1299" s="1133"/>
    </row>
    <row r="1300" spans="2:17" x14ac:dyDescent="0.3">
      <c r="B1300" s="126"/>
      <c r="C1300" s="583">
        <v>930</v>
      </c>
      <c r="D1300" s="625" t="e">
        <f t="shared" si="39"/>
        <v>#VALUE!</v>
      </c>
      <c r="E1300" s="591"/>
      <c r="F1300" s="591"/>
      <c r="G1300" s="591"/>
      <c r="H1300" s="591"/>
      <c r="I1300" s="591"/>
      <c r="J1300" s="591"/>
      <c r="K1300" s="542"/>
      <c r="O1300" s="1134"/>
      <c r="Q1300" s="1133"/>
    </row>
    <row r="1301" spans="2:17" x14ac:dyDescent="0.3">
      <c r="B1301" s="126"/>
      <c r="C1301" s="583">
        <v>931</v>
      </c>
      <c r="D1301" s="625" t="e">
        <f t="shared" si="39"/>
        <v>#VALUE!</v>
      </c>
      <c r="E1301" s="591"/>
      <c r="F1301" s="591"/>
      <c r="G1301" s="591"/>
      <c r="H1301" s="591"/>
      <c r="I1301" s="591"/>
      <c r="J1301" s="591"/>
      <c r="K1301" s="542"/>
      <c r="O1301" s="1134"/>
      <c r="Q1301" s="1133"/>
    </row>
    <row r="1302" spans="2:17" x14ac:dyDescent="0.3">
      <c r="B1302" s="126"/>
      <c r="C1302" s="583">
        <v>932</v>
      </c>
      <c r="D1302" s="625" t="e">
        <f t="shared" si="39"/>
        <v>#VALUE!</v>
      </c>
      <c r="E1302" s="591"/>
      <c r="F1302" s="591"/>
      <c r="G1302" s="591"/>
      <c r="H1302" s="591"/>
      <c r="I1302" s="591"/>
      <c r="J1302" s="591"/>
      <c r="K1302" s="542"/>
      <c r="O1302" s="1134"/>
      <c r="Q1302" s="1133"/>
    </row>
    <row r="1303" spans="2:17" x14ac:dyDescent="0.3">
      <c r="B1303" s="126"/>
      <c r="C1303" s="583">
        <v>933</v>
      </c>
      <c r="D1303" s="625" t="e">
        <f t="shared" si="39"/>
        <v>#VALUE!</v>
      </c>
      <c r="E1303" s="591"/>
      <c r="F1303" s="591"/>
      <c r="G1303" s="591"/>
      <c r="H1303" s="591"/>
      <c r="I1303" s="591"/>
      <c r="J1303" s="591"/>
      <c r="K1303" s="542"/>
      <c r="O1303" s="1134"/>
      <c r="Q1303" s="1133"/>
    </row>
    <row r="1304" spans="2:17" x14ac:dyDescent="0.3">
      <c r="B1304" s="126"/>
      <c r="C1304" s="583">
        <v>934</v>
      </c>
      <c r="D1304" s="625" t="e">
        <f t="shared" si="39"/>
        <v>#VALUE!</v>
      </c>
      <c r="E1304" s="591"/>
      <c r="F1304" s="591"/>
      <c r="G1304" s="591"/>
      <c r="H1304" s="591"/>
      <c r="I1304" s="591"/>
      <c r="J1304" s="591"/>
      <c r="K1304" s="542"/>
      <c r="O1304" s="1134"/>
      <c r="Q1304" s="1133"/>
    </row>
    <row r="1305" spans="2:17" x14ac:dyDescent="0.3">
      <c r="B1305" s="126"/>
      <c r="C1305" s="583">
        <v>935</v>
      </c>
      <c r="D1305" s="625" t="e">
        <f t="shared" si="39"/>
        <v>#VALUE!</v>
      </c>
      <c r="E1305" s="591"/>
      <c r="F1305" s="591"/>
      <c r="G1305" s="591"/>
      <c r="H1305" s="591"/>
      <c r="I1305" s="591"/>
      <c r="J1305" s="591"/>
      <c r="K1305" s="542"/>
      <c r="O1305" s="1134"/>
      <c r="Q1305" s="1133"/>
    </row>
    <row r="1306" spans="2:17" x14ac:dyDescent="0.3">
      <c r="B1306" s="126"/>
      <c r="C1306" s="583">
        <v>936</v>
      </c>
      <c r="D1306" s="625" t="e">
        <f t="shared" si="39"/>
        <v>#VALUE!</v>
      </c>
      <c r="E1306" s="591"/>
      <c r="F1306" s="591"/>
      <c r="G1306" s="591"/>
      <c r="H1306" s="591"/>
      <c r="I1306" s="591"/>
      <c r="J1306" s="591"/>
      <c r="K1306" s="542"/>
      <c r="O1306" s="1134"/>
      <c r="Q1306" s="1133"/>
    </row>
    <row r="1307" spans="2:17" x14ac:dyDescent="0.3">
      <c r="B1307" s="126"/>
      <c r="C1307" s="583">
        <v>937</v>
      </c>
      <c r="D1307" s="625" t="e">
        <f t="shared" si="39"/>
        <v>#VALUE!</v>
      </c>
      <c r="E1307" s="591"/>
      <c r="F1307" s="591"/>
      <c r="G1307" s="591"/>
      <c r="H1307" s="591"/>
      <c r="I1307" s="591"/>
      <c r="J1307" s="591"/>
      <c r="K1307" s="542"/>
      <c r="O1307" s="1134"/>
      <c r="Q1307" s="1133"/>
    </row>
    <row r="1308" spans="2:17" x14ac:dyDescent="0.3">
      <c r="B1308" s="126"/>
      <c r="C1308" s="583">
        <v>938</v>
      </c>
      <c r="D1308" s="625" t="e">
        <f t="shared" si="39"/>
        <v>#VALUE!</v>
      </c>
      <c r="E1308" s="591"/>
      <c r="F1308" s="591"/>
      <c r="G1308" s="591"/>
      <c r="H1308" s="591"/>
      <c r="I1308" s="591"/>
      <c r="J1308" s="591"/>
      <c r="K1308" s="542"/>
      <c r="O1308" s="1134"/>
      <c r="Q1308" s="1133"/>
    </row>
    <row r="1309" spans="2:17" x14ac:dyDescent="0.3">
      <c r="B1309" s="126"/>
      <c r="C1309" s="583">
        <v>939</v>
      </c>
      <c r="D1309" s="625" t="e">
        <f t="shared" si="39"/>
        <v>#VALUE!</v>
      </c>
      <c r="E1309" s="591"/>
      <c r="F1309" s="591"/>
      <c r="G1309" s="591"/>
      <c r="H1309" s="591"/>
      <c r="I1309" s="591"/>
      <c r="J1309" s="591"/>
      <c r="K1309" s="542"/>
      <c r="O1309" s="1134"/>
      <c r="Q1309" s="1133"/>
    </row>
    <row r="1310" spans="2:17" x14ac:dyDescent="0.3">
      <c r="B1310" s="126"/>
      <c r="C1310" s="583">
        <v>940</v>
      </c>
      <c r="D1310" s="625" t="e">
        <f t="shared" si="39"/>
        <v>#VALUE!</v>
      </c>
      <c r="E1310" s="591"/>
      <c r="F1310" s="591"/>
      <c r="G1310" s="591"/>
      <c r="H1310" s="591"/>
      <c r="I1310" s="591"/>
      <c r="J1310" s="591"/>
      <c r="K1310" s="542"/>
      <c r="O1310" s="1134"/>
      <c r="Q1310" s="1133"/>
    </row>
    <row r="1311" spans="2:17" x14ac:dyDescent="0.3">
      <c r="B1311" s="126"/>
      <c r="C1311" s="583">
        <v>941</v>
      </c>
      <c r="D1311" s="625" t="e">
        <f t="shared" si="39"/>
        <v>#VALUE!</v>
      </c>
      <c r="E1311" s="591"/>
      <c r="F1311" s="591"/>
      <c r="G1311" s="591"/>
      <c r="H1311" s="591"/>
      <c r="I1311" s="591"/>
      <c r="J1311" s="591"/>
      <c r="K1311" s="542"/>
      <c r="O1311" s="1134"/>
      <c r="Q1311" s="1133"/>
    </row>
    <row r="1312" spans="2:17" x14ac:dyDescent="0.3">
      <c r="B1312" s="126"/>
      <c r="C1312" s="583">
        <v>942</v>
      </c>
      <c r="D1312" s="625" t="e">
        <f t="shared" si="39"/>
        <v>#VALUE!</v>
      </c>
      <c r="E1312" s="591"/>
      <c r="F1312" s="591"/>
      <c r="G1312" s="591"/>
      <c r="H1312" s="591"/>
      <c r="I1312" s="591"/>
      <c r="J1312" s="591"/>
      <c r="K1312" s="542"/>
      <c r="O1312" s="1134"/>
      <c r="Q1312" s="1133"/>
    </row>
    <row r="1313" spans="2:17" x14ac:dyDescent="0.3">
      <c r="B1313" s="126"/>
      <c r="C1313" s="583">
        <v>943</v>
      </c>
      <c r="D1313" s="625" t="e">
        <f t="shared" si="39"/>
        <v>#VALUE!</v>
      </c>
      <c r="E1313" s="591"/>
      <c r="F1313" s="591"/>
      <c r="G1313" s="591"/>
      <c r="H1313" s="591"/>
      <c r="I1313" s="591"/>
      <c r="J1313" s="591"/>
      <c r="K1313" s="542"/>
      <c r="O1313" s="1134"/>
      <c r="Q1313" s="1133"/>
    </row>
    <row r="1314" spans="2:17" x14ac:dyDescent="0.3">
      <c r="B1314" s="126"/>
      <c r="C1314" s="583">
        <v>944</v>
      </c>
      <c r="D1314" s="625" t="e">
        <f t="shared" si="39"/>
        <v>#VALUE!</v>
      </c>
      <c r="E1314" s="591"/>
      <c r="F1314" s="591"/>
      <c r="G1314" s="591"/>
      <c r="H1314" s="591"/>
      <c r="I1314" s="591"/>
      <c r="J1314" s="591"/>
      <c r="K1314" s="542"/>
      <c r="O1314" s="1134"/>
      <c r="Q1314" s="1133"/>
    </row>
    <row r="1315" spans="2:17" x14ac:dyDescent="0.3">
      <c r="B1315" s="126"/>
      <c r="C1315" s="583">
        <v>945</v>
      </c>
      <c r="D1315" s="625" t="e">
        <f t="shared" si="39"/>
        <v>#VALUE!</v>
      </c>
      <c r="E1315" s="591"/>
      <c r="F1315" s="591"/>
      <c r="G1315" s="591"/>
      <c r="H1315" s="591"/>
      <c r="I1315" s="591"/>
      <c r="J1315" s="591"/>
      <c r="K1315" s="542"/>
      <c r="O1315" s="1134"/>
      <c r="Q1315" s="1133"/>
    </row>
    <row r="1316" spans="2:17" x14ac:dyDescent="0.3">
      <c r="B1316" s="126"/>
      <c r="C1316" s="583">
        <v>946</v>
      </c>
      <c r="D1316" s="625" t="e">
        <f t="shared" si="39"/>
        <v>#VALUE!</v>
      </c>
      <c r="E1316" s="591"/>
      <c r="F1316" s="591"/>
      <c r="G1316" s="591"/>
      <c r="H1316" s="591"/>
      <c r="I1316" s="591"/>
      <c r="J1316" s="591"/>
      <c r="K1316" s="542"/>
      <c r="O1316" s="1134"/>
      <c r="Q1316" s="1133"/>
    </row>
    <row r="1317" spans="2:17" x14ac:dyDescent="0.3">
      <c r="B1317" s="126"/>
      <c r="C1317" s="583">
        <v>947</v>
      </c>
      <c r="D1317" s="625" t="e">
        <f t="shared" si="39"/>
        <v>#VALUE!</v>
      </c>
      <c r="E1317" s="591"/>
      <c r="F1317" s="591"/>
      <c r="G1317" s="591"/>
      <c r="H1317" s="591"/>
      <c r="I1317" s="591"/>
      <c r="J1317" s="591"/>
      <c r="K1317" s="542"/>
      <c r="O1317" s="1134"/>
      <c r="Q1317" s="1133"/>
    </row>
    <row r="1318" spans="2:17" x14ac:dyDescent="0.3">
      <c r="B1318" s="126"/>
      <c r="C1318" s="583">
        <v>948</v>
      </c>
      <c r="D1318" s="625" t="e">
        <f t="shared" si="39"/>
        <v>#VALUE!</v>
      </c>
      <c r="E1318" s="591"/>
      <c r="F1318" s="591"/>
      <c r="G1318" s="591"/>
      <c r="H1318" s="591"/>
      <c r="I1318" s="591"/>
      <c r="J1318" s="591"/>
      <c r="K1318" s="542"/>
      <c r="O1318" s="1134"/>
      <c r="Q1318" s="1133"/>
    </row>
    <row r="1319" spans="2:17" x14ac:dyDescent="0.3">
      <c r="B1319" s="126"/>
      <c r="C1319" s="583">
        <v>949</v>
      </c>
      <c r="D1319" s="625" t="e">
        <f t="shared" si="39"/>
        <v>#VALUE!</v>
      </c>
      <c r="E1319" s="591"/>
      <c r="F1319" s="591"/>
      <c r="G1319" s="591"/>
      <c r="H1319" s="591"/>
      <c r="I1319" s="591"/>
      <c r="J1319" s="591"/>
      <c r="K1319" s="542"/>
      <c r="O1319" s="1134"/>
      <c r="Q1319" s="1133"/>
    </row>
    <row r="1320" spans="2:17" x14ac:dyDescent="0.3">
      <c r="B1320" s="126"/>
      <c r="C1320" s="583">
        <v>950</v>
      </c>
      <c r="D1320" s="625" t="e">
        <f t="shared" si="39"/>
        <v>#VALUE!</v>
      </c>
      <c r="E1320" s="591"/>
      <c r="F1320" s="591"/>
      <c r="G1320" s="591"/>
      <c r="H1320" s="591"/>
      <c r="I1320" s="591"/>
      <c r="J1320" s="591"/>
      <c r="K1320" s="542"/>
      <c r="O1320" s="1134"/>
      <c r="Q1320" s="1133"/>
    </row>
    <row r="1321" spans="2:17" x14ac:dyDescent="0.3">
      <c r="B1321" s="126"/>
      <c r="C1321" s="583">
        <v>951</v>
      </c>
      <c r="D1321" s="625" t="e">
        <f t="shared" si="39"/>
        <v>#VALUE!</v>
      </c>
      <c r="E1321" s="591"/>
      <c r="F1321" s="591"/>
      <c r="G1321" s="591"/>
      <c r="H1321" s="591"/>
      <c r="I1321" s="591"/>
      <c r="J1321" s="591"/>
      <c r="K1321" s="542"/>
      <c r="O1321" s="1134"/>
      <c r="Q1321" s="1133"/>
    </row>
    <row r="1322" spans="2:17" x14ac:dyDescent="0.3">
      <c r="B1322" s="126"/>
      <c r="C1322" s="583">
        <v>952</v>
      </c>
      <c r="D1322" s="625" t="e">
        <f t="shared" si="39"/>
        <v>#VALUE!</v>
      </c>
      <c r="E1322" s="591"/>
      <c r="F1322" s="591"/>
      <c r="G1322" s="591"/>
      <c r="H1322" s="591"/>
      <c r="I1322" s="591"/>
      <c r="J1322" s="591"/>
      <c r="K1322" s="542"/>
      <c r="O1322" s="1134"/>
      <c r="Q1322" s="1133"/>
    </row>
    <row r="1323" spans="2:17" x14ac:dyDescent="0.3">
      <c r="B1323" s="126"/>
      <c r="C1323" s="583">
        <v>953</v>
      </c>
      <c r="D1323" s="625" t="e">
        <f t="shared" si="39"/>
        <v>#VALUE!</v>
      </c>
      <c r="E1323" s="591"/>
      <c r="F1323" s="591"/>
      <c r="G1323" s="591"/>
      <c r="H1323" s="591"/>
      <c r="I1323" s="591"/>
      <c r="J1323" s="591"/>
      <c r="K1323" s="542"/>
      <c r="O1323" s="1134"/>
      <c r="Q1323" s="1133"/>
    </row>
    <row r="1324" spans="2:17" x14ac:dyDescent="0.3">
      <c r="B1324" s="126"/>
      <c r="C1324" s="583">
        <v>954</v>
      </c>
      <c r="D1324" s="625" t="e">
        <f t="shared" si="39"/>
        <v>#VALUE!</v>
      </c>
      <c r="E1324" s="591"/>
      <c r="F1324" s="591"/>
      <c r="G1324" s="591"/>
      <c r="H1324" s="591"/>
      <c r="I1324" s="591"/>
      <c r="J1324" s="591"/>
      <c r="K1324" s="542"/>
      <c r="O1324" s="1134"/>
      <c r="Q1324" s="1133"/>
    </row>
    <row r="1325" spans="2:17" x14ac:dyDescent="0.3">
      <c r="B1325" s="126"/>
      <c r="C1325" s="583">
        <v>955</v>
      </c>
      <c r="D1325" s="625" t="e">
        <f t="shared" si="39"/>
        <v>#VALUE!</v>
      </c>
      <c r="E1325" s="591"/>
      <c r="F1325" s="591"/>
      <c r="G1325" s="591"/>
      <c r="H1325" s="591"/>
      <c r="I1325" s="591"/>
      <c r="J1325" s="591"/>
      <c r="K1325" s="542"/>
      <c r="O1325" s="1134"/>
      <c r="Q1325" s="1133"/>
    </row>
    <row r="1326" spans="2:17" x14ac:dyDescent="0.3">
      <c r="B1326" s="126"/>
      <c r="C1326" s="583">
        <v>956</v>
      </c>
      <c r="D1326" s="625" t="e">
        <f t="shared" si="39"/>
        <v>#VALUE!</v>
      </c>
      <c r="E1326" s="591"/>
      <c r="F1326" s="591"/>
      <c r="G1326" s="591"/>
      <c r="H1326" s="591"/>
      <c r="I1326" s="591"/>
      <c r="J1326" s="591"/>
      <c r="K1326" s="542"/>
      <c r="O1326" s="1134"/>
      <c r="Q1326" s="1133"/>
    </row>
    <row r="1327" spans="2:17" x14ac:dyDescent="0.3">
      <c r="B1327" s="126"/>
      <c r="C1327" s="583">
        <v>957</v>
      </c>
      <c r="D1327" s="625" t="e">
        <f t="shared" si="39"/>
        <v>#VALUE!</v>
      </c>
      <c r="E1327" s="591"/>
      <c r="F1327" s="591"/>
      <c r="G1327" s="591"/>
      <c r="H1327" s="591"/>
      <c r="I1327" s="591"/>
      <c r="J1327" s="591"/>
      <c r="K1327" s="542"/>
      <c r="O1327" s="1134"/>
      <c r="Q1327" s="1133"/>
    </row>
    <row r="1328" spans="2:17" x14ac:dyDescent="0.3">
      <c r="B1328" s="126"/>
      <c r="C1328" s="583">
        <v>958</v>
      </c>
      <c r="D1328" s="625" t="e">
        <f t="shared" si="39"/>
        <v>#VALUE!</v>
      </c>
      <c r="E1328" s="591"/>
      <c r="F1328" s="591"/>
      <c r="G1328" s="591"/>
      <c r="H1328" s="591"/>
      <c r="I1328" s="591"/>
      <c r="J1328" s="591"/>
      <c r="K1328" s="542"/>
      <c r="O1328" s="1134"/>
      <c r="Q1328" s="1133"/>
    </row>
    <row r="1329" spans="2:17" x14ac:dyDescent="0.3">
      <c r="B1329" s="126"/>
      <c r="C1329" s="583">
        <v>959</v>
      </c>
      <c r="D1329" s="625" t="e">
        <f t="shared" si="39"/>
        <v>#VALUE!</v>
      </c>
      <c r="E1329" s="591"/>
      <c r="F1329" s="591"/>
      <c r="G1329" s="591"/>
      <c r="H1329" s="591"/>
      <c r="I1329" s="591"/>
      <c r="J1329" s="591"/>
      <c r="K1329" s="542"/>
      <c r="O1329" s="1134"/>
      <c r="Q1329" s="1133"/>
    </row>
    <row r="1330" spans="2:17" x14ac:dyDescent="0.3">
      <c r="B1330" s="126"/>
      <c r="C1330" s="583">
        <v>960</v>
      </c>
      <c r="D1330" s="625" t="e">
        <f t="shared" ref="D1330:D1370" si="40">$C$349*C1330</f>
        <v>#VALUE!</v>
      </c>
      <c r="E1330" s="591"/>
      <c r="F1330" s="591"/>
      <c r="G1330" s="591"/>
      <c r="H1330" s="591"/>
      <c r="I1330" s="591"/>
      <c r="J1330" s="591"/>
      <c r="K1330" s="542"/>
      <c r="O1330" s="1134"/>
      <c r="Q1330" s="1133"/>
    </row>
    <row r="1331" spans="2:17" x14ac:dyDescent="0.3">
      <c r="B1331" s="126"/>
      <c r="C1331" s="583">
        <v>961</v>
      </c>
      <c r="D1331" s="625" t="e">
        <f t="shared" si="40"/>
        <v>#VALUE!</v>
      </c>
      <c r="E1331" s="591"/>
      <c r="F1331" s="591"/>
      <c r="G1331" s="591"/>
      <c r="H1331" s="591"/>
      <c r="I1331" s="591"/>
      <c r="J1331" s="591"/>
      <c r="K1331" s="542"/>
      <c r="O1331" s="1134"/>
      <c r="Q1331" s="1133"/>
    </row>
    <row r="1332" spans="2:17" x14ac:dyDescent="0.3">
      <c r="B1332" s="126"/>
      <c r="C1332" s="583">
        <v>962</v>
      </c>
      <c r="D1332" s="625" t="e">
        <f t="shared" si="40"/>
        <v>#VALUE!</v>
      </c>
      <c r="E1332" s="591"/>
      <c r="F1332" s="591"/>
      <c r="G1332" s="591"/>
      <c r="H1332" s="591"/>
      <c r="I1332" s="591"/>
      <c r="J1332" s="591"/>
      <c r="K1332" s="542"/>
      <c r="O1332" s="1134"/>
      <c r="Q1332" s="1133"/>
    </row>
    <row r="1333" spans="2:17" x14ac:dyDescent="0.3">
      <c r="B1333" s="126"/>
      <c r="C1333" s="583">
        <v>963</v>
      </c>
      <c r="D1333" s="625" t="e">
        <f t="shared" si="40"/>
        <v>#VALUE!</v>
      </c>
      <c r="E1333" s="591"/>
      <c r="F1333" s="591"/>
      <c r="G1333" s="591"/>
      <c r="H1333" s="591"/>
      <c r="I1333" s="591"/>
      <c r="J1333" s="591"/>
      <c r="K1333" s="542"/>
      <c r="O1333" s="1134"/>
      <c r="Q1333" s="1133"/>
    </row>
    <row r="1334" spans="2:17" x14ac:dyDescent="0.3">
      <c r="B1334" s="126"/>
      <c r="C1334" s="583">
        <v>964</v>
      </c>
      <c r="D1334" s="625" t="e">
        <f t="shared" si="40"/>
        <v>#VALUE!</v>
      </c>
      <c r="E1334" s="591"/>
      <c r="F1334" s="591"/>
      <c r="G1334" s="591"/>
      <c r="H1334" s="591"/>
      <c r="I1334" s="591"/>
      <c r="J1334" s="591"/>
      <c r="K1334" s="542"/>
      <c r="O1334" s="1134"/>
      <c r="Q1334" s="1133"/>
    </row>
    <row r="1335" spans="2:17" x14ac:dyDescent="0.3">
      <c r="B1335" s="126"/>
      <c r="C1335" s="583">
        <v>965</v>
      </c>
      <c r="D1335" s="625" t="e">
        <f t="shared" si="40"/>
        <v>#VALUE!</v>
      </c>
      <c r="E1335" s="591"/>
      <c r="F1335" s="591"/>
      <c r="G1335" s="591"/>
      <c r="H1335" s="591"/>
      <c r="I1335" s="591"/>
      <c r="J1335" s="591"/>
      <c r="K1335" s="542"/>
      <c r="O1335" s="1134"/>
      <c r="Q1335" s="1133"/>
    </row>
    <row r="1336" spans="2:17" x14ac:dyDescent="0.3">
      <c r="B1336" s="126"/>
      <c r="C1336" s="583">
        <v>966</v>
      </c>
      <c r="D1336" s="625" t="e">
        <f t="shared" si="40"/>
        <v>#VALUE!</v>
      </c>
      <c r="E1336" s="591"/>
      <c r="F1336" s="591"/>
      <c r="G1336" s="591"/>
      <c r="H1336" s="591"/>
      <c r="I1336" s="591"/>
      <c r="J1336" s="591"/>
      <c r="K1336" s="542"/>
      <c r="O1336" s="1134"/>
      <c r="Q1336" s="1133"/>
    </row>
    <row r="1337" spans="2:17" x14ac:dyDescent="0.3">
      <c r="B1337" s="126"/>
      <c r="C1337" s="583">
        <v>967</v>
      </c>
      <c r="D1337" s="625" t="e">
        <f t="shared" si="40"/>
        <v>#VALUE!</v>
      </c>
      <c r="E1337" s="591"/>
      <c r="F1337" s="591"/>
      <c r="G1337" s="591"/>
      <c r="H1337" s="591"/>
      <c r="I1337" s="591"/>
      <c r="J1337" s="591"/>
      <c r="K1337" s="542"/>
      <c r="O1337" s="1134"/>
      <c r="Q1337" s="1133"/>
    </row>
    <row r="1338" spans="2:17" x14ac:dyDescent="0.3">
      <c r="B1338" s="126"/>
      <c r="C1338" s="583">
        <v>968</v>
      </c>
      <c r="D1338" s="625" t="e">
        <f t="shared" si="40"/>
        <v>#VALUE!</v>
      </c>
      <c r="E1338" s="591"/>
      <c r="F1338" s="591"/>
      <c r="G1338" s="591"/>
      <c r="H1338" s="591"/>
      <c r="I1338" s="591"/>
      <c r="J1338" s="591"/>
      <c r="K1338" s="542"/>
      <c r="O1338" s="1134"/>
      <c r="Q1338" s="1133"/>
    </row>
    <row r="1339" spans="2:17" x14ac:dyDescent="0.3">
      <c r="B1339" s="126"/>
      <c r="C1339" s="583">
        <v>969</v>
      </c>
      <c r="D1339" s="625" t="e">
        <f t="shared" si="40"/>
        <v>#VALUE!</v>
      </c>
      <c r="E1339" s="591"/>
      <c r="F1339" s="591"/>
      <c r="G1339" s="591"/>
      <c r="H1339" s="591"/>
      <c r="I1339" s="591"/>
      <c r="J1339" s="591"/>
      <c r="K1339" s="542"/>
      <c r="O1339" s="1134"/>
      <c r="Q1339" s="1133"/>
    </row>
    <row r="1340" spans="2:17" x14ac:dyDescent="0.3">
      <c r="B1340" s="126"/>
      <c r="C1340" s="583">
        <v>970</v>
      </c>
      <c r="D1340" s="625" t="e">
        <f t="shared" si="40"/>
        <v>#VALUE!</v>
      </c>
      <c r="E1340" s="591"/>
      <c r="F1340" s="591"/>
      <c r="G1340" s="591"/>
      <c r="H1340" s="591"/>
      <c r="I1340" s="591"/>
      <c r="J1340" s="591"/>
      <c r="K1340" s="542"/>
      <c r="O1340" s="1134"/>
      <c r="Q1340" s="1133"/>
    </row>
    <row r="1341" spans="2:17" x14ac:dyDescent="0.3">
      <c r="B1341" s="126"/>
      <c r="C1341" s="583">
        <v>971</v>
      </c>
      <c r="D1341" s="625" t="e">
        <f t="shared" si="40"/>
        <v>#VALUE!</v>
      </c>
      <c r="E1341" s="591"/>
      <c r="F1341" s="591"/>
      <c r="G1341" s="591"/>
      <c r="H1341" s="591"/>
      <c r="I1341" s="591"/>
      <c r="J1341" s="591"/>
      <c r="K1341" s="542"/>
      <c r="O1341" s="1134"/>
      <c r="Q1341" s="1133"/>
    </row>
    <row r="1342" spans="2:17" x14ac:dyDescent="0.3">
      <c r="B1342" s="126"/>
      <c r="C1342" s="583">
        <v>972</v>
      </c>
      <c r="D1342" s="625" t="e">
        <f t="shared" si="40"/>
        <v>#VALUE!</v>
      </c>
      <c r="E1342" s="591"/>
      <c r="F1342" s="591"/>
      <c r="G1342" s="591"/>
      <c r="H1342" s="591"/>
      <c r="I1342" s="591"/>
      <c r="J1342" s="591"/>
      <c r="K1342" s="542"/>
      <c r="O1342" s="1134"/>
      <c r="Q1342" s="1133"/>
    </row>
    <row r="1343" spans="2:17" x14ac:dyDescent="0.3">
      <c r="B1343" s="126"/>
      <c r="C1343" s="583">
        <v>973</v>
      </c>
      <c r="D1343" s="625" t="e">
        <f t="shared" si="40"/>
        <v>#VALUE!</v>
      </c>
      <c r="E1343" s="591"/>
      <c r="F1343" s="591"/>
      <c r="G1343" s="591"/>
      <c r="H1343" s="591"/>
      <c r="I1343" s="591"/>
      <c r="J1343" s="591"/>
      <c r="K1343" s="542"/>
      <c r="O1343" s="1134"/>
      <c r="Q1343" s="1133"/>
    </row>
    <row r="1344" spans="2:17" x14ac:dyDescent="0.3">
      <c r="B1344" s="126"/>
      <c r="C1344" s="583">
        <v>974</v>
      </c>
      <c r="D1344" s="625" t="e">
        <f t="shared" si="40"/>
        <v>#VALUE!</v>
      </c>
      <c r="E1344" s="591"/>
      <c r="F1344" s="591"/>
      <c r="G1344" s="591"/>
      <c r="H1344" s="591"/>
      <c r="I1344" s="591"/>
      <c r="J1344" s="591"/>
      <c r="K1344" s="542"/>
      <c r="O1344" s="1134"/>
      <c r="Q1344" s="1133"/>
    </row>
    <row r="1345" spans="2:17" x14ac:dyDescent="0.3">
      <c r="B1345" s="126"/>
      <c r="C1345" s="583">
        <v>975</v>
      </c>
      <c r="D1345" s="625" t="e">
        <f t="shared" si="40"/>
        <v>#VALUE!</v>
      </c>
      <c r="E1345" s="591"/>
      <c r="F1345" s="591"/>
      <c r="G1345" s="591"/>
      <c r="H1345" s="591"/>
      <c r="I1345" s="591"/>
      <c r="J1345" s="591"/>
      <c r="K1345" s="542"/>
      <c r="O1345" s="1134"/>
      <c r="Q1345" s="1133"/>
    </row>
    <row r="1346" spans="2:17" x14ac:dyDescent="0.3">
      <c r="B1346" s="126"/>
      <c r="C1346" s="583">
        <v>976</v>
      </c>
      <c r="D1346" s="625" t="e">
        <f t="shared" si="40"/>
        <v>#VALUE!</v>
      </c>
      <c r="E1346" s="591"/>
      <c r="F1346" s="591"/>
      <c r="G1346" s="591"/>
      <c r="H1346" s="591"/>
      <c r="I1346" s="591"/>
      <c r="J1346" s="591"/>
      <c r="K1346" s="542"/>
      <c r="O1346" s="1134"/>
      <c r="Q1346" s="1133"/>
    </row>
    <row r="1347" spans="2:17" x14ac:dyDescent="0.3">
      <c r="B1347" s="126"/>
      <c r="C1347" s="583">
        <v>977</v>
      </c>
      <c r="D1347" s="625" t="e">
        <f t="shared" si="40"/>
        <v>#VALUE!</v>
      </c>
      <c r="E1347" s="591"/>
      <c r="F1347" s="591"/>
      <c r="G1347" s="591"/>
      <c r="H1347" s="591"/>
      <c r="I1347" s="591"/>
      <c r="J1347" s="591"/>
      <c r="K1347" s="542"/>
      <c r="O1347" s="1134"/>
      <c r="Q1347" s="1133"/>
    </row>
    <row r="1348" spans="2:17" x14ac:dyDescent="0.3">
      <c r="B1348" s="126"/>
      <c r="C1348" s="583">
        <v>978</v>
      </c>
      <c r="D1348" s="625" t="e">
        <f t="shared" si="40"/>
        <v>#VALUE!</v>
      </c>
      <c r="E1348" s="591"/>
      <c r="F1348" s="591"/>
      <c r="G1348" s="591"/>
      <c r="H1348" s="591"/>
      <c r="I1348" s="591"/>
      <c r="J1348" s="591"/>
      <c r="K1348" s="542"/>
      <c r="O1348" s="1134"/>
      <c r="Q1348" s="1133"/>
    </row>
    <row r="1349" spans="2:17" x14ac:dyDescent="0.3">
      <c r="B1349" s="126"/>
      <c r="C1349" s="583">
        <v>979</v>
      </c>
      <c r="D1349" s="625" t="e">
        <f t="shared" si="40"/>
        <v>#VALUE!</v>
      </c>
      <c r="E1349" s="591"/>
      <c r="F1349" s="591"/>
      <c r="G1349" s="591"/>
      <c r="H1349" s="591"/>
      <c r="I1349" s="591"/>
      <c r="J1349" s="591"/>
      <c r="K1349" s="542"/>
      <c r="O1349" s="1134"/>
      <c r="Q1349" s="1133"/>
    </row>
    <row r="1350" spans="2:17" x14ac:dyDescent="0.3">
      <c r="B1350" s="126"/>
      <c r="C1350" s="583">
        <v>980</v>
      </c>
      <c r="D1350" s="625" t="e">
        <f t="shared" si="40"/>
        <v>#VALUE!</v>
      </c>
      <c r="E1350" s="591"/>
      <c r="F1350" s="591"/>
      <c r="G1350" s="591"/>
      <c r="H1350" s="591"/>
      <c r="I1350" s="591"/>
      <c r="J1350" s="591"/>
      <c r="K1350" s="542"/>
      <c r="O1350" s="1134"/>
      <c r="Q1350" s="1133"/>
    </row>
    <row r="1351" spans="2:17" x14ac:dyDescent="0.3">
      <c r="B1351" s="126"/>
      <c r="C1351" s="583">
        <v>981</v>
      </c>
      <c r="D1351" s="625" t="e">
        <f t="shared" si="40"/>
        <v>#VALUE!</v>
      </c>
      <c r="E1351" s="591"/>
      <c r="F1351" s="591"/>
      <c r="G1351" s="591"/>
      <c r="H1351" s="591"/>
      <c r="I1351" s="591"/>
      <c r="J1351" s="591"/>
      <c r="K1351" s="542"/>
      <c r="O1351" s="1134"/>
      <c r="Q1351" s="1133"/>
    </row>
    <row r="1352" spans="2:17" x14ac:dyDescent="0.3">
      <c r="B1352" s="126"/>
      <c r="C1352" s="583">
        <v>982</v>
      </c>
      <c r="D1352" s="625" t="e">
        <f t="shared" si="40"/>
        <v>#VALUE!</v>
      </c>
      <c r="E1352" s="591"/>
      <c r="F1352" s="591"/>
      <c r="G1352" s="591"/>
      <c r="H1352" s="591"/>
      <c r="I1352" s="591"/>
      <c r="J1352" s="591"/>
      <c r="K1352" s="542"/>
      <c r="O1352" s="1134"/>
      <c r="Q1352" s="1133"/>
    </row>
    <row r="1353" spans="2:17" x14ac:dyDescent="0.3">
      <c r="B1353" s="126"/>
      <c r="C1353" s="583">
        <v>983</v>
      </c>
      <c r="D1353" s="625" t="e">
        <f t="shared" si="40"/>
        <v>#VALUE!</v>
      </c>
      <c r="E1353" s="591"/>
      <c r="F1353" s="591"/>
      <c r="G1353" s="591"/>
      <c r="H1353" s="591"/>
      <c r="I1353" s="591"/>
      <c r="J1353" s="591"/>
      <c r="K1353" s="542"/>
      <c r="O1353" s="1134"/>
      <c r="Q1353" s="1133"/>
    </row>
    <row r="1354" spans="2:17" x14ac:dyDescent="0.3">
      <c r="B1354" s="126"/>
      <c r="C1354" s="583">
        <v>984</v>
      </c>
      <c r="D1354" s="625" t="e">
        <f t="shared" si="40"/>
        <v>#VALUE!</v>
      </c>
      <c r="E1354" s="591"/>
      <c r="F1354" s="591"/>
      <c r="G1354" s="591"/>
      <c r="H1354" s="591"/>
      <c r="I1354" s="591"/>
      <c r="J1354" s="591"/>
      <c r="K1354" s="542"/>
      <c r="O1354" s="1134"/>
      <c r="Q1354" s="1133"/>
    </row>
    <row r="1355" spans="2:17" x14ac:dyDescent="0.3">
      <c r="B1355" s="126"/>
      <c r="C1355" s="583">
        <v>985</v>
      </c>
      <c r="D1355" s="625" t="e">
        <f t="shared" si="40"/>
        <v>#VALUE!</v>
      </c>
      <c r="E1355" s="591"/>
      <c r="F1355" s="591"/>
      <c r="G1355" s="591"/>
      <c r="H1355" s="591"/>
      <c r="I1355" s="591"/>
      <c r="J1355" s="591"/>
      <c r="K1355" s="542"/>
      <c r="O1355" s="1134"/>
      <c r="Q1355" s="1133"/>
    </row>
    <row r="1356" spans="2:17" x14ac:dyDescent="0.3">
      <c r="B1356" s="126"/>
      <c r="C1356" s="583">
        <v>986</v>
      </c>
      <c r="D1356" s="625" t="e">
        <f t="shared" si="40"/>
        <v>#VALUE!</v>
      </c>
      <c r="E1356" s="591"/>
      <c r="F1356" s="591"/>
      <c r="G1356" s="591"/>
      <c r="H1356" s="591"/>
      <c r="I1356" s="591"/>
      <c r="J1356" s="591"/>
      <c r="K1356" s="542"/>
      <c r="O1356" s="1134"/>
      <c r="Q1356" s="1133"/>
    </row>
    <row r="1357" spans="2:17" x14ac:dyDescent="0.3">
      <c r="B1357" s="126"/>
      <c r="C1357" s="583">
        <v>987</v>
      </c>
      <c r="D1357" s="625" t="e">
        <f t="shared" si="40"/>
        <v>#VALUE!</v>
      </c>
      <c r="E1357" s="591"/>
      <c r="F1357" s="591"/>
      <c r="G1357" s="591"/>
      <c r="H1357" s="591"/>
      <c r="I1357" s="591"/>
      <c r="J1357" s="591"/>
      <c r="K1357" s="542"/>
      <c r="O1357" s="1134"/>
      <c r="Q1357" s="1133"/>
    </row>
    <row r="1358" spans="2:17" x14ac:dyDescent="0.3">
      <c r="B1358" s="126"/>
      <c r="C1358" s="583">
        <v>988</v>
      </c>
      <c r="D1358" s="625" t="e">
        <f t="shared" si="40"/>
        <v>#VALUE!</v>
      </c>
      <c r="E1358" s="591"/>
      <c r="F1358" s="591"/>
      <c r="G1358" s="591"/>
      <c r="H1358" s="591"/>
      <c r="I1358" s="591"/>
      <c r="J1358" s="591"/>
      <c r="K1358" s="542"/>
      <c r="O1358" s="1134"/>
      <c r="Q1358" s="1133"/>
    </row>
    <row r="1359" spans="2:17" x14ac:dyDescent="0.3">
      <c r="B1359" s="126"/>
      <c r="C1359" s="583">
        <v>989</v>
      </c>
      <c r="D1359" s="625" t="e">
        <f t="shared" si="40"/>
        <v>#VALUE!</v>
      </c>
      <c r="E1359" s="591"/>
      <c r="F1359" s="591"/>
      <c r="G1359" s="591"/>
      <c r="H1359" s="591"/>
      <c r="I1359" s="591"/>
      <c r="J1359" s="591"/>
      <c r="K1359" s="542"/>
      <c r="O1359" s="1134"/>
      <c r="Q1359" s="1133"/>
    </row>
    <row r="1360" spans="2:17" x14ac:dyDescent="0.3">
      <c r="B1360" s="126"/>
      <c r="C1360" s="583">
        <v>990</v>
      </c>
      <c r="D1360" s="625" t="e">
        <f t="shared" si="40"/>
        <v>#VALUE!</v>
      </c>
      <c r="E1360" s="591"/>
      <c r="F1360" s="591"/>
      <c r="G1360" s="591"/>
      <c r="H1360" s="591"/>
      <c r="I1360" s="591"/>
      <c r="J1360" s="591"/>
      <c r="K1360" s="542"/>
      <c r="O1360" s="1134"/>
      <c r="Q1360" s="1133"/>
    </row>
    <row r="1361" spans="1:17" x14ac:dyDescent="0.3">
      <c r="B1361" s="126"/>
      <c r="C1361" s="583">
        <v>991</v>
      </c>
      <c r="D1361" s="625" t="e">
        <f t="shared" si="40"/>
        <v>#VALUE!</v>
      </c>
      <c r="E1361" s="591"/>
      <c r="F1361" s="591"/>
      <c r="G1361" s="591"/>
      <c r="H1361" s="591"/>
      <c r="I1361" s="591"/>
      <c r="J1361" s="591"/>
      <c r="K1361" s="542"/>
      <c r="O1361" s="1134"/>
      <c r="Q1361" s="1133"/>
    </row>
    <row r="1362" spans="1:17" x14ac:dyDescent="0.3">
      <c r="B1362" s="126"/>
      <c r="C1362" s="583">
        <v>992</v>
      </c>
      <c r="D1362" s="625" t="e">
        <f t="shared" si="40"/>
        <v>#VALUE!</v>
      </c>
      <c r="E1362" s="591"/>
      <c r="F1362" s="591"/>
      <c r="G1362" s="591"/>
      <c r="H1362" s="591"/>
      <c r="I1362" s="591"/>
      <c r="J1362" s="591"/>
      <c r="K1362" s="542"/>
      <c r="O1362" s="1134"/>
      <c r="Q1362" s="1133"/>
    </row>
    <row r="1363" spans="1:17" x14ac:dyDescent="0.3">
      <c r="B1363" s="126"/>
      <c r="C1363" s="583">
        <v>993</v>
      </c>
      <c r="D1363" s="625" t="e">
        <f t="shared" si="40"/>
        <v>#VALUE!</v>
      </c>
      <c r="E1363" s="591"/>
      <c r="F1363" s="591"/>
      <c r="G1363" s="591"/>
      <c r="H1363" s="591"/>
      <c r="I1363" s="591"/>
      <c r="J1363" s="591"/>
      <c r="K1363" s="542"/>
      <c r="O1363" s="1134"/>
      <c r="Q1363" s="1133"/>
    </row>
    <row r="1364" spans="1:17" x14ac:dyDescent="0.3">
      <c r="B1364" s="126"/>
      <c r="C1364" s="583">
        <v>994</v>
      </c>
      <c r="D1364" s="625" t="e">
        <f t="shared" si="40"/>
        <v>#VALUE!</v>
      </c>
      <c r="E1364" s="591"/>
      <c r="F1364" s="591"/>
      <c r="G1364" s="591"/>
      <c r="H1364" s="591"/>
      <c r="I1364" s="591"/>
      <c r="J1364" s="591"/>
      <c r="K1364" s="542"/>
      <c r="O1364" s="1134"/>
      <c r="Q1364" s="1133"/>
    </row>
    <row r="1365" spans="1:17" x14ac:dyDescent="0.3">
      <c r="B1365" s="126"/>
      <c r="C1365" s="583">
        <v>995</v>
      </c>
      <c r="D1365" s="625" t="e">
        <f t="shared" si="40"/>
        <v>#VALUE!</v>
      </c>
      <c r="E1365" s="591"/>
      <c r="F1365" s="591"/>
      <c r="G1365" s="591"/>
      <c r="H1365" s="591"/>
      <c r="I1365" s="591"/>
      <c r="J1365" s="591"/>
      <c r="K1365" s="542"/>
      <c r="O1365" s="1134"/>
      <c r="Q1365" s="1133"/>
    </row>
    <row r="1366" spans="1:17" x14ac:dyDescent="0.3">
      <c r="B1366" s="126"/>
      <c r="C1366" s="583">
        <v>996</v>
      </c>
      <c r="D1366" s="625" t="e">
        <f t="shared" si="40"/>
        <v>#VALUE!</v>
      </c>
      <c r="E1366" s="591"/>
      <c r="F1366" s="591"/>
      <c r="G1366" s="591"/>
      <c r="H1366" s="591"/>
      <c r="I1366" s="591"/>
      <c r="J1366" s="591"/>
      <c r="K1366" s="542"/>
      <c r="O1366" s="1134"/>
      <c r="Q1366" s="1133"/>
    </row>
    <row r="1367" spans="1:17" x14ac:dyDescent="0.3">
      <c r="B1367" s="126"/>
      <c r="C1367" s="583">
        <v>997</v>
      </c>
      <c r="D1367" s="625" t="e">
        <f t="shared" si="40"/>
        <v>#VALUE!</v>
      </c>
      <c r="E1367" s="591"/>
      <c r="F1367" s="591"/>
      <c r="G1367" s="591"/>
      <c r="H1367" s="591"/>
      <c r="I1367" s="591"/>
      <c r="J1367" s="591"/>
      <c r="K1367" s="542"/>
      <c r="O1367" s="1134"/>
      <c r="Q1367" s="1133"/>
    </row>
    <row r="1368" spans="1:17" x14ac:dyDescent="0.3">
      <c r="B1368" s="126"/>
      <c r="C1368" s="583">
        <v>998</v>
      </c>
      <c r="D1368" s="625" t="e">
        <f t="shared" si="40"/>
        <v>#VALUE!</v>
      </c>
      <c r="E1368" s="591"/>
      <c r="F1368" s="591"/>
      <c r="G1368" s="591"/>
      <c r="H1368" s="591"/>
      <c r="I1368" s="591"/>
      <c r="J1368" s="591"/>
      <c r="K1368" s="542"/>
      <c r="O1368" s="1134"/>
      <c r="Q1368" s="1133"/>
    </row>
    <row r="1369" spans="1:17" x14ac:dyDescent="0.3">
      <c r="B1369" s="126"/>
      <c r="C1369" s="583">
        <v>999</v>
      </c>
      <c r="D1369" s="625" t="e">
        <f t="shared" si="40"/>
        <v>#VALUE!</v>
      </c>
      <c r="E1369" s="591"/>
      <c r="F1369" s="591"/>
      <c r="G1369" s="591"/>
      <c r="H1369" s="591"/>
      <c r="I1369" s="591"/>
      <c r="J1369" s="591"/>
      <c r="K1369" s="542"/>
      <c r="O1369" s="1134"/>
      <c r="Q1369" s="1133"/>
    </row>
    <row r="1370" spans="1:17" ht="17.25" thickBot="1" x14ac:dyDescent="0.35">
      <c r="B1370" s="126"/>
      <c r="C1370" s="592">
        <v>1000</v>
      </c>
      <c r="D1370" s="626" t="e">
        <f t="shared" si="40"/>
        <v>#VALUE!</v>
      </c>
      <c r="E1370" s="594"/>
      <c r="F1370" s="594"/>
      <c r="G1370" s="594"/>
      <c r="H1370" s="594"/>
      <c r="I1370" s="594"/>
      <c r="J1370" s="594"/>
      <c r="K1370" s="547"/>
      <c r="O1370" s="1134"/>
      <c r="Q1370" s="1133"/>
    </row>
    <row r="1371" spans="1:17" x14ac:dyDescent="0.3">
      <c r="B1371" s="126"/>
      <c r="C1371" s="126"/>
      <c r="D1371" s="126"/>
      <c r="E1371" s="591"/>
      <c r="F1371" s="591"/>
      <c r="G1371" s="591"/>
      <c r="H1371" s="591"/>
      <c r="I1371" s="591"/>
      <c r="J1371" s="591"/>
      <c r="K1371" s="122"/>
      <c r="O1371" s="1134"/>
      <c r="Q1371" s="1133"/>
    </row>
    <row r="1372" spans="1:17" ht="17.25" x14ac:dyDescent="0.3">
      <c r="A1372" s="127"/>
      <c r="B1372" s="136"/>
      <c r="C1372" s="137"/>
      <c r="D1372" s="138"/>
      <c r="E1372" s="136"/>
      <c r="F1372" s="284"/>
      <c r="G1372" s="283"/>
      <c r="H1372" s="284"/>
      <c r="I1372" s="139"/>
      <c r="J1372" s="127"/>
      <c r="K1372" s="127"/>
      <c r="L1372" s="140"/>
      <c r="M1372" s="127"/>
      <c r="N1372" s="127"/>
      <c r="O1372" s="127"/>
      <c r="P1372" s="1133"/>
      <c r="Q1372" s="1133"/>
    </row>
  </sheetData>
  <sheetProtection algorithmName="SHA-512" hashValue="DMweywSssxe+NLloiHo/NBrWOFzIdQ3IUePZ6mC3ecT97QKUCST6WwkDqO1LhNUsDyWAUTPN3rNHBjFcTWCCVw==" saltValue="Hpahqikql/At0NJ9MBfnGg==" spinCount="100000" sheet="1" selectLockedCells="1"/>
  <mergeCells count="45">
    <mergeCell ref="G348:K348"/>
    <mergeCell ref="G349:K349"/>
    <mergeCell ref="G352:H352"/>
    <mergeCell ref="G361:H361"/>
    <mergeCell ref="G342:K342"/>
    <mergeCell ref="G343:K343"/>
    <mergeCell ref="G344:K344"/>
    <mergeCell ref="G345:K345"/>
    <mergeCell ref="G346:K346"/>
    <mergeCell ref="G347:K347"/>
    <mergeCell ref="G341:K341"/>
    <mergeCell ref="F225:J225"/>
    <mergeCell ref="F226:J226"/>
    <mergeCell ref="F227:J227"/>
    <mergeCell ref="F228:J228"/>
    <mergeCell ref="F229:J229"/>
    <mergeCell ref="F230:J230"/>
    <mergeCell ref="F231:J231"/>
    <mergeCell ref="C337:K337"/>
    <mergeCell ref="G338:K338"/>
    <mergeCell ref="G339:K339"/>
    <mergeCell ref="G340:K340"/>
    <mergeCell ref="F224:J224"/>
    <mergeCell ref="F213:J213"/>
    <mergeCell ref="F214:J214"/>
    <mergeCell ref="F215:J215"/>
    <mergeCell ref="F216:J216"/>
    <mergeCell ref="F217:J217"/>
    <mergeCell ref="F218:J218"/>
    <mergeCell ref="F219:J219"/>
    <mergeCell ref="F220:J220"/>
    <mergeCell ref="F221:J221"/>
    <mergeCell ref="F222:J222"/>
    <mergeCell ref="F223:J223"/>
    <mergeCell ref="F212:J212"/>
    <mergeCell ref="B2:C2"/>
    <mergeCell ref="D3:E3"/>
    <mergeCell ref="G4:H4"/>
    <mergeCell ref="B12:B13"/>
    <mergeCell ref="C12:C13"/>
    <mergeCell ref="D12:D13"/>
    <mergeCell ref="E12:E13"/>
    <mergeCell ref="B151:F151"/>
    <mergeCell ref="F12:F13"/>
    <mergeCell ref="F211:J211"/>
  </mergeCells>
  <hyperlinks>
    <hyperlink ref="G4" location="Instructions!C33" display="Back to Instructions tab" xr:uid="{DC324B8D-08C4-4387-B3C8-8DCBE9058951}"/>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B6E881A9-E6E4-469C-B8C8-B77B49B59567}">
          <x14:formula1>
            <xm:f>'Drop-Downs and Tables'!$B$92:$B$94</xm:f>
          </x14:formula1>
          <xm:sqref>E30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6D63E-BE5D-4496-B797-D864158C93A7}">
  <sheetPr codeName="Sheet18">
    <tabColor rgb="FF0070C0"/>
  </sheetPr>
  <dimension ref="A1:Q1369"/>
  <sheetViews>
    <sheetView showGridLines="0" zoomScale="80" zoomScaleNormal="80" workbookViewId="0">
      <selection activeCell="E134" sqref="E134"/>
    </sheetView>
  </sheetViews>
  <sheetFormatPr defaultColWidth="9" defaultRowHeight="16.5" x14ac:dyDescent="0.3"/>
  <cols>
    <col min="1" max="1" width="3.625" style="126" customWidth="1"/>
    <col min="2" max="2" width="75.125" style="122" customWidth="1"/>
    <col min="3" max="3" width="37.125" style="123" customWidth="1"/>
    <col min="4" max="4" width="17" style="124" customWidth="1"/>
    <col min="5" max="5" width="23.125" style="122" bestFit="1" customWidth="1"/>
    <col min="6" max="6" width="21.125" style="122" customWidth="1"/>
    <col min="7" max="7" width="17.125" style="122" customWidth="1"/>
    <col min="8" max="8" width="12.125" style="122" customWidth="1"/>
    <col min="9" max="9" width="12.125" style="125" customWidth="1"/>
    <col min="10" max="11" width="12.125" style="126" customWidth="1"/>
    <col min="12" max="12" width="11.875" style="122" customWidth="1"/>
    <col min="13" max="14" width="10.5" style="126" customWidth="1"/>
    <col min="15" max="15" width="11.875" style="126" customWidth="1"/>
    <col min="16" max="16" width="10.5" style="126" customWidth="1"/>
    <col min="17" max="18" width="7.875" style="126" bestFit="1" customWidth="1"/>
    <col min="19" max="19" width="5.625" style="126" bestFit="1" customWidth="1"/>
    <col min="20" max="20" width="14.5" style="126" customWidth="1"/>
    <col min="21" max="21" width="15" style="126" customWidth="1"/>
    <col min="22" max="16384" width="9" style="126"/>
  </cols>
  <sheetData>
    <row r="1" spans="2:17" ht="17.25" thickBot="1" x14ac:dyDescent="0.35">
      <c r="Q1" s="1133"/>
    </row>
    <row r="2" spans="2:17" ht="18" thickBot="1" x14ac:dyDescent="0.35">
      <c r="B2" s="1838" t="s">
        <v>228</v>
      </c>
      <c r="C2" s="1839"/>
      <c r="D2" s="231"/>
      <c r="E2" s="231"/>
      <c r="F2" s="130"/>
      <c r="H2" s="125"/>
      <c r="I2" s="126"/>
      <c r="K2" s="122"/>
      <c r="L2" s="126"/>
      <c r="Q2" s="1133"/>
    </row>
    <row r="3" spans="2:17" x14ac:dyDescent="0.3">
      <c r="B3" s="562" t="s">
        <v>229</v>
      </c>
      <c r="C3" s="563" t="str">
        <f>'Version Control'!C3</f>
        <v>Consumer Boiler</v>
      </c>
      <c r="D3" s="1844"/>
      <c r="E3" s="1844"/>
      <c r="F3" s="130"/>
      <c r="G3" s="130"/>
      <c r="Q3" s="1133"/>
    </row>
    <row r="4" spans="2:17" ht="18" x14ac:dyDescent="0.3">
      <c r="B4" s="564" t="s">
        <v>117</v>
      </c>
      <c r="C4" s="565" t="str">
        <f>'Version Control'!C4</f>
        <v>v2.1</v>
      </c>
      <c r="D4" s="566"/>
      <c r="E4" s="171"/>
      <c r="G4" s="1832" t="s">
        <v>124</v>
      </c>
      <c r="H4" s="1832"/>
      <c r="K4" s="122"/>
      <c r="L4" s="126"/>
      <c r="Q4" s="1133"/>
    </row>
    <row r="5" spans="2:17" x14ac:dyDescent="0.3">
      <c r="B5" s="564" t="s">
        <v>118</v>
      </c>
      <c r="C5" s="567">
        <f>'Version Control'!C5</f>
        <v>45407</v>
      </c>
      <c r="D5" s="568"/>
      <c r="E5" s="233"/>
      <c r="F5" s="130"/>
      <c r="H5" s="125"/>
      <c r="I5" s="126"/>
      <c r="K5" s="122"/>
      <c r="L5" s="126"/>
      <c r="Q5" s="1133"/>
    </row>
    <row r="6" spans="2:17" x14ac:dyDescent="0.3">
      <c r="B6" s="569" t="s">
        <v>116</v>
      </c>
      <c r="C6" s="570" t="str">
        <f ca="1">MID(CELL("filename",A1), FIND("]", CELL("filename", A1))+ 1, 255)</f>
        <v>Con, Non-Mod Calculations</v>
      </c>
      <c r="D6" s="571"/>
      <c r="E6" s="171"/>
      <c r="F6" s="130"/>
      <c r="H6" s="125"/>
      <c r="I6" s="126"/>
      <c r="K6" s="122"/>
      <c r="L6" s="126"/>
      <c r="Q6" s="1133"/>
    </row>
    <row r="7" spans="2:17" x14ac:dyDescent="0.3">
      <c r="B7" s="572" t="s">
        <v>115</v>
      </c>
      <c r="C7" s="573" t="str">
        <f ca="1">'Version Control'!C7</f>
        <v>Consumer Boiler - v2.1.xlsx</v>
      </c>
      <c r="D7" s="571"/>
      <c r="E7" s="171"/>
      <c r="F7" s="130"/>
      <c r="H7" s="125"/>
      <c r="I7" s="126"/>
      <c r="K7" s="122"/>
      <c r="L7" s="126"/>
      <c r="Q7" s="1133"/>
    </row>
    <row r="8" spans="2:17" ht="17.25" thickBot="1" x14ac:dyDescent="0.35">
      <c r="B8" s="574" t="s">
        <v>119</v>
      </c>
      <c r="C8" s="575" t="str">
        <f>'Version Control'!C8</f>
        <v>[MM/DD/YYYY]</v>
      </c>
      <c r="D8" s="576"/>
      <c r="E8" s="156"/>
      <c r="F8" s="130"/>
      <c r="H8" s="125"/>
      <c r="I8" s="126"/>
      <c r="K8" s="122"/>
      <c r="L8" s="126"/>
      <c r="Q8" s="1133"/>
    </row>
    <row r="9" spans="2:17" ht="17.25" x14ac:dyDescent="0.35">
      <c r="B9" s="131"/>
      <c r="I9" s="122"/>
      <c r="J9" s="122"/>
      <c r="K9" s="122"/>
      <c r="Q9" s="1133"/>
    </row>
    <row r="10" spans="2:17" ht="18" thickBot="1" x14ac:dyDescent="0.35">
      <c r="E10" s="176"/>
      <c r="H10" s="125"/>
      <c r="J10" s="122"/>
      <c r="K10" s="122"/>
      <c r="Q10" s="1133"/>
    </row>
    <row r="11" spans="2:17" ht="18" thickBot="1" x14ac:dyDescent="0.4">
      <c r="B11" s="487" t="s">
        <v>526</v>
      </c>
      <c r="C11" s="534"/>
      <c r="D11" s="535"/>
      <c r="E11" s="488"/>
      <c r="F11" s="536"/>
      <c r="G11" s="1329"/>
      <c r="H11" s="1329"/>
      <c r="I11" s="1329"/>
      <c r="J11" s="1329"/>
      <c r="L11" s="126"/>
      <c r="O11" s="1134"/>
      <c r="Q11" s="1133"/>
    </row>
    <row r="12" spans="2:17" ht="49.5" customHeight="1" x14ac:dyDescent="0.3">
      <c r="B12" s="1825" t="s">
        <v>71</v>
      </c>
      <c r="C12" s="1827" t="s">
        <v>33</v>
      </c>
      <c r="D12" s="1829" t="s">
        <v>62</v>
      </c>
      <c r="E12" s="1831" t="s">
        <v>528</v>
      </c>
      <c r="F12" s="1823" t="s">
        <v>136</v>
      </c>
      <c r="G12" s="126"/>
      <c r="H12" s="126"/>
      <c r="I12" s="126"/>
      <c r="K12" s="1134"/>
      <c r="L12" s="126"/>
      <c r="Q12" s="1133"/>
    </row>
    <row r="13" spans="2:17" ht="33" customHeight="1" thickBot="1" x14ac:dyDescent="0.35">
      <c r="B13" s="1840"/>
      <c r="C13" s="1841"/>
      <c r="D13" s="1833"/>
      <c r="E13" s="1848"/>
      <c r="F13" s="1834"/>
      <c r="G13" s="126"/>
      <c r="H13" s="126"/>
      <c r="I13" s="126"/>
      <c r="K13" s="1134"/>
      <c r="L13" s="126"/>
      <c r="Q13" s="1133"/>
    </row>
    <row r="14" spans="2:17" ht="18" thickBot="1" x14ac:dyDescent="0.35">
      <c r="B14" s="847" t="s">
        <v>518</v>
      </c>
      <c r="C14" s="848" t="s">
        <v>175</v>
      </c>
      <c r="D14" s="849" t="str">
        <f>IF('Sys. # &amp; Product Characteristic'!Energy_Source="Electricity","11.1",
IF(AND('Sys. # &amp; Product Characteristic'!Control_Type="Single Stage",'Sys. # &amp; Product Characteristic'!Flue_Gas="Non-Condensing"),"11.2",
IF(AND('Sys. # &amp; Product Characteristic'!Control_Type="Single Stage",'Sys. # &amp; Product Characteristic'!Flue_Gas="Condensing"),"11.3",
IF(AND(OR('Sys. # &amp; Product Characteristic'!Control_Type="Step Modulating",'Sys. # &amp; Product Characteristic'!Control_Type="Two-Stage Modulating"),'Sys. # &amp; Product Characteristic'!Flue_Gas="Non-Condensing"),"11.4",
IF(AND(OR('Sys. # &amp; Product Characteristic'!Control_Type="Step Modulating",'Sys. # &amp; Product Characteristic'!Control_Type="Two-Stage Modulating"),'Sys. # &amp; Product Characteristic'!Flue_Gas="Condensing"),"11.5",
"Unknown")))))</f>
        <v>Unknown</v>
      </c>
      <c r="E14" s="850" t="str">
        <f>"11.3"</f>
        <v>11.3</v>
      </c>
      <c r="F14" s="851" t="s">
        <v>175</v>
      </c>
      <c r="G14" s="126"/>
      <c r="H14" s="126"/>
      <c r="I14" s="126"/>
      <c r="K14" s="1134"/>
      <c r="L14" s="126"/>
      <c r="Q14" s="1133"/>
    </row>
    <row r="15" spans="2:17" ht="18" thickBot="1" x14ac:dyDescent="0.35">
      <c r="B15" s="804"/>
      <c r="C15" s="781"/>
      <c r="D15" s="781"/>
      <c r="E15" s="782"/>
      <c r="F15" s="805"/>
      <c r="G15" s="126"/>
      <c r="H15" s="126"/>
      <c r="I15" s="126"/>
      <c r="K15" s="1134"/>
      <c r="L15" s="126"/>
      <c r="Q15" s="1133"/>
    </row>
    <row r="16" spans="2:17" ht="17.25" x14ac:dyDescent="0.3">
      <c r="B16" s="820" t="s">
        <v>856</v>
      </c>
      <c r="C16" s="821"/>
      <c r="D16" s="821"/>
      <c r="E16" s="822"/>
      <c r="F16" s="823"/>
      <c r="G16" s="126"/>
      <c r="H16" s="126"/>
      <c r="I16" s="126"/>
      <c r="K16" s="1134"/>
      <c r="L16" s="126"/>
      <c r="Q16" s="1133"/>
    </row>
    <row r="17" spans="2:17" ht="17.25" thickBot="1" x14ac:dyDescent="0.35">
      <c r="B17" s="842" t="s">
        <v>39</v>
      </c>
      <c r="C17" s="843" t="s">
        <v>175</v>
      </c>
      <c r="D17" s="844" t="str">
        <f>IF(OR($D$14="Unknown",D14="11.1"),"11.2",$D$14) &amp; ".1"</f>
        <v>11.2.1</v>
      </c>
      <c r="E17" s="845" t="str">
        <f>IF($D$14&lt;&gt;E$14,"N/A",'Sys. # &amp; Product Characteristic'!M13)</f>
        <v>N/A</v>
      </c>
      <c r="F17" s="846" t="s">
        <v>175</v>
      </c>
      <c r="G17" s="126"/>
      <c r="H17" s="126"/>
      <c r="I17" s="126"/>
      <c r="K17" s="1134"/>
      <c r="L17" s="126"/>
      <c r="Q17" s="1133"/>
    </row>
    <row r="18" spans="2:17" ht="17.25" thickBot="1" x14ac:dyDescent="0.35">
      <c r="B18" s="804"/>
      <c r="C18" s="781"/>
      <c r="D18" s="781"/>
      <c r="E18" s="495"/>
      <c r="F18" s="805"/>
      <c r="G18" s="126"/>
      <c r="H18" s="126"/>
      <c r="I18" s="126"/>
      <c r="K18" s="1134"/>
      <c r="L18" s="126"/>
      <c r="Q18" s="1133"/>
    </row>
    <row r="19" spans="2:17" ht="17.25" x14ac:dyDescent="0.3">
      <c r="B19" s="820" t="s">
        <v>411</v>
      </c>
      <c r="C19" s="821"/>
      <c r="D19" s="821"/>
      <c r="E19" s="822"/>
      <c r="F19" s="823"/>
      <c r="G19" s="126"/>
      <c r="H19" s="126"/>
      <c r="I19" s="126"/>
      <c r="K19" s="1134"/>
      <c r="L19" s="126"/>
      <c r="Q19" s="1133"/>
    </row>
    <row r="20" spans="2:17" x14ac:dyDescent="0.3">
      <c r="B20" s="806" t="s">
        <v>671</v>
      </c>
      <c r="C20" s="795" t="s">
        <v>44</v>
      </c>
      <c r="D20" s="796" t="str">
        <f>IF(OR($D$14="Unknown",D14="11.1"),"11.2",$D$14) &amp; ".2"</f>
        <v>11.2.2</v>
      </c>
      <c r="E20" s="120" t="str">
        <f>IF($D$14&lt;&gt;E$14,"N/A",'Drop-Downs and Tables'!$F$188)</f>
        <v>N/A</v>
      </c>
      <c r="F20" s="807" t="s">
        <v>175</v>
      </c>
      <c r="G20" s="126"/>
      <c r="H20" s="126"/>
      <c r="I20" s="126"/>
      <c r="K20" s="1134"/>
      <c r="L20" s="126"/>
      <c r="Q20" s="1133"/>
    </row>
    <row r="21" spans="2:17" x14ac:dyDescent="0.3">
      <c r="B21" s="690" t="s">
        <v>671</v>
      </c>
      <c r="C21" s="496" t="s">
        <v>45</v>
      </c>
      <c r="D21" s="628" t="str">
        <f>IF(OR($D$14="Unknown",D14="11.1"),"11.2",$D$14) &amp; ".2"</f>
        <v>11.2.2</v>
      </c>
      <c r="E21" s="192" t="str">
        <f>IF($D$14&lt;&gt;E$14,"N/A",'Drop-Downs and Tables'!$G$188)</f>
        <v>N/A</v>
      </c>
      <c r="F21" s="497" t="s">
        <v>175</v>
      </c>
      <c r="G21" s="126"/>
      <c r="H21" s="126"/>
      <c r="I21" s="126"/>
      <c r="K21" s="1134"/>
      <c r="L21" s="126"/>
      <c r="Q21" s="1133"/>
    </row>
    <row r="22" spans="2:17" ht="18" x14ac:dyDescent="0.3">
      <c r="B22" s="689" t="s">
        <v>519</v>
      </c>
      <c r="C22" s="496" t="s">
        <v>485</v>
      </c>
      <c r="D22" s="628" t="str">
        <f>IF(OR($D$14="Unknown",D14="11.1"),"11.2",$D$14) &amp; ".2"</f>
        <v>11.2.2</v>
      </c>
      <c r="E22" s="1190" t="str">
        <f>IF($D$14&lt;&gt;E$14,"N/A",
IF('Max Test'!X.CO2F_SS="",'Max Test'!X.CO2F_CDP,'Max Test'!X.CO2F_SS))</f>
        <v>N/A</v>
      </c>
      <c r="F22" s="132" t="s">
        <v>211</v>
      </c>
      <c r="G22" s="126"/>
      <c r="H22" s="126"/>
      <c r="I22" s="126"/>
      <c r="K22" s="1134"/>
      <c r="L22" s="126"/>
      <c r="Q22" s="1133"/>
    </row>
    <row r="23" spans="2:17" ht="18.75" thickBot="1" x14ac:dyDescent="0.35">
      <c r="B23" s="693" t="s">
        <v>411</v>
      </c>
      <c r="C23" s="840" t="s">
        <v>473</v>
      </c>
      <c r="D23" s="695" t="str">
        <f>IF(OR($D$14="Unknown",D14="11.1"),"11.2",$D$14) &amp; ".2"</f>
        <v>11.2.2</v>
      </c>
      <c r="E23" s="841" t="str">
        <f>IF($D$14&lt;&gt;E$14,"N/A",IFERROR(A+(B/X.CO2F),""))</f>
        <v>N/A</v>
      </c>
      <c r="F23" s="699" t="s">
        <v>175</v>
      </c>
      <c r="G23" s="126"/>
      <c r="H23" s="126"/>
      <c r="I23" s="126"/>
      <c r="K23" s="1134"/>
      <c r="L23" s="126"/>
      <c r="Q23" s="1133"/>
    </row>
    <row r="24" spans="2:17" ht="17.25" thickBot="1" x14ac:dyDescent="0.35">
      <c r="B24" s="804"/>
      <c r="C24" s="784"/>
      <c r="D24" s="781"/>
      <c r="E24" s="499"/>
      <c r="F24" s="805"/>
      <c r="G24" s="126"/>
      <c r="H24" s="126"/>
      <c r="I24" s="126"/>
      <c r="K24" s="1134"/>
      <c r="L24" s="126"/>
      <c r="Q24" s="1133"/>
    </row>
    <row r="25" spans="2:17" ht="17.25" x14ac:dyDescent="0.3">
      <c r="B25" s="820" t="s">
        <v>410</v>
      </c>
      <c r="C25" s="821"/>
      <c r="D25" s="821"/>
      <c r="E25" s="1237"/>
      <c r="F25" s="823"/>
      <c r="G25" s="126"/>
      <c r="H25" s="126"/>
      <c r="I25" s="126"/>
      <c r="K25" s="1134"/>
      <c r="L25" s="126"/>
      <c r="Q25" s="1133"/>
    </row>
    <row r="26" spans="2:17" ht="17.25" thickBot="1" x14ac:dyDescent="0.35">
      <c r="B26" s="804"/>
      <c r="C26" s="781"/>
      <c r="D26" s="781"/>
      <c r="E26" s="499"/>
      <c r="F26" s="805"/>
      <c r="G26" s="126"/>
      <c r="H26" s="126"/>
      <c r="I26" s="126"/>
      <c r="K26" s="1134"/>
      <c r="L26" s="126"/>
      <c r="Q26" s="1133"/>
    </row>
    <row r="27" spans="2:17" ht="17.25" x14ac:dyDescent="0.3">
      <c r="B27" s="820" t="s">
        <v>850</v>
      </c>
      <c r="C27" s="821"/>
      <c r="D27" s="821"/>
      <c r="E27" s="822"/>
      <c r="F27" s="823"/>
      <c r="G27" s="126"/>
      <c r="H27" s="126"/>
      <c r="I27" s="126"/>
      <c r="K27" s="1134"/>
      <c r="L27" s="126"/>
      <c r="Q27" s="1133"/>
    </row>
    <row r="28" spans="2:17" ht="17.25" thickBot="1" x14ac:dyDescent="0.35">
      <c r="B28" s="693" t="s">
        <v>412</v>
      </c>
      <c r="C28" s="694" t="s">
        <v>60</v>
      </c>
      <c r="D28" s="695" t="str">
        <f>IF(OR($D$14="Unknown",D14="11.1"),"11.2",$D$14) &amp; ".4"</f>
        <v>11.2.4</v>
      </c>
      <c r="E28" s="836" t="str">
        <f>IF($D$14&lt;&gt;E$14,"N/A",1)</f>
        <v>N/A</v>
      </c>
      <c r="F28" s="699" t="s">
        <v>175</v>
      </c>
      <c r="G28" s="126"/>
      <c r="H28" s="126"/>
      <c r="I28" s="126"/>
      <c r="K28" s="1134"/>
      <c r="L28" s="126"/>
      <c r="Q28" s="1133"/>
    </row>
    <row r="29" spans="2:17" ht="17.25" thickBot="1" x14ac:dyDescent="0.35">
      <c r="B29" s="804"/>
      <c r="C29" s="781"/>
      <c r="D29" s="781"/>
      <c r="E29" s="520"/>
      <c r="F29" s="805"/>
      <c r="G29" s="126"/>
      <c r="H29" s="126"/>
      <c r="I29" s="126"/>
      <c r="K29" s="1134"/>
      <c r="L29" s="126"/>
      <c r="Q29" s="1133"/>
    </row>
    <row r="30" spans="2:17" ht="17.25" x14ac:dyDescent="0.3">
      <c r="B30" s="820" t="s">
        <v>851</v>
      </c>
      <c r="C30" s="821"/>
      <c r="D30" s="821"/>
      <c r="E30" s="822"/>
      <c r="F30" s="823"/>
      <c r="G30" s="126"/>
      <c r="H30" s="126"/>
      <c r="I30" s="126"/>
      <c r="K30" s="1134"/>
      <c r="L30" s="126"/>
      <c r="Q30" s="1133"/>
    </row>
    <row r="31" spans="2:17" ht="18" x14ac:dyDescent="0.3">
      <c r="B31" s="806" t="s">
        <v>424</v>
      </c>
      <c r="C31" s="798" t="s">
        <v>475</v>
      </c>
      <c r="D31" s="796" t="str">
        <f>IF(OR($D$14="Unknown",D14="11.1"),"11.2",$D$14) &amp; ".5"</f>
        <v>11.2.5</v>
      </c>
      <c r="E31" s="192" t="str">
        <f>IF($D$14&lt;&gt;E$14,"N/A",'Max Test'!T.RA_SS)</f>
        <v>N/A</v>
      </c>
      <c r="F31" s="807" t="s">
        <v>51</v>
      </c>
      <c r="G31" s="126"/>
      <c r="H31" s="126"/>
      <c r="I31" s="126"/>
      <c r="K31" s="1134"/>
      <c r="L31" s="126"/>
      <c r="Q31" s="1133"/>
    </row>
    <row r="32" spans="2:17" ht="18" x14ac:dyDescent="0.3">
      <c r="B32" s="692" t="s">
        <v>425</v>
      </c>
      <c r="C32" s="498" t="s">
        <v>478</v>
      </c>
      <c r="D32" s="628" t="str">
        <f>IF(OR($D$14="Unknown",D14="11.1"),"11.2",$D$14) &amp; ".5"</f>
        <v>11.2.5</v>
      </c>
      <c r="E32" s="192" t="str">
        <f>IF($D$14&lt;&gt;E$14,"N/A",
IF('Max Test'!T.FSS_SS="", 'Max Test'!T.FSS_CDP,'Max Test'!T.FSS_SS))</f>
        <v>N/A</v>
      </c>
      <c r="F32" s="132" t="s">
        <v>51</v>
      </c>
      <c r="G32" s="126"/>
      <c r="H32" s="126"/>
      <c r="I32" s="126"/>
      <c r="K32" s="1134"/>
      <c r="L32" s="126"/>
      <c r="Q32" s="1133"/>
    </row>
    <row r="33" spans="2:17" ht="18.75" thickBot="1" x14ac:dyDescent="0.35">
      <c r="B33" s="834" t="s">
        <v>414</v>
      </c>
      <c r="C33" s="835" t="s">
        <v>479</v>
      </c>
      <c r="D33" s="695" t="str">
        <f>IF(OR($D$14="Unknown",D14="11.1"),"11.2",$D$14) &amp; ".5"</f>
        <v>11.2.5</v>
      </c>
      <c r="E33" s="836" t="str">
        <f>IF($D$14&lt;&gt;E$14,"N/A",T.FSS-T.RA)</f>
        <v>N/A</v>
      </c>
      <c r="F33" s="699" t="s">
        <v>51</v>
      </c>
      <c r="G33" s="126"/>
      <c r="H33" s="126"/>
      <c r="I33" s="126"/>
      <c r="K33" s="1134"/>
      <c r="L33" s="126"/>
      <c r="Q33" s="1133"/>
    </row>
    <row r="34" spans="2:17" ht="17.25" thickBot="1" x14ac:dyDescent="0.35">
      <c r="B34" s="804"/>
      <c r="C34" s="781"/>
      <c r="D34" s="781"/>
      <c r="E34" s="520"/>
      <c r="F34" s="805"/>
      <c r="G34" s="126"/>
      <c r="H34" s="126"/>
      <c r="I34" s="126"/>
      <c r="K34" s="1134"/>
      <c r="L34" s="126"/>
      <c r="Q34" s="1133"/>
    </row>
    <row r="35" spans="2:17" ht="17.25" x14ac:dyDescent="0.3">
      <c r="B35" s="820" t="s">
        <v>415</v>
      </c>
      <c r="C35" s="821"/>
      <c r="D35" s="821"/>
      <c r="E35" s="822"/>
      <c r="F35" s="823"/>
      <c r="G35" s="126"/>
      <c r="H35" s="126"/>
      <c r="I35" s="126"/>
      <c r="K35" s="1134"/>
      <c r="L35" s="126"/>
      <c r="Q35" s="1133"/>
    </row>
    <row r="36" spans="2:17" ht="18" x14ac:dyDescent="0.3">
      <c r="B36" s="806" t="s">
        <v>523</v>
      </c>
      <c r="C36" s="798" t="s">
        <v>487</v>
      </c>
      <c r="D36" s="796" t="str">
        <f>IF(OR($D$14="Unknown",D14="11.1"),"11.2",$D$14) &amp; ".9.1"</f>
        <v>11.2.9.1</v>
      </c>
      <c r="E36" s="120" t="str">
        <f>IF($D$14&lt;&gt;E$14,"N/A",'Drop-Downs and Tables'!$C$188)</f>
        <v>N/A</v>
      </c>
      <c r="F36" s="807" t="s">
        <v>236</v>
      </c>
      <c r="G36" s="126"/>
      <c r="H36" s="126"/>
      <c r="I36" s="126"/>
      <c r="K36" s="1134"/>
      <c r="L36" s="126"/>
      <c r="Q36" s="1133"/>
    </row>
    <row r="37" spans="2:17" x14ac:dyDescent="0.3">
      <c r="B37" s="692" t="s">
        <v>521</v>
      </c>
      <c r="C37" s="498" t="s">
        <v>43</v>
      </c>
      <c r="D37" s="628" t="str">
        <f>IF(OR($D$14="Unknown",D14="11.1"),"11.2",$D$14) &amp; ".9.1"</f>
        <v>11.2.9.1</v>
      </c>
      <c r="E37" s="120" t="str">
        <f>IF($D$14&lt;&gt;E$14,"N/A",'Drop-Downs and Tables'!$D$188)</f>
        <v>N/A</v>
      </c>
      <c r="F37" s="132" t="s">
        <v>175</v>
      </c>
      <c r="G37" s="126"/>
      <c r="H37" s="126"/>
      <c r="I37" s="126"/>
      <c r="K37" s="1134"/>
      <c r="L37" s="126"/>
      <c r="Q37" s="1133"/>
    </row>
    <row r="38" spans="2:17" ht="18.75" thickBot="1" x14ac:dyDescent="0.35">
      <c r="B38" s="693" t="s">
        <v>415</v>
      </c>
      <c r="C38" s="694" t="s">
        <v>480</v>
      </c>
      <c r="D38" s="695" t="str">
        <f>IF(OR($D$14="Unknown",D14="11.1"),"11.2",$D$14) &amp; ".6"</f>
        <v>11.2.6</v>
      </c>
      <c r="E38" s="1152" t="str" cm="1">
        <f t="array" ref="E38">IF($D$14&lt;&gt;E$14,"N/A",
100/HHV.A*
(SUM(((1+AF)*('Drop-Downs and Tables'!$H$188:$L$188)+AF*(R.TF-1)*('Drop-Downs and Tables'!$H$187:$L$187))*((T.FSS+ 460)^('Drop-Downs and Tables'!$H$179:$L$179)-(T.RA+460)^('Drop-Downs and Tables'!$H$179:$L$179)))))</f>
        <v>N/A</v>
      </c>
      <c r="F38" s="699" t="s">
        <v>211</v>
      </c>
      <c r="G38" s="126"/>
      <c r="H38" s="126"/>
      <c r="I38" s="126"/>
      <c r="K38" s="1134"/>
      <c r="L38" s="126"/>
      <c r="Q38" s="1133"/>
    </row>
    <row r="39" spans="2:17" ht="17.25" thickBot="1" x14ac:dyDescent="0.35">
      <c r="B39" s="804"/>
      <c r="C39" s="781"/>
      <c r="D39" s="781"/>
      <c r="E39" s="787"/>
      <c r="F39" s="805"/>
      <c r="G39" s="126"/>
      <c r="H39" s="126"/>
      <c r="I39" s="126"/>
      <c r="K39" s="1134"/>
      <c r="L39" s="126"/>
      <c r="Q39" s="1133"/>
    </row>
    <row r="40" spans="2:17" ht="17.25" x14ac:dyDescent="0.3">
      <c r="B40" s="820" t="s">
        <v>416</v>
      </c>
      <c r="C40" s="821"/>
      <c r="D40" s="821"/>
      <c r="E40" s="822"/>
      <c r="F40" s="823"/>
      <c r="G40" s="126"/>
      <c r="H40" s="126"/>
      <c r="I40" s="126"/>
      <c r="K40" s="1134"/>
      <c r="L40" s="126"/>
      <c r="Q40" s="1133"/>
    </row>
    <row r="41" spans="2:17" ht="18" x14ac:dyDescent="0.3">
      <c r="B41" s="808" t="s">
        <v>522</v>
      </c>
      <c r="C41" s="795" t="s">
        <v>490</v>
      </c>
      <c r="D41" s="796" t="str">
        <f>IF(OR($D$14="Unknown",D14="11.1"),"11.2",$D$14) &amp; ".7"</f>
        <v>11.2.7</v>
      </c>
      <c r="E41" s="187" t="str">
        <f>IF($D$14&lt;&gt;E$14,"N/A",'Drop-Downs and Tables'!$E$188)</f>
        <v>N/A</v>
      </c>
      <c r="F41" s="807" t="s">
        <v>211</v>
      </c>
      <c r="G41" s="126"/>
      <c r="H41" s="126"/>
      <c r="I41" s="126"/>
      <c r="K41" s="1134"/>
      <c r="L41" s="126"/>
      <c r="Q41" s="1133"/>
    </row>
    <row r="42" spans="2:17" ht="18" x14ac:dyDescent="0.3">
      <c r="B42" s="691" t="s">
        <v>247</v>
      </c>
      <c r="C42" s="134" t="s">
        <v>1051</v>
      </c>
      <c r="D42" s="679" t="str">
        <f>IF($D$14="11.3","11.3.7.1",
IF($D$14="11.5","11.5.7.1",
"11.(3 or 5).7.1"))</f>
        <v>11.(3 or 5).7.1</v>
      </c>
      <c r="E42" s="120" t="str">
        <f>IF($D$14&lt;&gt;E$14,"N/A",IF('Max Test'!M.CSS="","",'Max Test'!M.CSS))</f>
        <v>N/A</v>
      </c>
      <c r="F42" s="132" t="s">
        <v>75</v>
      </c>
      <c r="G42" s="126"/>
      <c r="H42" s="126"/>
      <c r="I42" s="126"/>
      <c r="K42" s="1134"/>
      <c r="L42" s="126"/>
      <c r="Q42" s="1133"/>
    </row>
    <row r="43" spans="2:17" ht="18" x14ac:dyDescent="0.3">
      <c r="B43" s="691" t="s">
        <v>516</v>
      </c>
      <c r="C43" s="134" t="s">
        <v>1052</v>
      </c>
      <c r="D43" s="679" t="str">
        <f>IF($D$14="11.3","11.3.7.1",
IF($D$14="11.5","11.5.7.1",
"11.(3 or 5).7.1"))</f>
        <v>11.(3 or 5).7.1</v>
      </c>
      <c r="E43" s="120" t="str">
        <f>IF($D$14&lt;&gt;E$14,"N/A",IF('Max Test'!Q.CSS="","",'Max Test'!Q.CSS))</f>
        <v>N/A</v>
      </c>
      <c r="F43" s="132" t="s">
        <v>79</v>
      </c>
      <c r="G43" s="126"/>
      <c r="H43" s="126"/>
      <c r="I43" s="126"/>
      <c r="K43" s="1134"/>
      <c r="L43" s="126"/>
      <c r="Q43" s="1133"/>
    </row>
    <row r="44" spans="2:17" ht="18" x14ac:dyDescent="0.3">
      <c r="B44" s="691" t="s">
        <v>469</v>
      </c>
      <c r="C44" s="134" t="s">
        <v>1053</v>
      </c>
      <c r="D44" s="679" t="str">
        <f>IF($D$14="11.3","11.3.7.1",
IF($D$14="11.5","11.5.7.1",
"11.(3 or 5).7.1"))</f>
        <v>11.(3 or 5).7.1</v>
      </c>
      <c r="E44" s="120" t="str">
        <f>IF($D$14&lt;&gt;E$14,"N/A",IFERROR(100*1053.3*M.CSS/Q.CSS,""))</f>
        <v>N/A</v>
      </c>
      <c r="F44" s="132" t="s">
        <v>211</v>
      </c>
      <c r="G44" s="126"/>
      <c r="H44" s="126"/>
      <c r="I44" s="126"/>
      <c r="K44" s="1134"/>
      <c r="L44" s="126"/>
      <c r="Q44" s="1133"/>
    </row>
    <row r="45" spans="2:17" ht="18" x14ac:dyDescent="0.3">
      <c r="B45" s="691" t="s">
        <v>1044</v>
      </c>
      <c r="C45" s="134" t="s">
        <v>1043</v>
      </c>
      <c r="D45" s="679" t="str">
        <f>IF($D$14="11.3","11.3.7.2",
IF($D$14="11.5","11.5.7.2",
"11.(3 or 5).7.2"))</f>
        <v>11.(3 or 5).7.2</v>
      </c>
      <c r="E45" s="120" t="str">
        <f>IF($D$14&lt;&gt;E$14,"N/A",IFERROR(L.GSS*(1*(T.FSS-70)-0.45*(T.FSS-T.OA))/1053.3,""))</f>
        <v>N/A</v>
      </c>
      <c r="F45" s="132" t="s">
        <v>211</v>
      </c>
      <c r="G45" s="126"/>
      <c r="H45" s="126"/>
      <c r="I45" s="126"/>
      <c r="K45" s="1134"/>
      <c r="L45" s="126"/>
      <c r="Q45" s="1133"/>
    </row>
    <row r="46" spans="2:17" ht="18.75" thickBot="1" x14ac:dyDescent="0.35">
      <c r="B46" s="693" t="s">
        <v>416</v>
      </c>
      <c r="C46" s="694" t="s">
        <v>481</v>
      </c>
      <c r="D46" s="695" t="str">
        <f>IF(OR($D$14="Unknown",D14="11.1"),"11.2",$D$14) &amp; ".7"</f>
        <v>11.2.7</v>
      </c>
      <c r="E46" s="830" t="str">
        <f>IF($D$14&lt;&gt;E$14,"N/A",IFERROR(100-(L.LA+L.SSS-L.GSS+L.CSS),""))</f>
        <v>N/A</v>
      </c>
      <c r="F46" s="699" t="s">
        <v>211</v>
      </c>
      <c r="G46" s="126"/>
      <c r="H46" s="126"/>
      <c r="I46" s="126"/>
      <c r="K46" s="1134"/>
      <c r="L46" s="126"/>
      <c r="Q46" s="1133"/>
    </row>
    <row r="47" spans="2:17" ht="17.25" thickBot="1" x14ac:dyDescent="0.35">
      <c r="B47" s="804"/>
      <c r="C47" s="781"/>
      <c r="D47" s="781"/>
      <c r="E47" s="790"/>
      <c r="F47" s="805"/>
      <c r="G47" s="126"/>
      <c r="H47" s="126"/>
      <c r="I47" s="126"/>
      <c r="K47" s="1134"/>
      <c r="L47" s="126"/>
      <c r="Q47" s="1133"/>
    </row>
    <row r="48" spans="2:17" ht="17.25" x14ac:dyDescent="0.3">
      <c r="B48" s="820" t="s">
        <v>852</v>
      </c>
      <c r="C48" s="821"/>
      <c r="D48" s="821"/>
      <c r="E48" s="822"/>
      <c r="F48" s="823"/>
      <c r="G48" s="126"/>
      <c r="H48" s="126"/>
      <c r="I48" s="126"/>
      <c r="K48" s="1134"/>
      <c r="L48" s="126"/>
      <c r="Q48" s="1133"/>
    </row>
    <row r="49" spans="2:17" ht="18" x14ac:dyDescent="0.3">
      <c r="B49" s="808" t="s">
        <v>417</v>
      </c>
      <c r="C49" s="795" t="s">
        <v>482</v>
      </c>
      <c r="D49" s="796" t="str">
        <f>IF(OR($D$14="Unknown",D14="11.1"),"11.2",$D$14) &amp; ".8.1"</f>
        <v>11.2.8.1</v>
      </c>
      <c r="E49" s="506" t="str">
        <f>IF($D$14&lt;&gt;E$14,"N/A",'General Info &amp; Test Results'!Nameplate_Maximum_Input)</f>
        <v>N/A</v>
      </c>
      <c r="F49" s="807" t="s">
        <v>37</v>
      </c>
      <c r="G49" s="126"/>
      <c r="H49" s="126"/>
      <c r="I49" s="126"/>
      <c r="K49" s="1134"/>
      <c r="L49" s="126"/>
      <c r="Q49" s="1133"/>
    </row>
    <row r="50" spans="2:17" ht="18" x14ac:dyDescent="0.3">
      <c r="B50" s="1350" t="s">
        <v>409</v>
      </c>
      <c r="C50" s="1351" t="s">
        <v>483</v>
      </c>
      <c r="D50" s="1352" t="str">
        <f>IF(D14="11.1","11.1",
IF($D$14="Unknown","11.2",$D$14) &amp; ".8.1")</f>
        <v>11.2.8.1</v>
      </c>
      <c r="E50" s="486" t="str">
        <f>IF($D$14&lt;&gt;E$14,"N/A",IF('Test Conditions'!Jacket_Loss_Factor="","",'Test Conditions'!Jacket_Loss_Factor))</f>
        <v>N/A</v>
      </c>
      <c r="F50" s="132" t="s">
        <v>273</v>
      </c>
      <c r="G50" s="126"/>
      <c r="H50" s="126"/>
      <c r="I50" s="126"/>
      <c r="K50" s="1134"/>
      <c r="L50" s="126"/>
      <c r="Q50" s="1133"/>
    </row>
    <row r="51" spans="2:17" x14ac:dyDescent="0.3">
      <c r="B51" s="1350" t="s">
        <v>419</v>
      </c>
      <c r="C51" s="1351" t="s">
        <v>58</v>
      </c>
      <c r="D51" s="1352" t="str">
        <f>IF(OR($D$14="Unknown",D14="11.1"),"11.2",$D$14) &amp; ".8.1"</f>
        <v>11.2.8.1</v>
      </c>
      <c r="E51" s="179" t="str">
        <f>IF($D$14&lt;&gt;E$14,"N/A",
IF(OR(Finned_Tube_Boiler="",'Sys. # &amp; Product Characteristic'!Installation=""),"",
IF('Sys. # &amp; Product Characteristic'!Installation="Indoor",0,
IF('Sys. # &amp; Product Characteristic'!Installation="Isolated Combustion System",1.7,
IF(Finned_Tube_Boiler="No",3.3,1)))))</f>
        <v>N/A</v>
      </c>
      <c r="F51" s="132" t="s">
        <v>175</v>
      </c>
      <c r="G51" s="126"/>
      <c r="H51" s="126"/>
      <c r="I51" s="126"/>
      <c r="K51" s="1134"/>
      <c r="L51" s="126"/>
      <c r="Q51" s="1133"/>
    </row>
    <row r="52" spans="2:17" ht="18" x14ac:dyDescent="0.3">
      <c r="B52" s="1350" t="s">
        <v>1055</v>
      </c>
      <c r="C52" s="1351" t="s">
        <v>484</v>
      </c>
      <c r="D52" s="1352" t="str">
        <f>IF(OR($D$14="Unknown",D14="11.1"),"11.2",$D$14) &amp; ".8.1"</f>
        <v>11.2.8.1</v>
      </c>
      <c r="E52" s="500" t="str">
        <f>IF($D$14&lt;&gt;E$14,"N/A",IFERROR(ROUND(Q.IN*(Effy.SS-K*L.J)/100,-3),""))</f>
        <v>N/A</v>
      </c>
      <c r="F52" s="627" t="s">
        <v>37</v>
      </c>
      <c r="G52" s="126"/>
      <c r="H52" s="126"/>
      <c r="I52" s="126"/>
      <c r="K52" s="1134"/>
      <c r="L52" s="126"/>
      <c r="Q52" s="1133"/>
    </row>
    <row r="53" spans="2:17" x14ac:dyDescent="0.3">
      <c r="B53" s="1350" t="s">
        <v>420</v>
      </c>
      <c r="C53" s="1351" t="s">
        <v>38</v>
      </c>
      <c r="D53" s="1352" t="str">
        <f>IF(OR($D$14="Unknown",D14="11.1"),"11.2",$D$14) &amp; ".8.2"</f>
        <v>11.2.8.2</v>
      </c>
      <c r="E53" s="120" t="str">
        <f>IF($D$14&lt;&gt;E$14,"N/A",0.7)</f>
        <v>N/A</v>
      </c>
      <c r="F53" s="132" t="s">
        <v>175</v>
      </c>
      <c r="G53" s="126"/>
      <c r="H53" s="126"/>
      <c r="I53" s="126"/>
      <c r="K53" s="1134"/>
      <c r="L53" s="126"/>
      <c r="Q53" s="1133"/>
    </row>
    <row r="54" spans="2:17" ht="18.75" thickBot="1" x14ac:dyDescent="0.35">
      <c r="B54" s="693" t="s">
        <v>1042</v>
      </c>
      <c r="C54" s="694" t="s">
        <v>586</v>
      </c>
      <c r="D54" s="695" t="str">
        <f>IF(OR($D$14="Unknown",D14="11.1"),"11.2",$D$14) &amp; ".8.3"</f>
        <v>11.2.8.3</v>
      </c>
      <c r="E54" s="845" t="str">
        <f>IF($D$14&lt;&gt;E$14,"N/A",42)</f>
        <v>N/A</v>
      </c>
      <c r="F54" s="699" t="s">
        <v>51</v>
      </c>
      <c r="G54" s="126"/>
      <c r="H54" s="126"/>
      <c r="I54" s="126"/>
      <c r="K54" s="1134"/>
      <c r="L54" s="126"/>
      <c r="Q54" s="1133"/>
    </row>
    <row r="55" spans="2:17" ht="17.25" thickBot="1" x14ac:dyDescent="0.35">
      <c r="B55" s="804"/>
      <c r="C55" s="781"/>
      <c r="D55" s="781"/>
      <c r="E55" s="495"/>
      <c r="F55" s="805"/>
      <c r="G55" s="126"/>
      <c r="H55" s="126"/>
      <c r="I55" s="126"/>
      <c r="K55" s="1134"/>
      <c r="L55" s="126"/>
      <c r="Q55" s="1133"/>
    </row>
    <row r="56" spans="2:17" ht="17.25" x14ac:dyDescent="0.3">
      <c r="B56" s="820" t="s">
        <v>1050</v>
      </c>
      <c r="C56" s="821"/>
      <c r="D56" s="821"/>
      <c r="E56" s="822"/>
      <c r="F56" s="823"/>
      <c r="G56" s="126"/>
      <c r="H56" s="126"/>
      <c r="I56" s="126"/>
      <c r="K56" s="1134"/>
      <c r="L56" s="126"/>
      <c r="Q56" s="1133"/>
    </row>
    <row r="57" spans="2:17" ht="18" x14ac:dyDescent="0.3">
      <c r="B57" s="808" t="s">
        <v>214</v>
      </c>
      <c r="C57" s="795" t="s">
        <v>593</v>
      </c>
      <c r="D57" s="796" t="str">
        <f>IF(OR($D$14="Unknown",D14="11.1"),"11.2",$D$14) &amp; ".9.1"</f>
        <v>11.2.9.1</v>
      </c>
      <c r="E57" s="491" t="str">
        <f>IF($D$14&lt;&gt;E$14,"N/A",0.24)</f>
        <v>N/A</v>
      </c>
      <c r="F57" s="807" t="s">
        <v>508</v>
      </c>
      <c r="G57" s="126"/>
      <c r="H57" s="126"/>
      <c r="I57" s="126"/>
      <c r="K57" s="1134"/>
      <c r="L57" s="126"/>
      <c r="Q57" s="1133"/>
    </row>
    <row r="58" spans="2:17" ht="18" x14ac:dyDescent="0.3">
      <c r="B58" s="691" t="s">
        <v>421</v>
      </c>
      <c r="C58" s="134" t="s">
        <v>594</v>
      </c>
      <c r="D58" s="628" t="str">
        <f>IF(OR($D$14="Unknown",D14="11.1"),"11.2",$D$14) &amp; ".9.1"</f>
        <v>11.2.9.1</v>
      </c>
      <c r="E58" s="703" t="str">
        <f>IF($D$14&lt;&gt;E$14,"N/A",
IFERROR(100*C.P*(1+R.TF*AF)/HHV.A,""))</f>
        <v>N/A</v>
      </c>
      <c r="F58" s="132" t="s">
        <v>175</v>
      </c>
      <c r="G58" s="126"/>
      <c r="H58" s="126"/>
      <c r="I58" s="126"/>
      <c r="K58" s="1134"/>
      <c r="L58" s="126"/>
      <c r="Q58" s="1133"/>
    </row>
    <row r="59" spans="2:17" x14ac:dyDescent="0.3">
      <c r="B59" s="691" t="s">
        <v>221</v>
      </c>
      <c r="C59" s="134" t="s">
        <v>222</v>
      </c>
      <c r="D59" s="628" t="str">
        <f>IF(OR($D$14="Unknown",D14="11.1"),"11.2",$D$14) &amp; ".9.2"</f>
        <v>11.2.9.2</v>
      </c>
      <c r="E59" s="492" t="str">
        <f>IF($D$14&lt;&gt;E$14,"N/A",0.7)</f>
        <v>N/A</v>
      </c>
      <c r="F59" s="132" t="s">
        <v>175</v>
      </c>
      <c r="G59" s="126"/>
      <c r="H59" s="126"/>
      <c r="I59" s="126"/>
      <c r="K59" s="1134"/>
      <c r="L59" s="126"/>
      <c r="Q59" s="1133"/>
    </row>
    <row r="60" spans="2:17" ht="18" x14ac:dyDescent="0.3">
      <c r="B60" s="1239" t="s">
        <v>426</v>
      </c>
      <c r="C60" s="1240" t="s">
        <v>598</v>
      </c>
      <c r="D60" s="1241" t="str">
        <f>IF(OR($D$14="Unknown",D14="11.1"),"11.2",$D$14) &amp; ".9.3"</f>
        <v>11.2.9.3</v>
      </c>
      <c r="E60" s="1238" t="str">
        <f>IF($D$14&lt;&gt;F$14,"N/A",
IF('Sys. # &amp; Product Characteristic'!C17="Integral Draft Diverter",T.SSSX,
IFERROR((T.FSS-T.RA)/SF+T.RA,"")))</f>
        <v>N/A</v>
      </c>
      <c r="F60" s="132"/>
      <c r="G60" s="126"/>
      <c r="H60" s="126"/>
      <c r="I60" s="126"/>
      <c r="K60" s="1134"/>
      <c r="L60" s="126"/>
      <c r="Q60" s="1133"/>
    </row>
    <row r="61" spans="2:17" ht="18" x14ac:dyDescent="0.3">
      <c r="B61" s="691" t="s">
        <v>422</v>
      </c>
      <c r="C61" s="134" t="s">
        <v>595</v>
      </c>
      <c r="D61" s="628" t="str">
        <f>IF(OR($D$14="Unknown",D14="11.1"),"11.2",$D$14) &amp; ".9.2"</f>
        <v>11.2.9.2</v>
      </c>
      <c r="E61" s="501" t="str">
        <f>IF($D$14&lt;&gt;E$14,"N/A",
IF(System_Number&gt;=9,0,
IF(OR(SF="",K.SON=""),"",Phi*SF*K.SON)))</f>
        <v>N/A</v>
      </c>
      <c r="F61" s="132" t="s">
        <v>175</v>
      </c>
      <c r="G61" s="126"/>
      <c r="H61" s="126"/>
      <c r="I61" s="126"/>
      <c r="K61" s="1134"/>
      <c r="L61" s="126"/>
      <c r="Q61" s="1133"/>
    </row>
    <row r="62" spans="2:17" ht="18" x14ac:dyDescent="0.3">
      <c r="B62" s="691"/>
      <c r="C62" s="134" t="s">
        <v>599</v>
      </c>
      <c r="D62" s="628" t="str">
        <f>IF(OR($D$14="Unknown",D14="11.1"),"11.2",$D$14) &amp; ".9.4"</f>
        <v>11.2.9.4</v>
      </c>
      <c r="E62" s="491" t="str">
        <f>IF($D$14&lt;&gt;E$14,"N/A",1)</f>
        <v>N/A</v>
      </c>
      <c r="F62" s="132" t="s">
        <v>36</v>
      </c>
      <c r="G62" s="126"/>
      <c r="H62" s="126"/>
      <c r="I62" s="126"/>
      <c r="K62" s="1134"/>
      <c r="L62" s="126"/>
      <c r="Q62" s="1133"/>
    </row>
    <row r="63" spans="2:17" ht="18" x14ac:dyDescent="0.3">
      <c r="B63" s="691"/>
      <c r="C63" s="134" t="s">
        <v>600</v>
      </c>
      <c r="D63" s="628" t="str">
        <f>IF(OR($D$14="Unknown",D14="11.1"),"11.2",$D$14) &amp; ".9.4"</f>
        <v>11.2.9.4</v>
      </c>
      <c r="E63" s="491" t="str">
        <f>IF($D$14&lt;&gt;E$14,"N/A",5.5)</f>
        <v>N/A</v>
      </c>
      <c r="F63" s="132" t="s">
        <v>36</v>
      </c>
      <c r="G63" s="126"/>
      <c r="H63" s="126"/>
      <c r="I63" s="126"/>
      <c r="K63" s="1134"/>
      <c r="L63" s="126"/>
      <c r="Q63" s="1133"/>
    </row>
    <row r="64" spans="2:17" ht="18" x14ac:dyDescent="0.3">
      <c r="B64" s="691" t="s">
        <v>427</v>
      </c>
      <c r="C64" s="134" t="s">
        <v>601</v>
      </c>
      <c r="D64" s="628" t="str">
        <f>IF(OR($D$14="Unknown",D14="11.1"),"11.2",$D$14) &amp; ".9.4"</f>
        <v>11.2.9.4</v>
      </c>
      <c r="E64" s="491" t="str">
        <f>IF($D$14&lt;&gt;E$14,"N/A",
IF('Max Test'!T.FON.t1&gt;=T.FSS,T.FSS-0.2,
IF('Max Test'!T.FON.t1&gt;='Max Test'!T.FON.t2,T.FON.t2-0.1,'Max Test'!T.FON.t1
)))</f>
        <v>N/A</v>
      </c>
      <c r="F64" s="132" t="s">
        <v>51</v>
      </c>
      <c r="G64" s="126"/>
      <c r="H64" s="126"/>
      <c r="I64" s="126"/>
      <c r="K64" s="1134"/>
      <c r="L64" s="126"/>
      <c r="Q64" s="1133"/>
    </row>
    <row r="65" spans="2:17" ht="18" x14ac:dyDescent="0.3">
      <c r="B65" s="691" t="s">
        <v>428</v>
      </c>
      <c r="C65" s="134" t="s">
        <v>602</v>
      </c>
      <c r="D65" s="628" t="str">
        <f>IF(OR($D$14="Unknown",D14="11.1"),"11.2",$D$14) &amp; ".9.4"</f>
        <v>11.2.9.4</v>
      </c>
      <c r="E65" s="491" t="str">
        <f>IF($D$14&lt;&gt;E$14,"N/A",
IF('Max Test'!T.FON.t2&gt;=T.FSS,T.FSS-0.1,'Max Test'!T.FON.t2
))</f>
        <v>N/A</v>
      </c>
      <c r="F65" s="132" t="s">
        <v>51</v>
      </c>
      <c r="G65" s="126"/>
      <c r="H65" s="126"/>
      <c r="I65" s="126"/>
      <c r="K65" s="1134"/>
      <c r="L65" s="126"/>
      <c r="Q65" s="1133"/>
    </row>
    <row r="66" spans="2:17" ht="18" x14ac:dyDescent="0.3">
      <c r="B66" s="691" t="s">
        <v>429</v>
      </c>
      <c r="C66" s="134" t="s">
        <v>603</v>
      </c>
      <c r="D66" s="628" t="str">
        <f>IF(OR($D$14="Unknown",D14="11.1"),"11.2",$D$14) &amp; ".9.4"</f>
        <v>11.2.9.4</v>
      </c>
      <c r="E66" s="491" t="str">
        <f>IF($D$14&lt;&gt;E$14,"N/A",(t.2-t.1)/LN((T.FSS-T.FON.t1)/(T.FSS-T.FON.t2)))</f>
        <v>N/A</v>
      </c>
      <c r="F66" s="132" t="s">
        <v>36</v>
      </c>
      <c r="G66" s="126"/>
      <c r="H66" s="126"/>
      <c r="I66" s="126"/>
      <c r="K66" s="1134"/>
      <c r="L66" s="126"/>
      <c r="Q66" s="1133"/>
    </row>
    <row r="67" spans="2:17" ht="18" x14ac:dyDescent="0.3">
      <c r="B67" s="691" t="s">
        <v>430</v>
      </c>
      <c r="C67" s="134" t="s">
        <v>604</v>
      </c>
      <c r="D67" s="628" t="str">
        <f>IF(OR($D$14="Unknown",D14="11.1"),"11.2",$D$14) &amp; ".9.5"</f>
        <v>11.2.9.5</v>
      </c>
      <c r="E67" s="491" t="str">
        <f>IF($D$14&lt;&gt;E$14,"N/A",(T.FSS-T.FON.t1)*EXP(t.1/Tau.ON))</f>
        <v>N/A</v>
      </c>
      <c r="F67" s="132" t="s">
        <v>36</v>
      </c>
      <c r="G67" s="126"/>
      <c r="H67" s="126"/>
      <c r="I67" s="126"/>
      <c r="K67" s="1134"/>
      <c r="L67" s="126"/>
      <c r="Q67" s="1133"/>
    </row>
    <row r="68" spans="2:17" ht="18" x14ac:dyDescent="0.3">
      <c r="B68" s="691"/>
      <c r="C68" s="134" t="s">
        <v>605</v>
      </c>
      <c r="D68" s="628" t="str">
        <f>IF(OR($D$14="Unknown",D14="11.1"),"11.2",$D$14) &amp; ".9.6"</f>
        <v>11.2.9.6</v>
      </c>
      <c r="E68" s="512" t="str">
        <f>IF($D$14&lt;&gt;E$14,"N/A",IF('Max Test'!Does_the_boiler_employ_a_post_purge?="Yes",t.p+3.75,3.75))</f>
        <v>N/A</v>
      </c>
      <c r="F68" s="132" t="s">
        <v>36</v>
      </c>
      <c r="G68" s="126"/>
      <c r="H68" s="126"/>
      <c r="I68" s="126"/>
      <c r="K68" s="1134"/>
      <c r="L68" s="126"/>
      <c r="Q68" s="1133"/>
    </row>
    <row r="69" spans="2:17" ht="18" x14ac:dyDescent="0.3">
      <c r="B69" s="691"/>
      <c r="C69" s="134" t="s">
        <v>606</v>
      </c>
      <c r="D69" s="628" t="str">
        <f>IF(OR($D$14="Unknown",D14="11.1"),"11.2",$D$14) &amp; ".9.6"</f>
        <v>11.2.9.6</v>
      </c>
      <c r="E69" s="512" t="str">
        <f>IF($D$14&lt;&gt;E$14,"N/A",IF('Max Test'!Does_the_boiler_employ_a_post_purge?="Yes",t.p+22.5,22.5))</f>
        <v>N/A</v>
      </c>
      <c r="F69" s="132" t="s">
        <v>36</v>
      </c>
      <c r="G69" s="126"/>
      <c r="H69" s="126"/>
      <c r="I69" s="126"/>
      <c r="K69" s="1134"/>
      <c r="L69" s="126"/>
      <c r="Q69" s="1133"/>
    </row>
    <row r="70" spans="2:17" ht="18" x14ac:dyDescent="0.3">
      <c r="B70" s="691"/>
      <c r="C70" s="134" t="s">
        <v>607</v>
      </c>
      <c r="D70" s="628" t="str">
        <f>IF(OR($D$14="Unknown",D14="11.1"),"11.2",$D$14) &amp; ".9.6"</f>
        <v>11.2.9.6</v>
      </c>
      <c r="E70" s="512" t="str">
        <f>IF($D$14&lt;&gt;E$14,"N/A",45)</f>
        <v>N/A</v>
      </c>
      <c r="F70" s="132" t="s">
        <v>36</v>
      </c>
      <c r="G70" s="126"/>
      <c r="H70" s="126"/>
      <c r="I70" s="126"/>
      <c r="K70" s="1134"/>
      <c r="L70" s="126"/>
      <c r="Q70" s="1133"/>
    </row>
    <row r="71" spans="2:17" ht="18" x14ac:dyDescent="0.3">
      <c r="B71" s="691" t="s">
        <v>431</v>
      </c>
      <c r="C71" s="134" t="s">
        <v>608</v>
      </c>
      <c r="D71" s="628" t="str">
        <f>IF(OR($D$14="Unknown",D14="11.1"),"11.2",$D$14) &amp; ".9.6"</f>
        <v>11.2.9.6</v>
      </c>
      <c r="E71" s="493" t="str">
        <f>IF($D$14&lt;&gt;E$14,"N/A",'Max Test'!tp/60)</f>
        <v>N/A</v>
      </c>
      <c r="F71" s="132" t="s">
        <v>36</v>
      </c>
      <c r="G71" s="126"/>
      <c r="H71" s="126"/>
      <c r="I71" s="126"/>
      <c r="K71" s="1134"/>
      <c r="L71" s="126"/>
      <c r="Q71" s="1133"/>
    </row>
    <row r="72" spans="2:17" ht="18" x14ac:dyDescent="0.3">
      <c r="B72" s="691" t="s">
        <v>432</v>
      </c>
      <c r="C72" s="134" t="s">
        <v>609</v>
      </c>
      <c r="D72" s="628" t="str">
        <f>IF(OR($D$14="Unknown",D14="11.1"),"11.2",$D$14) &amp; ".9.6"</f>
        <v>11.2.9.6</v>
      </c>
      <c r="E72" s="491" t="str">
        <f>IF($D$14&lt;&gt;E$14,"N/A",
IF('Max Test'!T.FOFF.t3&lt;='Max Test'!T.FOFF.t5,'Max Test'!T.FOFF.t5+0.2,
IF('Max Test'!T.FOFF.t3&lt;='Max Test'!T.FOFF.t4,'Max Test'!T.FOFF.t4+0.1,
'Max Test'!T.FOFF.t3)))</f>
        <v>N/A</v>
      </c>
      <c r="F72" s="132" t="s">
        <v>51</v>
      </c>
      <c r="G72" s="126"/>
      <c r="H72" s="126"/>
      <c r="I72" s="126"/>
      <c r="K72" s="1134"/>
      <c r="L72" s="126"/>
      <c r="Q72" s="1133"/>
    </row>
    <row r="73" spans="2:17" ht="18" x14ac:dyDescent="0.3">
      <c r="B73" s="691" t="s">
        <v>433</v>
      </c>
      <c r="C73" s="134" t="s">
        <v>610</v>
      </c>
      <c r="D73" s="628" t="str">
        <f>IF(OR($D$14="Unknown",D14="11.1"),"11.2",$D$14) &amp; ".9.6"</f>
        <v>11.2.9.6</v>
      </c>
      <c r="E73" s="491" t="str">
        <f>IF($D$14&lt;&gt;E$14,"N/A",
IF('Max Test'!T.FOFF.t4&lt;='Max Test'!T.FOFF.t5,'Max Test'!T.FOFF.t5+0.1,
'Max Test'!T.FOFF.t4))</f>
        <v>N/A</v>
      </c>
      <c r="F73" s="132" t="s">
        <v>51</v>
      </c>
      <c r="G73" s="126"/>
      <c r="H73" s="126"/>
      <c r="I73" s="126"/>
      <c r="K73" s="1134"/>
      <c r="L73" s="126"/>
      <c r="Q73" s="1133"/>
    </row>
    <row r="74" spans="2:17" ht="18" x14ac:dyDescent="0.3">
      <c r="B74" s="691" t="s">
        <v>434</v>
      </c>
      <c r="C74" s="134" t="s">
        <v>611</v>
      </c>
      <c r="D74" s="628" t="str">
        <f>IF(OR($D$14="Unknown",D14="11.1"),"11.2",$D$14) &amp; ".9.6"</f>
        <v>11.2.9.6</v>
      </c>
      <c r="E74" s="491" t="str">
        <f>IF($D$14&lt;&gt;E$14,"N/A",'Max Test'!T.FOFF.t5)</f>
        <v>N/A</v>
      </c>
      <c r="F74" s="132" t="s">
        <v>51</v>
      </c>
      <c r="G74" s="126"/>
      <c r="H74" s="126"/>
      <c r="I74" s="126"/>
      <c r="K74" s="1134"/>
      <c r="L74" s="126"/>
      <c r="Q74" s="1133"/>
    </row>
    <row r="75" spans="2:17" ht="18" x14ac:dyDescent="0.3">
      <c r="B75" s="691" t="s">
        <v>435</v>
      </c>
      <c r="C75" s="134" t="s">
        <v>612</v>
      </c>
      <c r="D75" s="628" t="str">
        <f>IF(OR($D$14="Unknown",D14="11.1"),"11.2",$D$14) &amp; ".9.6"</f>
        <v>11.2.9.6</v>
      </c>
      <c r="E75" s="490" t="str">
        <f>IF($D$14&lt;&gt;E$14,"N/A",(t.4-t.3)/LN((T.FOFF.t3-T.FOFF.t5)/(T.FOFF.t5-T.FOFF.t5)))</f>
        <v>N/A</v>
      </c>
      <c r="F75" s="132" t="s">
        <v>36</v>
      </c>
      <c r="G75" s="126"/>
      <c r="H75" s="126"/>
      <c r="I75" s="126"/>
      <c r="K75" s="1134"/>
      <c r="L75" s="126"/>
      <c r="Q75" s="1133"/>
    </row>
    <row r="76" spans="2:17" ht="18" x14ac:dyDescent="0.3">
      <c r="B76" s="691" t="s">
        <v>436</v>
      </c>
      <c r="C76" s="134" t="s">
        <v>613</v>
      </c>
      <c r="D76" s="628" t="str">
        <f>IF(OR($D$14="Unknown",D14="11.1"),"11.2",$D$14) &amp; ".9.7"</f>
        <v>11.2.9.7</v>
      </c>
      <c r="E76" s="491" t="str">
        <f>IF($D$14&lt;&gt;E$14,"N/A",(T.FOFF.t3-T.FOFF.t5)*EXP(t.3/Tau.OFF))</f>
        <v>N/A</v>
      </c>
      <c r="F76" s="132" t="s">
        <v>51</v>
      </c>
      <c r="G76" s="126"/>
      <c r="H76" s="126"/>
      <c r="I76" s="126"/>
      <c r="K76" s="1134"/>
      <c r="L76" s="126"/>
      <c r="Q76" s="1133"/>
    </row>
    <row r="77" spans="2:17" ht="18" x14ac:dyDescent="0.3">
      <c r="B77" s="783" t="s">
        <v>437</v>
      </c>
      <c r="C77" s="785" t="s">
        <v>614</v>
      </c>
      <c r="D77" s="779" t="str">
        <f>IF(OR($D$14="Unknown",D14="11.1"),"11.2",$D$14) &amp; ".9.8"</f>
        <v>11.2.9.8</v>
      </c>
      <c r="E77" s="491" t="str">
        <f>IF($D$14&lt;&gt;E$14,"N/A",T.FOFF.t5-T.RA)</f>
        <v>N/A</v>
      </c>
      <c r="F77" s="132" t="s">
        <v>51</v>
      </c>
      <c r="G77" s="126"/>
      <c r="H77" s="126"/>
      <c r="I77" s="126"/>
      <c r="K77" s="1134"/>
      <c r="L77" s="126"/>
      <c r="Q77" s="1133"/>
    </row>
    <row r="78" spans="2:17" ht="18" x14ac:dyDescent="0.3">
      <c r="B78" s="809" t="s">
        <v>810</v>
      </c>
      <c r="C78" s="802" t="s">
        <v>619</v>
      </c>
      <c r="D78" s="803" t="str">
        <f>IF(OR($D$14="Unknown",D14="11.1"),"11.2",$D$14) &amp; ".9.9"</f>
        <v>11.2.9.9</v>
      </c>
      <c r="E78" s="873" t="str">
        <f>IF($D$14&lt;&gt;E$14,"N/A",
IFERROR(IF('Test Conditions'!$D$67="No",0.05,
IF(OR(System_Number=1,AND(System_Number=9,'Sys. # &amp; Product Characteristic'!Installation="Isolated Combustion System")),D.P_Draft_Diverter,D.P_Power_Burner_Direct_Vent)),""))</f>
        <v>N/A</v>
      </c>
      <c r="F78" s="132" t="s">
        <v>175</v>
      </c>
      <c r="G78" s="126"/>
      <c r="H78" s="126"/>
      <c r="I78" s="126"/>
      <c r="K78" s="1134"/>
      <c r="L78" s="126"/>
      <c r="Q78" s="1133"/>
    </row>
    <row r="79" spans="2:17" ht="18" x14ac:dyDescent="0.3">
      <c r="B79" s="691" t="s">
        <v>811</v>
      </c>
      <c r="C79" s="498" t="s">
        <v>620</v>
      </c>
      <c r="D79" s="628" t="str">
        <f>IF(OR($D$14="Unknown",D14="11.1"),"11.2",$D$14) &amp; ".9.9"</f>
        <v>11.2.9.9</v>
      </c>
      <c r="E79" s="706" t="str">
        <f ca="1">IF($D$14&lt;&gt;E$14,"N/A",
IF('Test Conditions'!$D$67="No",0.05,
IF('Test Conditions'!$D$66="Yes",D.P,
OFFSET('Drop-Downs and Tables'!$B$167,0,MATCH(E17,'Drop-Downs and Tables'!$C$157:$K$157,0)))))</f>
        <v>N/A</v>
      </c>
      <c r="F79" s="132" t="s">
        <v>175</v>
      </c>
      <c r="G79" s="126"/>
      <c r="H79" s="126"/>
      <c r="I79" s="126"/>
      <c r="K79" s="1134"/>
      <c r="L79" s="126"/>
      <c r="Q79" s="1133"/>
    </row>
    <row r="80" spans="2:17" ht="18" x14ac:dyDescent="0.3">
      <c r="B80" s="691" t="s">
        <v>73</v>
      </c>
      <c r="C80" s="498" t="s">
        <v>623</v>
      </c>
      <c r="D80" s="628" t="str">
        <f>IF(OR($D$14="Unknown",D14="11.1"),"11.2",$D$14) &amp; ".9.9"</f>
        <v>11.2.9.9</v>
      </c>
      <c r="E80" s="192" t="str">
        <f>IF($D$14&lt;&gt;E$14,"N/A",
IF(OR(System_Number=1,System_Number=2,System_Number=5,System_Number=6),1,
IF(System_Number=3,0.4,
IF(OR(System_Number=4,System_Number=8),IF('Test Conditions'!$D$66="No",0.85,(0.79+D.P)/1.4),"N/A"))))</f>
        <v>N/A</v>
      </c>
      <c r="F80" s="132" t="s">
        <v>175</v>
      </c>
      <c r="G80" s="126"/>
      <c r="H80" s="126"/>
      <c r="I80" s="126"/>
      <c r="K80" s="1134"/>
      <c r="L80" s="126"/>
      <c r="Q80" s="1133"/>
    </row>
    <row r="81" spans="2:17" ht="18" x14ac:dyDescent="0.3">
      <c r="B81" s="691" t="s">
        <v>1293</v>
      </c>
      <c r="C81" s="498" t="s">
        <v>624</v>
      </c>
      <c r="D81" s="628" t="str">
        <f>IF(OR($D$14="Unknown",D14="11.1"),"11.2",$D$14) &amp; ".9.9"</f>
        <v>11.2.9.9</v>
      </c>
      <c r="E81" s="491" t="str">
        <f>IF($D$14&lt;&gt;E$14,"N/A",
IFERROR(IF(OR(System_Number=9,System_Number=10),"N/A",
IF(OR(System_Number&lt;=4,AND(System_Number&gt;=5,System_Number&lt;=8,SF*DO.S&gt;D.F)),D.F*Psi.FIX/(SF*DO.S),
IF(AND(System_Number&gt;=5,System_Number&lt;=8,SF*DO.S&lt;=D.F),Psi.FIX,""))),""))</f>
        <v>N/A</v>
      </c>
      <c r="F81" s="132" t="s">
        <v>51</v>
      </c>
      <c r="G81" s="126"/>
      <c r="H81" s="126"/>
      <c r="I81" s="126"/>
      <c r="K81" s="1134"/>
      <c r="L81" s="126"/>
      <c r="Q81" s="1133"/>
    </row>
    <row r="82" spans="2:17" ht="18" x14ac:dyDescent="0.3">
      <c r="B82" s="691" t="s">
        <v>442</v>
      </c>
      <c r="C82" s="498" t="s">
        <v>626</v>
      </c>
      <c r="D82" s="628" t="str">
        <f>IF(OR($D$14="Unknown",D14="11.1"),"11.2",$D$14) &amp; ".9.11"</f>
        <v>11.2.9.11</v>
      </c>
      <c r="E82" s="491" t="str">
        <f>IF($D$14&lt;&gt;E$14,"N/A",9.68)</f>
        <v>N/A</v>
      </c>
      <c r="F82" s="132" t="s">
        <v>36</v>
      </c>
      <c r="G82" s="126"/>
      <c r="H82" s="126"/>
      <c r="I82" s="126"/>
      <c r="K82" s="1134"/>
      <c r="L82" s="126"/>
      <c r="Q82" s="1133"/>
    </row>
    <row r="83" spans="2:17" ht="18" x14ac:dyDescent="0.3">
      <c r="B83" s="691" t="s">
        <v>441</v>
      </c>
      <c r="C83" s="498" t="s">
        <v>627</v>
      </c>
      <c r="D83" s="628" t="str">
        <f>IF(OR($D$14="Unknown",D14="11.1"),"11.2",$D$14) &amp; ".9.11"</f>
        <v>11.2.9.11</v>
      </c>
      <c r="E83" s="491" t="str">
        <f>IF($D$14&lt;&gt;E$14,"N/A",t.ON/Tau.ON)</f>
        <v>N/A</v>
      </c>
      <c r="F83" s="132" t="s">
        <v>175</v>
      </c>
      <c r="G83" s="126"/>
      <c r="H83" s="126"/>
      <c r="I83" s="126"/>
      <c r="K83" s="1134"/>
      <c r="L83" s="126"/>
      <c r="Q83" s="1133"/>
    </row>
    <row r="84" spans="2:17" ht="18" x14ac:dyDescent="0.3">
      <c r="B84" s="691" t="s">
        <v>443</v>
      </c>
      <c r="C84" s="498" t="s">
        <v>628</v>
      </c>
      <c r="D84" s="628" t="str">
        <f>IF(OR($D$14="Unknown",D14="11.1"),"11.2",$D$14) &amp; ".9.12"</f>
        <v>11.2.9.12</v>
      </c>
      <c r="E84" s="491" t="str">
        <f>IF($D$14&lt;&gt;E$14,"N/A",33.26)</f>
        <v>N/A</v>
      </c>
      <c r="F84" s="132" t="s">
        <v>36</v>
      </c>
      <c r="G84" s="126"/>
      <c r="H84" s="126"/>
      <c r="I84" s="126"/>
      <c r="K84" s="1134"/>
      <c r="L84" s="126"/>
      <c r="Q84" s="1133"/>
    </row>
    <row r="85" spans="2:17" ht="18" x14ac:dyDescent="0.3">
      <c r="B85" s="691" t="s">
        <v>444</v>
      </c>
      <c r="C85" s="498" t="s">
        <v>629</v>
      </c>
      <c r="D85" s="628" t="str">
        <f>IF(OR($D$14="Unknown",D14="11.1"),"11.2",$D$14) &amp; ".9.12"</f>
        <v>11.2.9.12</v>
      </c>
      <c r="E85" s="491" t="str">
        <f>IF($D$14&lt;&gt;E$14,"N/A",t.OFF/Tau.OFF)</f>
        <v>N/A</v>
      </c>
      <c r="F85" s="132" t="s">
        <v>175</v>
      </c>
      <c r="G85" s="126"/>
      <c r="H85" s="126"/>
      <c r="I85" s="126"/>
      <c r="K85" s="1134"/>
      <c r="L85" s="126"/>
      <c r="Q85" s="1133"/>
    </row>
    <row r="86" spans="2:17" ht="18" x14ac:dyDescent="0.3">
      <c r="B86" s="691" t="s">
        <v>445</v>
      </c>
      <c r="C86" s="498" t="s">
        <v>630</v>
      </c>
      <c r="D86" s="628" t="str">
        <f>IF(OR($D$14="Unknown",D14="11.1"),"11.2",$D$14) &amp; ".9.13"</f>
        <v>11.2.9.13</v>
      </c>
      <c r="E86" s="491" t="str">
        <f>IF($D$14&lt;&gt;E$14,"N/A",(1-Psi.FOX*EXP(-R.OFF)/(T.FSS-T.FOFF.t5))/
(1-Theta.FOX*Psi.FOX*EXP(-(R.ON+R.OFF))/((T.FSS-T.FOFF.t5)^2)))</f>
        <v>N/A</v>
      </c>
      <c r="F86" s="132" t="s">
        <v>175</v>
      </c>
      <c r="G86" s="126"/>
      <c r="H86" s="126"/>
      <c r="I86" s="126"/>
      <c r="K86" s="1134"/>
      <c r="L86" s="126"/>
      <c r="Q86" s="1133"/>
    </row>
    <row r="87" spans="2:17" ht="18" x14ac:dyDescent="0.3">
      <c r="B87" s="691" t="s">
        <v>447</v>
      </c>
      <c r="C87" s="498" t="s">
        <v>631</v>
      </c>
      <c r="D87" s="628" t="str">
        <f>IF(OR($D$14="Unknown",D14="11.1"),"11.2",$D$14) &amp; ".9.14"</f>
        <v>11.2.9.14</v>
      </c>
      <c r="E87" s="492" t="str">
        <f>IF($D$14&lt;&gt;E$14,"N/A",IF('Sys. # &amp; Product Characteristic'!Ignition="","",IF('Sys. # &amp; Product Characteristic'!Ignition="Continuous Burning Pilot",1,0.9)))</f>
        <v>N/A</v>
      </c>
      <c r="F87" s="132" t="s">
        <v>175</v>
      </c>
      <c r="G87" s="126"/>
      <c r="H87" s="126"/>
      <c r="I87" s="126"/>
      <c r="K87" s="1134"/>
      <c r="L87" s="126"/>
      <c r="Q87" s="1133"/>
    </row>
    <row r="88" spans="2:17" ht="18" x14ac:dyDescent="0.3">
      <c r="B88" s="691" t="s">
        <v>446</v>
      </c>
      <c r="C88" s="498" t="s">
        <v>632</v>
      </c>
      <c r="D88" s="628" t="str">
        <f>IF(OR($D$14="Unknown",D14="11.1"),"11.2",$D$14) &amp; ".9.14"</f>
        <v>11.2.9.14</v>
      </c>
      <c r="E88" s="120" t="str">
        <f>IF($D$14&lt;&gt;$G$14,"N/A",
C.IID*
(1-Theta.FOX*EXP(-R.ON)/(T.FSS-T.FOFF.t5))/
(1-Theta.FOX*Psi.FOX*EXP(-(R.ON+R.OFF))/((T.FSS-T.FOFF.t5)^2)))</f>
        <v>N/A</v>
      </c>
      <c r="F88" s="132" t="s">
        <v>175</v>
      </c>
      <c r="G88" s="126"/>
      <c r="H88" s="126"/>
      <c r="I88" s="126"/>
      <c r="K88" s="1134"/>
      <c r="L88" s="126"/>
      <c r="Q88" s="1133"/>
    </row>
    <row r="89" spans="2:17" ht="33" x14ac:dyDescent="0.3">
      <c r="B89" s="691" t="s">
        <v>448</v>
      </c>
      <c r="C89" s="498" t="s">
        <v>633</v>
      </c>
      <c r="D89" s="628" t="str">
        <f>IF(OR($D$14="Unknown",D14="11.1"),"11.2",$D$14) &amp; ".9.15"</f>
        <v>11.2.9.15</v>
      </c>
      <c r="E89" s="491" t="str">
        <f>IF($D$14&lt;&gt;E$14,"N/A",IF(OR(System_Number&lt;=8,System_Number=""),"N/A",1.22))</f>
        <v>N/A</v>
      </c>
      <c r="F89" s="132" t="s">
        <v>175</v>
      </c>
      <c r="G89" s="126"/>
      <c r="H89" s="126"/>
      <c r="I89" s="126"/>
      <c r="K89" s="1134"/>
      <c r="L89" s="126"/>
      <c r="Q89" s="1133"/>
    </row>
    <row r="90" spans="2:17" ht="33" x14ac:dyDescent="0.3">
      <c r="B90" s="691" t="s">
        <v>449</v>
      </c>
      <c r="C90" s="498" t="s">
        <v>634</v>
      </c>
      <c r="D90" s="628" t="str">
        <f>IF(OR($D$14="Unknown",D14="11.1"),"11.2",$D$14) &amp; ".9.15"</f>
        <v>11.2.9.15</v>
      </c>
      <c r="E90" s="491" t="str">
        <f>IF($D$14&lt;&gt;E$14,"N/A",IF(System_Number&lt;=8,Psi.FOX*C.TOFF,C.TOFF*C1.S*Psi.FOX))</f>
        <v>N/A</v>
      </c>
      <c r="F90" s="132" t="s">
        <v>51</v>
      </c>
      <c r="G90" s="126"/>
      <c r="H90" s="126"/>
      <c r="I90" s="126"/>
      <c r="K90" s="1134"/>
      <c r="L90" s="126"/>
      <c r="Q90" s="1133"/>
    </row>
    <row r="91" spans="2:17" ht="33" x14ac:dyDescent="0.3">
      <c r="B91" s="691" t="s">
        <v>1294</v>
      </c>
      <c r="C91" s="498" t="s">
        <v>635</v>
      </c>
      <c r="D91" s="628" t="str">
        <f>IF(OR($D$14="Unknown",D14="11.1"),"11.2",$D$14) &amp; ".9.16"</f>
        <v>11.2.9.16</v>
      </c>
      <c r="E91" s="491" t="str">
        <f>IF($D$14&lt;&gt;E$14,"N/A",IF(System_Number&lt;=8,Psi.FIX,C1.S*Psi.FIX))</f>
        <v>N/A</v>
      </c>
      <c r="F91" s="132" t="s">
        <v>51</v>
      </c>
      <c r="G91" s="126"/>
      <c r="H91" s="126"/>
      <c r="I91" s="126"/>
      <c r="K91" s="1134"/>
      <c r="L91" s="126"/>
      <c r="Q91" s="1133"/>
    </row>
    <row r="92" spans="2:17" ht="18" x14ac:dyDescent="0.3">
      <c r="B92" s="691" t="s">
        <v>451</v>
      </c>
      <c r="C92" s="498" t="s">
        <v>637</v>
      </c>
      <c r="D92" s="628" t="str">
        <f>IF(OR($D$14="Unknown",D14="11.1"),"11.2",$D$14) &amp; ".9.18"</f>
        <v>11.2.9.18</v>
      </c>
      <c r="E92" s="516" t="str">
        <f>IF(OR(System_Number=5,System_Number=6,System_Number=8),$C$227,"N/A")</f>
        <v>N/A</v>
      </c>
      <c r="F92" s="132" t="s">
        <v>175</v>
      </c>
      <c r="G92" s="126"/>
      <c r="H92" s="126"/>
      <c r="I92" s="126"/>
      <c r="K92" s="1134"/>
      <c r="L92" s="126"/>
      <c r="Q92" s="1133"/>
    </row>
    <row r="93" spans="2:17" ht="18" x14ac:dyDescent="0.3">
      <c r="B93" s="691" t="s">
        <v>452</v>
      </c>
      <c r="C93" s="498" t="s">
        <v>638</v>
      </c>
      <c r="D93" s="628" t="str">
        <f>IF(OR($D$14="Unknown",D14="11.1"),"11.2",$D$14) &amp; ".9.18"</f>
        <v>11.2.9.18</v>
      </c>
      <c r="E93" s="493" t="str">
        <f>IF(OR(System_Number=5,System_Number=6,System_Number=8),$C$228,"N/A")</f>
        <v>N/A</v>
      </c>
      <c r="F93" s="132" t="s">
        <v>175</v>
      </c>
      <c r="G93" s="126"/>
      <c r="H93" s="126"/>
      <c r="I93" s="126"/>
      <c r="K93" s="1134"/>
      <c r="L93" s="126"/>
      <c r="Q93" s="1133"/>
    </row>
    <row r="94" spans="2:17" ht="18" x14ac:dyDescent="0.3">
      <c r="B94" s="691" t="s">
        <v>73</v>
      </c>
      <c r="C94" s="498" t="s">
        <v>621</v>
      </c>
      <c r="D94" s="628" t="str">
        <f>IF(OR($D$14="Unknown",D14="11.1"),"11.2",$D$14) &amp; ".9.18"</f>
        <v>11.2.9.18</v>
      </c>
      <c r="E94" s="707" t="str">
        <f>IF(E17&gt;=9,"N/A",
IF(OR(System_Number=1,System_Number=2),1,
IF(System_Number=3,D.F,
IF(System_Number=4,IF('Test Conditions'!$D$66="No",0.85,(0.79+D.P)/1.4),
IF(OR(System_Number=5,System_Number=6),D.O,
IF('Test Conditions'!$D$66="No",0.85*D.O,(0.79+D.P)/1.4*D.O))))))</f>
        <v>N/A</v>
      </c>
      <c r="F94" s="132" t="s">
        <v>175</v>
      </c>
      <c r="G94" s="126"/>
      <c r="H94" s="126"/>
      <c r="I94" s="126"/>
      <c r="K94" s="1134"/>
      <c r="L94" s="126"/>
      <c r="Q94" s="1133"/>
    </row>
    <row r="95" spans="2:17" ht="18" x14ac:dyDescent="0.3">
      <c r="B95" s="691" t="s">
        <v>812</v>
      </c>
      <c r="C95" s="498" t="s">
        <v>621</v>
      </c>
      <c r="D95" s="680" t="str">
        <f>IF(OR($D$14="Unknown",D14="11.1"),"11.2",$D$14) &amp; ".9.18" &amp; " or 11.7.2"</f>
        <v>11.2.9.18 or 11.7.2</v>
      </c>
      <c r="E95" s="1151" t="str">
        <f>IF($D$14&lt;&gt;E$14,"N/A",
    IF('Test Conditions'!$D$66="Yes",E$150,E$94))</f>
        <v>N/A</v>
      </c>
      <c r="F95" s="132" t="s">
        <v>175</v>
      </c>
      <c r="G95" s="126"/>
      <c r="H95" s="126"/>
      <c r="I95" s="126"/>
      <c r="K95" s="1134"/>
      <c r="L95" s="126"/>
      <c r="Q95" s="1133"/>
    </row>
    <row r="96" spans="2:17" x14ac:dyDescent="0.3">
      <c r="B96" s="691" t="s">
        <v>453</v>
      </c>
      <c r="C96" s="134" t="s">
        <v>454</v>
      </c>
      <c r="D96" s="628" t="str">
        <f>IF(OR($D$14="Unknown",D14="11.1"),"11.2",$D$14) &amp; ".9.19"</f>
        <v>11.2.9.19</v>
      </c>
      <c r="E96" s="546" t="str">
        <f t="shared" ref="E96:E101" si="0">IF($D$14&lt;&gt;E$14,"N/A",$G350)</f>
        <v>N/A</v>
      </c>
      <c r="F96" s="132" t="s">
        <v>175</v>
      </c>
      <c r="G96" s="126"/>
      <c r="H96" s="126"/>
      <c r="I96" s="126"/>
      <c r="K96" s="1134"/>
      <c r="L96" s="126"/>
      <c r="Q96" s="1133"/>
    </row>
    <row r="97" spans="2:17" x14ac:dyDescent="0.3">
      <c r="B97" s="691" t="s">
        <v>453</v>
      </c>
      <c r="C97" s="134" t="s">
        <v>455</v>
      </c>
      <c r="D97" s="628" t="str">
        <f>IF(OR($D$14="Unknown",D14="11.1"),"11.2",$D$14) &amp; ".9.19"</f>
        <v>11.2.9.19</v>
      </c>
      <c r="E97" s="546" t="str">
        <f t="shared" si="0"/>
        <v>N/A</v>
      </c>
      <c r="F97" s="132" t="s">
        <v>175</v>
      </c>
      <c r="G97" s="126"/>
      <c r="H97" s="126"/>
      <c r="I97" s="126"/>
      <c r="K97" s="1134"/>
      <c r="L97" s="126"/>
      <c r="Q97" s="1133"/>
    </row>
    <row r="98" spans="2:17" x14ac:dyDescent="0.3">
      <c r="B98" s="691" t="s">
        <v>453</v>
      </c>
      <c r="C98" s="498" t="s">
        <v>456</v>
      </c>
      <c r="D98" s="628" t="str">
        <f>IF(OR($D$14="Unknown",D14="11.1"),"11.2",$D$14) &amp; ".9.19"</f>
        <v>11.2.9.19</v>
      </c>
      <c r="E98" s="546" t="str">
        <f t="shared" si="0"/>
        <v>N/A</v>
      </c>
      <c r="F98" s="132" t="s">
        <v>175</v>
      </c>
      <c r="G98" s="126"/>
      <c r="H98" s="126"/>
      <c r="I98" s="126"/>
      <c r="K98" s="1134"/>
      <c r="L98" s="126"/>
      <c r="Q98" s="1133"/>
    </row>
    <row r="99" spans="2:17" x14ac:dyDescent="0.3">
      <c r="B99" s="691" t="s">
        <v>453</v>
      </c>
      <c r="C99" s="498" t="s">
        <v>457</v>
      </c>
      <c r="D99" s="628" t="str">
        <f>IF(OR($D$14="Unknown",D14="11.1"),"11.2",$D$14) &amp; ".9.19"</f>
        <v>11.2.9.19</v>
      </c>
      <c r="E99" s="546" t="str">
        <f t="shared" si="0"/>
        <v>N/A</v>
      </c>
      <c r="F99" s="132" t="s">
        <v>175</v>
      </c>
      <c r="G99" s="126"/>
      <c r="H99" s="126"/>
      <c r="I99" s="126"/>
      <c r="K99" s="1134"/>
      <c r="L99" s="126"/>
      <c r="Q99" s="1133"/>
    </row>
    <row r="100" spans="2:17" x14ac:dyDescent="0.3">
      <c r="B100" s="691" t="s">
        <v>459</v>
      </c>
      <c r="C100" s="498" t="s">
        <v>458</v>
      </c>
      <c r="D100" s="628" t="str">
        <f>IF(OR($D$14="Unknown",D14="11.1"),"11.2",$D$14) &amp; ".9.20"</f>
        <v>11.2.9.20</v>
      </c>
      <c r="E100" s="546" t="str">
        <f t="shared" si="0"/>
        <v>N/A</v>
      </c>
      <c r="F100" s="132" t="s">
        <v>175</v>
      </c>
      <c r="G100" s="126"/>
      <c r="H100" s="126"/>
      <c r="I100" s="126"/>
      <c r="K100" s="1134"/>
      <c r="L100" s="126"/>
      <c r="Q100" s="1133"/>
    </row>
    <row r="101" spans="2:17" ht="17.25" thickBot="1" x14ac:dyDescent="0.35">
      <c r="B101" s="693" t="s">
        <v>459</v>
      </c>
      <c r="C101" s="835" t="s">
        <v>460</v>
      </c>
      <c r="D101" s="695" t="str">
        <f>IF(OR($D$14="Unknown",D14="11.1"),"11.2",$D$14) &amp; ".9.20"</f>
        <v>11.2.9.20</v>
      </c>
      <c r="E101" s="827" t="str">
        <f t="shared" si="0"/>
        <v>N/A</v>
      </c>
      <c r="F101" s="699" t="s">
        <v>175</v>
      </c>
      <c r="G101" s="126"/>
      <c r="H101" s="126"/>
      <c r="I101" s="126"/>
      <c r="K101" s="1134"/>
      <c r="L101" s="126"/>
      <c r="Q101" s="1133"/>
    </row>
    <row r="102" spans="2:17" ht="17.25" thickBot="1" x14ac:dyDescent="0.35">
      <c r="B102" s="804"/>
      <c r="C102" s="781"/>
      <c r="D102" s="781"/>
      <c r="E102" s="793"/>
      <c r="F102" s="805"/>
      <c r="G102" s="126"/>
      <c r="H102" s="126"/>
      <c r="I102" s="126"/>
      <c r="K102" s="1134"/>
      <c r="L102" s="126"/>
      <c r="Q102" s="1133"/>
    </row>
    <row r="103" spans="2:17" ht="17.25" x14ac:dyDescent="0.3">
      <c r="B103" s="820" t="s">
        <v>853</v>
      </c>
      <c r="C103" s="821"/>
      <c r="D103" s="821"/>
      <c r="E103" s="822"/>
      <c r="F103" s="823"/>
      <c r="G103" s="126"/>
      <c r="H103" s="126"/>
      <c r="I103" s="126"/>
      <c r="K103" s="1134"/>
      <c r="L103" s="126"/>
      <c r="Q103" s="1133"/>
    </row>
    <row r="104" spans="2:17" ht="18" x14ac:dyDescent="0.3">
      <c r="B104" s="808" t="s">
        <v>533</v>
      </c>
      <c r="C104" s="795" t="s">
        <v>639</v>
      </c>
      <c r="D104" s="796" t="str">
        <f>IF(OR($D$14="Unknown",D14="11.1"),"11.2",$D$14) &amp; ".10.1"</f>
        <v>11.2.10.1</v>
      </c>
      <c r="E104" s="491" t="str">
        <f>IF($D$14&lt;&gt;E$14,"N/A",IF(System_Number&gt;=9,(T.FSS-T.OA)/(T.FSS-T.RA),IF(System_Number=3,1,"N/A")))</f>
        <v>N/A</v>
      </c>
      <c r="F104" s="807" t="s">
        <v>175</v>
      </c>
      <c r="G104" s="126"/>
      <c r="H104" s="126"/>
      <c r="I104" s="126"/>
      <c r="K104" s="1134"/>
      <c r="L104" s="126"/>
      <c r="Q104" s="1133"/>
    </row>
    <row r="105" spans="2:17" ht="33" x14ac:dyDescent="0.3">
      <c r="B105" s="691" t="s">
        <v>461</v>
      </c>
      <c r="C105" s="134" t="s">
        <v>640</v>
      </c>
      <c r="D105" s="628" t="str">
        <f>IF(OR($D$14="Unknown",D14="11.1"),"11.2",$D$14) &amp; ".10.2"</f>
        <v>11.2.10.2</v>
      </c>
      <c r="E105" s="491" t="str">
        <f>IF($D$14&lt;&gt;E$14,"N/A",IF(System_Number&lt;=8,C.TON*Theta.FOX,C.TON*C.S*Theta.FOX))</f>
        <v>N/A</v>
      </c>
      <c r="F105" s="132" t="s">
        <v>51</v>
      </c>
      <c r="G105" s="126"/>
      <c r="H105" s="126"/>
      <c r="I105" s="126"/>
      <c r="K105" s="1134"/>
      <c r="L105" s="126"/>
      <c r="Q105" s="1133"/>
    </row>
    <row r="106" spans="2:17" ht="18" x14ac:dyDescent="0.3">
      <c r="B106" s="691" t="s">
        <v>462</v>
      </c>
      <c r="C106" s="498" t="s">
        <v>641</v>
      </c>
      <c r="D106" s="628" t="str">
        <f>IF(OR($D$14="Unknown",D14="11.1"),"11.2",$D$14) &amp; ".10.3"</f>
        <v>11.2.10.3</v>
      </c>
      <c r="E106" s="490" t="str">
        <f>IF($D$14&lt;&gt;E$14,"N/A",IFERROR(
IF(System_Number&lt;=4,(T.FSS-T.RA+530)^1.19*D.F*K.SON/((T.FSS-T.RA)^0.56),
IF(System_Number&lt;=8,(T.SSS-T.RA+530)^1.19*D.S*SF*K.SON/((T.SSS-T.RA+70-T.OA)^0.56),
(T.FSS-T.RA+530)^1.19*K.SON*D.F/((T.FSS-T.RA+70-T.OA)^0.56))),""))</f>
        <v>N/A</v>
      </c>
      <c r="F106" s="132" t="s">
        <v>175</v>
      </c>
      <c r="G106" s="126"/>
      <c r="H106" s="126"/>
      <c r="I106" s="126"/>
      <c r="K106" s="1134"/>
      <c r="L106" s="126"/>
      <c r="Q106" s="1133"/>
    </row>
    <row r="107" spans="2:17" ht="18" x14ac:dyDescent="0.3">
      <c r="B107" s="691" t="s">
        <v>463</v>
      </c>
      <c r="C107" s="498" t="s">
        <v>642</v>
      </c>
      <c r="D107" s="628" t="str">
        <f>IF(OR($D$14="Unknown",D14="11.1"),"11.2",$D$14) &amp; ".10.4"</f>
        <v>11.2.10.4</v>
      </c>
      <c r="E107" s="490" t="str">
        <f>IF($D$14&lt;&gt;E$14,"N/A",
IF(OR(System_Number=1,System_Number=2,System_Number=4),(T.SSS-T.RA+530)^1.19*K.ION*D.S/((T.SSS-T.RA+70-T.OA)^0.56),
IF(AND(System_Number&gt;=5,System_Number&lt;=8),(T.SSS-T.RA+530)^1.19*K.ION*D.S/((T.SSS-T.RA+70-T.OA)^0.56)*D.OI/D.O,
IF(System_Number=3,(T.FSS-T.RA+530)^1.19*K.ION*D.S/((T.FSS-T.RA+70-T.OA)^0.56),
0))))</f>
        <v>N/A</v>
      </c>
      <c r="F107" s="132" t="s">
        <v>175</v>
      </c>
      <c r="G107" s="126"/>
      <c r="H107" s="126"/>
      <c r="I107" s="126"/>
      <c r="K107" s="1134"/>
      <c r="L107" s="126"/>
      <c r="Q107" s="1133"/>
    </row>
    <row r="108" spans="2:17" ht="18" x14ac:dyDescent="0.3">
      <c r="B108" s="691" t="s">
        <v>464</v>
      </c>
      <c r="C108" s="498" t="s">
        <v>643</v>
      </c>
      <c r="D108" s="628" t="str">
        <f>IF(OR($D$14="Unknown",D14="11.1"),"11.2",$D$14) &amp; ".10.5"</f>
        <v>11.2.10.5</v>
      </c>
      <c r="E108" s="491" t="str">
        <f>IF($D$14&lt;&gt;E$14,"N/A",IF(System_Number&lt;=8,L.SSS-K.SON*Theta.FO*((1/R.ON)*(1-EXP(-R.ON))),
C.S*L.SSS-K.SON*Theta.FO*((1/R.ON)*(1-EXP(-R.ON)))))</f>
        <v>N/A</v>
      </c>
      <c r="F108" s="132" t="s">
        <v>211</v>
      </c>
      <c r="G108" s="126"/>
      <c r="H108" s="126"/>
      <c r="I108" s="126"/>
      <c r="K108" s="1134"/>
      <c r="L108" s="126"/>
      <c r="Q108" s="1133"/>
    </row>
    <row r="109" spans="2:17" x14ac:dyDescent="0.3">
      <c r="B109" s="691" t="s">
        <v>386</v>
      </c>
      <c r="C109" s="134" t="s">
        <v>175</v>
      </c>
      <c r="D109" s="628" t="str">
        <f>IF(OR($D$14="Unknown",D14="11.1"),"11.2",$D$14) &amp; ".10.6"</f>
        <v>11.2.10.6</v>
      </c>
      <c r="E109" s="517" t="str">
        <f>IF($D$14&lt;&gt;E$14,"N/A",'Max Test'!Does_the_boiler_employ_a_post_purge?)</f>
        <v>N/A</v>
      </c>
      <c r="F109" s="132" t="s">
        <v>175</v>
      </c>
      <c r="G109" s="126"/>
      <c r="H109" s="126"/>
      <c r="I109" s="126"/>
      <c r="K109" s="1134"/>
      <c r="L109" s="126"/>
      <c r="Q109" s="1133"/>
    </row>
    <row r="110" spans="2:17" ht="33" x14ac:dyDescent="0.3">
      <c r="B110" s="692" t="s">
        <v>672</v>
      </c>
      <c r="C110" s="134" t="s">
        <v>644</v>
      </c>
      <c r="D110" s="628" t="str">
        <f>IF(OR($D$14="Unknown",D14="11.1"),"11.2",$D$14) &amp; ".10.6"</f>
        <v>11.2.10.6</v>
      </c>
      <c r="E110" s="493" t="str">
        <f>IF($D$14&lt;&gt;E$14,"N/A",IF(Post_Purge?="No","N/A",
IF(OR(System_Number=2,System_Number=3,System_Number=4),C.TOFF,
IF(System_Number=10,C.TOFF*C1.S,
"N/A"))))</f>
        <v>N/A</v>
      </c>
      <c r="F110" s="132" t="s">
        <v>175</v>
      </c>
      <c r="G110" s="126"/>
      <c r="H110" s="126"/>
      <c r="I110" s="126"/>
      <c r="K110" s="1134"/>
      <c r="L110" s="126"/>
      <c r="Q110" s="1133"/>
    </row>
    <row r="111" spans="2:17" ht="18" x14ac:dyDescent="0.3">
      <c r="B111" s="691" t="s">
        <v>511</v>
      </c>
      <c r="C111" s="134" t="s">
        <v>645</v>
      </c>
      <c r="D111" s="628" t="str">
        <f>IF(OR($D$14="Unknown",D14="11.1"),"11.2",$D$14) &amp; ".10.8"</f>
        <v>11.2.10.8</v>
      </c>
      <c r="E111" s="493" t="str">
        <f>IF($D$14&lt;&gt;E$14,"N/A",IF(Post_Purge?="No","N/A",'Max Test'!T.FOFF.tp))</f>
        <v>N/A</v>
      </c>
      <c r="F111" s="132" t="s">
        <v>51</v>
      </c>
      <c r="G111" s="126"/>
      <c r="H111" s="126"/>
      <c r="I111" s="126"/>
      <c r="K111" s="1134"/>
      <c r="L111" s="126"/>
      <c r="Q111" s="1133"/>
    </row>
    <row r="112" spans="2:17" ht="18" x14ac:dyDescent="0.3">
      <c r="B112" s="691" t="s">
        <v>509</v>
      </c>
      <c r="C112" s="134" t="s">
        <v>646</v>
      </c>
      <c r="D112" s="628" t="str">
        <f>IF(OR($D$14="Unknown",D14="11.1"),"11.2",$D$14) &amp; ".10.6"</f>
        <v>11.2.10.6</v>
      </c>
      <c r="E112" s="517" t="str">
        <f>IF($D$14&lt;&gt;E$14,"N/A",IF(Post_Purge?="No","N/A",
100*C.P*M.FON*t.p*(T.FSS+460)*(1/(t.ON*Q.IN/60))*(1+(T.RA+460)/(C.TS*(T.FSS-T.FOFF.tp))*LN((T.RA+460+C.TS*(T.FOFF.tp-T.RA))/(T.RA+460+C.TS*(T.FSS-T.RA))))))</f>
        <v>N/A</v>
      </c>
      <c r="F112" s="132" t="s">
        <v>211</v>
      </c>
      <c r="G112" s="126"/>
      <c r="H112" s="126"/>
      <c r="I112" s="126"/>
      <c r="K112" s="1134"/>
      <c r="L112" s="126"/>
      <c r="Q112" s="1133"/>
    </row>
    <row r="113" spans="2:17" ht="18" x14ac:dyDescent="0.3">
      <c r="B113" s="691" t="s">
        <v>510</v>
      </c>
      <c r="C113" s="134" t="s">
        <v>647</v>
      </c>
      <c r="D113" s="628" t="str">
        <f>IF(OR($D$14="Unknown",D14="11.1"),"11.2",$D$14) &amp; ".10.6"</f>
        <v>11.2.10.6</v>
      </c>
      <c r="E113" s="493" t="str">
        <f>IF($D$14&lt;&gt;E$14,"N/A",IF(Post_Purge?="No","N/A",
IF(OR(System_Number=2,System_Number=3,System_Number=4),K.SOFF*((t.OFF-t.p)/t.ON)*(F_3+Psi.FI*F_4),
IF(System_Number=10,K.SOFF*((t.OFF-t.p)/t.ON)*(F_5+Psi.FI*F_6),"N/A"))))</f>
        <v>N/A</v>
      </c>
      <c r="F113" s="132" t="s">
        <v>211</v>
      </c>
      <c r="G113" s="126"/>
      <c r="H113" s="126"/>
      <c r="I113" s="126"/>
      <c r="K113" s="1134"/>
      <c r="L113" s="126"/>
      <c r="Q113" s="1133"/>
    </row>
    <row r="114" spans="2:17" ht="18" x14ac:dyDescent="0.3">
      <c r="B114" s="691" t="s">
        <v>465</v>
      </c>
      <c r="C114" s="498" t="s">
        <v>648</v>
      </c>
      <c r="D114" s="628" t="str">
        <f>IF(OR($D$14="Unknown",D14="11.1"),"11.2",$D$14) &amp; ".10.6"</f>
        <v>11.2.10.6</v>
      </c>
      <c r="E114" s="491" t="str">
        <f>IF($D$14&lt;&gt;E$14,"N/A",IFERROR(IF(Post_Purge?="No",
IF(System_Number&lt;=4,K.SOFF*(t.OFF/t.ON)*(F_3+Psi.FI*F_4),
IF(System_Number&lt;=8,K.SOFF*(t.OFF/t.ON)*(F_5+Psi.SIX*F_6),
K.SOFF*(t.OFF/t.ON)*(F_5+Psi.FI*F_6))),
L.SOFF1+L.SOFF2),""))</f>
        <v>N/A</v>
      </c>
      <c r="F114" s="132" t="s">
        <v>211</v>
      </c>
      <c r="G114" s="126"/>
      <c r="H114" s="126"/>
      <c r="I114" s="126"/>
      <c r="K114" s="1134"/>
      <c r="L114" s="126"/>
      <c r="Q114" s="1133"/>
    </row>
    <row r="115" spans="2:17" ht="18" x14ac:dyDescent="0.3">
      <c r="B115" s="691" t="s">
        <v>466</v>
      </c>
      <c r="C115" s="134" t="s">
        <v>649</v>
      </c>
      <c r="D115" s="628" t="str">
        <f>IF(OR($D$14="Unknown",D14="11.1"),"11.2",$D$14) &amp; ".10.7"</f>
        <v>11.2.10.7</v>
      </c>
      <c r="E115" s="704" t="str">
        <f>IF($D$14&lt;&gt;E$14,"N/A",IF(System_Number&lt;=8,K.ION*(70-T.OA),0))</f>
        <v>N/A</v>
      </c>
      <c r="F115" s="132" t="s">
        <v>211</v>
      </c>
      <c r="G115" s="126"/>
      <c r="H115" s="126"/>
      <c r="I115" s="126"/>
      <c r="K115" s="1134"/>
      <c r="L115" s="126"/>
      <c r="Q115" s="1133"/>
    </row>
    <row r="116" spans="2:17" ht="18" x14ac:dyDescent="0.3">
      <c r="B116" s="691" t="s">
        <v>512</v>
      </c>
      <c r="C116" s="134" t="s">
        <v>650</v>
      </c>
      <c r="D116" s="628" t="str">
        <f>IF(OR($D$14="Unknown",D14="11.1"),"11.2",$D$14) &amp; ".10.8"</f>
        <v>11.2.10.8</v>
      </c>
      <c r="E116" s="517" t="str">
        <f>IF($D$14&lt;&gt;E$14,"N/A",IF(Post_Purge?="No","N/A",
IF(OR(System_Number=2,System_Number=3,System_Number=4),100*C.P*M.FON*t.p*(T.FSS+460)*(1/(t.ON*Q.IN/60))*((70-T.OA)/(C.TOFF*(T.FSS-T.FOFF.tp))*LN((T.RA+460+C.TOFF*(T.FSS-T.RA))/(T.RA+460+C.TOFF*(T.FOFF.tp-T.RA)))),
IF(System_Number=10,0,
"N/A"))))</f>
        <v>N/A</v>
      </c>
      <c r="F116" s="132" t="s">
        <v>211</v>
      </c>
      <c r="G116" s="126"/>
      <c r="H116" s="126"/>
      <c r="I116" s="126"/>
      <c r="K116" s="1134"/>
      <c r="L116" s="126"/>
      <c r="Q116" s="1133"/>
    </row>
    <row r="117" spans="2:17" ht="18" x14ac:dyDescent="0.3">
      <c r="B117" s="691" t="s">
        <v>513</v>
      </c>
      <c r="C117" s="134" t="s">
        <v>651</v>
      </c>
      <c r="D117" s="628" t="str">
        <f>IF(OR($D$14="Unknown",D14="11.1"),"11.2",$D$14) &amp; ".10.8"</f>
        <v>11.2.10.8</v>
      </c>
      <c r="E117" s="504" t="str">
        <f>IF($D$14&lt;&gt;E$14,"N/A",IF(Post_Purge?="No","N/A",
IF(System_Number=10,0,
IF(OR(System_Number=2,System_Number=4),K.IOFF*(70-T.OA)*((t.OFF-t.p)/t.ON)*(F_7+Psi.SIX*F_8),
K.IOFF*(70-T.OA)*((t.OFF-t.p)/t.ON)*(F_7+Psi.FI*F_8)))))</f>
        <v>N/A</v>
      </c>
      <c r="F117" s="132" t="s">
        <v>211</v>
      </c>
      <c r="G117" s="126"/>
      <c r="H117" s="126"/>
      <c r="I117" s="126"/>
      <c r="K117" s="1134"/>
      <c r="L117" s="126"/>
      <c r="Q117" s="1133"/>
    </row>
    <row r="118" spans="2:17" ht="18.75" thickBot="1" x14ac:dyDescent="0.35">
      <c r="B118" s="693" t="s">
        <v>467</v>
      </c>
      <c r="C118" s="835" t="s">
        <v>652</v>
      </c>
      <c r="D118" s="695" t="str">
        <f>IF(OR($D$14="Unknown",D14="11.1"),"11.2",$D$14) &amp; ".10.8"</f>
        <v>11.2.10.8</v>
      </c>
      <c r="E118" s="852" t="str">
        <f>IF($D$14&lt;&gt;E$14,"N/A",IF(Post_Purge?="No",
IF(System_Number=3,K.IOFF*(70-T.OA)*(t.OFF/t.ON)*(F_7+Psi.FI*F_8),
IF(OR(System_Number=9,System_Number=10),0,
K.IOFF*(70-T.OA)*(t.OFF/t.ON)*(F_7+Psi.SIX*F_8))),
L.IOFF1+L.IOFF2))</f>
        <v>N/A</v>
      </c>
      <c r="F118" s="699" t="s">
        <v>211</v>
      </c>
      <c r="G118" s="126"/>
      <c r="H118" s="126"/>
      <c r="I118" s="126"/>
      <c r="K118" s="1134"/>
      <c r="L118" s="126"/>
      <c r="Q118" s="1133"/>
    </row>
    <row r="119" spans="2:17" ht="17.25" thickBot="1" x14ac:dyDescent="0.35">
      <c r="B119" s="804"/>
      <c r="C119" s="781"/>
      <c r="D119" s="781"/>
      <c r="E119" s="513"/>
      <c r="F119" s="805"/>
      <c r="G119" s="126"/>
      <c r="H119" s="126"/>
      <c r="I119" s="126"/>
      <c r="K119" s="1134"/>
      <c r="L119" s="126"/>
      <c r="Q119" s="1133"/>
    </row>
    <row r="120" spans="2:17" ht="17.25" x14ac:dyDescent="0.3">
      <c r="B120" s="820" t="s">
        <v>150</v>
      </c>
      <c r="C120" s="821"/>
      <c r="D120" s="821"/>
      <c r="E120" s="822"/>
      <c r="F120" s="823"/>
      <c r="G120" s="126"/>
      <c r="H120" s="126"/>
      <c r="I120" s="126"/>
      <c r="K120" s="1134"/>
      <c r="L120" s="126"/>
      <c r="Q120" s="1133"/>
    </row>
    <row r="121" spans="2:17" ht="18" x14ac:dyDescent="0.3">
      <c r="B121" s="808" t="s">
        <v>212</v>
      </c>
      <c r="C121" s="795" t="s">
        <v>653</v>
      </c>
      <c r="D121" s="796" t="str">
        <f>IF(OR($D$14="Unknown",D14="11.1"),"11.2",$D$14) &amp; ".11"</f>
        <v>11.2.11</v>
      </c>
      <c r="E121" s="492" t="str">
        <f>IF($D$14&lt;&gt;E$14,"N/A",IF('Sys. # &amp; Product Characteristic'!Installation="Indoor",0,
IF('Sys. # &amp; Product Characteristic'!Installation="Outdoor",IF(Finned_Tube_Boiler="Yes",1,4.7),
IF(Finned_Tube_Boiler="Yes",0.5,2.4))))</f>
        <v>N/A</v>
      </c>
      <c r="F121" s="807" t="s">
        <v>175</v>
      </c>
      <c r="G121" s="126"/>
      <c r="H121" s="126"/>
      <c r="I121" s="126"/>
      <c r="K121" s="1134"/>
      <c r="L121" s="126"/>
      <c r="Q121" s="1133"/>
    </row>
    <row r="122" spans="2:17" ht="18" x14ac:dyDescent="0.3">
      <c r="B122" s="691" t="s">
        <v>468</v>
      </c>
      <c r="C122" s="134" t="s">
        <v>654</v>
      </c>
      <c r="D122" s="628" t="str">
        <f>IF(OR($D$14="Unknown",D14="11.1"),"11.2",$D$14) &amp; ".11"</f>
        <v>11.2.11</v>
      </c>
      <c r="E122" s="504" t="str">
        <f>IF($D$14&lt;&gt;E$14,"N/A",'Max Test'!Q.P)</f>
        <v>N/A</v>
      </c>
      <c r="F122" s="132" t="s">
        <v>37</v>
      </c>
      <c r="G122" s="126"/>
      <c r="H122" s="126"/>
      <c r="I122" s="126"/>
      <c r="K122" s="1134"/>
      <c r="L122" s="126"/>
      <c r="Q122" s="1133"/>
    </row>
    <row r="123" spans="2:17" ht="18" x14ac:dyDescent="0.3">
      <c r="B123" s="691" t="s">
        <v>394</v>
      </c>
      <c r="C123" s="134" t="s">
        <v>655</v>
      </c>
      <c r="D123" s="679" t="s">
        <v>74</v>
      </c>
      <c r="E123" s="503" t="str">
        <f>IF($D$14&lt;&gt;E$14,"N/A",'Max Test'!M.C)</f>
        <v>N/A</v>
      </c>
      <c r="F123" s="132" t="s">
        <v>75</v>
      </c>
      <c r="G123" s="126"/>
      <c r="H123" s="126"/>
      <c r="I123" s="126"/>
      <c r="K123" s="1134"/>
      <c r="L123" s="126"/>
      <c r="Q123" s="1133"/>
    </row>
    <row r="124" spans="2:17" ht="18" x14ac:dyDescent="0.3">
      <c r="B124" s="691" t="s">
        <v>471</v>
      </c>
      <c r="C124" s="134" t="s">
        <v>656</v>
      </c>
      <c r="D124" s="679" t="s">
        <v>74</v>
      </c>
      <c r="E124" s="503" t="str">
        <f>IF($D$14&lt;&gt;E$14,"N/A",'Max Test'!Q.C)</f>
        <v>N/A</v>
      </c>
      <c r="F124" s="132" t="s">
        <v>79</v>
      </c>
      <c r="G124" s="126"/>
      <c r="H124" s="126"/>
      <c r="I124" s="126"/>
      <c r="K124" s="1134"/>
      <c r="L124" s="126"/>
      <c r="Q124" s="1133"/>
    </row>
    <row r="125" spans="2:17" ht="18" x14ac:dyDescent="0.3">
      <c r="B125" s="691" t="s">
        <v>470</v>
      </c>
      <c r="C125" s="134" t="s">
        <v>657</v>
      </c>
      <c r="D125" s="679" t="s">
        <v>74</v>
      </c>
      <c r="E125" s="503" t="str">
        <f>IF($D$14&lt;&gt;E$14,"N/A",IFERROR(100*1053.3*M.C/Q.C,""))</f>
        <v>N/A</v>
      </c>
      <c r="F125" s="132" t="s">
        <v>211</v>
      </c>
      <c r="G125" s="126"/>
      <c r="H125" s="126"/>
      <c r="I125" s="126"/>
      <c r="K125" s="1134"/>
      <c r="L125" s="126"/>
      <c r="Q125" s="1133"/>
    </row>
    <row r="126" spans="2:17" ht="18" x14ac:dyDescent="0.3">
      <c r="B126" s="691" t="s">
        <v>472</v>
      </c>
      <c r="C126" s="134" t="s">
        <v>658</v>
      </c>
      <c r="D126" s="679" t="s">
        <v>80</v>
      </c>
      <c r="E126" s="518" t="str">
        <f>IF($D$14&lt;&gt;E$14,"N/A",IFERROR(L.G*(1*(T.FSS-70)-0.45*(T.FSS-E54))/1053.3,""))</f>
        <v>N/A</v>
      </c>
      <c r="F126" s="132" t="s">
        <v>211</v>
      </c>
      <c r="G126" s="126"/>
      <c r="H126" s="126"/>
      <c r="I126" s="126"/>
      <c r="K126" s="1134"/>
      <c r="L126" s="126"/>
      <c r="Q126" s="1133"/>
    </row>
    <row r="127" spans="2:17" ht="18.75" thickBot="1" x14ac:dyDescent="0.35">
      <c r="B127" s="693" t="s">
        <v>150</v>
      </c>
      <c r="C127" s="694" t="s">
        <v>661</v>
      </c>
      <c r="D127" s="695" t="str">
        <f>IF(D14="11.1","11.1",IF($D$14="Unknown","11.2",$D$14) &amp; ".11")</f>
        <v>11.2.11</v>
      </c>
      <c r="E127" s="854" t="str">
        <f>IF($D$14&lt;&gt;E$14,"N/A",IFERROR(100-L.LA+L.G-L.C-C.J*L.J-t.ON/(t.ON+(Q.P/Q.IN)*t.OFF)*(L.SON+L.SOFF+L.ION+L.IOFF),""))</f>
        <v>N/A</v>
      </c>
      <c r="F127" s="699" t="s">
        <v>211</v>
      </c>
      <c r="G127" s="126"/>
      <c r="H127" s="126"/>
      <c r="I127" s="126"/>
      <c r="K127" s="1134"/>
      <c r="L127" s="126"/>
      <c r="Q127" s="1133"/>
    </row>
    <row r="128" spans="2:17" ht="17.25" thickBot="1" x14ac:dyDescent="0.35">
      <c r="B128" s="804"/>
      <c r="C128" s="781"/>
      <c r="D128" s="781"/>
      <c r="E128" s="513"/>
      <c r="F128" s="805"/>
      <c r="G128" s="126"/>
      <c r="H128" s="126"/>
      <c r="I128" s="126"/>
      <c r="K128" s="1134"/>
      <c r="L128" s="126"/>
      <c r="Q128" s="1133"/>
    </row>
    <row r="129" spans="2:17" ht="17.25" x14ac:dyDescent="0.3">
      <c r="B129" s="820" t="s">
        <v>151</v>
      </c>
      <c r="C129" s="821"/>
      <c r="D129" s="821"/>
      <c r="E129" s="822"/>
      <c r="F129" s="823"/>
      <c r="G129" s="126"/>
      <c r="H129" s="126"/>
      <c r="I129" s="126"/>
      <c r="K129" s="1134"/>
      <c r="L129" s="126"/>
      <c r="Q129" s="1133"/>
    </row>
    <row r="130" spans="2:17" x14ac:dyDescent="0.3">
      <c r="B130" s="808" t="s">
        <v>673</v>
      </c>
      <c r="C130" s="795" t="s">
        <v>175</v>
      </c>
      <c r="D130" s="796" t="str">
        <f>IF(D10="11.1","11.1",IF($D$14="Unknown","11.2",$D$14) &amp; ".12")</f>
        <v>11.2.12</v>
      </c>
      <c r="E130" s="800" t="str">
        <f>IF($D$14&lt;&gt;E$14,"N/A",5200)</f>
        <v>N/A</v>
      </c>
      <c r="F130" s="807" t="s">
        <v>674</v>
      </c>
      <c r="G130" s="126"/>
      <c r="H130" s="126"/>
      <c r="I130" s="126"/>
      <c r="K130" s="1134"/>
      <c r="L130" s="126"/>
      <c r="Q130" s="1133"/>
    </row>
    <row r="131" spans="2:17" x14ac:dyDescent="0.3">
      <c r="B131" s="691" t="s">
        <v>675</v>
      </c>
      <c r="C131" s="134" t="s">
        <v>175</v>
      </c>
      <c r="D131" s="628" t="str">
        <f>IF(D11="11.1","11.1",IF($D$14="Unknown","11.2",$D$14) &amp; ".12")</f>
        <v>11.2.12</v>
      </c>
      <c r="E131" s="684" t="str">
        <f>IF($D$14&lt;&gt;E$14,"N/A",4600)</f>
        <v>N/A</v>
      </c>
      <c r="F131" s="132" t="s">
        <v>676</v>
      </c>
      <c r="G131" s="126"/>
      <c r="H131" s="126"/>
      <c r="I131" s="126"/>
      <c r="K131" s="1134"/>
      <c r="L131" s="126"/>
      <c r="Q131" s="1133"/>
    </row>
    <row r="132" spans="2:17" x14ac:dyDescent="0.3">
      <c r="B132" s="691" t="s">
        <v>677</v>
      </c>
      <c r="C132" s="134" t="s">
        <v>175</v>
      </c>
      <c r="D132" s="628" t="str">
        <f>IF(D12="11.1","11.1",IF($D$14="Unknown","11.2",$D$14) &amp; ".12")</f>
        <v>11.2.12</v>
      </c>
      <c r="E132" s="711" t="str">
        <f>IF($D$14&lt;&gt;E$14,"N/A",2.5)</f>
        <v>N/A</v>
      </c>
      <c r="F132" s="132" t="s">
        <v>51</v>
      </c>
      <c r="G132" s="126"/>
      <c r="H132" s="126"/>
      <c r="I132" s="126"/>
      <c r="K132" s="1134"/>
      <c r="L132" s="126"/>
      <c r="Q132" s="1133"/>
    </row>
    <row r="133" spans="2:17" x14ac:dyDescent="0.3">
      <c r="B133" s="691" t="s">
        <v>151</v>
      </c>
      <c r="C133" s="134" t="s">
        <v>32</v>
      </c>
      <c r="D133" s="628" t="str">
        <f>IF(D14="11.1","11.1",IF($D$14="Unknown","11.2",$D$14) &amp; ".12")</f>
        <v>11.2.12</v>
      </c>
      <c r="E133" s="491" t="str">
        <f>IF($D$14&lt;&gt;E$14,"N/A",IFERROR(Avg_HDD*Effy.SS*Effy.HS/(Avg_HDD*Effy.SS+HDD_Per_Day*(1+alpha)*Avg_NonHeating_Season_Hrs*Effy.HS*(Q.P/Q.IN)),""))</f>
        <v>N/A</v>
      </c>
      <c r="F133" s="132" t="s">
        <v>211</v>
      </c>
      <c r="G133" s="126"/>
      <c r="H133" s="126"/>
      <c r="I133" s="126"/>
      <c r="K133" s="1134"/>
      <c r="L133" s="126"/>
      <c r="Q133" s="1133"/>
    </row>
    <row r="134" spans="2:17" ht="33.75" thickBot="1" x14ac:dyDescent="0.35">
      <c r="B134" s="693" t="s">
        <v>1316</v>
      </c>
      <c r="C134" s="694" t="s">
        <v>32</v>
      </c>
      <c r="D134" s="695" t="str">
        <f>IF(D17="11.1","11.1",IF($D$14="Unknown","11.2",$D$14) &amp; ".12")</f>
        <v>11.2.12</v>
      </c>
      <c r="E134" s="1163"/>
      <c r="F134" s="699" t="s">
        <v>211</v>
      </c>
      <c r="G134" s="126"/>
      <c r="H134" s="126"/>
      <c r="I134" s="126"/>
      <c r="K134" s="1134"/>
      <c r="L134" s="126"/>
      <c r="Q134" s="1133"/>
    </row>
    <row r="135" spans="2:17" ht="17.25" thickBot="1" x14ac:dyDescent="0.35">
      <c r="B135" s="804"/>
      <c r="C135" s="781"/>
      <c r="D135" s="781"/>
      <c r="E135" s="513"/>
      <c r="F135" s="805"/>
      <c r="G135" s="126"/>
      <c r="H135" s="126"/>
      <c r="I135" s="126"/>
      <c r="K135" s="1134"/>
      <c r="L135" s="126"/>
      <c r="Q135" s="1133"/>
    </row>
    <row r="136" spans="2:17" ht="18.75" x14ac:dyDescent="0.3">
      <c r="B136" s="856" t="s">
        <v>854</v>
      </c>
      <c r="C136" s="821"/>
      <c r="D136" s="821"/>
      <c r="E136" s="822"/>
      <c r="F136" s="823"/>
      <c r="G136" s="126"/>
      <c r="H136" s="126"/>
      <c r="I136" s="126"/>
      <c r="K136" s="1134"/>
      <c r="L136" s="126"/>
      <c r="Q136" s="1133"/>
    </row>
    <row r="137" spans="2:17" ht="18" x14ac:dyDescent="0.3">
      <c r="B137" s="808" t="s">
        <v>493</v>
      </c>
      <c r="C137" s="795" t="s">
        <v>615</v>
      </c>
      <c r="D137" s="799" t="s">
        <v>237</v>
      </c>
      <c r="E137" s="504" t="str">
        <f>IF($D$14&lt;&gt;E$14,"N/A",(R.TF*AF+1)*Q.IN/(HHV.A*60))</f>
        <v>N/A</v>
      </c>
      <c r="F137" s="807" t="s">
        <v>524</v>
      </c>
      <c r="G137" s="126"/>
      <c r="H137" s="126"/>
      <c r="I137" s="126"/>
      <c r="K137" s="1134"/>
      <c r="L137" s="126"/>
      <c r="Q137" s="1133"/>
    </row>
    <row r="138" spans="2:17" ht="18" x14ac:dyDescent="0.3">
      <c r="B138" s="689" t="s">
        <v>241</v>
      </c>
      <c r="C138" s="496" t="s">
        <v>684</v>
      </c>
      <c r="D138" s="679" t="s">
        <v>238</v>
      </c>
      <c r="E138" s="504" t="str">
        <f>IF($D$14&lt;&gt;E$14,"N/A",IF('Max Test'!V.T="","",'Max Test'!V.T))</f>
        <v>N/A</v>
      </c>
      <c r="F138" s="497" t="s">
        <v>243</v>
      </c>
      <c r="G138" s="126"/>
      <c r="H138" s="126"/>
      <c r="I138" s="126"/>
      <c r="K138" s="1134"/>
      <c r="L138" s="126"/>
      <c r="Q138" s="1133"/>
    </row>
    <row r="139" spans="2:17" ht="18" x14ac:dyDescent="0.3">
      <c r="B139" s="689" t="s">
        <v>240</v>
      </c>
      <c r="C139" s="496" t="s">
        <v>685</v>
      </c>
      <c r="D139" s="679" t="s">
        <v>238</v>
      </c>
      <c r="E139" s="504" t="str">
        <f>IF($D$14&lt;&gt;E$14,"N/A",IF('Max Test'!C.T="","",'Max Test'!C.T))</f>
        <v>N/A</v>
      </c>
      <c r="F139" s="497" t="s">
        <v>211</v>
      </c>
      <c r="G139" s="126"/>
      <c r="H139" s="126"/>
      <c r="I139" s="126"/>
      <c r="K139" s="1134"/>
      <c r="L139" s="126"/>
      <c r="Q139" s="1133"/>
    </row>
    <row r="140" spans="2:17" ht="32.1" customHeight="1" x14ac:dyDescent="0.3">
      <c r="B140" s="689" t="s">
        <v>1287</v>
      </c>
      <c r="C140" s="496" t="s">
        <v>690</v>
      </c>
      <c r="D140" s="679" t="s">
        <v>238</v>
      </c>
      <c r="E140" s="504" t="str">
        <f>IF($D$14&lt;&gt;E$14,"N/A",IF('Max Test'!C.TM="","",'Max Test'!C.TM))</f>
        <v>N/A</v>
      </c>
      <c r="F140" s="497" t="s">
        <v>211</v>
      </c>
      <c r="G140" s="126"/>
      <c r="H140" s="126"/>
      <c r="I140" s="126"/>
      <c r="K140" s="1134"/>
      <c r="L140" s="126"/>
      <c r="Q140" s="1133"/>
    </row>
    <row r="141" spans="2:17" ht="18" x14ac:dyDescent="0.3">
      <c r="B141" s="689" t="s">
        <v>495</v>
      </c>
      <c r="C141" s="874" t="s">
        <v>863</v>
      </c>
      <c r="D141" s="679" t="s">
        <v>238</v>
      </c>
      <c r="E141" s="504" t="str">
        <f>IF($D$14&lt;&gt;E$14,"N/A",IF('Max Test'!Rho.F="","",'Max Test'!Rho.F))</f>
        <v>N/A</v>
      </c>
      <c r="F141" s="497" t="s">
        <v>864</v>
      </c>
      <c r="G141" s="126"/>
      <c r="H141" s="126"/>
      <c r="I141" s="126"/>
      <c r="K141" s="1134"/>
      <c r="L141" s="126"/>
      <c r="Q141" s="1133"/>
    </row>
    <row r="142" spans="2:17" ht="18" x14ac:dyDescent="0.3">
      <c r="B142" s="691" t="s">
        <v>494</v>
      </c>
      <c r="C142" s="134" t="s">
        <v>616</v>
      </c>
      <c r="D142" s="679" t="s">
        <v>238</v>
      </c>
      <c r="E142" s="491" t="str">
        <f>IF($D$14&lt;&gt;E$14,"N/A",IFERROR((C.TM-C.T)*V.T*Rho.F/C.T,""))</f>
        <v>N/A</v>
      </c>
      <c r="F142" s="132" t="s">
        <v>524</v>
      </c>
      <c r="G142" s="126"/>
      <c r="H142" s="126"/>
      <c r="I142" s="126"/>
      <c r="K142" s="1134"/>
      <c r="L142" s="126"/>
      <c r="Q142" s="1133"/>
    </row>
    <row r="143" spans="2:17" x14ac:dyDescent="0.3">
      <c r="B143" s="691" t="s">
        <v>502</v>
      </c>
      <c r="C143" s="134" t="s">
        <v>175</v>
      </c>
      <c r="D143" s="679" t="s">
        <v>239</v>
      </c>
      <c r="E143" s="491" t="str">
        <f>IF($D$14&lt;&gt;E$14,"N/A",IF('Max Test'!Imposed_draft?="","",'Max Test'!Imposed_draft?))</f>
        <v>N/A</v>
      </c>
      <c r="F143" s="132" t="s">
        <v>175</v>
      </c>
      <c r="G143" s="126"/>
      <c r="H143" s="126"/>
      <c r="I143" s="126"/>
      <c r="K143" s="1134"/>
      <c r="L143" s="126"/>
      <c r="Q143" s="1133"/>
    </row>
    <row r="144" spans="2:17" ht="18" x14ac:dyDescent="0.3">
      <c r="B144" s="691" t="s">
        <v>501</v>
      </c>
      <c r="C144" s="134" t="s">
        <v>617</v>
      </c>
      <c r="D144" s="679" t="s">
        <v>239</v>
      </c>
      <c r="E144" s="491" t="str">
        <f>IF($D$14&lt;&gt;E$14,"N/A",IF('Max Test'!T.FOFF="","",'Max Test'!T.FOFF))</f>
        <v>N/A</v>
      </c>
      <c r="F144" s="132" t="s">
        <v>51</v>
      </c>
      <c r="G144" s="126"/>
      <c r="H144" s="126"/>
      <c r="I144" s="126"/>
      <c r="K144" s="1134"/>
      <c r="L144" s="126"/>
      <c r="Q144" s="1133"/>
    </row>
    <row r="145" spans="2:17" ht="18" x14ac:dyDescent="0.3">
      <c r="B145" s="691" t="s">
        <v>500</v>
      </c>
      <c r="C145" s="134" t="s">
        <v>618</v>
      </c>
      <c r="D145" s="679" t="s">
        <v>239</v>
      </c>
      <c r="E145" s="490" t="str">
        <f>IF($D$14&lt;&gt;E$14,"N/A",
IF(E143="","",
IF(E143="Yes",M.FM,
M.FM*((T.FSS-T.RA)/(T.FOFF-T.RA))^0.56*((T.FOFF+460)/(T.FSS+460))^1.19
)))</f>
        <v>N/A</v>
      </c>
      <c r="F145" s="132" t="s">
        <v>524</v>
      </c>
      <c r="G145" s="126"/>
      <c r="H145" s="126"/>
      <c r="I145" s="126"/>
      <c r="K145" s="1134"/>
      <c r="L145" s="126"/>
      <c r="Q145" s="1133"/>
    </row>
    <row r="146" spans="2:17" ht="18.75" thickBot="1" x14ac:dyDescent="0.35">
      <c r="B146" s="693" t="s">
        <v>538</v>
      </c>
      <c r="C146" s="694" t="s">
        <v>619</v>
      </c>
      <c r="D146" s="857" t="s">
        <v>537</v>
      </c>
      <c r="E146" s="858" t="str">
        <f>IF($D$14&lt;&gt;E$14,"N/A",IF(M.FOFF/M.FON&lt;0.1,0.05,M.FOFF/M.FON))</f>
        <v>N/A</v>
      </c>
      <c r="F146" s="699" t="s">
        <v>175</v>
      </c>
      <c r="G146" s="126"/>
      <c r="H146" s="126"/>
      <c r="I146" s="126"/>
      <c r="K146" s="1134"/>
      <c r="L146" s="126"/>
      <c r="Q146" s="1133"/>
    </row>
    <row r="147" spans="2:17" ht="17.25" thickBot="1" x14ac:dyDescent="0.35">
      <c r="B147" s="804"/>
      <c r="C147" s="781"/>
      <c r="D147" s="781"/>
      <c r="E147" s="499"/>
      <c r="F147" s="805"/>
      <c r="G147" s="126"/>
      <c r="H147" s="126"/>
      <c r="I147" s="126"/>
      <c r="K147" s="1134"/>
      <c r="L147" s="126"/>
      <c r="Q147" s="1133"/>
    </row>
    <row r="148" spans="2:17" ht="17.25" x14ac:dyDescent="0.3">
      <c r="B148" s="856" t="s">
        <v>855</v>
      </c>
      <c r="C148" s="821"/>
      <c r="D148" s="821"/>
      <c r="E148" s="822"/>
      <c r="F148" s="823"/>
      <c r="G148" s="126"/>
      <c r="H148" s="126"/>
      <c r="I148" s="126"/>
      <c r="K148" s="1134"/>
      <c r="L148" s="126"/>
      <c r="Q148" s="1133"/>
    </row>
    <row r="149" spans="2:17" ht="18" x14ac:dyDescent="0.3">
      <c r="B149" s="808" t="s">
        <v>540</v>
      </c>
      <c r="C149" s="798" t="s">
        <v>620</v>
      </c>
      <c r="D149" s="799" t="s">
        <v>539</v>
      </c>
      <c r="E149" s="490" t="str">
        <f>IF($D$14&lt;&gt;E$14,"N/A",
IF(OR(System_Number=2,System_Number=3,System_Number=4,System_Number=6,System_Number=8,System_Number=10,AND(System_Number=9,'Sys. # &amp; Product Characteristic'!C15&lt;&gt;"No")),D.P,"N/A"))</f>
        <v>N/A</v>
      </c>
      <c r="F149" s="807" t="s">
        <v>175</v>
      </c>
      <c r="G149" s="126"/>
      <c r="H149" s="126"/>
      <c r="I149" s="126"/>
      <c r="K149" s="1134"/>
      <c r="L149" s="126"/>
      <c r="Q149" s="1133"/>
    </row>
    <row r="150" spans="2:17" ht="18.75" thickBot="1" x14ac:dyDescent="0.35">
      <c r="B150" s="693" t="s">
        <v>542</v>
      </c>
      <c r="C150" s="835" t="s">
        <v>621</v>
      </c>
      <c r="D150" s="859" t="s">
        <v>541</v>
      </c>
      <c r="E150" s="860" t="str">
        <f>IF($D$14&lt;&gt;E$14,"N/A",
IF(System_Number=2,1,
IF(System_Number=3,D.F_Power_Burner_Direct_Vent,
IF(System_Number=4,(0.79+D.P_Power_Burner_Direct_Vent)/1.4,
IF(System_Number=6,D.O,
IF(System_Number=8,((0.79+D.P_Power_Burner_Direct_Vent)/1.4)*D.O,"N/A"))))))</f>
        <v>N/A</v>
      </c>
      <c r="F150" s="699" t="s">
        <v>175</v>
      </c>
      <c r="G150" s="126"/>
      <c r="H150" s="126"/>
      <c r="I150" s="126"/>
      <c r="K150" s="1134"/>
      <c r="L150" s="126"/>
      <c r="Q150" s="1133"/>
    </row>
    <row r="151" spans="2:17" ht="17.25" thickBot="1" x14ac:dyDescent="0.35">
      <c r="B151" s="804"/>
      <c r="C151" s="781"/>
      <c r="D151" s="781"/>
      <c r="E151" s="791"/>
      <c r="F151" s="792"/>
      <c r="G151" s="126"/>
      <c r="H151" s="126"/>
      <c r="I151" s="126"/>
      <c r="K151" s="1134"/>
      <c r="L151" s="126"/>
      <c r="Q151" s="1133"/>
    </row>
    <row r="152" spans="2:17" ht="36" customHeight="1" x14ac:dyDescent="0.3">
      <c r="B152" s="1870" t="s">
        <v>867</v>
      </c>
      <c r="C152" s="1871"/>
      <c r="D152" s="1871"/>
      <c r="E152" s="1871"/>
      <c r="F152" s="1871"/>
      <c r="G152" s="126"/>
      <c r="H152" s="126"/>
      <c r="I152" s="126"/>
      <c r="K152" s="1134"/>
      <c r="L152" s="126"/>
      <c r="Q152" s="1133"/>
    </row>
    <row r="153" spans="2:17" ht="18" x14ac:dyDescent="0.3">
      <c r="B153" s="878" t="s">
        <v>866</v>
      </c>
      <c r="C153" s="879" t="s">
        <v>692</v>
      </c>
      <c r="D153" s="881" t="s">
        <v>543</v>
      </c>
      <c r="E153" s="491" t="str">
        <f>IF($D$14&lt;&gt;E$14,"N/A",IF('Max Test'!Q.SOFF_Closed_TG="","",'Max Test'!Q.SOFF_Closed_TG))</f>
        <v>N/A</v>
      </c>
      <c r="F153" s="883" t="s">
        <v>175</v>
      </c>
      <c r="G153" s="126"/>
      <c r="H153" s="126"/>
      <c r="I153" s="126"/>
      <c r="K153" s="1134"/>
      <c r="L153" s="126"/>
      <c r="Q153" s="1133"/>
    </row>
    <row r="154" spans="2:17" ht="18" x14ac:dyDescent="0.3">
      <c r="B154" s="778" t="s">
        <v>865</v>
      </c>
      <c r="C154" s="880" t="s">
        <v>692</v>
      </c>
      <c r="D154" s="885" t="s">
        <v>543</v>
      </c>
      <c r="E154" s="491" t="str">
        <f>IF($D$14&lt;&gt;E$14,"N/A",IF(Q.SOFF_Open_TG="","",Q.SOFF_Open_TG))</f>
        <v>N/A</v>
      </c>
      <c r="F154" s="780" t="s">
        <v>175</v>
      </c>
      <c r="G154" s="126"/>
      <c r="H154" s="126"/>
      <c r="I154" s="126"/>
      <c r="K154" s="1134"/>
      <c r="L154" s="126"/>
      <c r="Q154" s="1133"/>
    </row>
    <row r="155" spans="2:17" ht="18" x14ac:dyDescent="0.3">
      <c r="B155" s="809" t="s">
        <v>544</v>
      </c>
      <c r="C155" s="802" t="s">
        <v>622</v>
      </c>
      <c r="D155" s="882" t="s">
        <v>543</v>
      </c>
      <c r="E155" s="491" t="str">
        <f>IF($D$14&lt;&gt;E$14,"N/A",
IF(AND('Sys. # &amp; Product Characteristic'!Burner_Type="Atmospheric",OR('Sys. # &amp; Product Characteristic'!Installation="Integral Draft Diverter",'Sys. # &amp; Product Characteristic'!Installation="Draft Hood"),'Sys. # &amp; Product Characteristic'!C22="Yes"),Q.SOFF_Closed/Q.SOFF_Open,"N/A"))</f>
        <v>N/A</v>
      </c>
      <c r="F155" s="884" t="s">
        <v>175</v>
      </c>
      <c r="G155" s="126"/>
      <c r="H155" s="126"/>
      <c r="I155" s="126"/>
      <c r="K155" s="1134"/>
      <c r="L155" s="126"/>
      <c r="Q155" s="1133"/>
    </row>
    <row r="156" spans="2:17" ht="18.75" thickBot="1" x14ac:dyDescent="0.35">
      <c r="B156" s="693" t="s">
        <v>538</v>
      </c>
      <c r="C156" s="835" t="s">
        <v>619</v>
      </c>
      <c r="D156" s="859" t="s">
        <v>545</v>
      </c>
      <c r="E156" s="854" t="str">
        <f>IF($D$14&lt;&gt;E$14,"N/A",IF(OR(System_Number=1,AND(System_Number=9,'Sys. # &amp; Product Characteristic'!Installation="Isolated Combustion System")),K.L,"N/A"))</f>
        <v>N/A</v>
      </c>
      <c r="F156" s="699" t="s">
        <v>175</v>
      </c>
      <c r="G156" s="126"/>
      <c r="H156" s="126"/>
      <c r="I156" s="126"/>
      <c r="K156" s="1134"/>
      <c r="L156" s="126"/>
      <c r="Q156" s="1133"/>
    </row>
    <row r="157" spans="2:17" ht="17.25" thickBot="1" x14ac:dyDescent="0.35">
      <c r="B157" s="804"/>
      <c r="C157" s="781"/>
      <c r="D157" s="781"/>
      <c r="E157" s="513"/>
      <c r="F157" s="805"/>
      <c r="G157" s="126"/>
      <c r="H157" s="126"/>
      <c r="I157" s="126"/>
      <c r="K157" s="1134"/>
      <c r="L157" s="126"/>
      <c r="Q157" s="1133"/>
    </row>
    <row r="158" spans="2:17" ht="17.25" x14ac:dyDescent="0.3">
      <c r="B158" s="1363" t="s">
        <v>761</v>
      </c>
      <c r="C158" s="862"/>
      <c r="D158" s="862"/>
      <c r="E158" s="862"/>
      <c r="F158" s="863"/>
      <c r="G158" s="126"/>
      <c r="H158" s="126"/>
      <c r="I158" s="126"/>
      <c r="K158" s="1134"/>
      <c r="L158" s="126"/>
      <c r="Q158" s="1133"/>
    </row>
    <row r="159" spans="2:17" x14ac:dyDescent="0.3">
      <c r="B159" s="1367" t="s">
        <v>699</v>
      </c>
      <c r="C159" s="1371" t="s">
        <v>95</v>
      </c>
      <c r="D159" s="1372" t="s">
        <v>1242</v>
      </c>
      <c r="E159" s="629" t="str">
        <f>IF($D$14&lt;&gt;E$14,"N/A",IF('Max Test'!PE="","",'Max Test'!PE))</f>
        <v>N/A</v>
      </c>
      <c r="F159" s="1253" t="s">
        <v>57</v>
      </c>
      <c r="G159" s="126"/>
      <c r="H159" s="126"/>
      <c r="I159" s="126"/>
      <c r="K159" s="1134"/>
      <c r="L159" s="126"/>
      <c r="Q159" s="1133"/>
    </row>
    <row r="160" spans="2:17" x14ac:dyDescent="0.3">
      <c r="B160" s="1350" t="s">
        <v>700</v>
      </c>
      <c r="C160" s="1352" t="s">
        <v>96</v>
      </c>
      <c r="D160" s="735" t="s">
        <v>1242</v>
      </c>
      <c r="E160" s="629" t="str">
        <f>IF($D$14&lt;&gt;E$14,"N/A",IF('Max Test'!BE="","",'Max Test'!BE))</f>
        <v>N/A</v>
      </c>
      <c r="F160" s="132" t="s">
        <v>57</v>
      </c>
      <c r="G160" s="126"/>
      <c r="H160" s="126"/>
      <c r="I160" s="126"/>
      <c r="K160" s="1134"/>
      <c r="L160" s="126"/>
      <c r="Q160" s="1133"/>
    </row>
    <row r="161" spans="2:17" ht="18" x14ac:dyDescent="0.3">
      <c r="B161" s="1350" t="s">
        <v>696</v>
      </c>
      <c r="C161" s="1352" t="s">
        <v>701</v>
      </c>
      <c r="D161" s="735" t="s">
        <v>1242</v>
      </c>
      <c r="E161" s="486" t="str">
        <f>IF($D$14&lt;&gt;E$14,"N/A",IF(Post_Purge?="No",1,
IF(E109="Yes",IF('Sys. # &amp; Product Characteristic'!Control_Type="Single Stage",1+t.p/9.68,1+t.p/15),
"")))</f>
        <v>N/A</v>
      </c>
      <c r="F161" s="132" t="s">
        <v>175</v>
      </c>
      <c r="G161" s="126"/>
      <c r="H161" s="126"/>
      <c r="I161" s="126"/>
      <c r="K161" s="1134"/>
      <c r="L161" s="126"/>
      <c r="Q161" s="1133"/>
    </row>
    <row r="162" spans="2:17" ht="18" x14ac:dyDescent="0.3">
      <c r="B162" s="1350" t="s">
        <v>698</v>
      </c>
      <c r="C162" s="1352" t="s">
        <v>678</v>
      </c>
      <c r="D162" s="735" t="s">
        <v>1243</v>
      </c>
      <c r="E162" s="486" t="str">
        <f>IF($D$14&lt;&gt;E$14,"N/A",IF('Max Test'!PE.IG="","",'Max Test'!PE.IG))</f>
        <v>N/A</v>
      </c>
      <c r="F162" s="132" t="s">
        <v>57</v>
      </c>
      <c r="G162" s="126"/>
      <c r="H162" s="126"/>
      <c r="I162" s="126"/>
      <c r="K162" s="1134"/>
      <c r="L162" s="126"/>
      <c r="Q162" s="1133"/>
    </row>
    <row r="163" spans="2:17" ht="18" x14ac:dyDescent="0.3">
      <c r="B163" s="1350" t="s">
        <v>703</v>
      </c>
      <c r="C163" s="1352" t="s">
        <v>679</v>
      </c>
      <c r="D163" s="735" t="s">
        <v>1243</v>
      </c>
      <c r="E163" s="670" t="str">
        <f>IF($D$14&lt;&gt;E$14,"N/A",IF('Max Test'!t.IG="","",'Max Test'!t.IG))</f>
        <v>N/A</v>
      </c>
      <c r="F163" s="132" t="s">
        <v>36</v>
      </c>
      <c r="G163" s="126"/>
      <c r="H163" s="126"/>
      <c r="I163" s="126"/>
      <c r="K163" s="1134"/>
      <c r="L163" s="126"/>
      <c r="Q163" s="1133"/>
    </row>
    <row r="164" spans="2:17" ht="30.95" customHeight="1" x14ac:dyDescent="0.3">
      <c r="B164" s="1350" t="s">
        <v>697</v>
      </c>
      <c r="C164" s="1352" t="s">
        <v>702</v>
      </c>
      <c r="D164" s="735" t="s">
        <v>1242</v>
      </c>
      <c r="E164" s="670" t="str">
        <f>IF($D$14&lt;&gt;E$14,"N/A",IF('Sys. # &amp; Product Characteristic'!Ignition="Continuously Burning Pilot",0,IF('Sys. # &amp; Product Characteristic'!Control_Type="Single Stage",t.IG/9.68,t.IG/15)))</f>
        <v>N/A</v>
      </c>
      <c r="F164" s="132" t="s">
        <v>175</v>
      </c>
      <c r="G164" s="126"/>
      <c r="H164" s="126"/>
      <c r="I164" s="126"/>
      <c r="K164" s="1134"/>
      <c r="L164" s="126"/>
      <c r="Q164" s="1133"/>
    </row>
    <row r="165" spans="2:17" x14ac:dyDescent="0.3">
      <c r="B165" s="1350" t="s">
        <v>387</v>
      </c>
      <c r="C165" s="1352" t="s">
        <v>175</v>
      </c>
      <c r="D165" s="1352" t="s">
        <v>1245</v>
      </c>
      <c r="E165" s="670" t="str">
        <f>IF($D$14&lt;&gt;E$14,"N/A",IF('Max Test'!Pump_delay?="","",'Max Test'!Pump_delay?))</f>
        <v>N/A</v>
      </c>
      <c r="F165" s="132" t="s">
        <v>175</v>
      </c>
      <c r="G165" s="126"/>
      <c r="H165" s="126"/>
      <c r="I165" s="126"/>
      <c r="K165" s="1134"/>
      <c r="L165" s="126"/>
      <c r="Q165" s="1133"/>
    </row>
    <row r="166" spans="2:17" ht="18" x14ac:dyDescent="0.3">
      <c r="B166" s="1350" t="s">
        <v>759</v>
      </c>
      <c r="C166" s="1352" t="s">
        <v>760</v>
      </c>
      <c r="D166" s="1352" t="s">
        <v>1244</v>
      </c>
      <c r="E166" s="670" t="str">
        <f>IF($D$14&lt;&gt;E$14,"N/A",IF('Max Test'!tplus="","",'Max Test'!tplus))</f>
        <v>N/A</v>
      </c>
      <c r="F166" s="132" t="s">
        <v>36</v>
      </c>
      <c r="G166" s="126"/>
      <c r="H166" s="126"/>
      <c r="I166" s="126"/>
      <c r="K166" s="1134"/>
      <c r="L166" s="126"/>
      <c r="Q166" s="1133"/>
    </row>
    <row r="167" spans="2:17" x14ac:dyDescent="0.3">
      <c r="B167" s="1350" t="s">
        <v>758</v>
      </c>
      <c r="C167" s="1352" t="s">
        <v>757</v>
      </c>
      <c r="D167" s="1352" t="s">
        <v>1242</v>
      </c>
      <c r="E167" s="670" t="str">
        <f>IF($D$14&lt;&gt;E$14,"N/A",IF(Pump_Delay?="No",1,IF('Sys. # &amp; Product Characteristic'!Control_Type="Single Stage",1+tplus/9.68,1+tplus/1.5)))</f>
        <v>N/A</v>
      </c>
      <c r="F167" s="132" t="s">
        <v>175</v>
      </c>
      <c r="G167" s="126"/>
      <c r="H167" s="126"/>
      <c r="I167" s="126"/>
      <c r="K167" s="1134"/>
      <c r="L167" s="126"/>
      <c r="Q167" s="1133"/>
    </row>
    <row r="168" spans="2:17" ht="18" x14ac:dyDescent="0.3">
      <c r="B168" s="1350" t="s">
        <v>754</v>
      </c>
      <c r="C168" s="1352" t="s">
        <v>756</v>
      </c>
      <c r="D168" s="1352" t="s">
        <v>1242</v>
      </c>
      <c r="E168" s="670" t="str">
        <f>IF($D$14&lt;&gt;E$14,"N/A",IF('Test Conditions'!Eff.motor="",0,'Test Conditions'!Eff.motor))</f>
        <v>N/A</v>
      </c>
      <c r="F168" s="132" t="s">
        <v>211</v>
      </c>
      <c r="G168" s="126"/>
      <c r="H168" s="126"/>
      <c r="I168" s="126"/>
      <c r="K168" s="1134"/>
      <c r="L168" s="126"/>
      <c r="Q168" s="1133"/>
    </row>
    <row r="169" spans="2:17" x14ac:dyDescent="0.3">
      <c r="B169" s="1350"/>
      <c r="C169" s="1351" t="s">
        <v>44</v>
      </c>
      <c r="D169" s="1352" t="s">
        <v>1242</v>
      </c>
      <c r="E169" s="705" t="str">
        <f>IF($D$14&lt;&gt;E$14,"N/A",
IF(AND('Sys. # &amp; Product Characteristic'!Installation="Indoor",Power_Burner_Option="Forced Draft"),100000/(341200*(y.p*PE+y.IG*PE.IG+y*BE)+(Q.IN-Q.P)*Effy.HS),
IF(AND('Sys. # &amp; Product Characteristic'!Installation="Isolated Combustion System",Power_Burner_Option="Forced Draft"),100000/(341200*(y.p*PE*Eff.motor/100+y.IG*PE.IG+y*BE)+(Q.IN-Q.P)*Effy.HS),
IF(AND('Sys. # &amp; Product Characteristic'!Installation="Indoor",Power_Burner_Option="Induced Draft"),100000/(341200*(y.p*PE*(1-Eff.motor/100)+y.IG*PE.IG+y*BE)+(Q.IN-Q.P)*Effy.HS),
IF(AND('Sys. # &amp; Product Characteristic'!Installation="Isolated Combustion System",Power_Burner_Option="Induced Draft"),100000/(341200*(y.IG*PE.IG+y*BE)+(Q.IN-Q.P)*Effy.HS),
"Undetermined")))))</f>
        <v>N/A</v>
      </c>
      <c r="F169" s="132" t="s">
        <v>175</v>
      </c>
      <c r="G169" s="126"/>
      <c r="H169" s="126"/>
      <c r="I169" s="126"/>
      <c r="K169" s="1134"/>
      <c r="L169" s="126"/>
      <c r="Q169" s="1133"/>
    </row>
    <row r="170" spans="2:17" x14ac:dyDescent="0.3">
      <c r="B170" s="1350"/>
      <c r="C170" s="1351" t="s">
        <v>45</v>
      </c>
      <c r="D170" s="1352" t="s">
        <v>1242</v>
      </c>
      <c r="E170" s="486" t="str">
        <f>IF($D$14&lt;&gt;E$14,"N/A",2*Q.P*Effy.HS*A/100000)</f>
        <v>N/A</v>
      </c>
      <c r="F170" s="132" t="s">
        <v>175</v>
      </c>
      <c r="G170" s="126"/>
      <c r="H170" s="126"/>
      <c r="I170" s="126"/>
      <c r="K170" s="1134"/>
      <c r="L170" s="126"/>
      <c r="Q170" s="1133"/>
    </row>
    <row r="171" spans="2:17" x14ac:dyDescent="0.3">
      <c r="B171" s="1350" t="s">
        <v>693</v>
      </c>
      <c r="C171" s="1351" t="s">
        <v>175</v>
      </c>
      <c r="D171" s="1352" t="s">
        <v>1242</v>
      </c>
      <c r="E171" s="486" t="str">
        <f>IF($D$14&lt;&gt;E$14,"N/A",2080)</f>
        <v>N/A</v>
      </c>
      <c r="F171" s="132" t="s">
        <v>694</v>
      </c>
      <c r="G171" s="126"/>
      <c r="H171" s="126"/>
      <c r="I171" s="126"/>
      <c r="K171" s="1134"/>
      <c r="L171" s="126"/>
      <c r="Q171" s="1133"/>
    </row>
    <row r="172" spans="2:17" ht="33" x14ac:dyDescent="0.3">
      <c r="B172" s="1350" t="s">
        <v>695</v>
      </c>
      <c r="C172" s="1351" t="s">
        <v>175</v>
      </c>
      <c r="D172" s="1352" t="s">
        <v>1242</v>
      </c>
      <c r="E172" s="486" t="str">
        <f>IF($D$14&lt;&gt;E$14,"N/A",0.77)</f>
        <v>N/A</v>
      </c>
      <c r="F172" s="132" t="s">
        <v>175</v>
      </c>
      <c r="G172" s="126"/>
      <c r="H172" s="126"/>
      <c r="I172" s="126"/>
      <c r="K172" s="1134"/>
      <c r="L172" s="126"/>
      <c r="Q172" s="1133"/>
    </row>
    <row r="173" spans="2:17" ht="18" x14ac:dyDescent="0.3">
      <c r="B173" s="1350" t="s">
        <v>761</v>
      </c>
      <c r="C173" s="1351" t="s">
        <v>762</v>
      </c>
      <c r="D173" s="1352" t="s">
        <v>1242</v>
      </c>
      <c r="E173" s="492" t="str">
        <f>IF($D$14&lt;&gt;E$14,"N/A",Avg_HLH*DHR_Adjust*A*(Q.OUT/1000/(1+alpha))-Avg_HLH*B)</f>
        <v>N/A</v>
      </c>
      <c r="F173" s="132" t="s">
        <v>694</v>
      </c>
      <c r="G173" s="126"/>
      <c r="H173" s="126"/>
      <c r="I173" s="126"/>
      <c r="K173" s="1134"/>
      <c r="L173" s="126"/>
      <c r="Q173" s="1133"/>
    </row>
    <row r="174" spans="2:17" ht="17.25" thickBot="1" x14ac:dyDescent="0.35">
      <c r="B174" s="693" t="s">
        <v>763</v>
      </c>
      <c r="C174" s="694" t="s">
        <v>175</v>
      </c>
      <c r="D174" s="695" t="s">
        <v>1247</v>
      </c>
      <c r="E174" s="853" t="str">
        <f>IF($D$14&lt;&gt;E$14,"N/A",8760)</f>
        <v>N/A</v>
      </c>
      <c r="F174" s="699" t="s">
        <v>676</v>
      </c>
      <c r="G174" s="126"/>
      <c r="H174" s="126"/>
      <c r="I174" s="126"/>
      <c r="K174" s="1134"/>
      <c r="L174" s="126"/>
      <c r="Q174" s="1133"/>
    </row>
    <row r="175" spans="2:17" ht="17.25" thickBot="1" x14ac:dyDescent="0.35">
      <c r="B175" s="804"/>
      <c r="C175" s="781"/>
      <c r="D175" s="781"/>
      <c r="E175" s="630"/>
      <c r="F175" s="805"/>
      <c r="G175" s="126"/>
      <c r="H175" s="126"/>
      <c r="I175" s="126"/>
      <c r="K175" s="1134"/>
      <c r="L175" s="126"/>
      <c r="Q175" s="1133"/>
    </row>
    <row r="176" spans="2:17" ht="17.25" x14ac:dyDescent="0.3">
      <c r="B176" s="864" t="s">
        <v>857</v>
      </c>
      <c r="C176" s="862"/>
      <c r="D176" s="862"/>
      <c r="E176" s="862"/>
      <c r="F176" s="863"/>
      <c r="G176" s="126"/>
      <c r="H176" s="126"/>
      <c r="I176" s="126"/>
      <c r="K176" s="1134"/>
      <c r="L176" s="126"/>
      <c r="Q176" s="1133"/>
    </row>
    <row r="177" spans="2:17" ht="18.75" thickBot="1" x14ac:dyDescent="0.35">
      <c r="B177" s="865" t="s">
        <v>771</v>
      </c>
      <c r="C177" s="866" t="s">
        <v>772</v>
      </c>
      <c r="D177" s="695" t="str">
        <f>"DOE 10.2.2" &amp; IF(OR('General Info &amp; Test Results'!$C$59="Step Modulating",'General Info &amp; Test Results'!$C$59="Two-Stage Modulating"),".1","")</f>
        <v>DOE 10.2.2</v>
      </c>
      <c r="E177" s="867" t="str">
        <f>IF($D$14&lt;&gt;E$14,"N/A",BOH.SS*(Q.IN-Q.P)+hrs_per_yr*Q.P)</f>
        <v>N/A</v>
      </c>
      <c r="F177" s="868" t="s">
        <v>800</v>
      </c>
      <c r="G177" s="126"/>
      <c r="H177" s="126"/>
      <c r="I177" s="126"/>
      <c r="K177" s="1134"/>
      <c r="L177" s="126"/>
      <c r="Q177" s="1133"/>
    </row>
    <row r="178" spans="2:17" ht="17.25" thickBot="1" x14ac:dyDescent="0.35">
      <c r="B178" s="804"/>
      <c r="C178" s="781"/>
      <c r="D178" s="781"/>
      <c r="E178" s="673"/>
      <c r="F178" s="805"/>
      <c r="G178" s="126"/>
      <c r="H178" s="126"/>
      <c r="I178" s="126"/>
      <c r="K178" s="1134"/>
      <c r="L178" s="126"/>
      <c r="Q178" s="1133"/>
    </row>
    <row r="179" spans="2:17" ht="34.5" x14ac:dyDescent="0.3">
      <c r="B179" s="861" t="s">
        <v>858</v>
      </c>
      <c r="C179" s="862"/>
      <c r="D179" s="862"/>
      <c r="E179" s="862"/>
      <c r="F179" s="863"/>
      <c r="G179" s="126"/>
      <c r="H179" s="126"/>
      <c r="I179" s="126"/>
      <c r="K179" s="1134"/>
      <c r="L179" s="126"/>
      <c r="Q179" s="1133"/>
    </row>
    <row r="180" spans="2:17" ht="18.75" thickBot="1" x14ac:dyDescent="0.35">
      <c r="B180" s="865" t="s">
        <v>773</v>
      </c>
      <c r="C180" s="866" t="s">
        <v>774</v>
      </c>
      <c r="D180" s="695" t="str">
        <f>"DOE 10.2.3" &amp; IF(OR('General Info &amp; Test Results'!$C$59="Step Modulating",'General Info &amp; Test Results'!$C$59="Two-Stage Modulating"),".1","")</f>
        <v>DOE 10.2.3</v>
      </c>
      <c r="E180" s="867" t="str">
        <f>IF($D$14&lt;&gt;E$14,"N/A",BOH.SS*(y.p*PE+y.IG*PE.IG+y*BE)+E.SO)</f>
        <v>N/A</v>
      </c>
      <c r="F180" s="868" t="s">
        <v>801</v>
      </c>
      <c r="G180" s="126"/>
      <c r="H180" s="126"/>
      <c r="I180" s="126"/>
      <c r="K180" s="1134"/>
      <c r="L180" s="126"/>
      <c r="Q180" s="1133"/>
    </row>
    <row r="181" spans="2:17" ht="17.25" thickBot="1" x14ac:dyDescent="0.35">
      <c r="B181" s="804"/>
      <c r="C181" s="781"/>
      <c r="D181" s="781"/>
      <c r="E181" s="673"/>
      <c r="F181" s="805"/>
      <c r="G181" s="126"/>
      <c r="H181" s="126"/>
      <c r="I181" s="126"/>
      <c r="K181" s="1134"/>
      <c r="L181" s="126"/>
      <c r="Q181" s="1133"/>
    </row>
    <row r="182" spans="2:17" ht="17.25" x14ac:dyDescent="0.3">
      <c r="B182" s="861" t="s">
        <v>778</v>
      </c>
      <c r="C182" s="862"/>
      <c r="D182" s="862"/>
      <c r="E182" s="862"/>
      <c r="F182" s="863"/>
      <c r="G182" s="126"/>
      <c r="H182" s="126"/>
      <c r="I182" s="126"/>
      <c r="K182" s="1134"/>
      <c r="L182" s="126"/>
      <c r="Q182" s="1133"/>
    </row>
    <row r="183" spans="2:17" ht="17.25" thickBot="1" x14ac:dyDescent="0.35">
      <c r="B183" s="865" t="s">
        <v>778</v>
      </c>
      <c r="C183" s="866" t="s">
        <v>770</v>
      </c>
      <c r="D183" s="695" t="str">
        <f>"DOE 10.6" &amp; IF('General Info &amp; Test Results'!C45="Electricity",".2",".1")</f>
        <v>DOE 10.6.1</v>
      </c>
      <c r="E183" s="869" t="str">
        <f>IF($D$14&lt;&gt;E$14,"N/A",(E.F-Avg_NonHeating_Season_Hrs*Q.P)*Effy.HS/(E.F+3412*E.AE))</f>
        <v>N/A</v>
      </c>
      <c r="F183" s="868" t="s">
        <v>211</v>
      </c>
      <c r="G183" s="126"/>
      <c r="H183" s="126"/>
      <c r="I183" s="126"/>
      <c r="K183" s="1134"/>
      <c r="L183" s="126"/>
      <c r="Q183" s="1133"/>
    </row>
    <row r="184" spans="2:17" ht="17.25" thickBot="1" x14ac:dyDescent="0.35">
      <c r="B184" s="804"/>
      <c r="C184" s="781"/>
      <c r="D184" s="781"/>
      <c r="E184" s="675"/>
      <c r="F184" s="805"/>
      <c r="G184" s="126"/>
      <c r="H184" s="126"/>
      <c r="I184" s="126"/>
      <c r="K184" s="1134"/>
      <c r="L184" s="126"/>
      <c r="Q184" s="1133"/>
    </row>
    <row r="185" spans="2:17" ht="17.25" x14ac:dyDescent="0.3">
      <c r="B185" s="864" t="s">
        <v>860</v>
      </c>
      <c r="C185" s="862"/>
      <c r="D185" s="862"/>
      <c r="E185" s="862"/>
      <c r="F185" s="863"/>
      <c r="G185" s="126"/>
      <c r="H185" s="126"/>
      <c r="I185" s="126"/>
      <c r="K185" s="1134"/>
      <c r="L185" s="126"/>
      <c r="Q185" s="1133"/>
    </row>
    <row r="186" spans="2:17" ht="33" x14ac:dyDescent="0.3">
      <c r="B186" s="1367" t="s">
        <v>784</v>
      </c>
      <c r="C186" s="1368" t="s">
        <v>786</v>
      </c>
      <c r="D186" s="1352" t="s">
        <v>1250</v>
      </c>
      <c r="E186" s="1159"/>
      <c r="F186" s="1369" t="s">
        <v>815</v>
      </c>
      <c r="G186" s="126"/>
      <c r="H186" s="126"/>
      <c r="I186" s="126"/>
      <c r="K186" s="1134"/>
      <c r="L186" s="126"/>
      <c r="Q186" s="1133"/>
    </row>
    <row r="187" spans="2:17" ht="33" x14ac:dyDescent="0.3">
      <c r="B187" s="1350" t="s">
        <v>783</v>
      </c>
      <c r="C187" s="1351" t="s">
        <v>779</v>
      </c>
      <c r="D187" s="1352" t="s">
        <v>1250</v>
      </c>
      <c r="E187" s="1373" t="str">
        <f>IF($D$14&lt;&gt;E$14,"N/A",(E.F-8760*Q.P)*(HLH/Avg_HLH)+hrs_per_yr*Q.P)</f>
        <v>N/A</v>
      </c>
      <c r="F187" s="132" t="s">
        <v>800</v>
      </c>
      <c r="G187" s="126"/>
      <c r="H187" s="126"/>
      <c r="I187" s="126"/>
      <c r="K187" s="1134"/>
      <c r="L187" s="126"/>
      <c r="Q187" s="1133"/>
    </row>
    <row r="188" spans="2:17" ht="33" x14ac:dyDescent="0.3">
      <c r="B188" s="1350" t="s">
        <v>802</v>
      </c>
      <c r="C188" s="1351" t="s">
        <v>799</v>
      </c>
      <c r="D188" s="1352" t="s">
        <v>787</v>
      </c>
      <c r="E188" s="671" t="str">
        <f>IF($D$14&lt;&gt;E$14,"N/A",(P.WSB*(Avg_Heating_Season_Hrs-BOH*HLH/Avg_HLH)+Avg_NonHeating_Season_Hrs*P.WOFF)*K)</f>
        <v>N/A</v>
      </c>
      <c r="F188" s="132" t="s">
        <v>801</v>
      </c>
      <c r="G188" s="126"/>
      <c r="H188" s="126"/>
      <c r="I188" s="126"/>
      <c r="K188" s="1134"/>
      <c r="L188" s="126"/>
      <c r="Q188" s="1133"/>
    </row>
    <row r="189" spans="2:17" ht="50.25" thickBot="1" x14ac:dyDescent="0.35">
      <c r="B189" s="693" t="s">
        <v>782</v>
      </c>
      <c r="C189" s="694" t="s">
        <v>780</v>
      </c>
      <c r="D189" s="695" t="s">
        <v>1251</v>
      </c>
      <c r="E189" s="872" t="str">
        <f>IF($D$14&lt;&gt;E$14,"N/A",(E.AE-E.SO)*(HLH/Avg_HLH)+E.SOR)</f>
        <v>N/A</v>
      </c>
      <c r="F189" s="699" t="s">
        <v>801</v>
      </c>
      <c r="G189" s="126"/>
      <c r="H189" s="126"/>
      <c r="I189" s="126"/>
      <c r="K189" s="1134"/>
      <c r="L189" s="126"/>
      <c r="Q189" s="1133"/>
    </row>
    <row r="190" spans="2:17" ht="17.25" thickBot="1" x14ac:dyDescent="0.35">
      <c r="B190" s="804"/>
      <c r="C190" s="781"/>
      <c r="D190" s="781"/>
      <c r="E190" s="781"/>
      <c r="F190" s="805"/>
      <c r="G190" s="126"/>
      <c r="H190" s="126"/>
      <c r="I190" s="126"/>
      <c r="K190" s="1134"/>
      <c r="L190" s="126"/>
      <c r="Q190" s="1133"/>
    </row>
    <row r="191" spans="2:17" ht="17.25" x14ac:dyDescent="0.3">
      <c r="B191" s="864" t="s">
        <v>795</v>
      </c>
      <c r="C191" s="862"/>
      <c r="D191" s="862"/>
      <c r="E191" s="862"/>
      <c r="F191" s="863"/>
      <c r="G191" s="126"/>
      <c r="H191" s="126"/>
      <c r="I191" s="126"/>
      <c r="K191" s="1134"/>
      <c r="L191" s="126"/>
      <c r="Q191" s="1133"/>
    </row>
    <row r="192" spans="2:17" ht="18" x14ac:dyDescent="0.3">
      <c r="B192" s="689" t="s">
        <v>788</v>
      </c>
      <c r="C192" s="496" t="s">
        <v>790</v>
      </c>
      <c r="D192" s="628" t="s">
        <v>1197</v>
      </c>
      <c r="E192" s="638" t="str">
        <f>IF($D$14&lt;&gt;E$14,"N/A",IF('Standby &amp; Off Power'!P.WSB="","",'Standby &amp; Off Power'!P.WSB))</f>
        <v>N/A</v>
      </c>
      <c r="F192" s="497" t="s">
        <v>179</v>
      </c>
      <c r="G192" s="126"/>
      <c r="H192" s="126"/>
      <c r="I192" s="126"/>
      <c r="K192" s="1134"/>
      <c r="L192" s="126"/>
      <c r="Q192" s="1133"/>
    </row>
    <row r="193" spans="2:17" ht="18" x14ac:dyDescent="0.3">
      <c r="B193" s="691" t="s">
        <v>789</v>
      </c>
      <c r="C193" s="134" t="s">
        <v>791</v>
      </c>
      <c r="D193" s="628" t="s">
        <v>1253</v>
      </c>
      <c r="E193" s="677" t="str">
        <f>IF($D$14&lt;&gt;E$14,"N/A",IF('Standby &amp; Off Power'!P.WOFF="","",'Standby &amp; Off Power'!P.WOFF))</f>
        <v>N/A</v>
      </c>
      <c r="F193" s="132" t="s">
        <v>179</v>
      </c>
      <c r="G193" s="126"/>
      <c r="H193" s="126"/>
      <c r="I193" s="126"/>
      <c r="K193" s="1134"/>
      <c r="L193" s="126"/>
      <c r="Q193" s="1133"/>
    </row>
    <row r="194" spans="2:17" x14ac:dyDescent="0.3">
      <c r="B194" s="691" t="s">
        <v>793</v>
      </c>
      <c r="C194" s="134" t="s">
        <v>792</v>
      </c>
      <c r="D194" s="628" t="s">
        <v>1254</v>
      </c>
      <c r="E194" s="638" t="str">
        <f>IF($D$14&lt;&gt;E$14,"N/A",BOH.SS)</f>
        <v>N/A</v>
      </c>
      <c r="F194" s="132" t="s">
        <v>694</v>
      </c>
      <c r="G194" s="126"/>
      <c r="H194" s="126"/>
      <c r="I194" s="126"/>
      <c r="K194" s="1134"/>
      <c r="L194" s="126"/>
      <c r="Q194" s="1133"/>
    </row>
    <row r="195" spans="2:17" x14ac:dyDescent="0.3">
      <c r="B195" s="691" t="s">
        <v>794</v>
      </c>
      <c r="C195" s="134" t="s">
        <v>175</v>
      </c>
      <c r="D195" s="628" t="s">
        <v>1252</v>
      </c>
      <c r="E195" s="671" t="str">
        <f>IF($D$14&lt;&gt;E$14,"N/A",4160)</f>
        <v>N/A</v>
      </c>
      <c r="F195" s="132" t="s">
        <v>676</v>
      </c>
      <c r="G195" s="126"/>
      <c r="H195" s="126"/>
      <c r="I195" s="126"/>
      <c r="K195" s="1134"/>
      <c r="L195" s="126"/>
      <c r="Q195" s="1133"/>
    </row>
    <row r="196" spans="2:17" x14ac:dyDescent="0.3">
      <c r="B196" s="691" t="s">
        <v>797</v>
      </c>
      <c r="C196" s="134" t="s">
        <v>58</v>
      </c>
      <c r="D196" s="628" t="s">
        <v>1252</v>
      </c>
      <c r="E196" s="678" t="str">
        <f>IF($D$14&lt;&gt;E$14,"N/A",0.001)</f>
        <v>N/A</v>
      </c>
      <c r="F196" s="132" t="s">
        <v>798</v>
      </c>
      <c r="G196" s="126"/>
      <c r="H196" s="126"/>
      <c r="I196" s="126"/>
      <c r="K196" s="1134"/>
      <c r="L196" s="126"/>
      <c r="Q196" s="1133"/>
    </row>
    <row r="197" spans="2:17" ht="18.75" thickBot="1" x14ac:dyDescent="0.35">
      <c r="B197" s="693" t="s">
        <v>795</v>
      </c>
      <c r="C197" s="694" t="s">
        <v>796</v>
      </c>
      <c r="D197" s="695" t="s">
        <v>1252</v>
      </c>
      <c r="E197" s="696" t="str">
        <f>IF($D$14&lt;&gt;E$14,"N/A",(P.WSB*(Avg_Heating_Season_Hrs-BOH)+Avg_NonHeating_Season_Hrs*P.WOFF)*K)</f>
        <v>N/A</v>
      </c>
      <c r="F197" s="699" t="s">
        <v>801</v>
      </c>
      <c r="G197" s="126"/>
      <c r="H197" s="126"/>
      <c r="I197" s="126"/>
      <c r="K197" s="1134"/>
      <c r="L197" s="126"/>
      <c r="Q197" s="1133"/>
    </row>
    <row r="198" spans="2:17" x14ac:dyDescent="0.3">
      <c r="B198" s="126"/>
      <c r="C198" s="126"/>
      <c r="D198" s="126"/>
      <c r="E198" s="126"/>
      <c r="F198" s="126"/>
      <c r="G198" s="126"/>
      <c r="H198" s="126"/>
      <c r="I198" s="126"/>
      <c r="L198" s="126"/>
      <c r="Q198" s="1133"/>
    </row>
    <row r="199" spans="2:17" x14ac:dyDescent="0.3">
      <c r="B199" s="126"/>
      <c r="C199" s="126"/>
      <c r="D199" s="126"/>
      <c r="E199" s="126"/>
      <c r="F199" s="126"/>
      <c r="G199" s="126"/>
      <c r="H199" s="126"/>
      <c r="I199" s="126"/>
      <c r="L199" s="126"/>
      <c r="Q199" s="1133"/>
    </row>
    <row r="200" spans="2:17" x14ac:dyDescent="0.3">
      <c r="B200" s="126"/>
      <c r="C200" s="126"/>
      <c r="D200" s="126"/>
      <c r="E200" s="126"/>
      <c r="F200" s="126"/>
      <c r="G200" s="126"/>
      <c r="H200" s="126"/>
      <c r="I200" s="126"/>
      <c r="L200" s="126"/>
      <c r="Q200" s="1133"/>
    </row>
    <row r="201" spans="2:17" x14ac:dyDescent="0.3">
      <c r="B201" s="126"/>
      <c r="C201" s="126"/>
      <c r="D201" s="126"/>
      <c r="E201" s="126"/>
      <c r="F201" s="126"/>
      <c r="G201" s="126"/>
      <c r="H201" s="126"/>
      <c r="I201" s="126"/>
      <c r="L201" s="126"/>
      <c r="Q201" s="1133"/>
    </row>
    <row r="202" spans="2:17" x14ac:dyDescent="0.3">
      <c r="B202" s="126"/>
      <c r="C202" s="126"/>
      <c r="D202" s="126"/>
      <c r="E202" s="126"/>
      <c r="F202" s="126"/>
      <c r="G202" s="126"/>
      <c r="H202" s="126"/>
      <c r="I202" s="126"/>
      <c r="L202" s="126"/>
      <c r="Q202" s="1133"/>
    </row>
    <row r="203" spans="2:17" x14ac:dyDescent="0.3">
      <c r="B203" s="126"/>
      <c r="C203" s="126"/>
      <c r="D203" s="126"/>
      <c r="E203" s="126"/>
      <c r="F203" s="126"/>
      <c r="G203" s="126"/>
      <c r="H203" s="126"/>
      <c r="I203" s="126"/>
      <c r="L203" s="126"/>
      <c r="Q203" s="1133"/>
    </row>
    <row r="204" spans="2:17" x14ac:dyDescent="0.3">
      <c r="B204" s="126"/>
      <c r="C204" s="126"/>
      <c r="D204" s="126"/>
      <c r="E204" s="126"/>
      <c r="F204" s="126"/>
      <c r="G204" s="126"/>
      <c r="H204" s="126"/>
      <c r="I204" s="126"/>
      <c r="L204" s="126"/>
      <c r="Q204" s="1133"/>
    </row>
    <row r="205" spans="2:17" x14ac:dyDescent="0.3">
      <c r="B205" s="126"/>
      <c r="C205" s="126"/>
      <c r="D205" s="126"/>
      <c r="E205" s="126"/>
      <c r="F205" s="126"/>
      <c r="G205" s="126"/>
      <c r="H205" s="126"/>
      <c r="I205" s="126"/>
      <c r="L205" s="126"/>
      <c r="Q205" s="1133"/>
    </row>
    <row r="206" spans="2:17" ht="18" thickBot="1" x14ac:dyDescent="0.35">
      <c r="B206" s="126"/>
      <c r="C206" s="126"/>
      <c r="D206" s="126"/>
      <c r="E206" s="176"/>
      <c r="J206" s="122"/>
      <c r="K206" s="122"/>
      <c r="Q206" s="1133"/>
    </row>
    <row r="207" spans="2:17" ht="18" thickBot="1" x14ac:dyDescent="0.35">
      <c r="B207" s="126"/>
      <c r="C207" s="487" t="str">
        <f>"For use in ANSI/ASHRAE Section " &amp; D14 &amp; ".9.18: Off-Cycle Stack Gas Draft Factor"</f>
        <v>For use in ANSI/ASHRAE Section Unknown.9.18: Off-Cycle Stack Gas Draft Factor</v>
      </c>
      <c r="D207" s="597"/>
      <c r="E207" s="598"/>
      <c r="F207" s="599"/>
      <c r="G207" s="599"/>
      <c r="H207" s="599"/>
      <c r="I207" s="599"/>
      <c r="J207" s="600"/>
      <c r="K207" s="122"/>
      <c r="Q207" s="1133"/>
    </row>
    <row r="208" spans="2:17" ht="17.25" x14ac:dyDescent="0.3">
      <c r="B208" s="126"/>
      <c r="C208" s="601" t="s">
        <v>34</v>
      </c>
      <c r="D208" s="595" t="s">
        <v>136</v>
      </c>
      <c r="E208" s="596" t="s">
        <v>33</v>
      </c>
      <c r="F208" s="1852" t="s">
        <v>71</v>
      </c>
      <c r="G208" s="1853"/>
      <c r="H208" s="1853"/>
      <c r="I208" s="1853"/>
      <c r="J208" s="1854"/>
      <c r="K208" s="122"/>
      <c r="Q208" s="1133"/>
    </row>
    <row r="209" spans="2:17" x14ac:dyDescent="0.3">
      <c r="B209" s="126"/>
      <c r="C209" s="580" t="str">
        <f>System_Number</f>
        <v>N/A</v>
      </c>
      <c r="D209" s="558" t="s">
        <v>175</v>
      </c>
      <c r="E209" s="558" t="s">
        <v>175</v>
      </c>
      <c r="F209" s="1845" t="s">
        <v>39</v>
      </c>
      <c r="G209" s="1846"/>
      <c r="H209" s="1846"/>
      <c r="I209" s="1846"/>
      <c r="J209" s="1847"/>
      <c r="K209" s="122"/>
      <c r="Q209" s="1133"/>
    </row>
    <row r="210" spans="2:17" ht="18" x14ac:dyDescent="0.3">
      <c r="B210" s="126"/>
      <c r="C210" s="582">
        <f>'Test Conditions'!C87</f>
        <v>0</v>
      </c>
      <c r="D210" s="558" t="s">
        <v>36</v>
      </c>
      <c r="E210" s="550" t="s">
        <v>568</v>
      </c>
      <c r="F210" s="1845" t="s">
        <v>561</v>
      </c>
      <c r="G210" s="1846"/>
      <c r="H210" s="1846"/>
      <c r="I210" s="1846"/>
      <c r="J210" s="1847"/>
      <c r="K210" s="122"/>
      <c r="Q210" s="1133"/>
    </row>
    <row r="211" spans="2:17" ht="18" x14ac:dyDescent="0.3">
      <c r="B211" s="126"/>
      <c r="C211" s="582" t="str">
        <f>'Test Conditions'!C89</f>
        <v/>
      </c>
      <c r="D211" s="558" t="s">
        <v>36</v>
      </c>
      <c r="E211" s="550" t="s">
        <v>583</v>
      </c>
      <c r="F211" s="1845" t="s">
        <v>582</v>
      </c>
      <c r="G211" s="1846"/>
      <c r="H211" s="1846"/>
      <c r="I211" s="1846"/>
      <c r="J211" s="1847"/>
      <c r="K211" s="122"/>
      <c r="Q211" s="1133"/>
    </row>
    <row r="212" spans="2:17" ht="18" x14ac:dyDescent="0.3">
      <c r="B212" s="126"/>
      <c r="C212" s="582" t="str">
        <f>t.OFF</f>
        <v>N/A</v>
      </c>
      <c r="D212" s="558" t="s">
        <v>36</v>
      </c>
      <c r="E212" s="558" t="s">
        <v>628</v>
      </c>
      <c r="F212" s="1845" t="s">
        <v>443</v>
      </c>
      <c r="G212" s="1846"/>
      <c r="H212" s="1846"/>
      <c r="I212" s="1846"/>
      <c r="J212" s="1847"/>
      <c r="K212" s="122"/>
      <c r="Q212" s="1133"/>
    </row>
    <row r="213" spans="2:17" ht="18" x14ac:dyDescent="0.3">
      <c r="B213" s="126"/>
      <c r="C213" s="582" t="str">
        <f>Tau.OFF</f>
        <v>N/A</v>
      </c>
      <c r="D213" s="558" t="s">
        <v>36</v>
      </c>
      <c r="E213" s="558" t="s">
        <v>612</v>
      </c>
      <c r="F213" s="1845" t="s">
        <v>435</v>
      </c>
      <c r="G213" s="1846"/>
      <c r="H213" s="1846"/>
      <c r="I213" s="1846"/>
      <c r="J213" s="1847"/>
      <c r="K213" s="122"/>
      <c r="Q213" s="1133"/>
    </row>
    <row r="214" spans="2:17" ht="18" x14ac:dyDescent="0.3">
      <c r="B214" s="126"/>
      <c r="C214" s="580">
        <f>COUNT(C231:C330)</f>
        <v>100</v>
      </c>
      <c r="D214" s="558" t="s">
        <v>175</v>
      </c>
      <c r="E214" s="558" t="s">
        <v>546</v>
      </c>
      <c r="F214" s="1845" t="s">
        <v>662</v>
      </c>
      <c r="G214" s="1846"/>
      <c r="H214" s="1846"/>
      <c r="I214" s="1846"/>
      <c r="J214" s="1847"/>
      <c r="K214" s="122"/>
      <c r="Q214" s="1133"/>
    </row>
    <row r="215" spans="2:17" ht="18" x14ac:dyDescent="0.3">
      <c r="B215" s="126"/>
      <c r="C215" s="602">
        <f>1/C214</f>
        <v>0.01</v>
      </c>
      <c r="D215" s="558" t="s">
        <v>175</v>
      </c>
      <c r="E215" s="558" t="s">
        <v>663</v>
      </c>
      <c r="F215" s="1857" t="s">
        <v>585</v>
      </c>
      <c r="G215" s="1857"/>
      <c r="H215" s="1857"/>
      <c r="I215" s="1857"/>
      <c r="J215" s="1858"/>
      <c r="K215" s="122"/>
      <c r="Q215" s="1133"/>
    </row>
    <row r="216" spans="2:17" ht="18" x14ac:dyDescent="0.3">
      <c r="B216" s="126"/>
      <c r="C216" s="581" t="str">
        <f>Psi.SIX</f>
        <v>N/A</v>
      </c>
      <c r="D216" s="558" t="s">
        <v>51</v>
      </c>
      <c r="E216" s="558" t="s">
        <v>624</v>
      </c>
      <c r="F216" s="1857" t="s">
        <v>1293</v>
      </c>
      <c r="G216" s="1857"/>
      <c r="H216" s="1857"/>
      <c r="I216" s="1857"/>
      <c r="J216" s="1858"/>
      <c r="K216" s="122"/>
      <c r="Q216" s="1133"/>
    </row>
    <row r="217" spans="2:17" ht="18" x14ac:dyDescent="0.3">
      <c r="B217" s="126"/>
      <c r="C217" s="581" t="str">
        <f>""</f>
        <v/>
      </c>
      <c r="D217" s="558" t="s">
        <v>51</v>
      </c>
      <c r="E217" s="558" t="s">
        <v>636</v>
      </c>
      <c r="F217" s="1859" t="s">
        <v>450</v>
      </c>
      <c r="G217" s="1859"/>
      <c r="H217" s="1859"/>
      <c r="I217" s="1859"/>
      <c r="J217" s="1860"/>
      <c r="K217" s="122"/>
      <c r="Q217" s="1133"/>
    </row>
    <row r="218" spans="2:17" ht="18" x14ac:dyDescent="0.3">
      <c r="B218" s="126"/>
      <c r="C218" s="581" t="str">
        <f>Psi.FI</f>
        <v>N/A</v>
      </c>
      <c r="D218" s="558" t="s">
        <v>51</v>
      </c>
      <c r="E218" s="558" t="s">
        <v>635</v>
      </c>
      <c r="F218" s="1859" t="s">
        <v>1294</v>
      </c>
      <c r="G218" s="1859"/>
      <c r="H218" s="1859"/>
      <c r="I218" s="1859"/>
      <c r="J218" s="1860"/>
      <c r="K218" s="122"/>
      <c r="Q218" s="1133"/>
    </row>
    <row r="219" spans="2:17" ht="18" x14ac:dyDescent="0.3">
      <c r="B219" s="126"/>
      <c r="C219" s="581" t="str">
        <f>Psi.FO</f>
        <v>N/A</v>
      </c>
      <c r="D219" s="558" t="s">
        <v>51</v>
      </c>
      <c r="E219" s="134" t="s">
        <v>634</v>
      </c>
      <c r="F219" s="1859" t="s">
        <v>449</v>
      </c>
      <c r="G219" s="1859"/>
      <c r="H219" s="1859"/>
      <c r="I219" s="1859"/>
      <c r="J219" s="1860"/>
      <c r="K219" s="122"/>
      <c r="Q219" s="1133"/>
    </row>
    <row r="220" spans="2:17" ht="18" x14ac:dyDescent="0.3">
      <c r="B220" s="126"/>
      <c r="C220" s="581">
        <f>'Test Conditions'!C82</f>
        <v>0</v>
      </c>
      <c r="D220" s="550" t="s">
        <v>563</v>
      </c>
      <c r="E220" s="550" t="s">
        <v>564</v>
      </c>
      <c r="F220" s="1855" t="s">
        <v>556</v>
      </c>
      <c r="G220" s="1855"/>
      <c r="H220" s="1855"/>
      <c r="I220" s="1855"/>
      <c r="J220" s="1856"/>
      <c r="K220" s="122"/>
      <c r="Q220" s="1133"/>
    </row>
    <row r="221" spans="2:17" ht="18" x14ac:dyDescent="0.3">
      <c r="B221" s="126"/>
      <c r="C221" s="581">
        <f>'Test Conditions'!C83</f>
        <v>0</v>
      </c>
      <c r="D221" s="550" t="s">
        <v>563</v>
      </c>
      <c r="E221" s="550" t="s">
        <v>565</v>
      </c>
      <c r="F221" s="1855" t="s">
        <v>557</v>
      </c>
      <c r="G221" s="1855"/>
      <c r="H221" s="1855"/>
      <c r="I221" s="1855"/>
      <c r="J221" s="1856"/>
      <c r="K221" s="122"/>
      <c r="Q221" s="1133"/>
    </row>
    <row r="222" spans="2:17" x14ac:dyDescent="0.3">
      <c r="B222" s="126"/>
      <c r="C222" s="581">
        <f>'Test Conditions'!C84</f>
        <v>0</v>
      </c>
      <c r="D222" s="550" t="s">
        <v>555</v>
      </c>
      <c r="E222" s="550" t="s">
        <v>554</v>
      </c>
      <c r="F222" s="1855" t="s">
        <v>558</v>
      </c>
      <c r="G222" s="1855"/>
      <c r="H222" s="1855"/>
      <c r="I222" s="1855"/>
      <c r="J222" s="1856"/>
      <c r="K222" s="122"/>
      <c r="Q222" s="1133"/>
    </row>
    <row r="223" spans="2:17" ht="18" x14ac:dyDescent="0.3">
      <c r="B223" s="126"/>
      <c r="C223" s="581" t="str">
        <f>'Test Conditions'!C91</f>
        <v/>
      </c>
      <c r="D223" s="558" t="s">
        <v>36</v>
      </c>
      <c r="E223" s="558" t="s">
        <v>580</v>
      </c>
      <c r="F223" s="1857"/>
      <c r="G223" s="1857"/>
      <c r="H223" s="1857"/>
      <c r="I223" s="1857"/>
      <c r="J223" s="1858"/>
      <c r="K223" s="122"/>
      <c r="Q223" s="1133"/>
    </row>
    <row r="224" spans="2:17" ht="18" x14ac:dyDescent="0.3">
      <c r="B224" s="126"/>
      <c r="C224" s="582" t="str">
        <f ca="1">D.F</f>
        <v>N/A</v>
      </c>
      <c r="D224" s="558" t="s">
        <v>175</v>
      </c>
      <c r="E224" s="558" t="s">
        <v>620</v>
      </c>
      <c r="F224" s="1857" t="s">
        <v>439</v>
      </c>
      <c r="G224" s="1857"/>
      <c r="H224" s="1857"/>
      <c r="I224" s="1857"/>
      <c r="J224" s="1858"/>
      <c r="K224" s="122"/>
      <c r="Q224" s="1133"/>
    </row>
    <row r="225" spans="2:17" ht="18" x14ac:dyDescent="0.3">
      <c r="B225" s="126"/>
      <c r="C225" s="582" t="str">
        <f>DO.S</f>
        <v>N/A</v>
      </c>
      <c r="D225" s="558" t="s">
        <v>175</v>
      </c>
      <c r="E225" s="558" t="s">
        <v>623</v>
      </c>
      <c r="F225" s="1857" t="s">
        <v>73</v>
      </c>
      <c r="G225" s="1857"/>
      <c r="H225" s="1857"/>
      <c r="I225" s="1857"/>
      <c r="J225" s="1858"/>
      <c r="K225" s="122"/>
      <c r="Q225" s="1133"/>
    </row>
    <row r="226" spans="2:17" x14ac:dyDescent="0.3">
      <c r="B226" s="126"/>
      <c r="C226" s="603" t="str">
        <f>SF</f>
        <v>N/A</v>
      </c>
      <c r="D226" s="558" t="s">
        <v>175</v>
      </c>
      <c r="E226" s="558" t="s">
        <v>60</v>
      </c>
      <c r="F226" s="1857" t="s">
        <v>412</v>
      </c>
      <c r="G226" s="1857"/>
      <c r="H226" s="1857"/>
      <c r="I226" s="1857"/>
      <c r="J226" s="1858"/>
      <c r="K226" s="122"/>
      <c r="Q226" s="1133"/>
    </row>
    <row r="227" spans="2:17" ht="18" x14ac:dyDescent="0.3">
      <c r="B227" s="126"/>
      <c r="C227" s="602" t="e">
        <f ca="1">SUMPRODUCT(M231:M330*((100-N231:N330)*I231:I330*J231:J330+N231:N330*K231:K330*L231:L330))*C215/
(SUMPRODUCT(((100-C216)*E231:E330*F231:F330+C216*G231:G330*H231:H330))*C215)</f>
        <v>#VALUE!</v>
      </c>
      <c r="D227" s="558" t="s">
        <v>175</v>
      </c>
      <c r="E227" s="558" t="s">
        <v>637</v>
      </c>
      <c r="F227" s="1857" t="s">
        <v>451</v>
      </c>
      <c r="G227" s="1857"/>
      <c r="H227" s="1857"/>
      <c r="I227" s="1857"/>
      <c r="J227" s="1858"/>
      <c r="K227" s="122"/>
      <c r="Q227" s="1133"/>
    </row>
    <row r="228" spans="2:17" ht="18.75" thickBot="1" x14ac:dyDescent="0.35">
      <c r="B228" s="126"/>
      <c r="C228" s="604" t="e">
        <f ca="1">SUMPRODUCT(M231:M330*((100-N231:N330)*J231:J330+N231:N330*L231:L330))*C215/(
SUMPRODUCT(((100-C216)*F231:F330+C216*H231:H330))*C215)</f>
        <v>#VALUE!</v>
      </c>
      <c r="D228" s="605" t="s">
        <v>175</v>
      </c>
      <c r="E228" s="605" t="s">
        <v>638</v>
      </c>
      <c r="F228" s="1861" t="s">
        <v>452</v>
      </c>
      <c r="G228" s="1861"/>
      <c r="H228" s="1861"/>
      <c r="I228" s="1861"/>
      <c r="J228" s="1862"/>
      <c r="K228" s="122"/>
      <c r="Q228" s="1133"/>
    </row>
    <row r="229" spans="2:17" ht="17.25" thickBot="1" x14ac:dyDescent="0.35">
      <c r="B229" s="126"/>
      <c r="C229" s="606"/>
      <c r="D229" s="559"/>
      <c r="E229" s="585"/>
      <c r="F229" s="585"/>
      <c r="G229" s="585"/>
      <c r="H229" s="585"/>
      <c r="I229" s="585"/>
      <c r="J229" s="542"/>
      <c r="Q229" s="1133"/>
    </row>
    <row r="230" spans="2:17" ht="18" x14ac:dyDescent="0.3">
      <c r="B230" s="126"/>
      <c r="C230" s="631" t="s">
        <v>584</v>
      </c>
      <c r="D230" s="632" t="s">
        <v>547</v>
      </c>
      <c r="E230" s="633" t="s">
        <v>1029</v>
      </c>
      <c r="F230" s="633" t="s">
        <v>1030</v>
      </c>
      <c r="G230" s="633" t="s">
        <v>1031</v>
      </c>
      <c r="H230" s="633" t="s">
        <v>1028</v>
      </c>
      <c r="I230" s="633" t="s">
        <v>1032</v>
      </c>
      <c r="J230" s="633" t="s">
        <v>1033</v>
      </c>
      <c r="K230" s="633" t="s">
        <v>1034</v>
      </c>
      <c r="L230" s="633" t="s">
        <v>1035</v>
      </c>
      <c r="M230" s="634" t="s">
        <v>1027</v>
      </c>
      <c r="N230" s="634" t="s">
        <v>664</v>
      </c>
      <c r="O230" s="635" t="s">
        <v>665</v>
      </c>
      <c r="Q230" s="1133"/>
    </row>
    <row r="231" spans="2:17" x14ac:dyDescent="0.3">
      <c r="B231" s="126"/>
      <c r="C231" s="607">
        <v>1</v>
      </c>
      <c r="D231" s="561" t="str">
        <f>IFERROR(C231*$C$215*$C$212,"")</f>
        <v/>
      </c>
      <c r="E231" s="561" t="str">
        <f>IFERROR($C$217*EXP(-$D231/$C$213),"")</f>
        <v/>
      </c>
      <c r="F231" s="561" t="str">
        <f>IFERROR(($E231+28)^(0.56)/(($E231+530)^(1.19)),"")</f>
        <v/>
      </c>
      <c r="G231" s="561" t="str">
        <f t="shared" ref="G231:G294" si="1">IFERROR(E231+100,"")</f>
        <v/>
      </c>
      <c r="H231" s="561" t="str">
        <f>IFERROR(($E231+128)^(0.56)/(($E231+630)^(1.19)),"")</f>
        <v/>
      </c>
      <c r="I231" s="561" t="str">
        <f ca="1">IFERROR($O231*EXP(-$D231/$C$213),"")</f>
        <v/>
      </c>
      <c r="J231" s="561" t="str">
        <f ca="1">IFERROR(($I231+28)^(0.56)/(($I231+530)^(1.19)),"")</f>
        <v/>
      </c>
      <c r="K231" s="561" t="str">
        <f ca="1">IFERROR(I231+100,"")</f>
        <v/>
      </c>
      <c r="L231" s="561" t="str">
        <f ca="1">IFERROR(($I231+128)^(0.56)/(($I231+630)^(1.19)),"")</f>
        <v/>
      </c>
      <c r="M231" s="560" t="str">
        <f t="shared" ref="M231:M294" si="2">IFERROR(IF(D231&lt;$C$210,1,
IF(D231&lt;$C$211,SQRT(5/(5+(2.6*(($C$221/$C$220)*SIN((PI()/2-$C$222)*(D231-$C$210)/($C$211-$C$210)))^1.58)/((1-($C$221/$C$220)*SIN((PI()/2-$C$222)*(D231-$C$210)/($C$211-$C$210)))^2))),
$C$223)),"")</f>
        <v/>
      </c>
      <c r="N231" s="560" t="str">
        <f t="shared" ref="N231:N294" ca="1" si="3">IFERROR(IF($C$226*$M231*$C$225&gt;$C$224,$C$224*$C$218/($C$226*$M231*$C$225),$C$218),"")</f>
        <v/>
      </c>
      <c r="O231" s="636" t="str">
        <f ca="1">IFERROR(IF($C$226*$M231*$C$225&gt;$C$224,$C$224*$C$219/($C$226*$M231*$C$225),$C$219),"")</f>
        <v/>
      </c>
      <c r="Q231" s="1133"/>
    </row>
    <row r="232" spans="2:17" x14ac:dyDescent="0.3">
      <c r="B232" s="126"/>
      <c r="C232" s="607">
        <v>2</v>
      </c>
      <c r="D232" s="561" t="str">
        <f t="shared" ref="D232:D295" si="4">IFERROR(C232*$C$215*$C$212,"")</f>
        <v/>
      </c>
      <c r="E232" s="561" t="str">
        <f t="shared" ref="E232:E295" si="5">IFERROR($C$217*EXP(-$D232/$C$213),"")</f>
        <v/>
      </c>
      <c r="F232" s="561" t="str">
        <f t="shared" ref="F232:F295" si="6">IFERROR(($E232+28)^(0.56)/(($E232+530)^(1.19)),"")</f>
        <v/>
      </c>
      <c r="G232" s="561" t="str">
        <f t="shared" si="1"/>
        <v/>
      </c>
      <c r="H232" s="561" t="str">
        <f t="shared" ref="H232:H295" si="7">IFERROR(($E232+128)^(0.56)/(($E232+630)^(1.19)),"")</f>
        <v/>
      </c>
      <c r="I232" s="561" t="str">
        <f t="shared" ref="I232:I295" ca="1" si="8">IFERROR($O232*EXP(-$D232/$C$213),"")</f>
        <v/>
      </c>
      <c r="J232" s="561" t="str">
        <f t="shared" ref="J232:J295" ca="1" si="9">IFERROR(($I232+28)^(0.56)/(($I232+530)^(1.19)),"")</f>
        <v/>
      </c>
      <c r="K232" s="561" t="str">
        <f t="shared" ref="K232:K295" ca="1" si="10">IFERROR(I232+100,"")</f>
        <v/>
      </c>
      <c r="L232" s="561" t="str">
        <f t="shared" ref="L232:L295" ca="1" si="11">IFERROR(($I232+128)^(0.56)/(($I232+630)^(1.19)),"")</f>
        <v/>
      </c>
      <c r="M232" s="560" t="str">
        <f t="shared" si="2"/>
        <v/>
      </c>
      <c r="N232" s="560" t="str">
        <f t="shared" ca="1" si="3"/>
        <v/>
      </c>
      <c r="O232" s="636" t="str">
        <f t="shared" ref="O232:O295" ca="1" si="12">IFERROR(IF($C$226*$M232*$C$225&gt;$C$224,$C$224*$C$219/($C$226*$M232*$C$225),$C$219),"")</f>
        <v/>
      </c>
      <c r="Q232" s="1133"/>
    </row>
    <row r="233" spans="2:17" x14ac:dyDescent="0.3">
      <c r="B233" s="126"/>
      <c r="C233" s="607">
        <v>3</v>
      </c>
      <c r="D233" s="561" t="str">
        <f t="shared" si="4"/>
        <v/>
      </c>
      <c r="E233" s="561" t="str">
        <f t="shared" si="5"/>
        <v/>
      </c>
      <c r="F233" s="561" t="str">
        <f t="shared" si="6"/>
        <v/>
      </c>
      <c r="G233" s="561" t="str">
        <f t="shared" si="1"/>
        <v/>
      </c>
      <c r="H233" s="561" t="str">
        <f t="shared" si="7"/>
        <v/>
      </c>
      <c r="I233" s="561" t="str">
        <f t="shared" ca="1" si="8"/>
        <v/>
      </c>
      <c r="J233" s="561" t="str">
        <f t="shared" ca="1" si="9"/>
        <v/>
      </c>
      <c r="K233" s="561" t="str">
        <f t="shared" ca="1" si="10"/>
        <v/>
      </c>
      <c r="L233" s="561" t="str">
        <f t="shared" ca="1" si="11"/>
        <v/>
      </c>
      <c r="M233" s="560" t="str">
        <f t="shared" si="2"/>
        <v/>
      </c>
      <c r="N233" s="560" t="str">
        <f t="shared" ca="1" si="3"/>
        <v/>
      </c>
      <c r="O233" s="636" t="str">
        <f t="shared" ca="1" si="12"/>
        <v/>
      </c>
      <c r="Q233" s="1133"/>
    </row>
    <row r="234" spans="2:17" x14ac:dyDescent="0.3">
      <c r="B234" s="126"/>
      <c r="C234" s="607">
        <v>4</v>
      </c>
      <c r="D234" s="561" t="str">
        <f t="shared" si="4"/>
        <v/>
      </c>
      <c r="E234" s="561" t="str">
        <f t="shared" si="5"/>
        <v/>
      </c>
      <c r="F234" s="561" t="str">
        <f t="shared" si="6"/>
        <v/>
      </c>
      <c r="G234" s="561" t="str">
        <f t="shared" si="1"/>
        <v/>
      </c>
      <c r="H234" s="561" t="str">
        <f t="shared" si="7"/>
        <v/>
      </c>
      <c r="I234" s="561" t="str">
        <f t="shared" ca="1" si="8"/>
        <v/>
      </c>
      <c r="J234" s="561" t="str">
        <f t="shared" ca="1" si="9"/>
        <v/>
      </c>
      <c r="K234" s="561" t="str">
        <f t="shared" ca="1" si="10"/>
        <v/>
      </c>
      <c r="L234" s="561" t="str">
        <f t="shared" ca="1" si="11"/>
        <v/>
      </c>
      <c r="M234" s="560" t="str">
        <f t="shared" si="2"/>
        <v/>
      </c>
      <c r="N234" s="560" t="str">
        <f t="shared" ca="1" si="3"/>
        <v/>
      </c>
      <c r="O234" s="636" t="str">
        <f t="shared" ca="1" si="12"/>
        <v/>
      </c>
      <c r="Q234" s="1133"/>
    </row>
    <row r="235" spans="2:17" x14ac:dyDescent="0.3">
      <c r="B235" s="126"/>
      <c r="C235" s="607">
        <v>5</v>
      </c>
      <c r="D235" s="561" t="str">
        <f t="shared" si="4"/>
        <v/>
      </c>
      <c r="E235" s="561" t="str">
        <f t="shared" si="5"/>
        <v/>
      </c>
      <c r="F235" s="561" t="str">
        <f t="shared" si="6"/>
        <v/>
      </c>
      <c r="G235" s="561" t="str">
        <f t="shared" si="1"/>
        <v/>
      </c>
      <c r="H235" s="561" t="str">
        <f t="shared" si="7"/>
        <v/>
      </c>
      <c r="I235" s="561" t="str">
        <f t="shared" ca="1" si="8"/>
        <v/>
      </c>
      <c r="J235" s="561" t="str">
        <f t="shared" ca="1" si="9"/>
        <v/>
      </c>
      <c r="K235" s="561" t="str">
        <f t="shared" ca="1" si="10"/>
        <v/>
      </c>
      <c r="L235" s="561" t="str">
        <f t="shared" ca="1" si="11"/>
        <v/>
      </c>
      <c r="M235" s="560" t="str">
        <f t="shared" si="2"/>
        <v/>
      </c>
      <c r="N235" s="560" t="str">
        <f t="shared" ca="1" si="3"/>
        <v/>
      </c>
      <c r="O235" s="636" t="str">
        <f t="shared" ca="1" si="12"/>
        <v/>
      </c>
      <c r="Q235" s="1133"/>
    </row>
    <row r="236" spans="2:17" x14ac:dyDescent="0.3">
      <c r="B236" s="126"/>
      <c r="C236" s="607">
        <v>6</v>
      </c>
      <c r="D236" s="561" t="str">
        <f t="shared" si="4"/>
        <v/>
      </c>
      <c r="E236" s="561" t="str">
        <f t="shared" si="5"/>
        <v/>
      </c>
      <c r="F236" s="561" t="str">
        <f t="shared" si="6"/>
        <v/>
      </c>
      <c r="G236" s="561" t="str">
        <f t="shared" si="1"/>
        <v/>
      </c>
      <c r="H236" s="561" t="str">
        <f t="shared" si="7"/>
        <v/>
      </c>
      <c r="I236" s="561" t="str">
        <f t="shared" ca="1" si="8"/>
        <v/>
      </c>
      <c r="J236" s="561" t="str">
        <f t="shared" ca="1" si="9"/>
        <v/>
      </c>
      <c r="K236" s="561" t="str">
        <f t="shared" ca="1" si="10"/>
        <v/>
      </c>
      <c r="L236" s="561" t="str">
        <f t="shared" ca="1" si="11"/>
        <v/>
      </c>
      <c r="M236" s="560" t="str">
        <f t="shared" si="2"/>
        <v/>
      </c>
      <c r="N236" s="560" t="str">
        <f t="shared" ca="1" si="3"/>
        <v/>
      </c>
      <c r="O236" s="636" t="str">
        <f t="shared" ca="1" si="12"/>
        <v/>
      </c>
      <c r="Q236" s="1133"/>
    </row>
    <row r="237" spans="2:17" x14ac:dyDescent="0.3">
      <c r="B237" s="126"/>
      <c r="C237" s="607">
        <v>7</v>
      </c>
      <c r="D237" s="561" t="str">
        <f t="shared" si="4"/>
        <v/>
      </c>
      <c r="E237" s="561" t="str">
        <f t="shared" si="5"/>
        <v/>
      </c>
      <c r="F237" s="561" t="str">
        <f t="shared" si="6"/>
        <v/>
      </c>
      <c r="G237" s="561" t="str">
        <f t="shared" si="1"/>
        <v/>
      </c>
      <c r="H237" s="561" t="str">
        <f t="shared" si="7"/>
        <v/>
      </c>
      <c r="I237" s="561" t="str">
        <f t="shared" ca="1" si="8"/>
        <v/>
      </c>
      <c r="J237" s="561" t="str">
        <f t="shared" ca="1" si="9"/>
        <v/>
      </c>
      <c r="K237" s="561" t="str">
        <f t="shared" ca="1" si="10"/>
        <v/>
      </c>
      <c r="L237" s="561" t="str">
        <f t="shared" ca="1" si="11"/>
        <v/>
      </c>
      <c r="M237" s="560" t="str">
        <f t="shared" si="2"/>
        <v/>
      </c>
      <c r="N237" s="560" t="str">
        <f t="shared" ca="1" si="3"/>
        <v/>
      </c>
      <c r="O237" s="636" t="str">
        <f t="shared" ca="1" si="12"/>
        <v/>
      </c>
      <c r="Q237" s="1133"/>
    </row>
    <row r="238" spans="2:17" x14ac:dyDescent="0.3">
      <c r="B238" s="126"/>
      <c r="C238" s="607">
        <v>8</v>
      </c>
      <c r="D238" s="561" t="str">
        <f t="shared" si="4"/>
        <v/>
      </c>
      <c r="E238" s="561" t="str">
        <f t="shared" si="5"/>
        <v/>
      </c>
      <c r="F238" s="561" t="str">
        <f t="shared" si="6"/>
        <v/>
      </c>
      <c r="G238" s="561" t="str">
        <f t="shared" si="1"/>
        <v/>
      </c>
      <c r="H238" s="561" t="str">
        <f t="shared" si="7"/>
        <v/>
      </c>
      <c r="I238" s="561" t="str">
        <f t="shared" ca="1" si="8"/>
        <v/>
      </c>
      <c r="J238" s="561" t="str">
        <f t="shared" ca="1" si="9"/>
        <v/>
      </c>
      <c r="K238" s="561" t="str">
        <f t="shared" ca="1" si="10"/>
        <v/>
      </c>
      <c r="L238" s="561" t="str">
        <f t="shared" ca="1" si="11"/>
        <v/>
      </c>
      <c r="M238" s="560" t="str">
        <f t="shared" si="2"/>
        <v/>
      </c>
      <c r="N238" s="560" t="str">
        <f t="shared" ca="1" si="3"/>
        <v/>
      </c>
      <c r="O238" s="636" t="str">
        <f t="shared" ca="1" si="12"/>
        <v/>
      </c>
      <c r="Q238" s="1133"/>
    </row>
    <row r="239" spans="2:17" x14ac:dyDescent="0.3">
      <c r="B239" s="126"/>
      <c r="C239" s="607">
        <v>9</v>
      </c>
      <c r="D239" s="561" t="str">
        <f t="shared" si="4"/>
        <v/>
      </c>
      <c r="E239" s="561" t="str">
        <f t="shared" si="5"/>
        <v/>
      </c>
      <c r="F239" s="561" t="str">
        <f t="shared" si="6"/>
        <v/>
      </c>
      <c r="G239" s="561" t="str">
        <f t="shared" si="1"/>
        <v/>
      </c>
      <c r="H239" s="561" t="str">
        <f t="shared" si="7"/>
        <v/>
      </c>
      <c r="I239" s="561" t="str">
        <f t="shared" ca="1" si="8"/>
        <v/>
      </c>
      <c r="J239" s="561" t="str">
        <f t="shared" ca="1" si="9"/>
        <v/>
      </c>
      <c r="K239" s="561" t="str">
        <f t="shared" ca="1" si="10"/>
        <v/>
      </c>
      <c r="L239" s="561" t="str">
        <f t="shared" ca="1" si="11"/>
        <v/>
      </c>
      <c r="M239" s="560" t="str">
        <f t="shared" si="2"/>
        <v/>
      </c>
      <c r="N239" s="560" t="str">
        <f t="shared" ca="1" si="3"/>
        <v/>
      </c>
      <c r="O239" s="636" t="str">
        <f t="shared" ca="1" si="12"/>
        <v/>
      </c>
      <c r="Q239" s="1133"/>
    </row>
    <row r="240" spans="2:17" x14ac:dyDescent="0.3">
      <c r="B240" s="126"/>
      <c r="C240" s="607">
        <v>10</v>
      </c>
      <c r="D240" s="561" t="str">
        <f t="shared" si="4"/>
        <v/>
      </c>
      <c r="E240" s="561" t="str">
        <f t="shared" si="5"/>
        <v/>
      </c>
      <c r="F240" s="561" t="str">
        <f t="shared" si="6"/>
        <v/>
      </c>
      <c r="G240" s="561" t="str">
        <f t="shared" si="1"/>
        <v/>
      </c>
      <c r="H240" s="561" t="str">
        <f t="shared" si="7"/>
        <v/>
      </c>
      <c r="I240" s="561" t="str">
        <f t="shared" ca="1" si="8"/>
        <v/>
      </c>
      <c r="J240" s="561" t="str">
        <f t="shared" ca="1" si="9"/>
        <v/>
      </c>
      <c r="K240" s="561" t="str">
        <f t="shared" ca="1" si="10"/>
        <v/>
      </c>
      <c r="L240" s="561" t="str">
        <f t="shared" ca="1" si="11"/>
        <v/>
      </c>
      <c r="M240" s="560" t="str">
        <f t="shared" si="2"/>
        <v/>
      </c>
      <c r="N240" s="560" t="str">
        <f t="shared" ca="1" si="3"/>
        <v/>
      </c>
      <c r="O240" s="636" t="str">
        <f t="shared" ca="1" si="12"/>
        <v/>
      </c>
      <c r="Q240" s="1133"/>
    </row>
    <row r="241" spans="2:17" x14ac:dyDescent="0.3">
      <c r="B241" s="126"/>
      <c r="C241" s="607">
        <v>11</v>
      </c>
      <c r="D241" s="561" t="str">
        <f t="shared" si="4"/>
        <v/>
      </c>
      <c r="E241" s="561" t="str">
        <f t="shared" si="5"/>
        <v/>
      </c>
      <c r="F241" s="561" t="str">
        <f t="shared" si="6"/>
        <v/>
      </c>
      <c r="G241" s="561" t="str">
        <f t="shared" si="1"/>
        <v/>
      </c>
      <c r="H241" s="561" t="str">
        <f t="shared" si="7"/>
        <v/>
      </c>
      <c r="I241" s="561" t="str">
        <f t="shared" ca="1" si="8"/>
        <v/>
      </c>
      <c r="J241" s="561" t="str">
        <f t="shared" ca="1" si="9"/>
        <v/>
      </c>
      <c r="K241" s="561" t="str">
        <f t="shared" ca="1" si="10"/>
        <v/>
      </c>
      <c r="L241" s="561" t="str">
        <f t="shared" ca="1" si="11"/>
        <v/>
      </c>
      <c r="M241" s="560" t="str">
        <f t="shared" si="2"/>
        <v/>
      </c>
      <c r="N241" s="560" t="str">
        <f t="shared" ca="1" si="3"/>
        <v/>
      </c>
      <c r="O241" s="636" t="str">
        <f t="shared" ca="1" si="12"/>
        <v/>
      </c>
      <c r="Q241" s="1133"/>
    </row>
    <row r="242" spans="2:17" x14ac:dyDescent="0.3">
      <c r="B242" s="126"/>
      <c r="C242" s="607">
        <v>12</v>
      </c>
      <c r="D242" s="561" t="str">
        <f t="shared" si="4"/>
        <v/>
      </c>
      <c r="E242" s="561" t="str">
        <f t="shared" si="5"/>
        <v/>
      </c>
      <c r="F242" s="561" t="str">
        <f t="shared" si="6"/>
        <v/>
      </c>
      <c r="G242" s="561" t="str">
        <f t="shared" si="1"/>
        <v/>
      </c>
      <c r="H242" s="561" t="str">
        <f t="shared" si="7"/>
        <v/>
      </c>
      <c r="I242" s="561" t="str">
        <f t="shared" ca="1" si="8"/>
        <v/>
      </c>
      <c r="J242" s="561" t="str">
        <f t="shared" ca="1" si="9"/>
        <v/>
      </c>
      <c r="K242" s="561" t="str">
        <f t="shared" ca="1" si="10"/>
        <v/>
      </c>
      <c r="L242" s="561" t="str">
        <f t="shared" ca="1" si="11"/>
        <v/>
      </c>
      <c r="M242" s="560" t="str">
        <f t="shared" si="2"/>
        <v/>
      </c>
      <c r="N242" s="560" t="str">
        <f t="shared" ca="1" si="3"/>
        <v/>
      </c>
      <c r="O242" s="636" t="str">
        <f t="shared" ca="1" si="12"/>
        <v/>
      </c>
      <c r="Q242" s="1133"/>
    </row>
    <row r="243" spans="2:17" x14ac:dyDescent="0.3">
      <c r="B243" s="126"/>
      <c r="C243" s="607">
        <v>13</v>
      </c>
      <c r="D243" s="561" t="str">
        <f t="shared" si="4"/>
        <v/>
      </c>
      <c r="E243" s="561" t="str">
        <f t="shared" si="5"/>
        <v/>
      </c>
      <c r="F243" s="561" t="str">
        <f t="shared" si="6"/>
        <v/>
      </c>
      <c r="G243" s="561" t="str">
        <f t="shared" si="1"/>
        <v/>
      </c>
      <c r="H243" s="561" t="str">
        <f t="shared" si="7"/>
        <v/>
      </c>
      <c r="I243" s="561" t="str">
        <f t="shared" ca="1" si="8"/>
        <v/>
      </c>
      <c r="J243" s="561" t="str">
        <f t="shared" ca="1" si="9"/>
        <v/>
      </c>
      <c r="K243" s="561" t="str">
        <f t="shared" ca="1" si="10"/>
        <v/>
      </c>
      <c r="L243" s="561" t="str">
        <f t="shared" ca="1" si="11"/>
        <v/>
      </c>
      <c r="M243" s="560" t="str">
        <f t="shared" si="2"/>
        <v/>
      </c>
      <c r="N243" s="560" t="str">
        <f t="shared" ca="1" si="3"/>
        <v/>
      </c>
      <c r="O243" s="636" t="str">
        <f t="shared" ca="1" si="12"/>
        <v/>
      </c>
      <c r="Q243" s="1133"/>
    </row>
    <row r="244" spans="2:17" x14ac:dyDescent="0.3">
      <c r="B244" s="126"/>
      <c r="C244" s="607">
        <v>14</v>
      </c>
      <c r="D244" s="561" t="str">
        <f t="shared" si="4"/>
        <v/>
      </c>
      <c r="E244" s="561" t="str">
        <f t="shared" si="5"/>
        <v/>
      </c>
      <c r="F244" s="561" t="str">
        <f t="shared" si="6"/>
        <v/>
      </c>
      <c r="G244" s="561" t="str">
        <f t="shared" si="1"/>
        <v/>
      </c>
      <c r="H244" s="561" t="str">
        <f t="shared" si="7"/>
        <v/>
      </c>
      <c r="I244" s="561" t="str">
        <f t="shared" ca="1" si="8"/>
        <v/>
      </c>
      <c r="J244" s="561" t="str">
        <f t="shared" ca="1" si="9"/>
        <v/>
      </c>
      <c r="K244" s="561" t="str">
        <f t="shared" ca="1" si="10"/>
        <v/>
      </c>
      <c r="L244" s="561" t="str">
        <f t="shared" ca="1" si="11"/>
        <v/>
      </c>
      <c r="M244" s="560" t="str">
        <f t="shared" si="2"/>
        <v/>
      </c>
      <c r="N244" s="560" t="str">
        <f t="shared" ca="1" si="3"/>
        <v/>
      </c>
      <c r="O244" s="636" t="str">
        <f t="shared" ca="1" si="12"/>
        <v/>
      </c>
      <c r="Q244" s="1133"/>
    </row>
    <row r="245" spans="2:17" x14ac:dyDescent="0.3">
      <c r="B245" s="126"/>
      <c r="C245" s="607">
        <v>15</v>
      </c>
      <c r="D245" s="561" t="str">
        <f t="shared" si="4"/>
        <v/>
      </c>
      <c r="E245" s="561" t="str">
        <f t="shared" si="5"/>
        <v/>
      </c>
      <c r="F245" s="561" t="str">
        <f t="shared" si="6"/>
        <v/>
      </c>
      <c r="G245" s="561" t="str">
        <f t="shared" si="1"/>
        <v/>
      </c>
      <c r="H245" s="561" t="str">
        <f t="shared" si="7"/>
        <v/>
      </c>
      <c r="I245" s="561" t="str">
        <f t="shared" ca="1" si="8"/>
        <v/>
      </c>
      <c r="J245" s="561" t="str">
        <f t="shared" ca="1" si="9"/>
        <v/>
      </c>
      <c r="K245" s="561" t="str">
        <f t="shared" ca="1" si="10"/>
        <v/>
      </c>
      <c r="L245" s="561" t="str">
        <f t="shared" ca="1" si="11"/>
        <v/>
      </c>
      <c r="M245" s="560" t="str">
        <f t="shared" si="2"/>
        <v/>
      </c>
      <c r="N245" s="560" t="str">
        <f t="shared" ca="1" si="3"/>
        <v/>
      </c>
      <c r="O245" s="636" t="str">
        <f t="shared" ca="1" si="12"/>
        <v/>
      </c>
      <c r="Q245" s="1133"/>
    </row>
    <row r="246" spans="2:17" x14ac:dyDescent="0.3">
      <c r="B246" s="126"/>
      <c r="C246" s="607">
        <v>16</v>
      </c>
      <c r="D246" s="561" t="str">
        <f t="shared" si="4"/>
        <v/>
      </c>
      <c r="E246" s="561" t="str">
        <f t="shared" si="5"/>
        <v/>
      </c>
      <c r="F246" s="561" t="str">
        <f t="shared" si="6"/>
        <v/>
      </c>
      <c r="G246" s="561" t="str">
        <f t="shared" si="1"/>
        <v/>
      </c>
      <c r="H246" s="561" t="str">
        <f t="shared" si="7"/>
        <v/>
      </c>
      <c r="I246" s="561" t="str">
        <f t="shared" ca="1" si="8"/>
        <v/>
      </c>
      <c r="J246" s="561" t="str">
        <f t="shared" ca="1" si="9"/>
        <v/>
      </c>
      <c r="K246" s="561" t="str">
        <f t="shared" ca="1" si="10"/>
        <v/>
      </c>
      <c r="L246" s="561" t="str">
        <f t="shared" ca="1" si="11"/>
        <v/>
      </c>
      <c r="M246" s="560" t="str">
        <f t="shared" si="2"/>
        <v/>
      </c>
      <c r="N246" s="560" t="str">
        <f t="shared" ca="1" si="3"/>
        <v/>
      </c>
      <c r="O246" s="636" t="str">
        <f t="shared" ca="1" si="12"/>
        <v/>
      </c>
      <c r="Q246" s="1133"/>
    </row>
    <row r="247" spans="2:17" x14ac:dyDescent="0.3">
      <c r="B247" s="126"/>
      <c r="C247" s="607">
        <v>17</v>
      </c>
      <c r="D247" s="561" t="str">
        <f t="shared" si="4"/>
        <v/>
      </c>
      <c r="E247" s="561" t="str">
        <f t="shared" si="5"/>
        <v/>
      </c>
      <c r="F247" s="561" t="str">
        <f t="shared" si="6"/>
        <v/>
      </c>
      <c r="G247" s="561" t="str">
        <f t="shared" si="1"/>
        <v/>
      </c>
      <c r="H247" s="561" t="str">
        <f t="shared" si="7"/>
        <v/>
      </c>
      <c r="I247" s="561" t="str">
        <f t="shared" ca="1" si="8"/>
        <v/>
      </c>
      <c r="J247" s="561" t="str">
        <f t="shared" ca="1" si="9"/>
        <v/>
      </c>
      <c r="K247" s="561" t="str">
        <f t="shared" ca="1" si="10"/>
        <v/>
      </c>
      <c r="L247" s="561" t="str">
        <f t="shared" ca="1" si="11"/>
        <v/>
      </c>
      <c r="M247" s="560" t="str">
        <f t="shared" si="2"/>
        <v/>
      </c>
      <c r="N247" s="560" t="str">
        <f t="shared" ca="1" si="3"/>
        <v/>
      </c>
      <c r="O247" s="636" t="str">
        <f t="shared" ca="1" si="12"/>
        <v/>
      </c>
      <c r="Q247" s="1133"/>
    </row>
    <row r="248" spans="2:17" x14ac:dyDescent="0.3">
      <c r="B248" s="126"/>
      <c r="C248" s="607">
        <v>18</v>
      </c>
      <c r="D248" s="561" t="str">
        <f t="shared" si="4"/>
        <v/>
      </c>
      <c r="E248" s="561" t="str">
        <f t="shared" si="5"/>
        <v/>
      </c>
      <c r="F248" s="561" t="str">
        <f t="shared" si="6"/>
        <v/>
      </c>
      <c r="G248" s="561" t="str">
        <f t="shared" si="1"/>
        <v/>
      </c>
      <c r="H248" s="561" t="str">
        <f t="shared" si="7"/>
        <v/>
      </c>
      <c r="I248" s="561" t="str">
        <f t="shared" ca="1" si="8"/>
        <v/>
      </c>
      <c r="J248" s="561" t="str">
        <f t="shared" ca="1" si="9"/>
        <v/>
      </c>
      <c r="K248" s="561" t="str">
        <f t="shared" ca="1" si="10"/>
        <v/>
      </c>
      <c r="L248" s="561" t="str">
        <f t="shared" ca="1" si="11"/>
        <v/>
      </c>
      <c r="M248" s="560" t="str">
        <f t="shared" si="2"/>
        <v/>
      </c>
      <c r="N248" s="560" t="str">
        <f t="shared" ca="1" si="3"/>
        <v/>
      </c>
      <c r="O248" s="636" t="str">
        <f t="shared" ca="1" si="12"/>
        <v/>
      </c>
      <c r="Q248" s="1133"/>
    </row>
    <row r="249" spans="2:17" x14ac:dyDescent="0.3">
      <c r="B249" s="126"/>
      <c r="C249" s="607">
        <v>19</v>
      </c>
      <c r="D249" s="561" t="str">
        <f t="shared" si="4"/>
        <v/>
      </c>
      <c r="E249" s="561" t="str">
        <f t="shared" si="5"/>
        <v/>
      </c>
      <c r="F249" s="561" t="str">
        <f t="shared" si="6"/>
        <v/>
      </c>
      <c r="G249" s="561" t="str">
        <f t="shared" si="1"/>
        <v/>
      </c>
      <c r="H249" s="561" t="str">
        <f t="shared" si="7"/>
        <v/>
      </c>
      <c r="I249" s="561" t="str">
        <f t="shared" ca="1" si="8"/>
        <v/>
      </c>
      <c r="J249" s="561" t="str">
        <f t="shared" ca="1" si="9"/>
        <v/>
      </c>
      <c r="K249" s="561" t="str">
        <f t="shared" ca="1" si="10"/>
        <v/>
      </c>
      <c r="L249" s="561" t="str">
        <f t="shared" ca="1" si="11"/>
        <v/>
      </c>
      <c r="M249" s="560" t="str">
        <f t="shared" si="2"/>
        <v/>
      </c>
      <c r="N249" s="560" t="str">
        <f t="shared" ca="1" si="3"/>
        <v/>
      </c>
      <c r="O249" s="636" t="str">
        <f t="shared" ca="1" si="12"/>
        <v/>
      </c>
      <c r="Q249" s="1133"/>
    </row>
    <row r="250" spans="2:17" x14ac:dyDescent="0.3">
      <c r="B250" s="126"/>
      <c r="C250" s="607">
        <v>20</v>
      </c>
      <c r="D250" s="561" t="str">
        <f t="shared" si="4"/>
        <v/>
      </c>
      <c r="E250" s="561" t="str">
        <f t="shared" si="5"/>
        <v/>
      </c>
      <c r="F250" s="561" t="str">
        <f t="shared" si="6"/>
        <v/>
      </c>
      <c r="G250" s="561" t="str">
        <f t="shared" si="1"/>
        <v/>
      </c>
      <c r="H250" s="561" t="str">
        <f t="shared" si="7"/>
        <v/>
      </c>
      <c r="I250" s="561" t="str">
        <f t="shared" ca="1" si="8"/>
        <v/>
      </c>
      <c r="J250" s="561" t="str">
        <f t="shared" ca="1" si="9"/>
        <v/>
      </c>
      <c r="K250" s="561" t="str">
        <f t="shared" ca="1" si="10"/>
        <v/>
      </c>
      <c r="L250" s="561" t="str">
        <f t="shared" ca="1" si="11"/>
        <v/>
      </c>
      <c r="M250" s="560" t="str">
        <f t="shared" si="2"/>
        <v/>
      </c>
      <c r="N250" s="560" t="str">
        <f t="shared" ca="1" si="3"/>
        <v/>
      </c>
      <c r="O250" s="636" t="str">
        <f t="shared" ca="1" si="12"/>
        <v/>
      </c>
      <c r="Q250" s="1133"/>
    </row>
    <row r="251" spans="2:17" x14ac:dyDescent="0.3">
      <c r="B251" s="126"/>
      <c r="C251" s="607">
        <v>21</v>
      </c>
      <c r="D251" s="561" t="str">
        <f t="shared" si="4"/>
        <v/>
      </c>
      <c r="E251" s="561" t="str">
        <f t="shared" si="5"/>
        <v/>
      </c>
      <c r="F251" s="561" t="str">
        <f t="shared" si="6"/>
        <v/>
      </c>
      <c r="G251" s="561" t="str">
        <f t="shared" si="1"/>
        <v/>
      </c>
      <c r="H251" s="561" t="str">
        <f t="shared" si="7"/>
        <v/>
      </c>
      <c r="I251" s="561" t="str">
        <f t="shared" ca="1" si="8"/>
        <v/>
      </c>
      <c r="J251" s="561" t="str">
        <f t="shared" ca="1" si="9"/>
        <v/>
      </c>
      <c r="K251" s="561" t="str">
        <f t="shared" ca="1" si="10"/>
        <v/>
      </c>
      <c r="L251" s="561" t="str">
        <f t="shared" ca="1" si="11"/>
        <v/>
      </c>
      <c r="M251" s="560" t="str">
        <f t="shared" si="2"/>
        <v/>
      </c>
      <c r="N251" s="560" t="str">
        <f t="shared" ca="1" si="3"/>
        <v/>
      </c>
      <c r="O251" s="636" t="str">
        <f t="shared" ca="1" si="12"/>
        <v/>
      </c>
      <c r="Q251" s="1133"/>
    </row>
    <row r="252" spans="2:17" x14ac:dyDescent="0.3">
      <c r="B252" s="126"/>
      <c r="C252" s="607">
        <v>22</v>
      </c>
      <c r="D252" s="561" t="str">
        <f t="shared" si="4"/>
        <v/>
      </c>
      <c r="E252" s="561" t="str">
        <f t="shared" si="5"/>
        <v/>
      </c>
      <c r="F252" s="561" t="str">
        <f t="shared" si="6"/>
        <v/>
      </c>
      <c r="G252" s="561" t="str">
        <f t="shared" si="1"/>
        <v/>
      </c>
      <c r="H252" s="561" t="str">
        <f t="shared" si="7"/>
        <v/>
      </c>
      <c r="I252" s="561" t="str">
        <f t="shared" ca="1" si="8"/>
        <v/>
      </c>
      <c r="J252" s="561" t="str">
        <f t="shared" ca="1" si="9"/>
        <v/>
      </c>
      <c r="K252" s="561" t="str">
        <f t="shared" ca="1" si="10"/>
        <v/>
      </c>
      <c r="L252" s="561" t="str">
        <f t="shared" ca="1" si="11"/>
        <v/>
      </c>
      <c r="M252" s="560" t="str">
        <f t="shared" si="2"/>
        <v/>
      </c>
      <c r="N252" s="560" t="str">
        <f t="shared" ca="1" si="3"/>
        <v/>
      </c>
      <c r="O252" s="636" t="str">
        <f t="shared" ca="1" si="12"/>
        <v/>
      </c>
      <c r="Q252" s="1133"/>
    </row>
    <row r="253" spans="2:17" x14ac:dyDescent="0.3">
      <c r="B253" s="126"/>
      <c r="C253" s="607">
        <v>23</v>
      </c>
      <c r="D253" s="561" t="str">
        <f t="shared" si="4"/>
        <v/>
      </c>
      <c r="E253" s="561" t="str">
        <f t="shared" si="5"/>
        <v/>
      </c>
      <c r="F253" s="561" t="str">
        <f t="shared" si="6"/>
        <v/>
      </c>
      <c r="G253" s="561" t="str">
        <f t="shared" si="1"/>
        <v/>
      </c>
      <c r="H253" s="561" t="str">
        <f t="shared" si="7"/>
        <v/>
      </c>
      <c r="I253" s="561" t="str">
        <f t="shared" ca="1" si="8"/>
        <v/>
      </c>
      <c r="J253" s="561" t="str">
        <f t="shared" ca="1" si="9"/>
        <v/>
      </c>
      <c r="K253" s="561" t="str">
        <f t="shared" ca="1" si="10"/>
        <v/>
      </c>
      <c r="L253" s="561" t="str">
        <f t="shared" ca="1" si="11"/>
        <v/>
      </c>
      <c r="M253" s="560" t="str">
        <f t="shared" si="2"/>
        <v/>
      </c>
      <c r="N253" s="560" t="str">
        <f t="shared" ca="1" si="3"/>
        <v/>
      </c>
      <c r="O253" s="636" t="str">
        <f t="shared" ca="1" si="12"/>
        <v/>
      </c>
      <c r="Q253" s="1133"/>
    </row>
    <row r="254" spans="2:17" x14ac:dyDescent="0.3">
      <c r="B254" s="126"/>
      <c r="C254" s="607">
        <v>24</v>
      </c>
      <c r="D254" s="561" t="str">
        <f t="shared" si="4"/>
        <v/>
      </c>
      <c r="E254" s="561" t="str">
        <f t="shared" si="5"/>
        <v/>
      </c>
      <c r="F254" s="561" t="str">
        <f t="shared" si="6"/>
        <v/>
      </c>
      <c r="G254" s="561" t="str">
        <f t="shared" si="1"/>
        <v/>
      </c>
      <c r="H254" s="561" t="str">
        <f t="shared" si="7"/>
        <v/>
      </c>
      <c r="I254" s="561" t="str">
        <f t="shared" ca="1" si="8"/>
        <v/>
      </c>
      <c r="J254" s="561" t="str">
        <f t="shared" ca="1" si="9"/>
        <v/>
      </c>
      <c r="K254" s="561" t="str">
        <f t="shared" ca="1" si="10"/>
        <v/>
      </c>
      <c r="L254" s="561" t="str">
        <f t="shared" ca="1" si="11"/>
        <v/>
      </c>
      <c r="M254" s="560" t="str">
        <f t="shared" si="2"/>
        <v/>
      </c>
      <c r="N254" s="560" t="str">
        <f t="shared" ca="1" si="3"/>
        <v/>
      </c>
      <c r="O254" s="636" t="str">
        <f t="shared" ca="1" si="12"/>
        <v/>
      </c>
      <c r="Q254" s="1133"/>
    </row>
    <row r="255" spans="2:17" x14ac:dyDescent="0.3">
      <c r="B255" s="126"/>
      <c r="C255" s="607">
        <v>25</v>
      </c>
      <c r="D255" s="561" t="str">
        <f t="shared" si="4"/>
        <v/>
      </c>
      <c r="E255" s="561" t="str">
        <f t="shared" si="5"/>
        <v/>
      </c>
      <c r="F255" s="561" t="str">
        <f t="shared" si="6"/>
        <v/>
      </c>
      <c r="G255" s="561" t="str">
        <f t="shared" si="1"/>
        <v/>
      </c>
      <c r="H255" s="561" t="str">
        <f t="shared" si="7"/>
        <v/>
      </c>
      <c r="I255" s="561" t="str">
        <f t="shared" ca="1" si="8"/>
        <v/>
      </c>
      <c r="J255" s="561" t="str">
        <f t="shared" ca="1" si="9"/>
        <v/>
      </c>
      <c r="K255" s="561" t="str">
        <f t="shared" ca="1" si="10"/>
        <v/>
      </c>
      <c r="L255" s="561" t="str">
        <f t="shared" ca="1" si="11"/>
        <v/>
      </c>
      <c r="M255" s="560" t="str">
        <f t="shared" si="2"/>
        <v/>
      </c>
      <c r="N255" s="560" t="str">
        <f t="shared" ca="1" si="3"/>
        <v/>
      </c>
      <c r="O255" s="636" t="str">
        <f t="shared" ca="1" si="12"/>
        <v/>
      </c>
      <c r="Q255" s="1133"/>
    </row>
    <row r="256" spans="2:17" x14ac:dyDescent="0.3">
      <c r="B256" s="126"/>
      <c r="C256" s="607">
        <v>26</v>
      </c>
      <c r="D256" s="561" t="str">
        <f t="shared" si="4"/>
        <v/>
      </c>
      <c r="E256" s="561" t="str">
        <f t="shared" si="5"/>
        <v/>
      </c>
      <c r="F256" s="561" t="str">
        <f t="shared" si="6"/>
        <v/>
      </c>
      <c r="G256" s="561" t="str">
        <f t="shared" si="1"/>
        <v/>
      </c>
      <c r="H256" s="561" t="str">
        <f t="shared" si="7"/>
        <v/>
      </c>
      <c r="I256" s="561" t="str">
        <f t="shared" ca="1" si="8"/>
        <v/>
      </c>
      <c r="J256" s="561" t="str">
        <f t="shared" ca="1" si="9"/>
        <v/>
      </c>
      <c r="K256" s="561" t="str">
        <f t="shared" ca="1" si="10"/>
        <v/>
      </c>
      <c r="L256" s="561" t="str">
        <f t="shared" ca="1" si="11"/>
        <v/>
      </c>
      <c r="M256" s="560" t="str">
        <f t="shared" si="2"/>
        <v/>
      </c>
      <c r="N256" s="560" t="str">
        <f t="shared" ca="1" si="3"/>
        <v/>
      </c>
      <c r="O256" s="636" t="str">
        <f t="shared" ca="1" si="12"/>
        <v/>
      </c>
      <c r="Q256" s="1133"/>
    </row>
    <row r="257" spans="2:17" x14ac:dyDescent="0.3">
      <c r="B257" s="126"/>
      <c r="C257" s="607">
        <v>27</v>
      </c>
      <c r="D257" s="561" t="str">
        <f t="shared" si="4"/>
        <v/>
      </c>
      <c r="E257" s="561" t="str">
        <f t="shared" si="5"/>
        <v/>
      </c>
      <c r="F257" s="561" t="str">
        <f t="shared" si="6"/>
        <v/>
      </c>
      <c r="G257" s="561" t="str">
        <f t="shared" si="1"/>
        <v/>
      </c>
      <c r="H257" s="561" t="str">
        <f t="shared" si="7"/>
        <v/>
      </c>
      <c r="I257" s="561" t="str">
        <f t="shared" ca="1" si="8"/>
        <v/>
      </c>
      <c r="J257" s="561" t="str">
        <f t="shared" ca="1" si="9"/>
        <v/>
      </c>
      <c r="K257" s="561" t="str">
        <f t="shared" ca="1" si="10"/>
        <v/>
      </c>
      <c r="L257" s="561" t="str">
        <f t="shared" ca="1" si="11"/>
        <v/>
      </c>
      <c r="M257" s="560" t="str">
        <f t="shared" si="2"/>
        <v/>
      </c>
      <c r="N257" s="560" t="str">
        <f t="shared" ca="1" si="3"/>
        <v/>
      </c>
      <c r="O257" s="636" t="str">
        <f t="shared" ca="1" si="12"/>
        <v/>
      </c>
      <c r="Q257" s="1133"/>
    </row>
    <row r="258" spans="2:17" x14ac:dyDescent="0.3">
      <c r="B258" s="126"/>
      <c r="C258" s="607">
        <v>28</v>
      </c>
      <c r="D258" s="561" t="str">
        <f t="shared" si="4"/>
        <v/>
      </c>
      <c r="E258" s="561" t="str">
        <f t="shared" si="5"/>
        <v/>
      </c>
      <c r="F258" s="561" t="str">
        <f t="shared" si="6"/>
        <v/>
      </c>
      <c r="G258" s="561" t="str">
        <f t="shared" si="1"/>
        <v/>
      </c>
      <c r="H258" s="561" t="str">
        <f t="shared" si="7"/>
        <v/>
      </c>
      <c r="I258" s="561" t="str">
        <f t="shared" ca="1" si="8"/>
        <v/>
      </c>
      <c r="J258" s="561" t="str">
        <f t="shared" ca="1" si="9"/>
        <v/>
      </c>
      <c r="K258" s="561" t="str">
        <f t="shared" ca="1" si="10"/>
        <v/>
      </c>
      <c r="L258" s="561" t="str">
        <f t="shared" ca="1" si="11"/>
        <v/>
      </c>
      <c r="M258" s="560" t="str">
        <f t="shared" si="2"/>
        <v/>
      </c>
      <c r="N258" s="560" t="str">
        <f t="shared" ca="1" si="3"/>
        <v/>
      </c>
      <c r="O258" s="636" t="str">
        <f t="shared" ca="1" si="12"/>
        <v/>
      </c>
      <c r="Q258" s="1133"/>
    </row>
    <row r="259" spans="2:17" x14ac:dyDescent="0.3">
      <c r="B259" s="126"/>
      <c r="C259" s="607">
        <v>29</v>
      </c>
      <c r="D259" s="561" t="str">
        <f t="shared" si="4"/>
        <v/>
      </c>
      <c r="E259" s="561" t="str">
        <f t="shared" si="5"/>
        <v/>
      </c>
      <c r="F259" s="561" t="str">
        <f t="shared" si="6"/>
        <v/>
      </c>
      <c r="G259" s="561" t="str">
        <f t="shared" si="1"/>
        <v/>
      </c>
      <c r="H259" s="561" t="str">
        <f t="shared" si="7"/>
        <v/>
      </c>
      <c r="I259" s="561" t="str">
        <f t="shared" ca="1" si="8"/>
        <v/>
      </c>
      <c r="J259" s="561" t="str">
        <f t="shared" ca="1" si="9"/>
        <v/>
      </c>
      <c r="K259" s="561" t="str">
        <f t="shared" ca="1" si="10"/>
        <v/>
      </c>
      <c r="L259" s="561" t="str">
        <f t="shared" ca="1" si="11"/>
        <v/>
      </c>
      <c r="M259" s="560" t="str">
        <f t="shared" si="2"/>
        <v/>
      </c>
      <c r="N259" s="560" t="str">
        <f t="shared" ca="1" si="3"/>
        <v/>
      </c>
      <c r="O259" s="636" t="str">
        <f t="shared" ca="1" si="12"/>
        <v/>
      </c>
      <c r="Q259" s="1133"/>
    </row>
    <row r="260" spans="2:17" x14ac:dyDescent="0.3">
      <c r="B260" s="126"/>
      <c r="C260" s="607">
        <v>30</v>
      </c>
      <c r="D260" s="561" t="str">
        <f t="shared" si="4"/>
        <v/>
      </c>
      <c r="E260" s="561" t="str">
        <f t="shared" si="5"/>
        <v/>
      </c>
      <c r="F260" s="561" t="str">
        <f t="shared" si="6"/>
        <v/>
      </c>
      <c r="G260" s="561" t="str">
        <f t="shared" si="1"/>
        <v/>
      </c>
      <c r="H260" s="561" t="str">
        <f t="shared" si="7"/>
        <v/>
      </c>
      <c r="I260" s="561" t="str">
        <f t="shared" ca="1" si="8"/>
        <v/>
      </c>
      <c r="J260" s="561" t="str">
        <f t="shared" ca="1" si="9"/>
        <v/>
      </c>
      <c r="K260" s="561" t="str">
        <f t="shared" ca="1" si="10"/>
        <v/>
      </c>
      <c r="L260" s="561" t="str">
        <f t="shared" ca="1" si="11"/>
        <v/>
      </c>
      <c r="M260" s="560" t="str">
        <f t="shared" si="2"/>
        <v/>
      </c>
      <c r="N260" s="560" t="str">
        <f t="shared" ca="1" si="3"/>
        <v/>
      </c>
      <c r="O260" s="636" t="str">
        <f t="shared" ca="1" si="12"/>
        <v/>
      </c>
      <c r="Q260" s="1133"/>
    </row>
    <row r="261" spans="2:17" x14ac:dyDescent="0.3">
      <c r="B261" s="126"/>
      <c r="C261" s="607">
        <v>31</v>
      </c>
      <c r="D261" s="561" t="str">
        <f t="shared" si="4"/>
        <v/>
      </c>
      <c r="E261" s="561" t="str">
        <f t="shared" si="5"/>
        <v/>
      </c>
      <c r="F261" s="561" t="str">
        <f t="shared" si="6"/>
        <v/>
      </c>
      <c r="G261" s="561" t="str">
        <f t="shared" si="1"/>
        <v/>
      </c>
      <c r="H261" s="561" t="str">
        <f t="shared" si="7"/>
        <v/>
      </c>
      <c r="I261" s="561" t="str">
        <f t="shared" ca="1" si="8"/>
        <v/>
      </c>
      <c r="J261" s="561" t="str">
        <f t="shared" ca="1" si="9"/>
        <v/>
      </c>
      <c r="K261" s="561" t="str">
        <f t="shared" ca="1" si="10"/>
        <v/>
      </c>
      <c r="L261" s="561" t="str">
        <f t="shared" ca="1" si="11"/>
        <v/>
      </c>
      <c r="M261" s="560" t="str">
        <f t="shared" si="2"/>
        <v/>
      </c>
      <c r="N261" s="560" t="str">
        <f t="shared" ca="1" si="3"/>
        <v/>
      </c>
      <c r="O261" s="636" t="str">
        <f t="shared" ca="1" si="12"/>
        <v/>
      </c>
      <c r="Q261" s="1133"/>
    </row>
    <row r="262" spans="2:17" x14ac:dyDescent="0.3">
      <c r="B262" s="126"/>
      <c r="C262" s="607">
        <v>32</v>
      </c>
      <c r="D262" s="561" t="str">
        <f t="shared" si="4"/>
        <v/>
      </c>
      <c r="E262" s="561" t="str">
        <f t="shared" si="5"/>
        <v/>
      </c>
      <c r="F262" s="561" t="str">
        <f t="shared" si="6"/>
        <v/>
      </c>
      <c r="G262" s="561" t="str">
        <f t="shared" si="1"/>
        <v/>
      </c>
      <c r="H262" s="561" t="str">
        <f t="shared" si="7"/>
        <v/>
      </c>
      <c r="I262" s="561" t="str">
        <f t="shared" ca="1" si="8"/>
        <v/>
      </c>
      <c r="J262" s="561" t="str">
        <f t="shared" ca="1" si="9"/>
        <v/>
      </c>
      <c r="K262" s="561" t="str">
        <f t="shared" ca="1" si="10"/>
        <v/>
      </c>
      <c r="L262" s="561" t="str">
        <f t="shared" ca="1" si="11"/>
        <v/>
      </c>
      <c r="M262" s="560" t="str">
        <f t="shared" si="2"/>
        <v/>
      </c>
      <c r="N262" s="560" t="str">
        <f t="shared" ca="1" si="3"/>
        <v/>
      </c>
      <c r="O262" s="636" t="str">
        <f t="shared" ca="1" si="12"/>
        <v/>
      </c>
      <c r="Q262" s="1133"/>
    </row>
    <row r="263" spans="2:17" x14ac:dyDescent="0.3">
      <c r="B263" s="126"/>
      <c r="C263" s="607">
        <v>33</v>
      </c>
      <c r="D263" s="561" t="str">
        <f t="shared" si="4"/>
        <v/>
      </c>
      <c r="E263" s="561" t="str">
        <f t="shared" si="5"/>
        <v/>
      </c>
      <c r="F263" s="561" t="str">
        <f t="shared" si="6"/>
        <v/>
      </c>
      <c r="G263" s="561" t="str">
        <f t="shared" si="1"/>
        <v/>
      </c>
      <c r="H263" s="561" t="str">
        <f t="shared" si="7"/>
        <v/>
      </c>
      <c r="I263" s="561" t="str">
        <f t="shared" ca="1" si="8"/>
        <v/>
      </c>
      <c r="J263" s="561" t="str">
        <f t="shared" ca="1" si="9"/>
        <v/>
      </c>
      <c r="K263" s="561" t="str">
        <f t="shared" ca="1" si="10"/>
        <v/>
      </c>
      <c r="L263" s="561" t="str">
        <f t="shared" ca="1" si="11"/>
        <v/>
      </c>
      <c r="M263" s="560" t="str">
        <f t="shared" si="2"/>
        <v/>
      </c>
      <c r="N263" s="560" t="str">
        <f t="shared" ca="1" si="3"/>
        <v/>
      </c>
      <c r="O263" s="636" t="str">
        <f t="shared" ca="1" si="12"/>
        <v/>
      </c>
      <c r="Q263" s="1133"/>
    </row>
    <row r="264" spans="2:17" x14ac:dyDescent="0.3">
      <c r="B264" s="126"/>
      <c r="C264" s="607">
        <v>34</v>
      </c>
      <c r="D264" s="561" t="str">
        <f t="shared" si="4"/>
        <v/>
      </c>
      <c r="E264" s="561" t="str">
        <f t="shared" si="5"/>
        <v/>
      </c>
      <c r="F264" s="561" t="str">
        <f t="shared" si="6"/>
        <v/>
      </c>
      <c r="G264" s="561" t="str">
        <f t="shared" si="1"/>
        <v/>
      </c>
      <c r="H264" s="561" t="str">
        <f t="shared" si="7"/>
        <v/>
      </c>
      <c r="I264" s="561" t="str">
        <f t="shared" ca="1" si="8"/>
        <v/>
      </c>
      <c r="J264" s="561" t="str">
        <f t="shared" ca="1" si="9"/>
        <v/>
      </c>
      <c r="K264" s="561" t="str">
        <f t="shared" ca="1" si="10"/>
        <v/>
      </c>
      <c r="L264" s="561" t="str">
        <f t="shared" ca="1" si="11"/>
        <v/>
      </c>
      <c r="M264" s="560" t="str">
        <f t="shared" si="2"/>
        <v/>
      </c>
      <c r="N264" s="560" t="str">
        <f t="shared" ca="1" si="3"/>
        <v/>
      </c>
      <c r="O264" s="636" t="str">
        <f t="shared" ca="1" si="12"/>
        <v/>
      </c>
      <c r="Q264" s="1133"/>
    </row>
    <row r="265" spans="2:17" x14ac:dyDescent="0.3">
      <c r="B265" s="126"/>
      <c r="C265" s="607">
        <v>35</v>
      </c>
      <c r="D265" s="561" t="str">
        <f t="shared" si="4"/>
        <v/>
      </c>
      <c r="E265" s="561" t="str">
        <f t="shared" si="5"/>
        <v/>
      </c>
      <c r="F265" s="561" t="str">
        <f t="shared" si="6"/>
        <v/>
      </c>
      <c r="G265" s="561" t="str">
        <f t="shared" si="1"/>
        <v/>
      </c>
      <c r="H265" s="561" t="str">
        <f t="shared" si="7"/>
        <v/>
      </c>
      <c r="I265" s="561" t="str">
        <f t="shared" ca="1" si="8"/>
        <v/>
      </c>
      <c r="J265" s="561" t="str">
        <f t="shared" ca="1" si="9"/>
        <v/>
      </c>
      <c r="K265" s="561" t="str">
        <f t="shared" ca="1" si="10"/>
        <v/>
      </c>
      <c r="L265" s="561" t="str">
        <f t="shared" ca="1" si="11"/>
        <v/>
      </c>
      <c r="M265" s="560" t="str">
        <f t="shared" si="2"/>
        <v/>
      </c>
      <c r="N265" s="560" t="str">
        <f t="shared" ca="1" si="3"/>
        <v/>
      </c>
      <c r="O265" s="636" t="str">
        <f t="shared" ca="1" si="12"/>
        <v/>
      </c>
      <c r="Q265" s="1133"/>
    </row>
    <row r="266" spans="2:17" x14ac:dyDescent="0.3">
      <c r="B266" s="126"/>
      <c r="C266" s="607">
        <v>36</v>
      </c>
      <c r="D266" s="561" t="str">
        <f t="shared" si="4"/>
        <v/>
      </c>
      <c r="E266" s="561" t="str">
        <f t="shared" si="5"/>
        <v/>
      </c>
      <c r="F266" s="561" t="str">
        <f t="shared" si="6"/>
        <v/>
      </c>
      <c r="G266" s="561" t="str">
        <f t="shared" si="1"/>
        <v/>
      </c>
      <c r="H266" s="561" t="str">
        <f t="shared" si="7"/>
        <v/>
      </c>
      <c r="I266" s="561" t="str">
        <f t="shared" ca="1" si="8"/>
        <v/>
      </c>
      <c r="J266" s="561" t="str">
        <f t="shared" ca="1" si="9"/>
        <v/>
      </c>
      <c r="K266" s="561" t="str">
        <f t="shared" ca="1" si="10"/>
        <v/>
      </c>
      <c r="L266" s="561" t="str">
        <f t="shared" ca="1" si="11"/>
        <v/>
      </c>
      <c r="M266" s="560" t="str">
        <f t="shared" si="2"/>
        <v/>
      </c>
      <c r="N266" s="560" t="str">
        <f t="shared" ca="1" si="3"/>
        <v/>
      </c>
      <c r="O266" s="636" t="str">
        <f t="shared" ca="1" si="12"/>
        <v/>
      </c>
      <c r="Q266" s="1133"/>
    </row>
    <row r="267" spans="2:17" x14ac:dyDescent="0.3">
      <c r="B267" s="126"/>
      <c r="C267" s="607">
        <v>37</v>
      </c>
      <c r="D267" s="561" t="str">
        <f t="shared" si="4"/>
        <v/>
      </c>
      <c r="E267" s="561" t="str">
        <f t="shared" si="5"/>
        <v/>
      </c>
      <c r="F267" s="561" t="str">
        <f t="shared" si="6"/>
        <v/>
      </c>
      <c r="G267" s="561" t="str">
        <f t="shared" si="1"/>
        <v/>
      </c>
      <c r="H267" s="561" t="str">
        <f t="shared" si="7"/>
        <v/>
      </c>
      <c r="I267" s="561" t="str">
        <f t="shared" ca="1" si="8"/>
        <v/>
      </c>
      <c r="J267" s="561" t="str">
        <f t="shared" ca="1" si="9"/>
        <v/>
      </c>
      <c r="K267" s="561" t="str">
        <f t="shared" ca="1" si="10"/>
        <v/>
      </c>
      <c r="L267" s="561" t="str">
        <f t="shared" ca="1" si="11"/>
        <v/>
      </c>
      <c r="M267" s="560" t="str">
        <f t="shared" si="2"/>
        <v/>
      </c>
      <c r="N267" s="560" t="str">
        <f t="shared" ca="1" si="3"/>
        <v/>
      </c>
      <c r="O267" s="636" t="str">
        <f t="shared" ca="1" si="12"/>
        <v/>
      </c>
      <c r="Q267" s="1133"/>
    </row>
    <row r="268" spans="2:17" x14ac:dyDescent="0.3">
      <c r="B268" s="126"/>
      <c r="C268" s="607">
        <v>38</v>
      </c>
      <c r="D268" s="561" t="str">
        <f t="shared" si="4"/>
        <v/>
      </c>
      <c r="E268" s="561" t="str">
        <f t="shared" si="5"/>
        <v/>
      </c>
      <c r="F268" s="561" t="str">
        <f t="shared" si="6"/>
        <v/>
      </c>
      <c r="G268" s="561" t="str">
        <f t="shared" si="1"/>
        <v/>
      </c>
      <c r="H268" s="561" t="str">
        <f t="shared" si="7"/>
        <v/>
      </c>
      <c r="I268" s="561" t="str">
        <f t="shared" ca="1" si="8"/>
        <v/>
      </c>
      <c r="J268" s="561" t="str">
        <f t="shared" ca="1" si="9"/>
        <v/>
      </c>
      <c r="K268" s="561" t="str">
        <f t="shared" ca="1" si="10"/>
        <v/>
      </c>
      <c r="L268" s="561" t="str">
        <f t="shared" ca="1" si="11"/>
        <v/>
      </c>
      <c r="M268" s="560" t="str">
        <f t="shared" si="2"/>
        <v/>
      </c>
      <c r="N268" s="560" t="str">
        <f t="shared" ca="1" si="3"/>
        <v/>
      </c>
      <c r="O268" s="636" t="str">
        <f t="shared" ca="1" si="12"/>
        <v/>
      </c>
      <c r="Q268" s="1133"/>
    </row>
    <row r="269" spans="2:17" x14ac:dyDescent="0.3">
      <c r="B269" s="126"/>
      <c r="C269" s="607">
        <v>39</v>
      </c>
      <c r="D269" s="561" t="str">
        <f t="shared" si="4"/>
        <v/>
      </c>
      <c r="E269" s="561" t="str">
        <f t="shared" si="5"/>
        <v/>
      </c>
      <c r="F269" s="561" t="str">
        <f t="shared" si="6"/>
        <v/>
      </c>
      <c r="G269" s="561" t="str">
        <f t="shared" si="1"/>
        <v/>
      </c>
      <c r="H269" s="561" t="str">
        <f t="shared" si="7"/>
        <v/>
      </c>
      <c r="I269" s="561" t="str">
        <f t="shared" ca="1" si="8"/>
        <v/>
      </c>
      <c r="J269" s="561" t="str">
        <f t="shared" ca="1" si="9"/>
        <v/>
      </c>
      <c r="K269" s="561" t="str">
        <f t="shared" ca="1" si="10"/>
        <v/>
      </c>
      <c r="L269" s="561" t="str">
        <f t="shared" ca="1" si="11"/>
        <v/>
      </c>
      <c r="M269" s="560" t="str">
        <f t="shared" si="2"/>
        <v/>
      </c>
      <c r="N269" s="560" t="str">
        <f t="shared" ca="1" si="3"/>
        <v/>
      </c>
      <c r="O269" s="636" t="str">
        <f t="shared" ca="1" si="12"/>
        <v/>
      </c>
      <c r="Q269" s="1133"/>
    </row>
    <row r="270" spans="2:17" x14ac:dyDescent="0.3">
      <c r="B270" s="126"/>
      <c r="C270" s="607">
        <v>40</v>
      </c>
      <c r="D270" s="561" t="str">
        <f t="shared" si="4"/>
        <v/>
      </c>
      <c r="E270" s="561" t="str">
        <f t="shared" si="5"/>
        <v/>
      </c>
      <c r="F270" s="561" t="str">
        <f t="shared" si="6"/>
        <v/>
      </c>
      <c r="G270" s="561" t="str">
        <f t="shared" si="1"/>
        <v/>
      </c>
      <c r="H270" s="561" t="str">
        <f t="shared" si="7"/>
        <v/>
      </c>
      <c r="I270" s="561" t="str">
        <f t="shared" ca="1" si="8"/>
        <v/>
      </c>
      <c r="J270" s="561" t="str">
        <f t="shared" ca="1" si="9"/>
        <v/>
      </c>
      <c r="K270" s="561" t="str">
        <f t="shared" ca="1" si="10"/>
        <v/>
      </c>
      <c r="L270" s="561" t="str">
        <f t="shared" ca="1" si="11"/>
        <v/>
      </c>
      <c r="M270" s="560" t="str">
        <f t="shared" si="2"/>
        <v/>
      </c>
      <c r="N270" s="560" t="str">
        <f t="shared" ca="1" si="3"/>
        <v/>
      </c>
      <c r="O270" s="636" t="str">
        <f t="shared" ca="1" si="12"/>
        <v/>
      </c>
      <c r="Q270" s="1133"/>
    </row>
    <row r="271" spans="2:17" x14ac:dyDescent="0.3">
      <c r="B271" s="126"/>
      <c r="C271" s="607">
        <v>41</v>
      </c>
      <c r="D271" s="561" t="str">
        <f t="shared" si="4"/>
        <v/>
      </c>
      <c r="E271" s="561" t="str">
        <f t="shared" si="5"/>
        <v/>
      </c>
      <c r="F271" s="561" t="str">
        <f t="shared" si="6"/>
        <v/>
      </c>
      <c r="G271" s="561" t="str">
        <f t="shared" si="1"/>
        <v/>
      </c>
      <c r="H271" s="561" t="str">
        <f t="shared" si="7"/>
        <v/>
      </c>
      <c r="I271" s="561" t="str">
        <f t="shared" ca="1" si="8"/>
        <v/>
      </c>
      <c r="J271" s="561" t="str">
        <f t="shared" ca="1" si="9"/>
        <v/>
      </c>
      <c r="K271" s="561" t="str">
        <f t="shared" ca="1" si="10"/>
        <v/>
      </c>
      <c r="L271" s="561" t="str">
        <f t="shared" ca="1" si="11"/>
        <v/>
      </c>
      <c r="M271" s="560" t="str">
        <f t="shared" si="2"/>
        <v/>
      </c>
      <c r="N271" s="560" t="str">
        <f t="shared" ca="1" si="3"/>
        <v/>
      </c>
      <c r="O271" s="636" t="str">
        <f t="shared" ca="1" si="12"/>
        <v/>
      </c>
      <c r="Q271" s="1133"/>
    </row>
    <row r="272" spans="2:17" x14ac:dyDescent="0.3">
      <c r="B272" s="126"/>
      <c r="C272" s="607">
        <v>42</v>
      </c>
      <c r="D272" s="561" t="str">
        <f t="shared" si="4"/>
        <v/>
      </c>
      <c r="E272" s="561" t="str">
        <f t="shared" si="5"/>
        <v/>
      </c>
      <c r="F272" s="561" t="str">
        <f t="shared" si="6"/>
        <v/>
      </c>
      <c r="G272" s="561" t="str">
        <f t="shared" si="1"/>
        <v/>
      </c>
      <c r="H272" s="561" t="str">
        <f t="shared" si="7"/>
        <v/>
      </c>
      <c r="I272" s="561" t="str">
        <f t="shared" ca="1" si="8"/>
        <v/>
      </c>
      <c r="J272" s="561" t="str">
        <f t="shared" ca="1" si="9"/>
        <v/>
      </c>
      <c r="K272" s="561" t="str">
        <f t="shared" ca="1" si="10"/>
        <v/>
      </c>
      <c r="L272" s="561" t="str">
        <f t="shared" ca="1" si="11"/>
        <v/>
      </c>
      <c r="M272" s="560" t="str">
        <f t="shared" si="2"/>
        <v/>
      </c>
      <c r="N272" s="560" t="str">
        <f t="shared" ca="1" si="3"/>
        <v/>
      </c>
      <c r="O272" s="636" t="str">
        <f t="shared" ca="1" si="12"/>
        <v/>
      </c>
      <c r="Q272" s="1133"/>
    </row>
    <row r="273" spans="2:17" x14ac:dyDescent="0.3">
      <c r="B273" s="126"/>
      <c r="C273" s="607">
        <v>43</v>
      </c>
      <c r="D273" s="561" t="str">
        <f t="shared" si="4"/>
        <v/>
      </c>
      <c r="E273" s="561" t="str">
        <f t="shared" si="5"/>
        <v/>
      </c>
      <c r="F273" s="561" t="str">
        <f t="shared" si="6"/>
        <v/>
      </c>
      <c r="G273" s="561" t="str">
        <f t="shared" si="1"/>
        <v/>
      </c>
      <c r="H273" s="561" t="str">
        <f t="shared" si="7"/>
        <v/>
      </c>
      <c r="I273" s="561" t="str">
        <f t="shared" ca="1" si="8"/>
        <v/>
      </c>
      <c r="J273" s="561" t="str">
        <f t="shared" ca="1" si="9"/>
        <v/>
      </c>
      <c r="K273" s="561" t="str">
        <f t="shared" ca="1" si="10"/>
        <v/>
      </c>
      <c r="L273" s="561" t="str">
        <f t="shared" ca="1" si="11"/>
        <v/>
      </c>
      <c r="M273" s="560" t="str">
        <f t="shared" si="2"/>
        <v/>
      </c>
      <c r="N273" s="560" t="str">
        <f t="shared" ca="1" si="3"/>
        <v/>
      </c>
      <c r="O273" s="636" t="str">
        <f t="shared" ca="1" si="12"/>
        <v/>
      </c>
      <c r="Q273" s="1133"/>
    </row>
    <row r="274" spans="2:17" x14ac:dyDescent="0.3">
      <c r="B274" s="126"/>
      <c r="C274" s="607">
        <v>44</v>
      </c>
      <c r="D274" s="561" t="str">
        <f t="shared" si="4"/>
        <v/>
      </c>
      <c r="E274" s="561" t="str">
        <f t="shared" si="5"/>
        <v/>
      </c>
      <c r="F274" s="561" t="str">
        <f t="shared" si="6"/>
        <v/>
      </c>
      <c r="G274" s="561" t="str">
        <f t="shared" si="1"/>
        <v/>
      </c>
      <c r="H274" s="561" t="str">
        <f t="shared" si="7"/>
        <v/>
      </c>
      <c r="I274" s="561" t="str">
        <f t="shared" ca="1" si="8"/>
        <v/>
      </c>
      <c r="J274" s="561" t="str">
        <f t="shared" ca="1" si="9"/>
        <v/>
      </c>
      <c r="K274" s="561" t="str">
        <f t="shared" ca="1" si="10"/>
        <v/>
      </c>
      <c r="L274" s="561" t="str">
        <f t="shared" ca="1" si="11"/>
        <v/>
      </c>
      <c r="M274" s="560" t="str">
        <f t="shared" si="2"/>
        <v/>
      </c>
      <c r="N274" s="560" t="str">
        <f t="shared" ca="1" si="3"/>
        <v/>
      </c>
      <c r="O274" s="636" t="str">
        <f t="shared" ca="1" si="12"/>
        <v/>
      </c>
      <c r="Q274" s="1133"/>
    </row>
    <row r="275" spans="2:17" x14ac:dyDescent="0.3">
      <c r="B275" s="126"/>
      <c r="C275" s="607">
        <v>45</v>
      </c>
      <c r="D275" s="561" t="str">
        <f t="shared" si="4"/>
        <v/>
      </c>
      <c r="E275" s="561" t="str">
        <f t="shared" si="5"/>
        <v/>
      </c>
      <c r="F275" s="561" t="str">
        <f t="shared" si="6"/>
        <v/>
      </c>
      <c r="G275" s="561" t="str">
        <f t="shared" si="1"/>
        <v/>
      </c>
      <c r="H275" s="561" t="str">
        <f t="shared" si="7"/>
        <v/>
      </c>
      <c r="I275" s="561" t="str">
        <f t="shared" ca="1" si="8"/>
        <v/>
      </c>
      <c r="J275" s="561" t="str">
        <f t="shared" ca="1" si="9"/>
        <v/>
      </c>
      <c r="K275" s="561" t="str">
        <f t="shared" ca="1" si="10"/>
        <v/>
      </c>
      <c r="L275" s="561" t="str">
        <f t="shared" ca="1" si="11"/>
        <v/>
      </c>
      <c r="M275" s="560" t="str">
        <f t="shared" si="2"/>
        <v/>
      </c>
      <c r="N275" s="560" t="str">
        <f t="shared" ca="1" si="3"/>
        <v/>
      </c>
      <c r="O275" s="636" t="str">
        <f t="shared" ca="1" si="12"/>
        <v/>
      </c>
      <c r="Q275" s="1133"/>
    </row>
    <row r="276" spans="2:17" x14ac:dyDescent="0.3">
      <c r="B276" s="126"/>
      <c r="C276" s="607">
        <v>46</v>
      </c>
      <c r="D276" s="561" t="str">
        <f t="shared" si="4"/>
        <v/>
      </c>
      <c r="E276" s="561" t="str">
        <f t="shared" si="5"/>
        <v/>
      </c>
      <c r="F276" s="561" t="str">
        <f t="shared" si="6"/>
        <v/>
      </c>
      <c r="G276" s="561" t="str">
        <f t="shared" si="1"/>
        <v/>
      </c>
      <c r="H276" s="561" t="str">
        <f t="shared" si="7"/>
        <v/>
      </c>
      <c r="I276" s="561" t="str">
        <f t="shared" ca="1" si="8"/>
        <v/>
      </c>
      <c r="J276" s="561" t="str">
        <f t="shared" ca="1" si="9"/>
        <v/>
      </c>
      <c r="K276" s="561" t="str">
        <f t="shared" ca="1" si="10"/>
        <v/>
      </c>
      <c r="L276" s="561" t="str">
        <f t="shared" ca="1" si="11"/>
        <v/>
      </c>
      <c r="M276" s="560" t="str">
        <f t="shared" si="2"/>
        <v/>
      </c>
      <c r="N276" s="560" t="str">
        <f t="shared" ca="1" si="3"/>
        <v/>
      </c>
      <c r="O276" s="636" t="str">
        <f t="shared" ca="1" si="12"/>
        <v/>
      </c>
      <c r="Q276" s="1133"/>
    </row>
    <row r="277" spans="2:17" x14ac:dyDescent="0.3">
      <c r="B277" s="126"/>
      <c r="C277" s="607">
        <v>47</v>
      </c>
      <c r="D277" s="561" t="str">
        <f t="shared" si="4"/>
        <v/>
      </c>
      <c r="E277" s="561" t="str">
        <f t="shared" si="5"/>
        <v/>
      </c>
      <c r="F277" s="561" t="str">
        <f t="shared" si="6"/>
        <v/>
      </c>
      <c r="G277" s="561" t="str">
        <f t="shared" si="1"/>
        <v/>
      </c>
      <c r="H277" s="561" t="str">
        <f t="shared" si="7"/>
        <v/>
      </c>
      <c r="I277" s="561" t="str">
        <f t="shared" ca="1" si="8"/>
        <v/>
      </c>
      <c r="J277" s="561" t="str">
        <f t="shared" ca="1" si="9"/>
        <v/>
      </c>
      <c r="K277" s="561" t="str">
        <f t="shared" ca="1" si="10"/>
        <v/>
      </c>
      <c r="L277" s="561" t="str">
        <f t="shared" ca="1" si="11"/>
        <v/>
      </c>
      <c r="M277" s="560" t="str">
        <f t="shared" si="2"/>
        <v/>
      </c>
      <c r="N277" s="560" t="str">
        <f t="shared" ca="1" si="3"/>
        <v/>
      </c>
      <c r="O277" s="636" t="str">
        <f t="shared" ca="1" si="12"/>
        <v/>
      </c>
      <c r="Q277" s="1133"/>
    </row>
    <row r="278" spans="2:17" x14ac:dyDescent="0.3">
      <c r="B278" s="126"/>
      <c r="C278" s="607">
        <v>48</v>
      </c>
      <c r="D278" s="561" t="str">
        <f t="shared" si="4"/>
        <v/>
      </c>
      <c r="E278" s="561" t="str">
        <f t="shared" si="5"/>
        <v/>
      </c>
      <c r="F278" s="561" t="str">
        <f t="shared" si="6"/>
        <v/>
      </c>
      <c r="G278" s="561" t="str">
        <f t="shared" si="1"/>
        <v/>
      </c>
      <c r="H278" s="561" t="str">
        <f t="shared" si="7"/>
        <v/>
      </c>
      <c r="I278" s="561" t="str">
        <f t="shared" ca="1" si="8"/>
        <v/>
      </c>
      <c r="J278" s="561" t="str">
        <f t="shared" ca="1" si="9"/>
        <v/>
      </c>
      <c r="K278" s="561" t="str">
        <f t="shared" ca="1" si="10"/>
        <v/>
      </c>
      <c r="L278" s="561" t="str">
        <f t="shared" ca="1" si="11"/>
        <v/>
      </c>
      <c r="M278" s="560" t="str">
        <f t="shared" si="2"/>
        <v/>
      </c>
      <c r="N278" s="560" t="str">
        <f t="shared" ca="1" si="3"/>
        <v/>
      </c>
      <c r="O278" s="636" t="str">
        <f t="shared" ca="1" si="12"/>
        <v/>
      </c>
      <c r="Q278" s="1133"/>
    </row>
    <row r="279" spans="2:17" x14ac:dyDescent="0.3">
      <c r="B279" s="126"/>
      <c r="C279" s="607">
        <v>49</v>
      </c>
      <c r="D279" s="561" t="str">
        <f t="shared" si="4"/>
        <v/>
      </c>
      <c r="E279" s="561" t="str">
        <f t="shared" si="5"/>
        <v/>
      </c>
      <c r="F279" s="561" t="str">
        <f t="shared" si="6"/>
        <v/>
      </c>
      <c r="G279" s="561" t="str">
        <f t="shared" si="1"/>
        <v/>
      </c>
      <c r="H279" s="561" t="str">
        <f t="shared" si="7"/>
        <v/>
      </c>
      <c r="I279" s="561" t="str">
        <f t="shared" ca="1" si="8"/>
        <v/>
      </c>
      <c r="J279" s="561" t="str">
        <f t="shared" ca="1" si="9"/>
        <v/>
      </c>
      <c r="K279" s="561" t="str">
        <f t="shared" ca="1" si="10"/>
        <v/>
      </c>
      <c r="L279" s="561" t="str">
        <f t="shared" ca="1" si="11"/>
        <v/>
      </c>
      <c r="M279" s="560" t="str">
        <f t="shared" si="2"/>
        <v/>
      </c>
      <c r="N279" s="560" t="str">
        <f t="shared" ca="1" si="3"/>
        <v/>
      </c>
      <c r="O279" s="636" t="str">
        <f t="shared" ca="1" si="12"/>
        <v/>
      </c>
      <c r="Q279" s="1133"/>
    </row>
    <row r="280" spans="2:17" x14ac:dyDescent="0.3">
      <c r="B280" s="126"/>
      <c r="C280" s="607">
        <v>50</v>
      </c>
      <c r="D280" s="561" t="str">
        <f t="shared" si="4"/>
        <v/>
      </c>
      <c r="E280" s="561" t="str">
        <f t="shared" si="5"/>
        <v/>
      </c>
      <c r="F280" s="561" t="str">
        <f t="shared" si="6"/>
        <v/>
      </c>
      <c r="G280" s="561" t="str">
        <f t="shared" si="1"/>
        <v/>
      </c>
      <c r="H280" s="561" t="str">
        <f t="shared" si="7"/>
        <v/>
      </c>
      <c r="I280" s="561" t="str">
        <f t="shared" ca="1" si="8"/>
        <v/>
      </c>
      <c r="J280" s="561" t="str">
        <f t="shared" ca="1" si="9"/>
        <v/>
      </c>
      <c r="K280" s="561" t="str">
        <f t="shared" ca="1" si="10"/>
        <v/>
      </c>
      <c r="L280" s="561" t="str">
        <f t="shared" ca="1" si="11"/>
        <v/>
      </c>
      <c r="M280" s="560" t="str">
        <f t="shared" si="2"/>
        <v/>
      </c>
      <c r="N280" s="560" t="str">
        <f t="shared" ca="1" si="3"/>
        <v/>
      </c>
      <c r="O280" s="636" t="str">
        <f t="shared" ca="1" si="12"/>
        <v/>
      </c>
      <c r="Q280" s="1133"/>
    </row>
    <row r="281" spans="2:17" x14ac:dyDescent="0.3">
      <c r="B281" s="126"/>
      <c r="C281" s="607">
        <v>51</v>
      </c>
      <c r="D281" s="561" t="str">
        <f t="shared" si="4"/>
        <v/>
      </c>
      <c r="E281" s="561" t="str">
        <f t="shared" si="5"/>
        <v/>
      </c>
      <c r="F281" s="561" t="str">
        <f t="shared" si="6"/>
        <v/>
      </c>
      <c r="G281" s="561" t="str">
        <f t="shared" si="1"/>
        <v/>
      </c>
      <c r="H281" s="561" t="str">
        <f t="shared" si="7"/>
        <v/>
      </c>
      <c r="I281" s="561" t="str">
        <f t="shared" ca="1" si="8"/>
        <v/>
      </c>
      <c r="J281" s="561" t="str">
        <f t="shared" ca="1" si="9"/>
        <v/>
      </c>
      <c r="K281" s="561" t="str">
        <f t="shared" ca="1" si="10"/>
        <v/>
      </c>
      <c r="L281" s="561" t="str">
        <f t="shared" ca="1" si="11"/>
        <v/>
      </c>
      <c r="M281" s="560" t="str">
        <f t="shared" si="2"/>
        <v/>
      </c>
      <c r="N281" s="560" t="str">
        <f t="shared" ca="1" si="3"/>
        <v/>
      </c>
      <c r="O281" s="636" t="str">
        <f t="shared" ca="1" si="12"/>
        <v/>
      </c>
      <c r="Q281" s="1133"/>
    </row>
    <row r="282" spans="2:17" x14ac:dyDescent="0.3">
      <c r="B282" s="126"/>
      <c r="C282" s="607">
        <v>52</v>
      </c>
      <c r="D282" s="561" t="str">
        <f t="shared" si="4"/>
        <v/>
      </c>
      <c r="E282" s="561" t="str">
        <f t="shared" si="5"/>
        <v/>
      </c>
      <c r="F282" s="561" t="str">
        <f t="shared" si="6"/>
        <v/>
      </c>
      <c r="G282" s="561" t="str">
        <f t="shared" si="1"/>
        <v/>
      </c>
      <c r="H282" s="561" t="str">
        <f t="shared" si="7"/>
        <v/>
      </c>
      <c r="I282" s="561" t="str">
        <f t="shared" ca="1" si="8"/>
        <v/>
      </c>
      <c r="J282" s="561" t="str">
        <f t="shared" ca="1" si="9"/>
        <v/>
      </c>
      <c r="K282" s="561" t="str">
        <f t="shared" ca="1" si="10"/>
        <v/>
      </c>
      <c r="L282" s="561" t="str">
        <f t="shared" ca="1" si="11"/>
        <v/>
      </c>
      <c r="M282" s="560" t="str">
        <f t="shared" si="2"/>
        <v/>
      </c>
      <c r="N282" s="560" t="str">
        <f t="shared" ca="1" si="3"/>
        <v/>
      </c>
      <c r="O282" s="636" t="str">
        <f t="shared" ca="1" si="12"/>
        <v/>
      </c>
      <c r="Q282" s="1133"/>
    </row>
    <row r="283" spans="2:17" x14ac:dyDescent="0.3">
      <c r="B283" s="126"/>
      <c r="C283" s="607">
        <v>53</v>
      </c>
      <c r="D283" s="561" t="str">
        <f t="shared" si="4"/>
        <v/>
      </c>
      <c r="E283" s="561" t="str">
        <f t="shared" si="5"/>
        <v/>
      </c>
      <c r="F283" s="561" t="str">
        <f t="shared" si="6"/>
        <v/>
      </c>
      <c r="G283" s="561" t="str">
        <f t="shared" si="1"/>
        <v/>
      </c>
      <c r="H283" s="561" t="str">
        <f t="shared" si="7"/>
        <v/>
      </c>
      <c r="I283" s="561" t="str">
        <f t="shared" ca="1" si="8"/>
        <v/>
      </c>
      <c r="J283" s="561" t="str">
        <f t="shared" ca="1" si="9"/>
        <v/>
      </c>
      <c r="K283" s="561" t="str">
        <f t="shared" ca="1" si="10"/>
        <v/>
      </c>
      <c r="L283" s="561" t="str">
        <f t="shared" ca="1" si="11"/>
        <v/>
      </c>
      <c r="M283" s="560" t="str">
        <f t="shared" si="2"/>
        <v/>
      </c>
      <c r="N283" s="560" t="str">
        <f t="shared" ca="1" si="3"/>
        <v/>
      </c>
      <c r="O283" s="636" t="str">
        <f t="shared" ca="1" si="12"/>
        <v/>
      </c>
      <c r="Q283" s="1133"/>
    </row>
    <row r="284" spans="2:17" x14ac:dyDescent="0.3">
      <c r="B284" s="126"/>
      <c r="C284" s="607">
        <v>54</v>
      </c>
      <c r="D284" s="561" t="str">
        <f t="shared" si="4"/>
        <v/>
      </c>
      <c r="E284" s="561" t="str">
        <f t="shared" si="5"/>
        <v/>
      </c>
      <c r="F284" s="561" t="str">
        <f t="shared" si="6"/>
        <v/>
      </c>
      <c r="G284" s="561" t="str">
        <f t="shared" si="1"/>
        <v/>
      </c>
      <c r="H284" s="561" t="str">
        <f t="shared" si="7"/>
        <v/>
      </c>
      <c r="I284" s="561" t="str">
        <f t="shared" ca="1" si="8"/>
        <v/>
      </c>
      <c r="J284" s="561" t="str">
        <f t="shared" ca="1" si="9"/>
        <v/>
      </c>
      <c r="K284" s="561" t="str">
        <f t="shared" ca="1" si="10"/>
        <v/>
      </c>
      <c r="L284" s="561" t="str">
        <f t="shared" ca="1" si="11"/>
        <v/>
      </c>
      <c r="M284" s="560" t="str">
        <f t="shared" si="2"/>
        <v/>
      </c>
      <c r="N284" s="560" t="str">
        <f t="shared" ca="1" si="3"/>
        <v/>
      </c>
      <c r="O284" s="636" t="str">
        <f t="shared" ca="1" si="12"/>
        <v/>
      </c>
      <c r="Q284" s="1133"/>
    </row>
    <row r="285" spans="2:17" x14ac:dyDescent="0.3">
      <c r="B285" s="126"/>
      <c r="C285" s="607">
        <v>55</v>
      </c>
      <c r="D285" s="561" t="str">
        <f t="shared" si="4"/>
        <v/>
      </c>
      <c r="E285" s="561" t="str">
        <f t="shared" si="5"/>
        <v/>
      </c>
      <c r="F285" s="561" t="str">
        <f t="shared" si="6"/>
        <v/>
      </c>
      <c r="G285" s="561" t="str">
        <f t="shared" si="1"/>
        <v/>
      </c>
      <c r="H285" s="561" t="str">
        <f t="shared" si="7"/>
        <v/>
      </c>
      <c r="I285" s="561" t="str">
        <f t="shared" ca="1" si="8"/>
        <v/>
      </c>
      <c r="J285" s="561" t="str">
        <f t="shared" ca="1" si="9"/>
        <v/>
      </c>
      <c r="K285" s="561" t="str">
        <f t="shared" ca="1" si="10"/>
        <v/>
      </c>
      <c r="L285" s="561" t="str">
        <f t="shared" ca="1" si="11"/>
        <v/>
      </c>
      <c r="M285" s="560" t="str">
        <f t="shared" si="2"/>
        <v/>
      </c>
      <c r="N285" s="560" t="str">
        <f t="shared" ca="1" si="3"/>
        <v/>
      </c>
      <c r="O285" s="636" t="str">
        <f t="shared" ca="1" si="12"/>
        <v/>
      </c>
      <c r="Q285" s="1133"/>
    </row>
    <row r="286" spans="2:17" x14ac:dyDescent="0.3">
      <c r="B286" s="126"/>
      <c r="C286" s="607">
        <v>56</v>
      </c>
      <c r="D286" s="561" t="str">
        <f t="shared" si="4"/>
        <v/>
      </c>
      <c r="E286" s="561" t="str">
        <f t="shared" si="5"/>
        <v/>
      </c>
      <c r="F286" s="561" t="str">
        <f t="shared" si="6"/>
        <v/>
      </c>
      <c r="G286" s="561" t="str">
        <f t="shared" si="1"/>
        <v/>
      </c>
      <c r="H286" s="561" t="str">
        <f t="shared" si="7"/>
        <v/>
      </c>
      <c r="I286" s="561" t="str">
        <f t="shared" ca="1" si="8"/>
        <v/>
      </c>
      <c r="J286" s="561" t="str">
        <f t="shared" ca="1" si="9"/>
        <v/>
      </c>
      <c r="K286" s="561" t="str">
        <f t="shared" ca="1" si="10"/>
        <v/>
      </c>
      <c r="L286" s="561" t="str">
        <f t="shared" ca="1" si="11"/>
        <v/>
      </c>
      <c r="M286" s="560" t="str">
        <f t="shared" si="2"/>
        <v/>
      </c>
      <c r="N286" s="560" t="str">
        <f t="shared" ca="1" si="3"/>
        <v/>
      </c>
      <c r="O286" s="636" t="str">
        <f t="shared" ca="1" si="12"/>
        <v/>
      </c>
      <c r="Q286" s="1133"/>
    </row>
    <row r="287" spans="2:17" x14ac:dyDescent="0.3">
      <c r="B287" s="126"/>
      <c r="C287" s="607">
        <v>57</v>
      </c>
      <c r="D287" s="561" t="str">
        <f t="shared" si="4"/>
        <v/>
      </c>
      <c r="E287" s="561" t="str">
        <f t="shared" si="5"/>
        <v/>
      </c>
      <c r="F287" s="561" t="str">
        <f t="shared" si="6"/>
        <v/>
      </c>
      <c r="G287" s="561" t="str">
        <f t="shared" si="1"/>
        <v/>
      </c>
      <c r="H287" s="561" t="str">
        <f t="shared" si="7"/>
        <v/>
      </c>
      <c r="I287" s="561" t="str">
        <f t="shared" ca="1" si="8"/>
        <v/>
      </c>
      <c r="J287" s="561" t="str">
        <f t="shared" ca="1" si="9"/>
        <v/>
      </c>
      <c r="K287" s="561" t="str">
        <f t="shared" ca="1" si="10"/>
        <v/>
      </c>
      <c r="L287" s="561" t="str">
        <f t="shared" ca="1" si="11"/>
        <v/>
      </c>
      <c r="M287" s="560" t="str">
        <f t="shared" si="2"/>
        <v/>
      </c>
      <c r="N287" s="560" t="str">
        <f t="shared" ca="1" si="3"/>
        <v/>
      </c>
      <c r="O287" s="636" t="str">
        <f t="shared" ca="1" si="12"/>
        <v/>
      </c>
      <c r="Q287" s="1133"/>
    </row>
    <row r="288" spans="2:17" x14ac:dyDescent="0.3">
      <c r="B288" s="126"/>
      <c r="C288" s="607">
        <v>58</v>
      </c>
      <c r="D288" s="561" t="str">
        <f t="shared" si="4"/>
        <v/>
      </c>
      <c r="E288" s="561" t="str">
        <f t="shared" si="5"/>
        <v/>
      </c>
      <c r="F288" s="561" t="str">
        <f t="shared" si="6"/>
        <v/>
      </c>
      <c r="G288" s="561" t="str">
        <f t="shared" si="1"/>
        <v/>
      </c>
      <c r="H288" s="561" t="str">
        <f t="shared" si="7"/>
        <v/>
      </c>
      <c r="I288" s="561" t="str">
        <f t="shared" ca="1" si="8"/>
        <v/>
      </c>
      <c r="J288" s="561" t="str">
        <f t="shared" ca="1" si="9"/>
        <v/>
      </c>
      <c r="K288" s="561" t="str">
        <f t="shared" ca="1" si="10"/>
        <v/>
      </c>
      <c r="L288" s="561" t="str">
        <f t="shared" ca="1" si="11"/>
        <v/>
      </c>
      <c r="M288" s="560" t="str">
        <f t="shared" si="2"/>
        <v/>
      </c>
      <c r="N288" s="560" t="str">
        <f t="shared" ca="1" si="3"/>
        <v/>
      </c>
      <c r="O288" s="636" t="str">
        <f t="shared" ca="1" si="12"/>
        <v/>
      </c>
      <c r="Q288" s="1133"/>
    </row>
    <row r="289" spans="2:17" x14ac:dyDescent="0.3">
      <c r="B289" s="126"/>
      <c r="C289" s="607">
        <v>59</v>
      </c>
      <c r="D289" s="561" t="str">
        <f t="shared" si="4"/>
        <v/>
      </c>
      <c r="E289" s="561" t="str">
        <f t="shared" si="5"/>
        <v/>
      </c>
      <c r="F289" s="561" t="str">
        <f t="shared" si="6"/>
        <v/>
      </c>
      <c r="G289" s="561" t="str">
        <f t="shared" si="1"/>
        <v/>
      </c>
      <c r="H289" s="561" t="str">
        <f t="shared" si="7"/>
        <v/>
      </c>
      <c r="I289" s="561" t="str">
        <f t="shared" ca="1" si="8"/>
        <v/>
      </c>
      <c r="J289" s="561" t="str">
        <f t="shared" ca="1" si="9"/>
        <v/>
      </c>
      <c r="K289" s="561" t="str">
        <f t="shared" ca="1" si="10"/>
        <v/>
      </c>
      <c r="L289" s="561" t="str">
        <f t="shared" ca="1" si="11"/>
        <v/>
      </c>
      <c r="M289" s="560" t="str">
        <f t="shared" si="2"/>
        <v/>
      </c>
      <c r="N289" s="560" t="str">
        <f t="shared" ca="1" si="3"/>
        <v/>
      </c>
      <c r="O289" s="636" t="str">
        <f t="shared" ca="1" si="12"/>
        <v/>
      </c>
      <c r="Q289" s="1133"/>
    </row>
    <row r="290" spans="2:17" x14ac:dyDescent="0.3">
      <c r="B290" s="126"/>
      <c r="C290" s="607">
        <v>60</v>
      </c>
      <c r="D290" s="561" t="str">
        <f t="shared" si="4"/>
        <v/>
      </c>
      <c r="E290" s="561" t="str">
        <f t="shared" si="5"/>
        <v/>
      </c>
      <c r="F290" s="561" t="str">
        <f t="shared" si="6"/>
        <v/>
      </c>
      <c r="G290" s="561" t="str">
        <f t="shared" si="1"/>
        <v/>
      </c>
      <c r="H290" s="561" t="str">
        <f t="shared" si="7"/>
        <v/>
      </c>
      <c r="I290" s="561" t="str">
        <f t="shared" ca="1" si="8"/>
        <v/>
      </c>
      <c r="J290" s="561" t="str">
        <f t="shared" ca="1" si="9"/>
        <v/>
      </c>
      <c r="K290" s="561" t="str">
        <f t="shared" ca="1" si="10"/>
        <v/>
      </c>
      <c r="L290" s="561" t="str">
        <f t="shared" ca="1" si="11"/>
        <v/>
      </c>
      <c r="M290" s="560" t="str">
        <f t="shared" si="2"/>
        <v/>
      </c>
      <c r="N290" s="560" t="str">
        <f t="shared" ca="1" si="3"/>
        <v/>
      </c>
      <c r="O290" s="636" t="str">
        <f t="shared" ca="1" si="12"/>
        <v/>
      </c>
      <c r="Q290" s="1133"/>
    </row>
    <row r="291" spans="2:17" x14ac:dyDescent="0.3">
      <c r="B291" s="126"/>
      <c r="C291" s="607">
        <v>61</v>
      </c>
      <c r="D291" s="561" t="str">
        <f t="shared" si="4"/>
        <v/>
      </c>
      <c r="E291" s="561" t="str">
        <f t="shared" si="5"/>
        <v/>
      </c>
      <c r="F291" s="561" t="str">
        <f t="shared" si="6"/>
        <v/>
      </c>
      <c r="G291" s="561" t="str">
        <f t="shared" si="1"/>
        <v/>
      </c>
      <c r="H291" s="561" t="str">
        <f t="shared" si="7"/>
        <v/>
      </c>
      <c r="I291" s="561" t="str">
        <f t="shared" ca="1" si="8"/>
        <v/>
      </c>
      <c r="J291" s="561" t="str">
        <f t="shared" ca="1" si="9"/>
        <v/>
      </c>
      <c r="K291" s="561" t="str">
        <f t="shared" ca="1" si="10"/>
        <v/>
      </c>
      <c r="L291" s="561" t="str">
        <f t="shared" ca="1" si="11"/>
        <v/>
      </c>
      <c r="M291" s="560" t="str">
        <f t="shared" si="2"/>
        <v/>
      </c>
      <c r="N291" s="560" t="str">
        <f t="shared" ca="1" si="3"/>
        <v/>
      </c>
      <c r="O291" s="636" t="str">
        <f t="shared" ca="1" si="12"/>
        <v/>
      </c>
      <c r="Q291" s="1133"/>
    </row>
    <row r="292" spans="2:17" x14ac:dyDescent="0.3">
      <c r="B292" s="126"/>
      <c r="C292" s="607">
        <v>62</v>
      </c>
      <c r="D292" s="561" t="str">
        <f t="shared" si="4"/>
        <v/>
      </c>
      <c r="E292" s="561" t="str">
        <f t="shared" si="5"/>
        <v/>
      </c>
      <c r="F292" s="561" t="str">
        <f t="shared" si="6"/>
        <v/>
      </c>
      <c r="G292" s="561" t="str">
        <f t="shared" si="1"/>
        <v/>
      </c>
      <c r="H292" s="561" t="str">
        <f t="shared" si="7"/>
        <v/>
      </c>
      <c r="I292" s="561" t="str">
        <f t="shared" ca="1" si="8"/>
        <v/>
      </c>
      <c r="J292" s="561" t="str">
        <f t="shared" ca="1" si="9"/>
        <v/>
      </c>
      <c r="K292" s="561" t="str">
        <f t="shared" ca="1" si="10"/>
        <v/>
      </c>
      <c r="L292" s="561" t="str">
        <f t="shared" ca="1" si="11"/>
        <v/>
      </c>
      <c r="M292" s="560" t="str">
        <f t="shared" si="2"/>
        <v/>
      </c>
      <c r="N292" s="560" t="str">
        <f t="shared" ca="1" si="3"/>
        <v/>
      </c>
      <c r="O292" s="636" t="str">
        <f t="shared" ca="1" si="12"/>
        <v/>
      </c>
      <c r="Q292" s="1133"/>
    </row>
    <row r="293" spans="2:17" x14ac:dyDescent="0.3">
      <c r="B293" s="126"/>
      <c r="C293" s="607">
        <v>63</v>
      </c>
      <c r="D293" s="561" t="str">
        <f t="shared" si="4"/>
        <v/>
      </c>
      <c r="E293" s="561" t="str">
        <f t="shared" si="5"/>
        <v/>
      </c>
      <c r="F293" s="561" t="str">
        <f t="shared" si="6"/>
        <v/>
      </c>
      <c r="G293" s="561" t="str">
        <f t="shared" si="1"/>
        <v/>
      </c>
      <c r="H293" s="561" t="str">
        <f t="shared" si="7"/>
        <v/>
      </c>
      <c r="I293" s="561" t="str">
        <f t="shared" ca="1" si="8"/>
        <v/>
      </c>
      <c r="J293" s="561" t="str">
        <f t="shared" ca="1" si="9"/>
        <v/>
      </c>
      <c r="K293" s="561" t="str">
        <f t="shared" ca="1" si="10"/>
        <v/>
      </c>
      <c r="L293" s="561" t="str">
        <f t="shared" ca="1" si="11"/>
        <v/>
      </c>
      <c r="M293" s="560" t="str">
        <f t="shared" si="2"/>
        <v/>
      </c>
      <c r="N293" s="560" t="str">
        <f t="shared" ca="1" si="3"/>
        <v/>
      </c>
      <c r="O293" s="636" t="str">
        <f t="shared" ca="1" si="12"/>
        <v/>
      </c>
      <c r="Q293" s="1133"/>
    </row>
    <row r="294" spans="2:17" x14ac:dyDescent="0.3">
      <c r="B294" s="126"/>
      <c r="C294" s="607">
        <v>64</v>
      </c>
      <c r="D294" s="561" t="str">
        <f t="shared" si="4"/>
        <v/>
      </c>
      <c r="E294" s="561" t="str">
        <f t="shared" si="5"/>
        <v/>
      </c>
      <c r="F294" s="561" t="str">
        <f t="shared" si="6"/>
        <v/>
      </c>
      <c r="G294" s="561" t="str">
        <f t="shared" si="1"/>
        <v/>
      </c>
      <c r="H294" s="561" t="str">
        <f t="shared" si="7"/>
        <v/>
      </c>
      <c r="I294" s="561" t="str">
        <f t="shared" ca="1" si="8"/>
        <v/>
      </c>
      <c r="J294" s="561" t="str">
        <f t="shared" ca="1" si="9"/>
        <v/>
      </c>
      <c r="K294" s="561" t="str">
        <f t="shared" ca="1" si="10"/>
        <v/>
      </c>
      <c r="L294" s="561" t="str">
        <f t="shared" ca="1" si="11"/>
        <v/>
      </c>
      <c r="M294" s="560" t="str">
        <f t="shared" si="2"/>
        <v/>
      </c>
      <c r="N294" s="560" t="str">
        <f t="shared" ca="1" si="3"/>
        <v/>
      </c>
      <c r="O294" s="636" t="str">
        <f t="shared" ca="1" si="12"/>
        <v/>
      </c>
      <c r="Q294" s="1133"/>
    </row>
    <row r="295" spans="2:17" x14ac:dyDescent="0.3">
      <c r="B295" s="126"/>
      <c r="C295" s="607">
        <v>65</v>
      </c>
      <c r="D295" s="561" t="str">
        <f t="shared" si="4"/>
        <v/>
      </c>
      <c r="E295" s="561" t="str">
        <f t="shared" si="5"/>
        <v/>
      </c>
      <c r="F295" s="561" t="str">
        <f t="shared" si="6"/>
        <v/>
      </c>
      <c r="G295" s="561" t="str">
        <f t="shared" ref="G295:G330" si="13">IFERROR(E295+100,"")</f>
        <v/>
      </c>
      <c r="H295" s="561" t="str">
        <f t="shared" si="7"/>
        <v/>
      </c>
      <c r="I295" s="561" t="str">
        <f t="shared" ca="1" si="8"/>
        <v/>
      </c>
      <c r="J295" s="561" t="str">
        <f t="shared" ca="1" si="9"/>
        <v/>
      </c>
      <c r="K295" s="561" t="str">
        <f t="shared" ca="1" si="10"/>
        <v/>
      </c>
      <c r="L295" s="561" t="str">
        <f t="shared" ca="1" si="11"/>
        <v/>
      </c>
      <c r="M295" s="560" t="str">
        <f t="shared" ref="M295:M330" si="14">IFERROR(IF(D295&lt;$C$210,1,
IF(D295&lt;$C$211,SQRT(5/(5+(2.6*(($C$221/$C$220)*SIN((PI()/2-$C$222)*(D295-$C$210)/($C$211-$C$210)))^1.58)/((1-($C$221/$C$220)*SIN((PI()/2-$C$222)*(D295-$C$210)/($C$211-$C$210)))^2))),
$C$223)),"")</f>
        <v/>
      </c>
      <c r="N295" s="560" t="str">
        <f t="shared" ref="N295:N330" ca="1" si="15">IFERROR(IF($C$226*$M295*$C$225&gt;$C$224,$C$224*$C$218/($C$226*$M295*$C$225),$C$218),"")</f>
        <v/>
      </c>
      <c r="O295" s="636" t="str">
        <f t="shared" ca="1" si="12"/>
        <v/>
      </c>
      <c r="Q295" s="1133"/>
    </row>
    <row r="296" spans="2:17" x14ac:dyDescent="0.3">
      <c r="B296" s="126"/>
      <c r="C296" s="607">
        <v>66</v>
      </c>
      <c r="D296" s="561" t="str">
        <f t="shared" ref="D296:D330" si="16">IFERROR(C296*$C$215*$C$212,"")</f>
        <v/>
      </c>
      <c r="E296" s="561" t="str">
        <f t="shared" ref="E296:E330" si="17">IFERROR($C$217*EXP(-$D296/$C$213),"")</f>
        <v/>
      </c>
      <c r="F296" s="561" t="str">
        <f t="shared" ref="F296:F330" si="18">IFERROR(($E296+28)^(0.56)/(($E296+530)^(1.19)),"")</f>
        <v/>
      </c>
      <c r="G296" s="561" t="str">
        <f t="shared" si="13"/>
        <v/>
      </c>
      <c r="H296" s="561" t="str">
        <f t="shared" ref="H296:H330" si="19">IFERROR(($E296+128)^(0.56)/(($E296+630)^(1.19)),"")</f>
        <v/>
      </c>
      <c r="I296" s="561" t="str">
        <f t="shared" ref="I296:I330" ca="1" si="20">IFERROR($O296*EXP(-$D296/$C$213),"")</f>
        <v/>
      </c>
      <c r="J296" s="561" t="str">
        <f t="shared" ref="J296:J330" ca="1" si="21">IFERROR(($I296+28)^(0.56)/(($I296+530)^(1.19)),"")</f>
        <v/>
      </c>
      <c r="K296" s="561" t="str">
        <f t="shared" ref="K296:K330" ca="1" si="22">IFERROR(I296+100,"")</f>
        <v/>
      </c>
      <c r="L296" s="561" t="str">
        <f t="shared" ref="L296:L330" ca="1" si="23">IFERROR(($I296+128)^(0.56)/(($I296+630)^(1.19)),"")</f>
        <v/>
      </c>
      <c r="M296" s="560" t="str">
        <f t="shared" si="14"/>
        <v/>
      </c>
      <c r="N296" s="560" t="str">
        <f t="shared" ca="1" si="15"/>
        <v/>
      </c>
      <c r="O296" s="636" t="str">
        <f t="shared" ref="O296:O330" ca="1" si="24">IFERROR(IF($C$226*$M296*$C$225&gt;$C$224,$C$224*$C$219/($C$226*$M296*$C$225),$C$219),"")</f>
        <v/>
      </c>
      <c r="Q296" s="1133"/>
    </row>
    <row r="297" spans="2:17" x14ac:dyDescent="0.3">
      <c r="B297" s="126"/>
      <c r="C297" s="607">
        <v>67</v>
      </c>
      <c r="D297" s="561" t="str">
        <f t="shared" si="16"/>
        <v/>
      </c>
      <c r="E297" s="561" t="str">
        <f t="shared" si="17"/>
        <v/>
      </c>
      <c r="F297" s="561" t="str">
        <f t="shared" si="18"/>
        <v/>
      </c>
      <c r="G297" s="561" t="str">
        <f t="shared" si="13"/>
        <v/>
      </c>
      <c r="H297" s="561" t="str">
        <f t="shared" si="19"/>
        <v/>
      </c>
      <c r="I297" s="561" t="str">
        <f t="shared" ca="1" si="20"/>
        <v/>
      </c>
      <c r="J297" s="561" t="str">
        <f t="shared" ca="1" si="21"/>
        <v/>
      </c>
      <c r="K297" s="561" t="str">
        <f t="shared" ca="1" si="22"/>
        <v/>
      </c>
      <c r="L297" s="561" t="str">
        <f t="shared" ca="1" si="23"/>
        <v/>
      </c>
      <c r="M297" s="560" t="str">
        <f t="shared" si="14"/>
        <v/>
      </c>
      <c r="N297" s="560" t="str">
        <f t="shared" ca="1" si="15"/>
        <v/>
      </c>
      <c r="O297" s="636" t="str">
        <f t="shared" ca="1" si="24"/>
        <v/>
      </c>
      <c r="Q297" s="1133"/>
    </row>
    <row r="298" spans="2:17" x14ac:dyDescent="0.3">
      <c r="B298" s="126"/>
      <c r="C298" s="607">
        <v>68</v>
      </c>
      <c r="D298" s="561" t="str">
        <f t="shared" si="16"/>
        <v/>
      </c>
      <c r="E298" s="561" t="str">
        <f t="shared" si="17"/>
        <v/>
      </c>
      <c r="F298" s="561" t="str">
        <f t="shared" si="18"/>
        <v/>
      </c>
      <c r="G298" s="561" t="str">
        <f t="shared" si="13"/>
        <v/>
      </c>
      <c r="H298" s="561" t="str">
        <f t="shared" si="19"/>
        <v/>
      </c>
      <c r="I298" s="561" t="str">
        <f t="shared" ca="1" si="20"/>
        <v/>
      </c>
      <c r="J298" s="561" t="str">
        <f t="shared" ca="1" si="21"/>
        <v/>
      </c>
      <c r="K298" s="561" t="str">
        <f t="shared" ca="1" si="22"/>
        <v/>
      </c>
      <c r="L298" s="561" t="str">
        <f t="shared" ca="1" si="23"/>
        <v/>
      </c>
      <c r="M298" s="560" t="str">
        <f t="shared" si="14"/>
        <v/>
      </c>
      <c r="N298" s="560" t="str">
        <f t="shared" ca="1" si="15"/>
        <v/>
      </c>
      <c r="O298" s="636" t="str">
        <f t="shared" ca="1" si="24"/>
        <v/>
      </c>
      <c r="Q298" s="1133"/>
    </row>
    <row r="299" spans="2:17" x14ac:dyDescent="0.3">
      <c r="B299" s="126"/>
      <c r="C299" s="607">
        <v>69</v>
      </c>
      <c r="D299" s="561" t="str">
        <f t="shared" si="16"/>
        <v/>
      </c>
      <c r="E299" s="561" t="str">
        <f t="shared" si="17"/>
        <v/>
      </c>
      <c r="F299" s="561" t="str">
        <f t="shared" si="18"/>
        <v/>
      </c>
      <c r="G299" s="561" t="str">
        <f t="shared" si="13"/>
        <v/>
      </c>
      <c r="H299" s="561" t="str">
        <f t="shared" si="19"/>
        <v/>
      </c>
      <c r="I299" s="561" t="str">
        <f t="shared" ca="1" si="20"/>
        <v/>
      </c>
      <c r="J299" s="561" t="str">
        <f t="shared" ca="1" si="21"/>
        <v/>
      </c>
      <c r="K299" s="561" t="str">
        <f t="shared" ca="1" si="22"/>
        <v/>
      </c>
      <c r="L299" s="561" t="str">
        <f t="shared" ca="1" si="23"/>
        <v/>
      </c>
      <c r="M299" s="560" t="str">
        <f t="shared" si="14"/>
        <v/>
      </c>
      <c r="N299" s="560" t="str">
        <f t="shared" ca="1" si="15"/>
        <v/>
      </c>
      <c r="O299" s="636" t="str">
        <f t="shared" ca="1" si="24"/>
        <v/>
      </c>
      <c r="Q299" s="1133"/>
    </row>
    <row r="300" spans="2:17" x14ac:dyDescent="0.3">
      <c r="B300" s="126"/>
      <c r="C300" s="607">
        <v>70</v>
      </c>
      <c r="D300" s="561" t="str">
        <f t="shared" si="16"/>
        <v/>
      </c>
      <c r="E300" s="561" t="str">
        <f t="shared" si="17"/>
        <v/>
      </c>
      <c r="F300" s="561" t="str">
        <f t="shared" si="18"/>
        <v/>
      </c>
      <c r="G300" s="561" t="str">
        <f t="shared" si="13"/>
        <v/>
      </c>
      <c r="H300" s="561" t="str">
        <f t="shared" si="19"/>
        <v/>
      </c>
      <c r="I300" s="561" t="str">
        <f t="shared" ca="1" si="20"/>
        <v/>
      </c>
      <c r="J300" s="561" t="str">
        <f t="shared" ca="1" si="21"/>
        <v/>
      </c>
      <c r="K300" s="561" t="str">
        <f t="shared" ca="1" si="22"/>
        <v/>
      </c>
      <c r="L300" s="561" t="str">
        <f t="shared" ca="1" si="23"/>
        <v/>
      </c>
      <c r="M300" s="560" t="str">
        <f t="shared" si="14"/>
        <v/>
      </c>
      <c r="N300" s="560" t="str">
        <f t="shared" ca="1" si="15"/>
        <v/>
      </c>
      <c r="O300" s="636" t="str">
        <f t="shared" ca="1" si="24"/>
        <v/>
      </c>
      <c r="Q300" s="1133"/>
    </row>
    <row r="301" spans="2:17" x14ac:dyDescent="0.3">
      <c r="B301" s="126"/>
      <c r="C301" s="607">
        <v>71</v>
      </c>
      <c r="D301" s="561" t="str">
        <f t="shared" si="16"/>
        <v/>
      </c>
      <c r="E301" s="561" t="str">
        <f t="shared" si="17"/>
        <v/>
      </c>
      <c r="F301" s="561" t="str">
        <f t="shared" si="18"/>
        <v/>
      </c>
      <c r="G301" s="561" t="str">
        <f t="shared" si="13"/>
        <v/>
      </c>
      <c r="H301" s="561" t="str">
        <f t="shared" si="19"/>
        <v/>
      </c>
      <c r="I301" s="561" t="str">
        <f t="shared" ca="1" si="20"/>
        <v/>
      </c>
      <c r="J301" s="561" t="str">
        <f t="shared" ca="1" si="21"/>
        <v/>
      </c>
      <c r="K301" s="561" t="str">
        <f t="shared" ca="1" si="22"/>
        <v/>
      </c>
      <c r="L301" s="561" t="str">
        <f t="shared" ca="1" si="23"/>
        <v/>
      </c>
      <c r="M301" s="560" t="str">
        <f t="shared" si="14"/>
        <v/>
      </c>
      <c r="N301" s="560" t="str">
        <f t="shared" ca="1" si="15"/>
        <v/>
      </c>
      <c r="O301" s="636" t="str">
        <f t="shared" ca="1" si="24"/>
        <v/>
      </c>
      <c r="Q301" s="1133"/>
    </row>
    <row r="302" spans="2:17" x14ac:dyDescent="0.3">
      <c r="B302" s="126"/>
      <c r="C302" s="607">
        <v>72</v>
      </c>
      <c r="D302" s="561" t="str">
        <f t="shared" si="16"/>
        <v/>
      </c>
      <c r="E302" s="561" t="str">
        <f t="shared" si="17"/>
        <v/>
      </c>
      <c r="F302" s="561" t="str">
        <f t="shared" si="18"/>
        <v/>
      </c>
      <c r="G302" s="561" t="str">
        <f t="shared" si="13"/>
        <v/>
      </c>
      <c r="H302" s="561" t="str">
        <f t="shared" si="19"/>
        <v/>
      </c>
      <c r="I302" s="561" t="str">
        <f t="shared" ca="1" si="20"/>
        <v/>
      </c>
      <c r="J302" s="561" t="str">
        <f t="shared" ca="1" si="21"/>
        <v/>
      </c>
      <c r="K302" s="561" t="str">
        <f t="shared" ca="1" si="22"/>
        <v/>
      </c>
      <c r="L302" s="561" t="str">
        <f t="shared" ca="1" si="23"/>
        <v/>
      </c>
      <c r="M302" s="560" t="str">
        <f t="shared" si="14"/>
        <v/>
      </c>
      <c r="N302" s="560" t="str">
        <f t="shared" ca="1" si="15"/>
        <v/>
      </c>
      <c r="O302" s="636" t="str">
        <f t="shared" ca="1" si="24"/>
        <v/>
      </c>
      <c r="Q302" s="1133"/>
    </row>
    <row r="303" spans="2:17" x14ac:dyDescent="0.3">
      <c r="B303" s="126"/>
      <c r="C303" s="607">
        <v>73</v>
      </c>
      <c r="D303" s="561" t="str">
        <f t="shared" si="16"/>
        <v/>
      </c>
      <c r="E303" s="561" t="str">
        <f t="shared" si="17"/>
        <v/>
      </c>
      <c r="F303" s="561" t="str">
        <f t="shared" si="18"/>
        <v/>
      </c>
      <c r="G303" s="561" t="str">
        <f t="shared" si="13"/>
        <v/>
      </c>
      <c r="H303" s="561" t="str">
        <f t="shared" si="19"/>
        <v/>
      </c>
      <c r="I303" s="561" t="str">
        <f t="shared" ca="1" si="20"/>
        <v/>
      </c>
      <c r="J303" s="561" t="str">
        <f t="shared" ca="1" si="21"/>
        <v/>
      </c>
      <c r="K303" s="561" t="str">
        <f t="shared" ca="1" si="22"/>
        <v/>
      </c>
      <c r="L303" s="561" t="str">
        <f t="shared" ca="1" si="23"/>
        <v/>
      </c>
      <c r="M303" s="560" t="str">
        <f t="shared" si="14"/>
        <v/>
      </c>
      <c r="N303" s="560" t="str">
        <f t="shared" ca="1" si="15"/>
        <v/>
      </c>
      <c r="O303" s="636" t="str">
        <f t="shared" ca="1" si="24"/>
        <v/>
      </c>
      <c r="Q303" s="1133"/>
    </row>
    <row r="304" spans="2:17" x14ac:dyDescent="0.3">
      <c r="B304" s="126"/>
      <c r="C304" s="607">
        <v>74</v>
      </c>
      <c r="D304" s="561" t="str">
        <f t="shared" si="16"/>
        <v/>
      </c>
      <c r="E304" s="561" t="str">
        <f t="shared" si="17"/>
        <v/>
      </c>
      <c r="F304" s="561" t="str">
        <f t="shared" si="18"/>
        <v/>
      </c>
      <c r="G304" s="561" t="str">
        <f t="shared" si="13"/>
        <v/>
      </c>
      <c r="H304" s="561" t="str">
        <f t="shared" si="19"/>
        <v/>
      </c>
      <c r="I304" s="561" t="str">
        <f t="shared" ca="1" si="20"/>
        <v/>
      </c>
      <c r="J304" s="561" t="str">
        <f t="shared" ca="1" si="21"/>
        <v/>
      </c>
      <c r="K304" s="561" t="str">
        <f t="shared" ca="1" si="22"/>
        <v/>
      </c>
      <c r="L304" s="561" t="str">
        <f t="shared" ca="1" si="23"/>
        <v/>
      </c>
      <c r="M304" s="560" t="str">
        <f t="shared" si="14"/>
        <v/>
      </c>
      <c r="N304" s="560" t="str">
        <f t="shared" ca="1" si="15"/>
        <v/>
      </c>
      <c r="O304" s="636" t="str">
        <f t="shared" ca="1" si="24"/>
        <v/>
      </c>
      <c r="Q304" s="1133"/>
    </row>
    <row r="305" spans="2:17" x14ac:dyDescent="0.3">
      <c r="B305" s="126"/>
      <c r="C305" s="607">
        <v>75</v>
      </c>
      <c r="D305" s="561" t="str">
        <f t="shared" si="16"/>
        <v/>
      </c>
      <c r="E305" s="561" t="str">
        <f t="shared" si="17"/>
        <v/>
      </c>
      <c r="F305" s="561" t="str">
        <f t="shared" si="18"/>
        <v/>
      </c>
      <c r="G305" s="561" t="str">
        <f t="shared" si="13"/>
        <v/>
      </c>
      <c r="H305" s="561" t="str">
        <f t="shared" si="19"/>
        <v/>
      </c>
      <c r="I305" s="561" t="str">
        <f t="shared" ca="1" si="20"/>
        <v/>
      </c>
      <c r="J305" s="561" t="str">
        <f t="shared" ca="1" si="21"/>
        <v/>
      </c>
      <c r="K305" s="561" t="str">
        <f t="shared" ca="1" si="22"/>
        <v/>
      </c>
      <c r="L305" s="561" t="str">
        <f t="shared" ca="1" si="23"/>
        <v/>
      </c>
      <c r="M305" s="560" t="str">
        <f t="shared" si="14"/>
        <v/>
      </c>
      <c r="N305" s="560" t="str">
        <f t="shared" ca="1" si="15"/>
        <v/>
      </c>
      <c r="O305" s="636" t="str">
        <f t="shared" ca="1" si="24"/>
        <v/>
      </c>
      <c r="Q305" s="1133"/>
    </row>
    <row r="306" spans="2:17" x14ac:dyDescent="0.3">
      <c r="B306" s="126"/>
      <c r="C306" s="607">
        <v>76</v>
      </c>
      <c r="D306" s="561" t="str">
        <f t="shared" si="16"/>
        <v/>
      </c>
      <c r="E306" s="561" t="str">
        <f t="shared" si="17"/>
        <v/>
      </c>
      <c r="F306" s="561" t="str">
        <f t="shared" si="18"/>
        <v/>
      </c>
      <c r="G306" s="561" t="str">
        <f t="shared" si="13"/>
        <v/>
      </c>
      <c r="H306" s="561" t="str">
        <f t="shared" si="19"/>
        <v/>
      </c>
      <c r="I306" s="561" t="str">
        <f t="shared" ca="1" si="20"/>
        <v/>
      </c>
      <c r="J306" s="561" t="str">
        <f t="shared" ca="1" si="21"/>
        <v/>
      </c>
      <c r="K306" s="561" t="str">
        <f t="shared" ca="1" si="22"/>
        <v/>
      </c>
      <c r="L306" s="561" t="str">
        <f t="shared" ca="1" si="23"/>
        <v/>
      </c>
      <c r="M306" s="560" t="str">
        <f t="shared" si="14"/>
        <v/>
      </c>
      <c r="N306" s="560" t="str">
        <f t="shared" ca="1" si="15"/>
        <v/>
      </c>
      <c r="O306" s="636" t="str">
        <f t="shared" ca="1" si="24"/>
        <v/>
      </c>
      <c r="Q306" s="1133"/>
    </row>
    <row r="307" spans="2:17" x14ac:dyDescent="0.3">
      <c r="B307" s="126"/>
      <c r="C307" s="607">
        <v>77</v>
      </c>
      <c r="D307" s="561" t="str">
        <f t="shared" si="16"/>
        <v/>
      </c>
      <c r="E307" s="561" t="str">
        <f t="shared" si="17"/>
        <v/>
      </c>
      <c r="F307" s="561" t="str">
        <f t="shared" si="18"/>
        <v/>
      </c>
      <c r="G307" s="561" t="str">
        <f t="shared" si="13"/>
        <v/>
      </c>
      <c r="H307" s="561" t="str">
        <f t="shared" si="19"/>
        <v/>
      </c>
      <c r="I307" s="561" t="str">
        <f t="shared" ca="1" si="20"/>
        <v/>
      </c>
      <c r="J307" s="561" t="str">
        <f t="shared" ca="1" si="21"/>
        <v/>
      </c>
      <c r="K307" s="561" t="str">
        <f t="shared" ca="1" si="22"/>
        <v/>
      </c>
      <c r="L307" s="561" t="str">
        <f t="shared" ca="1" si="23"/>
        <v/>
      </c>
      <c r="M307" s="560" t="str">
        <f t="shared" si="14"/>
        <v/>
      </c>
      <c r="N307" s="560" t="str">
        <f t="shared" ca="1" si="15"/>
        <v/>
      </c>
      <c r="O307" s="636" t="str">
        <f t="shared" ca="1" si="24"/>
        <v/>
      </c>
      <c r="Q307" s="1133"/>
    </row>
    <row r="308" spans="2:17" x14ac:dyDescent="0.3">
      <c r="B308" s="126"/>
      <c r="C308" s="607">
        <v>78</v>
      </c>
      <c r="D308" s="561" t="str">
        <f t="shared" si="16"/>
        <v/>
      </c>
      <c r="E308" s="561" t="str">
        <f t="shared" si="17"/>
        <v/>
      </c>
      <c r="F308" s="561" t="str">
        <f t="shared" si="18"/>
        <v/>
      </c>
      <c r="G308" s="561" t="str">
        <f t="shared" si="13"/>
        <v/>
      </c>
      <c r="H308" s="561" t="str">
        <f t="shared" si="19"/>
        <v/>
      </c>
      <c r="I308" s="561" t="str">
        <f t="shared" ca="1" si="20"/>
        <v/>
      </c>
      <c r="J308" s="561" t="str">
        <f t="shared" ca="1" si="21"/>
        <v/>
      </c>
      <c r="K308" s="561" t="str">
        <f t="shared" ca="1" si="22"/>
        <v/>
      </c>
      <c r="L308" s="561" t="str">
        <f t="shared" ca="1" si="23"/>
        <v/>
      </c>
      <c r="M308" s="560" t="str">
        <f t="shared" si="14"/>
        <v/>
      </c>
      <c r="N308" s="560" t="str">
        <f t="shared" ca="1" si="15"/>
        <v/>
      </c>
      <c r="O308" s="636" t="str">
        <f t="shared" ca="1" si="24"/>
        <v/>
      </c>
      <c r="Q308" s="1133"/>
    </row>
    <row r="309" spans="2:17" x14ac:dyDescent="0.3">
      <c r="B309" s="126"/>
      <c r="C309" s="607">
        <v>79</v>
      </c>
      <c r="D309" s="561" t="str">
        <f t="shared" si="16"/>
        <v/>
      </c>
      <c r="E309" s="561" t="str">
        <f t="shared" si="17"/>
        <v/>
      </c>
      <c r="F309" s="561" t="str">
        <f t="shared" si="18"/>
        <v/>
      </c>
      <c r="G309" s="561" t="str">
        <f t="shared" si="13"/>
        <v/>
      </c>
      <c r="H309" s="561" t="str">
        <f t="shared" si="19"/>
        <v/>
      </c>
      <c r="I309" s="561" t="str">
        <f t="shared" ca="1" si="20"/>
        <v/>
      </c>
      <c r="J309" s="561" t="str">
        <f t="shared" ca="1" si="21"/>
        <v/>
      </c>
      <c r="K309" s="561" t="str">
        <f t="shared" ca="1" si="22"/>
        <v/>
      </c>
      <c r="L309" s="561" t="str">
        <f t="shared" ca="1" si="23"/>
        <v/>
      </c>
      <c r="M309" s="560" t="str">
        <f t="shared" si="14"/>
        <v/>
      </c>
      <c r="N309" s="560" t="str">
        <f t="shared" ca="1" si="15"/>
        <v/>
      </c>
      <c r="O309" s="636" t="str">
        <f t="shared" ca="1" si="24"/>
        <v/>
      </c>
      <c r="Q309" s="1133"/>
    </row>
    <row r="310" spans="2:17" x14ac:dyDescent="0.3">
      <c r="B310" s="126"/>
      <c r="C310" s="607">
        <v>80</v>
      </c>
      <c r="D310" s="561" t="str">
        <f t="shared" si="16"/>
        <v/>
      </c>
      <c r="E310" s="561" t="str">
        <f t="shared" si="17"/>
        <v/>
      </c>
      <c r="F310" s="561" t="str">
        <f t="shared" si="18"/>
        <v/>
      </c>
      <c r="G310" s="561" t="str">
        <f t="shared" si="13"/>
        <v/>
      </c>
      <c r="H310" s="561" t="str">
        <f t="shared" si="19"/>
        <v/>
      </c>
      <c r="I310" s="561" t="str">
        <f t="shared" ca="1" si="20"/>
        <v/>
      </c>
      <c r="J310" s="561" t="str">
        <f t="shared" ca="1" si="21"/>
        <v/>
      </c>
      <c r="K310" s="561" t="str">
        <f t="shared" ca="1" si="22"/>
        <v/>
      </c>
      <c r="L310" s="561" t="str">
        <f t="shared" ca="1" si="23"/>
        <v/>
      </c>
      <c r="M310" s="560" t="str">
        <f t="shared" si="14"/>
        <v/>
      </c>
      <c r="N310" s="560" t="str">
        <f t="shared" ca="1" si="15"/>
        <v/>
      </c>
      <c r="O310" s="636" t="str">
        <f t="shared" ca="1" si="24"/>
        <v/>
      </c>
      <c r="Q310" s="1133"/>
    </row>
    <row r="311" spans="2:17" x14ac:dyDescent="0.3">
      <c r="B311" s="126"/>
      <c r="C311" s="607">
        <v>81</v>
      </c>
      <c r="D311" s="561" t="str">
        <f t="shared" si="16"/>
        <v/>
      </c>
      <c r="E311" s="561" t="str">
        <f t="shared" si="17"/>
        <v/>
      </c>
      <c r="F311" s="561" t="str">
        <f t="shared" si="18"/>
        <v/>
      </c>
      <c r="G311" s="561" t="str">
        <f t="shared" si="13"/>
        <v/>
      </c>
      <c r="H311" s="561" t="str">
        <f t="shared" si="19"/>
        <v/>
      </c>
      <c r="I311" s="561" t="str">
        <f t="shared" ca="1" si="20"/>
        <v/>
      </c>
      <c r="J311" s="561" t="str">
        <f t="shared" ca="1" si="21"/>
        <v/>
      </c>
      <c r="K311" s="561" t="str">
        <f t="shared" ca="1" si="22"/>
        <v/>
      </c>
      <c r="L311" s="561" t="str">
        <f t="shared" ca="1" si="23"/>
        <v/>
      </c>
      <c r="M311" s="560" t="str">
        <f t="shared" si="14"/>
        <v/>
      </c>
      <c r="N311" s="560" t="str">
        <f t="shared" ca="1" si="15"/>
        <v/>
      </c>
      <c r="O311" s="636" t="str">
        <f t="shared" ca="1" si="24"/>
        <v/>
      </c>
      <c r="Q311" s="1133"/>
    </row>
    <row r="312" spans="2:17" x14ac:dyDescent="0.3">
      <c r="B312" s="126"/>
      <c r="C312" s="607">
        <v>82</v>
      </c>
      <c r="D312" s="561" t="str">
        <f t="shared" si="16"/>
        <v/>
      </c>
      <c r="E312" s="561" t="str">
        <f t="shared" si="17"/>
        <v/>
      </c>
      <c r="F312" s="561" t="str">
        <f t="shared" si="18"/>
        <v/>
      </c>
      <c r="G312" s="561" t="str">
        <f t="shared" si="13"/>
        <v/>
      </c>
      <c r="H312" s="561" t="str">
        <f t="shared" si="19"/>
        <v/>
      </c>
      <c r="I312" s="561" t="str">
        <f t="shared" ca="1" si="20"/>
        <v/>
      </c>
      <c r="J312" s="561" t="str">
        <f t="shared" ca="1" si="21"/>
        <v/>
      </c>
      <c r="K312" s="561" t="str">
        <f t="shared" ca="1" si="22"/>
        <v/>
      </c>
      <c r="L312" s="561" t="str">
        <f t="shared" ca="1" si="23"/>
        <v/>
      </c>
      <c r="M312" s="560" t="str">
        <f t="shared" si="14"/>
        <v/>
      </c>
      <c r="N312" s="560" t="str">
        <f t="shared" ca="1" si="15"/>
        <v/>
      </c>
      <c r="O312" s="636" t="str">
        <f t="shared" ca="1" si="24"/>
        <v/>
      </c>
      <c r="Q312" s="1133"/>
    </row>
    <row r="313" spans="2:17" x14ac:dyDescent="0.3">
      <c r="B313" s="126"/>
      <c r="C313" s="607">
        <v>83</v>
      </c>
      <c r="D313" s="561" t="str">
        <f t="shared" si="16"/>
        <v/>
      </c>
      <c r="E313" s="561" t="str">
        <f t="shared" si="17"/>
        <v/>
      </c>
      <c r="F313" s="561" t="str">
        <f t="shared" si="18"/>
        <v/>
      </c>
      <c r="G313" s="561" t="str">
        <f t="shared" si="13"/>
        <v/>
      </c>
      <c r="H313" s="561" t="str">
        <f t="shared" si="19"/>
        <v/>
      </c>
      <c r="I313" s="561" t="str">
        <f t="shared" ca="1" si="20"/>
        <v/>
      </c>
      <c r="J313" s="561" t="str">
        <f t="shared" ca="1" si="21"/>
        <v/>
      </c>
      <c r="K313" s="561" t="str">
        <f t="shared" ca="1" si="22"/>
        <v/>
      </c>
      <c r="L313" s="561" t="str">
        <f t="shared" ca="1" si="23"/>
        <v/>
      </c>
      <c r="M313" s="560" t="str">
        <f t="shared" si="14"/>
        <v/>
      </c>
      <c r="N313" s="560" t="str">
        <f t="shared" ca="1" si="15"/>
        <v/>
      </c>
      <c r="O313" s="636" t="str">
        <f t="shared" ca="1" si="24"/>
        <v/>
      </c>
      <c r="Q313" s="1133"/>
    </row>
    <row r="314" spans="2:17" x14ac:dyDescent="0.3">
      <c r="B314" s="126"/>
      <c r="C314" s="607">
        <v>84</v>
      </c>
      <c r="D314" s="561" t="str">
        <f t="shared" si="16"/>
        <v/>
      </c>
      <c r="E314" s="561" t="str">
        <f t="shared" si="17"/>
        <v/>
      </c>
      <c r="F314" s="561" t="str">
        <f t="shared" si="18"/>
        <v/>
      </c>
      <c r="G314" s="561" t="str">
        <f t="shared" si="13"/>
        <v/>
      </c>
      <c r="H314" s="561" t="str">
        <f t="shared" si="19"/>
        <v/>
      </c>
      <c r="I314" s="561" t="str">
        <f t="shared" ca="1" si="20"/>
        <v/>
      </c>
      <c r="J314" s="561" t="str">
        <f t="shared" ca="1" si="21"/>
        <v/>
      </c>
      <c r="K314" s="561" t="str">
        <f t="shared" ca="1" si="22"/>
        <v/>
      </c>
      <c r="L314" s="561" t="str">
        <f t="shared" ca="1" si="23"/>
        <v/>
      </c>
      <c r="M314" s="560" t="str">
        <f t="shared" si="14"/>
        <v/>
      </c>
      <c r="N314" s="560" t="str">
        <f t="shared" ca="1" si="15"/>
        <v/>
      </c>
      <c r="O314" s="636" t="str">
        <f t="shared" ca="1" si="24"/>
        <v/>
      </c>
      <c r="Q314" s="1133"/>
    </row>
    <row r="315" spans="2:17" x14ac:dyDescent="0.3">
      <c r="B315" s="126"/>
      <c r="C315" s="607">
        <v>85</v>
      </c>
      <c r="D315" s="561" t="str">
        <f t="shared" si="16"/>
        <v/>
      </c>
      <c r="E315" s="561" t="str">
        <f t="shared" si="17"/>
        <v/>
      </c>
      <c r="F315" s="561" t="str">
        <f t="shared" si="18"/>
        <v/>
      </c>
      <c r="G315" s="561" t="str">
        <f t="shared" si="13"/>
        <v/>
      </c>
      <c r="H315" s="561" t="str">
        <f t="shared" si="19"/>
        <v/>
      </c>
      <c r="I315" s="561" t="str">
        <f t="shared" ca="1" si="20"/>
        <v/>
      </c>
      <c r="J315" s="561" t="str">
        <f t="shared" ca="1" si="21"/>
        <v/>
      </c>
      <c r="K315" s="561" t="str">
        <f t="shared" ca="1" si="22"/>
        <v/>
      </c>
      <c r="L315" s="561" t="str">
        <f t="shared" ca="1" si="23"/>
        <v/>
      </c>
      <c r="M315" s="560" t="str">
        <f t="shared" si="14"/>
        <v/>
      </c>
      <c r="N315" s="560" t="str">
        <f t="shared" ca="1" si="15"/>
        <v/>
      </c>
      <c r="O315" s="636" t="str">
        <f t="shared" ca="1" si="24"/>
        <v/>
      </c>
      <c r="Q315" s="1133"/>
    </row>
    <row r="316" spans="2:17" x14ac:dyDescent="0.3">
      <c r="B316" s="126"/>
      <c r="C316" s="607">
        <v>86</v>
      </c>
      <c r="D316" s="561" t="str">
        <f t="shared" si="16"/>
        <v/>
      </c>
      <c r="E316" s="561" t="str">
        <f t="shared" si="17"/>
        <v/>
      </c>
      <c r="F316" s="561" t="str">
        <f t="shared" si="18"/>
        <v/>
      </c>
      <c r="G316" s="561" t="str">
        <f t="shared" si="13"/>
        <v/>
      </c>
      <c r="H316" s="561" t="str">
        <f t="shared" si="19"/>
        <v/>
      </c>
      <c r="I316" s="561" t="str">
        <f t="shared" ca="1" si="20"/>
        <v/>
      </c>
      <c r="J316" s="561" t="str">
        <f t="shared" ca="1" si="21"/>
        <v/>
      </c>
      <c r="K316" s="561" t="str">
        <f t="shared" ca="1" si="22"/>
        <v/>
      </c>
      <c r="L316" s="561" t="str">
        <f t="shared" ca="1" si="23"/>
        <v/>
      </c>
      <c r="M316" s="560" t="str">
        <f t="shared" si="14"/>
        <v/>
      </c>
      <c r="N316" s="560" t="str">
        <f t="shared" ca="1" si="15"/>
        <v/>
      </c>
      <c r="O316" s="636" t="str">
        <f t="shared" ca="1" si="24"/>
        <v/>
      </c>
      <c r="Q316" s="1133"/>
    </row>
    <row r="317" spans="2:17" x14ac:dyDescent="0.3">
      <c r="B317" s="126"/>
      <c r="C317" s="607">
        <v>87</v>
      </c>
      <c r="D317" s="561" t="str">
        <f t="shared" si="16"/>
        <v/>
      </c>
      <c r="E317" s="561" t="str">
        <f t="shared" si="17"/>
        <v/>
      </c>
      <c r="F317" s="561" t="str">
        <f t="shared" si="18"/>
        <v/>
      </c>
      <c r="G317" s="561" t="str">
        <f t="shared" si="13"/>
        <v/>
      </c>
      <c r="H317" s="561" t="str">
        <f t="shared" si="19"/>
        <v/>
      </c>
      <c r="I317" s="561" t="str">
        <f t="shared" ca="1" si="20"/>
        <v/>
      </c>
      <c r="J317" s="561" t="str">
        <f t="shared" ca="1" si="21"/>
        <v/>
      </c>
      <c r="K317" s="561" t="str">
        <f t="shared" ca="1" si="22"/>
        <v/>
      </c>
      <c r="L317" s="561" t="str">
        <f t="shared" ca="1" si="23"/>
        <v/>
      </c>
      <c r="M317" s="560" t="str">
        <f t="shared" si="14"/>
        <v/>
      </c>
      <c r="N317" s="560" t="str">
        <f t="shared" ca="1" si="15"/>
        <v/>
      </c>
      <c r="O317" s="636" t="str">
        <f t="shared" ca="1" si="24"/>
        <v/>
      </c>
      <c r="Q317" s="1133"/>
    </row>
    <row r="318" spans="2:17" x14ac:dyDescent="0.3">
      <c r="B318" s="126"/>
      <c r="C318" s="607">
        <v>88</v>
      </c>
      <c r="D318" s="561" t="str">
        <f t="shared" si="16"/>
        <v/>
      </c>
      <c r="E318" s="561" t="str">
        <f t="shared" si="17"/>
        <v/>
      </c>
      <c r="F318" s="561" t="str">
        <f t="shared" si="18"/>
        <v/>
      </c>
      <c r="G318" s="561" t="str">
        <f t="shared" si="13"/>
        <v/>
      </c>
      <c r="H318" s="561" t="str">
        <f t="shared" si="19"/>
        <v/>
      </c>
      <c r="I318" s="561" t="str">
        <f t="shared" ca="1" si="20"/>
        <v/>
      </c>
      <c r="J318" s="561" t="str">
        <f t="shared" ca="1" si="21"/>
        <v/>
      </c>
      <c r="K318" s="561" t="str">
        <f t="shared" ca="1" si="22"/>
        <v/>
      </c>
      <c r="L318" s="561" t="str">
        <f t="shared" ca="1" si="23"/>
        <v/>
      </c>
      <c r="M318" s="560" t="str">
        <f t="shared" si="14"/>
        <v/>
      </c>
      <c r="N318" s="560" t="str">
        <f t="shared" ca="1" si="15"/>
        <v/>
      </c>
      <c r="O318" s="636" t="str">
        <f t="shared" ca="1" si="24"/>
        <v/>
      </c>
      <c r="Q318" s="1133"/>
    </row>
    <row r="319" spans="2:17" x14ac:dyDescent="0.3">
      <c r="B319" s="126"/>
      <c r="C319" s="607">
        <v>89</v>
      </c>
      <c r="D319" s="561" t="str">
        <f t="shared" si="16"/>
        <v/>
      </c>
      <c r="E319" s="561" t="str">
        <f t="shared" si="17"/>
        <v/>
      </c>
      <c r="F319" s="561" t="str">
        <f t="shared" si="18"/>
        <v/>
      </c>
      <c r="G319" s="561" t="str">
        <f t="shared" si="13"/>
        <v/>
      </c>
      <c r="H319" s="561" t="str">
        <f t="shared" si="19"/>
        <v/>
      </c>
      <c r="I319" s="561" t="str">
        <f t="shared" ca="1" si="20"/>
        <v/>
      </c>
      <c r="J319" s="561" t="str">
        <f t="shared" ca="1" si="21"/>
        <v/>
      </c>
      <c r="K319" s="561" t="str">
        <f t="shared" ca="1" si="22"/>
        <v/>
      </c>
      <c r="L319" s="561" t="str">
        <f t="shared" ca="1" si="23"/>
        <v/>
      </c>
      <c r="M319" s="560" t="str">
        <f t="shared" si="14"/>
        <v/>
      </c>
      <c r="N319" s="560" t="str">
        <f t="shared" ca="1" si="15"/>
        <v/>
      </c>
      <c r="O319" s="636" t="str">
        <f t="shared" ca="1" si="24"/>
        <v/>
      </c>
      <c r="Q319" s="1133"/>
    </row>
    <row r="320" spans="2:17" x14ac:dyDescent="0.3">
      <c r="B320" s="126"/>
      <c r="C320" s="607">
        <v>90</v>
      </c>
      <c r="D320" s="561" t="str">
        <f t="shared" si="16"/>
        <v/>
      </c>
      <c r="E320" s="561" t="str">
        <f t="shared" si="17"/>
        <v/>
      </c>
      <c r="F320" s="561" t="str">
        <f t="shared" si="18"/>
        <v/>
      </c>
      <c r="G320" s="561" t="str">
        <f t="shared" si="13"/>
        <v/>
      </c>
      <c r="H320" s="561" t="str">
        <f t="shared" si="19"/>
        <v/>
      </c>
      <c r="I320" s="561" t="str">
        <f t="shared" ca="1" si="20"/>
        <v/>
      </c>
      <c r="J320" s="561" t="str">
        <f t="shared" ca="1" si="21"/>
        <v/>
      </c>
      <c r="K320" s="561" t="str">
        <f t="shared" ca="1" si="22"/>
        <v/>
      </c>
      <c r="L320" s="561" t="str">
        <f t="shared" ca="1" si="23"/>
        <v/>
      </c>
      <c r="M320" s="560" t="str">
        <f t="shared" si="14"/>
        <v/>
      </c>
      <c r="N320" s="560" t="str">
        <f t="shared" ca="1" si="15"/>
        <v/>
      </c>
      <c r="O320" s="636" t="str">
        <f t="shared" ca="1" si="24"/>
        <v/>
      </c>
      <c r="Q320" s="1133"/>
    </row>
    <row r="321" spans="2:17" x14ac:dyDescent="0.3">
      <c r="B321" s="126"/>
      <c r="C321" s="607">
        <v>91</v>
      </c>
      <c r="D321" s="561" t="str">
        <f t="shared" si="16"/>
        <v/>
      </c>
      <c r="E321" s="561" t="str">
        <f t="shared" si="17"/>
        <v/>
      </c>
      <c r="F321" s="561" t="str">
        <f t="shared" si="18"/>
        <v/>
      </c>
      <c r="G321" s="561" t="str">
        <f t="shared" si="13"/>
        <v/>
      </c>
      <c r="H321" s="561" t="str">
        <f t="shared" si="19"/>
        <v/>
      </c>
      <c r="I321" s="561" t="str">
        <f t="shared" ca="1" si="20"/>
        <v/>
      </c>
      <c r="J321" s="561" t="str">
        <f t="shared" ca="1" si="21"/>
        <v/>
      </c>
      <c r="K321" s="561" t="str">
        <f t="shared" ca="1" si="22"/>
        <v/>
      </c>
      <c r="L321" s="561" t="str">
        <f t="shared" ca="1" si="23"/>
        <v/>
      </c>
      <c r="M321" s="560" t="str">
        <f t="shared" si="14"/>
        <v/>
      </c>
      <c r="N321" s="560" t="str">
        <f t="shared" ca="1" si="15"/>
        <v/>
      </c>
      <c r="O321" s="636" t="str">
        <f t="shared" ca="1" si="24"/>
        <v/>
      </c>
      <c r="Q321" s="1133"/>
    </row>
    <row r="322" spans="2:17" x14ac:dyDescent="0.3">
      <c r="B322" s="126"/>
      <c r="C322" s="607">
        <v>92</v>
      </c>
      <c r="D322" s="561" t="str">
        <f t="shared" si="16"/>
        <v/>
      </c>
      <c r="E322" s="561" t="str">
        <f t="shared" si="17"/>
        <v/>
      </c>
      <c r="F322" s="561" t="str">
        <f t="shared" si="18"/>
        <v/>
      </c>
      <c r="G322" s="561" t="str">
        <f t="shared" si="13"/>
        <v/>
      </c>
      <c r="H322" s="561" t="str">
        <f t="shared" si="19"/>
        <v/>
      </c>
      <c r="I322" s="561" t="str">
        <f t="shared" ca="1" si="20"/>
        <v/>
      </c>
      <c r="J322" s="561" t="str">
        <f t="shared" ca="1" si="21"/>
        <v/>
      </c>
      <c r="K322" s="561" t="str">
        <f t="shared" ca="1" si="22"/>
        <v/>
      </c>
      <c r="L322" s="561" t="str">
        <f t="shared" ca="1" si="23"/>
        <v/>
      </c>
      <c r="M322" s="560" t="str">
        <f t="shared" si="14"/>
        <v/>
      </c>
      <c r="N322" s="560" t="str">
        <f t="shared" ca="1" si="15"/>
        <v/>
      </c>
      <c r="O322" s="636" t="str">
        <f t="shared" ca="1" si="24"/>
        <v/>
      </c>
      <c r="Q322" s="1133"/>
    </row>
    <row r="323" spans="2:17" x14ac:dyDescent="0.3">
      <c r="B323" s="126"/>
      <c r="C323" s="607">
        <v>93</v>
      </c>
      <c r="D323" s="561" t="str">
        <f t="shared" si="16"/>
        <v/>
      </c>
      <c r="E323" s="561" t="str">
        <f t="shared" si="17"/>
        <v/>
      </c>
      <c r="F323" s="561" t="str">
        <f t="shared" si="18"/>
        <v/>
      </c>
      <c r="G323" s="561" t="str">
        <f t="shared" si="13"/>
        <v/>
      </c>
      <c r="H323" s="561" t="str">
        <f t="shared" si="19"/>
        <v/>
      </c>
      <c r="I323" s="561" t="str">
        <f t="shared" ca="1" si="20"/>
        <v/>
      </c>
      <c r="J323" s="561" t="str">
        <f t="shared" ca="1" si="21"/>
        <v/>
      </c>
      <c r="K323" s="561" t="str">
        <f t="shared" ca="1" si="22"/>
        <v/>
      </c>
      <c r="L323" s="561" t="str">
        <f t="shared" ca="1" si="23"/>
        <v/>
      </c>
      <c r="M323" s="560" t="str">
        <f t="shared" si="14"/>
        <v/>
      </c>
      <c r="N323" s="560" t="str">
        <f t="shared" ca="1" si="15"/>
        <v/>
      </c>
      <c r="O323" s="636" t="str">
        <f t="shared" ca="1" si="24"/>
        <v/>
      </c>
      <c r="Q323" s="1133"/>
    </row>
    <row r="324" spans="2:17" x14ac:dyDescent="0.3">
      <c r="B324" s="126"/>
      <c r="C324" s="607">
        <v>94</v>
      </c>
      <c r="D324" s="561" t="str">
        <f t="shared" si="16"/>
        <v/>
      </c>
      <c r="E324" s="561" t="str">
        <f t="shared" si="17"/>
        <v/>
      </c>
      <c r="F324" s="561" t="str">
        <f t="shared" si="18"/>
        <v/>
      </c>
      <c r="G324" s="561" t="str">
        <f t="shared" si="13"/>
        <v/>
      </c>
      <c r="H324" s="561" t="str">
        <f t="shared" si="19"/>
        <v/>
      </c>
      <c r="I324" s="561" t="str">
        <f t="shared" ca="1" si="20"/>
        <v/>
      </c>
      <c r="J324" s="561" t="str">
        <f t="shared" ca="1" si="21"/>
        <v/>
      </c>
      <c r="K324" s="561" t="str">
        <f t="shared" ca="1" si="22"/>
        <v/>
      </c>
      <c r="L324" s="561" t="str">
        <f t="shared" ca="1" si="23"/>
        <v/>
      </c>
      <c r="M324" s="560" t="str">
        <f t="shared" si="14"/>
        <v/>
      </c>
      <c r="N324" s="560" t="str">
        <f t="shared" ca="1" si="15"/>
        <v/>
      </c>
      <c r="O324" s="636" t="str">
        <f t="shared" ca="1" si="24"/>
        <v/>
      </c>
      <c r="Q324" s="1133"/>
    </row>
    <row r="325" spans="2:17" x14ac:dyDescent="0.3">
      <c r="B325" s="126"/>
      <c r="C325" s="607">
        <v>95</v>
      </c>
      <c r="D325" s="561" t="str">
        <f t="shared" si="16"/>
        <v/>
      </c>
      <c r="E325" s="561" t="str">
        <f t="shared" si="17"/>
        <v/>
      </c>
      <c r="F325" s="561" t="str">
        <f t="shared" si="18"/>
        <v/>
      </c>
      <c r="G325" s="561" t="str">
        <f t="shared" si="13"/>
        <v/>
      </c>
      <c r="H325" s="561" t="str">
        <f t="shared" si="19"/>
        <v/>
      </c>
      <c r="I325" s="561" t="str">
        <f t="shared" ca="1" si="20"/>
        <v/>
      </c>
      <c r="J325" s="561" t="str">
        <f t="shared" ca="1" si="21"/>
        <v/>
      </c>
      <c r="K325" s="561" t="str">
        <f t="shared" ca="1" si="22"/>
        <v/>
      </c>
      <c r="L325" s="561" t="str">
        <f t="shared" ca="1" si="23"/>
        <v/>
      </c>
      <c r="M325" s="560" t="str">
        <f t="shared" si="14"/>
        <v/>
      </c>
      <c r="N325" s="560" t="str">
        <f t="shared" ca="1" si="15"/>
        <v/>
      </c>
      <c r="O325" s="636" t="str">
        <f t="shared" ca="1" si="24"/>
        <v/>
      </c>
      <c r="Q325" s="1133"/>
    </row>
    <row r="326" spans="2:17" x14ac:dyDescent="0.3">
      <c r="B326" s="126"/>
      <c r="C326" s="607">
        <v>96</v>
      </c>
      <c r="D326" s="561" t="str">
        <f t="shared" si="16"/>
        <v/>
      </c>
      <c r="E326" s="561" t="str">
        <f t="shared" si="17"/>
        <v/>
      </c>
      <c r="F326" s="561" t="str">
        <f t="shared" si="18"/>
        <v/>
      </c>
      <c r="G326" s="561" t="str">
        <f t="shared" si="13"/>
        <v/>
      </c>
      <c r="H326" s="561" t="str">
        <f t="shared" si="19"/>
        <v/>
      </c>
      <c r="I326" s="561" t="str">
        <f t="shared" ca="1" si="20"/>
        <v/>
      </c>
      <c r="J326" s="561" t="str">
        <f t="shared" ca="1" si="21"/>
        <v/>
      </c>
      <c r="K326" s="561" t="str">
        <f t="shared" ca="1" si="22"/>
        <v/>
      </c>
      <c r="L326" s="561" t="str">
        <f t="shared" ca="1" si="23"/>
        <v/>
      </c>
      <c r="M326" s="560" t="str">
        <f t="shared" si="14"/>
        <v/>
      </c>
      <c r="N326" s="560" t="str">
        <f t="shared" ca="1" si="15"/>
        <v/>
      </c>
      <c r="O326" s="636" t="str">
        <f t="shared" ca="1" si="24"/>
        <v/>
      </c>
      <c r="Q326" s="1133"/>
    </row>
    <row r="327" spans="2:17" x14ac:dyDescent="0.3">
      <c r="B327" s="126"/>
      <c r="C327" s="607">
        <v>97</v>
      </c>
      <c r="D327" s="561" t="str">
        <f t="shared" si="16"/>
        <v/>
      </c>
      <c r="E327" s="561" t="str">
        <f t="shared" si="17"/>
        <v/>
      </c>
      <c r="F327" s="561" t="str">
        <f t="shared" si="18"/>
        <v/>
      </c>
      <c r="G327" s="561" t="str">
        <f t="shared" si="13"/>
        <v/>
      </c>
      <c r="H327" s="561" t="str">
        <f t="shared" si="19"/>
        <v/>
      </c>
      <c r="I327" s="561" t="str">
        <f t="shared" ca="1" si="20"/>
        <v/>
      </c>
      <c r="J327" s="561" t="str">
        <f t="shared" ca="1" si="21"/>
        <v/>
      </c>
      <c r="K327" s="561" t="str">
        <f t="shared" ca="1" si="22"/>
        <v/>
      </c>
      <c r="L327" s="561" t="str">
        <f t="shared" ca="1" si="23"/>
        <v/>
      </c>
      <c r="M327" s="560" t="str">
        <f t="shared" si="14"/>
        <v/>
      </c>
      <c r="N327" s="560" t="str">
        <f t="shared" ca="1" si="15"/>
        <v/>
      </c>
      <c r="O327" s="636" t="str">
        <f t="shared" ca="1" si="24"/>
        <v/>
      </c>
      <c r="Q327" s="1133"/>
    </row>
    <row r="328" spans="2:17" x14ac:dyDescent="0.3">
      <c r="B328" s="126"/>
      <c r="C328" s="607">
        <v>98</v>
      </c>
      <c r="D328" s="561" t="str">
        <f t="shared" si="16"/>
        <v/>
      </c>
      <c r="E328" s="561" t="str">
        <f t="shared" si="17"/>
        <v/>
      </c>
      <c r="F328" s="561" t="str">
        <f t="shared" si="18"/>
        <v/>
      </c>
      <c r="G328" s="561" t="str">
        <f t="shared" si="13"/>
        <v/>
      </c>
      <c r="H328" s="561" t="str">
        <f t="shared" si="19"/>
        <v/>
      </c>
      <c r="I328" s="561" t="str">
        <f t="shared" ca="1" si="20"/>
        <v/>
      </c>
      <c r="J328" s="561" t="str">
        <f t="shared" ca="1" si="21"/>
        <v/>
      </c>
      <c r="K328" s="561" t="str">
        <f t="shared" ca="1" si="22"/>
        <v/>
      </c>
      <c r="L328" s="561" t="str">
        <f t="shared" ca="1" si="23"/>
        <v/>
      </c>
      <c r="M328" s="560" t="str">
        <f t="shared" si="14"/>
        <v/>
      </c>
      <c r="N328" s="560" t="str">
        <f t="shared" ca="1" si="15"/>
        <v/>
      </c>
      <c r="O328" s="636" t="str">
        <f t="shared" ca="1" si="24"/>
        <v/>
      </c>
      <c r="Q328" s="1133"/>
    </row>
    <row r="329" spans="2:17" x14ac:dyDescent="0.3">
      <c r="B329" s="126"/>
      <c r="C329" s="607">
        <v>99</v>
      </c>
      <c r="D329" s="561" t="str">
        <f t="shared" si="16"/>
        <v/>
      </c>
      <c r="E329" s="561" t="str">
        <f t="shared" si="17"/>
        <v/>
      </c>
      <c r="F329" s="561" t="str">
        <f t="shared" si="18"/>
        <v/>
      </c>
      <c r="G329" s="561" t="str">
        <f t="shared" si="13"/>
        <v/>
      </c>
      <c r="H329" s="561" t="str">
        <f t="shared" si="19"/>
        <v/>
      </c>
      <c r="I329" s="561" t="str">
        <f t="shared" ca="1" si="20"/>
        <v/>
      </c>
      <c r="J329" s="561" t="str">
        <f t="shared" ca="1" si="21"/>
        <v/>
      </c>
      <c r="K329" s="561" t="str">
        <f t="shared" ca="1" si="22"/>
        <v/>
      </c>
      <c r="L329" s="561" t="str">
        <f t="shared" ca="1" si="23"/>
        <v/>
      </c>
      <c r="M329" s="560" t="str">
        <f t="shared" si="14"/>
        <v/>
      </c>
      <c r="N329" s="560" t="str">
        <f t="shared" ca="1" si="15"/>
        <v/>
      </c>
      <c r="O329" s="636" t="str">
        <f t="shared" ca="1" si="24"/>
        <v/>
      </c>
      <c r="Q329" s="1133"/>
    </row>
    <row r="330" spans="2:17" ht="17.25" thickBot="1" x14ac:dyDescent="0.35">
      <c r="B330" s="126"/>
      <c r="C330" s="609">
        <v>100</v>
      </c>
      <c r="D330" s="561" t="str">
        <f t="shared" si="16"/>
        <v/>
      </c>
      <c r="E330" s="561" t="str">
        <f t="shared" si="17"/>
        <v/>
      </c>
      <c r="F330" s="561" t="str">
        <f t="shared" si="18"/>
        <v/>
      </c>
      <c r="G330" s="561" t="str">
        <f t="shared" si="13"/>
        <v/>
      </c>
      <c r="H330" s="561" t="str">
        <f t="shared" si="19"/>
        <v/>
      </c>
      <c r="I330" s="561" t="str">
        <f t="shared" ca="1" si="20"/>
        <v/>
      </c>
      <c r="J330" s="561" t="str">
        <f t="shared" ca="1" si="21"/>
        <v/>
      </c>
      <c r="K330" s="561" t="str">
        <f t="shared" ca="1" si="22"/>
        <v/>
      </c>
      <c r="L330" s="561" t="str">
        <f t="shared" ca="1" si="23"/>
        <v/>
      </c>
      <c r="M330" s="560" t="str">
        <f t="shared" si="14"/>
        <v/>
      </c>
      <c r="N330" s="560" t="str">
        <f t="shared" ca="1" si="15"/>
        <v/>
      </c>
      <c r="O330" s="636" t="str">
        <f t="shared" ca="1" si="24"/>
        <v/>
      </c>
      <c r="Q330" s="1133"/>
    </row>
    <row r="331" spans="2:17" x14ac:dyDescent="0.3">
      <c r="B331" s="126"/>
      <c r="C331" s="126"/>
      <c r="D331" s="126"/>
      <c r="E331" s="577"/>
      <c r="F331" s="577"/>
      <c r="G331" s="577"/>
      <c r="H331" s="577"/>
      <c r="I331" s="577"/>
      <c r="J331" s="122"/>
      <c r="K331" s="122"/>
      <c r="O331" s="1134"/>
      <c r="Q331" s="1133"/>
    </row>
    <row r="332" spans="2:17" ht="17.25" thickBot="1" x14ac:dyDescent="0.35">
      <c r="B332" s="126"/>
      <c r="C332" s="126"/>
      <c r="D332" s="126"/>
      <c r="E332" s="577"/>
      <c r="F332" s="577"/>
      <c r="G332" s="577"/>
      <c r="H332" s="577"/>
      <c r="I332" s="577"/>
      <c r="J332" s="122"/>
      <c r="K332" s="122"/>
      <c r="O332" s="1134"/>
      <c r="Q332" s="1133"/>
    </row>
    <row r="333" spans="2:17" ht="18" thickBot="1" x14ac:dyDescent="0.35">
      <c r="B333" s="126"/>
      <c r="C333" s="487" t="str">
        <f>"ANSI/ASHRAE Sections " &amp; D14 &amp; ".9.19 and " &amp; D14 &amp; ".9.20: Off-Cycle Sensible and Infiltration Heat Loss Integration Factors"</f>
        <v>ANSI/ASHRAE Sections Unknown.9.19 and Unknown.9.20: Off-Cycle Sensible and Infiltration Heat Loss Integration Factors</v>
      </c>
      <c r="D333" s="540"/>
      <c r="E333" s="540"/>
      <c r="F333" s="540"/>
      <c r="G333" s="540"/>
      <c r="H333" s="540"/>
      <c r="I333" s="540"/>
      <c r="J333" s="540"/>
      <c r="K333" s="541"/>
      <c r="O333" s="1134"/>
      <c r="Q333" s="1133"/>
    </row>
    <row r="334" spans="2:17" ht="17.25" thickBot="1" x14ac:dyDescent="0.35">
      <c r="B334" s="126"/>
      <c r="C334" s="1863" t="s">
        <v>536</v>
      </c>
      <c r="D334" s="1864"/>
      <c r="E334" s="1864"/>
      <c r="F334" s="1864"/>
      <c r="G334" s="1864"/>
      <c r="H334" s="1864"/>
      <c r="I334" s="1864"/>
      <c r="J334" s="1864"/>
      <c r="K334" s="1865"/>
      <c r="O334" s="1134"/>
      <c r="Q334" s="1133"/>
    </row>
    <row r="335" spans="2:17" ht="34.5" x14ac:dyDescent="0.3">
      <c r="B335" s="126"/>
      <c r="C335" s="611" t="s">
        <v>488</v>
      </c>
      <c r="D335" s="1193" t="s">
        <v>489</v>
      </c>
      <c r="E335" s="612" t="s">
        <v>136</v>
      </c>
      <c r="F335" s="1195" t="s">
        <v>33</v>
      </c>
      <c r="G335" s="1866" t="s">
        <v>71</v>
      </c>
      <c r="H335" s="1866"/>
      <c r="I335" s="1866"/>
      <c r="J335" s="1866"/>
      <c r="K335" s="1867"/>
      <c r="O335" s="1134"/>
      <c r="Q335" s="1133"/>
    </row>
    <row r="336" spans="2:17" x14ac:dyDescent="0.3">
      <c r="B336" s="126"/>
      <c r="C336" s="580" t="str">
        <f>System_Number</f>
        <v>N/A</v>
      </c>
      <c r="D336" s="578" t="e">
        <f ca="1">OFFSET($D$17,0,MATCH($D$14,$E$14:$E$14,0)+1)</f>
        <v>#N/A</v>
      </c>
      <c r="E336" s="558" t="s">
        <v>175</v>
      </c>
      <c r="F336" s="558" t="s">
        <v>175</v>
      </c>
      <c r="G336" s="1857" t="s">
        <v>39</v>
      </c>
      <c r="H336" s="1857"/>
      <c r="I336" s="1857"/>
      <c r="J336" s="1857"/>
      <c r="K336" s="1858"/>
      <c r="O336" s="1134"/>
      <c r="Q336" s="1133"/>
    </row>
    <row r="337" spans="2:17" x14ac:dyDescent="0.3">
      <c r="B337" s="126"/>
      <c r="C337" s="580" t="str">
        <f>Post_Purge?</f>
        <v>N/A</v>
      </c>
      <c r="D337" s="578" t="e">
        <f ca="1">OFFSET($D$109,0,MATCH($D$14,$E$14:$E$14,0)+1)</f>
        <v>#N/A</v>
      </c>
      <c r="E337" s="558" t="s">
        <v>175</v>
      </c>
      <c r="F337" s="558" t="s">
        <v>175</v>
      </c>
      <c r="G337" s="1857" t="s">
        <v>386</v>
      </c>
      <c r="H337" s="1857"/>
      <c r="I337" s="1857"/>
      <c r="J337" s="1857"/>
      <c r="K337" s="1858"/>
      <c r="O337" s="1134"/>
      <c r="Q337" s="1133"/>
    </row>
    <row r="338" spans="2:17" ht="18" x14ac:dyDescent="0.3">
      <c r="B338" s="126"/>
      <c r="C338" s="581" t="str">
        <f>t.p</f>
        <v>N/A</v>
      </c>
      <c r="D338" s="561" t="e">
        <f ca="1">OFFSET($D$71,0,MATCH($D$14,$E$14:$E$14,0)+1)</f>
        <v>#N/A</v>
      </c>
      <c r="E338" s="558" t="s">
        <v>36</v>
      </c>
      <c r="F338" s="558" t="s">
        <v>608</v>
      </c>
      <c r="G338" s="1857" t="s">
        <v>431</v>
      </c>
      <c r="H338" s="1857"/>
      <c r="I338" s="1857"/>
      <c r="J338" s="1857"/>
      <c r="K338" s="1858"/>
      <c r="O338" s="1134"/>
      <c r="Q338" s="1133"/>
    </row>
    <row r="339" spans="2:17" ht="18" x14ac:dyDescent="0.3">
      <c r="B339" s="126"/>
      <c r="C339" s="581" t="str">
        <f>t.OFF</f>
        <v>N/A</v>
      </c>
      <c r="D339" s="561" t="e">
        <f ca="1">OFFSET($D$84,0,MATCH($D$14,$E$14:$E$14,0)+1)</f>
        <v>#N/A</v>
      </c>
      <c r="E339" s="558" t="s">
        <v>36</v>
      </c>
      <c r="F339" s="558" t="s">
        <v>628</v>
      </c>
      <c r="G339" s="1857" t="s">
        <v>443</v>
      </c>
      <c r="H339" s="1857"/>
      <c r="I339" s="1857"/>
      <c r="J339" s="1857"/>
      <c r="K339" s="1858"/>
      <c r="O339" s="1134"/>
      <c r="Q339" s="1133"/>
    </row>
    <row r="340" spans="2:17" ht="18" x14ac:dyDescent="0.3">
      <c r="B340" s="126"/>
      <c r="C340" s="581" t="str">
        <f>Tau.OFF</f>
        <v>N/A</v>
      </c>
      <c r="D340" s="561" t="e">
        <f ca="1">OFFSET($D$75,0,MATCH($D$14,$E$14:$E$14,0)+1)</f>
        <v>#N/A</v>
      </c>
      <c r="E340" s="558" t="s">
        <v>36</v>
      </c>
      <c r="F340" s="558" t="s">
        <v>612</v>
      </c>
      <c r="G340" s="1857" t="s">
        <v>435</v>
      </c>
      <c r="H340" s="1857"/>
      <c r="I340" s="1857"/>
      <c r="J340" s="1857"/>
      <c r="K340" s="1858"/>
      <c r="O340" s="1134"/>
      <c r="Q340" s="1133"/>
    </row>
    <row r="341" spans="2:17" ht="18" x14ac:dyDescent="0.3">
      <c r="B341" s="126"/>
      <c r="C341" s="581" t="str">
        <f>R.OFF</f>
        <v>N/A</v>
      </c>
      <c r="D341" s="561" t="e">
        <f ca="1">OFFSET($D$85,0,MATCH($D$14,$E$14:$E$14,0)+1)</f>
        <v>#N/A</v>
      </c>
      <c r="E341" s="558" t="s">
        <v>175</v>
      </c>
      <c r="F341" s="558" t="s">
        <v>629</v>
      </c>
      <c r="G341" s="1857" t="s">
        <v>444</v>
      </c>
      <c r="H341" s="1857"/>
      <c r="I341" s="1857"/>
      <c r="J341" s="1857"/>
      <c r="K341" s="1858"/>
      <c r="O341" s="1134"/>
      <c r="Q341" s="1133"/>
    </row>
    <row r="342" spans="2:17" ht="18" x14ac:dyDescent="0.3">
      <c r="B342" s="126"/>
      <c r="C342" s="579" t="str">
        <f>IF(C337="Yes",(C339-C338)/C340,"N/A")</f>
        <v>N/A</v>
      </c>
      <c r="D342" s="579" t="e">
        <f ca="1">IF(D337="Yes",(D339-D338)/D340,"N/A")</f>
        <v>#N/A</v>
      </c>
      <c r="E342" s="558" t="s">
        <v>175</v>
      </c>
      <c r="F342" s="558" t="s">
        <v>666</v>
      </c>
      <c r="G342" s="1857" t="s">
        <v>532</v>
      </c>
      <c r="H342" s="1857"/>
      <c r="I342" s="1857"/>
      <c r="J342" s="1857"/>
      <c r="K342" s="1858"/>
      <c r="O342" s="1134"/>
      <c r="Q342" s="1133"/>
    </row>
    <row r="343" spans="2:17" ht="18" x14ac:dyDescent="0.3">
      <c r="B343" s="577"/>
      <c r="C343" s="581" t="str">
        <f>Psi.FO</f>
        <v>N/A</v>
      </c>
      <c r="D343" s="561" t="e">
        <f ca="1">OFFSET($D$90,0,MATCH($D$14,$E$14:$E$14,0)+1)</f>
        <v>#N/A</v>
      </c>
      <c r="E343" s="558" t="s">
        <v>51</v>
      </c>
      <c r="F343" s="558" t="s">
        <v>634</v>
      </c>
      <c r="G343" s="1859" t="s">
        <v>449</v>
      </c>
      <c r="H343" s="1859"/>
      <c r="I343" s="1859"/>
      <c r="J343" s="1859"/>
      <c r="K343" s="1860"/>
      <c r="O343" s="1134"/>
      <c r="Q343" s="1133"/>
    </row>
    <row r="344" spans="2:17" ht="18" x14ac:dyDescent="0.3">
      <c r="B344" s="577"/>
      <c r="C344" s="581" t="str">
        <f>""</f>
        <v/>
      </c>
      <c r="D344" s="561" t="e">
        <f ca="1">OFFSET(#REF!,0,MATCH($D$14,$E$14:$E$14,0)+1)</f>
        <v>#REF!</v>
      </c>
      <c r="E344" s="558" t="s">
        <v>51</v>
      </c>
      <c r="F344" s="558" t="s">
        <v>636</v>
      </c>
      <c r="G344" s="1859" t="s">
        <v>450</v>
      </c>
      <c r="H344" s="1859"/>
      <c r="I344" s="1859"/>
      <c r="J344" s="1859"/>
      <c r="K344" s="1860"/>
      <c r="O344" s="1134"/>
      <c r="Q344" s="1133"/>
    </row>
    <row r="345" spans="2:17" x14ac:dyDescent="0.3">
      <c r="B345" s="126"/>
      <c r="C345" s="583">
        <f>COUNT(C367:C1367)-1</f>
        <v>1000</v>
      </c>
      <c r="D345" s="578">
        <f>COUNT(C367:C1367)-1</f>
        <v>1000</v>
      </c>
      <c r="E345" s="558" t="s">
        <v>175</v>
      </c>
      <c r="F345" s="558" t="s">
        <v>175</v>
      </c>
      <c r="G345" s="1857" t="s">
        <v>531</v>
      </c>
      <c r="H345" s="1857"/>
      <c r="I345" s="1857"/>
      <c r="J345" s="1857"/>
      <c r="K345" s="1858"/>
      <c r="O345" s="1134"/>
      <c r="Q345" s="1133"/>
    </row>
    <row r="346" spans="2:17" ht="17.25" thickBot="1" x14ac:dyDescent="0.35">
      <c r="B346" s="126"/>
      <c r="C346" s="613" t="e">
        <f>(C341-0)/C345</f>
        <v>#VALUE!</v>
      </c>
      <c r="D346" s="593" t="e">
        <f ca="1">(D341-0)/D345</f>
        <v>#N/A</v>
      </c>
      <c r="E346" s="605" t="s">
        <v>175</v>
      </c>
      <c r="F346" s="605" t="s">
        <v>667</v>
      </c>
      <c r="G346" s="1861" t="s">
        <v>525</v>
      </c>
      <c r="H346" s="1861"/>
      <c r="I346" s="1861"/>
      <c r="J346" s="1861"/>
      <c r="K346" s="1862"/>
      <c r="O346" s="1134"/>
      <c r="Q346" s="1133"/>
    </row>
    <row r="347" spans="2:17" ht="17.25" thickBot="1" x14ac:dyDescent="0.35">
      <c r="B347" s="577"/>
      <c r="C347" s="584"/>
      <c r="D347" s="585"/>
      <c r="E347" s="585"/>
      <c r="F347" s="585"/>
      <c r="G347" s="585"/>
      <c r="H347" s="585"/>
      <c r="I347" s="585"/>
      <c r="J347" s="135"/>
      <c r="K347" s="542"/>
      <c r="O347" s="1134"/>
      <c r="Q347" s="1133"/>
    </row>
    <row r="348" spans="2:17" ht="17.25" x14ac:dyDescent="0.3">
      <c r="B348" s="577"/>
      <c r="C348" s="614" t="s">
        <v>488</v>
      </c>
      <c r="D348" s="615"/>
      <c r="E348" s="615"/>
      <c r="F348" s="615"/>
      <c r="G348" s="615"/>
      <c r="H348" s="616"/>
      <c r="I348" s="585"/>
      <c r="J348" s="135"/>
      <c r="K348" s="542"/>
      <c r="O348" s="1134"/>
      <c r="Q348" s="1133"/>
    </row>
    <row r="349" spans="2:17" ht="18.75" x14ac:dyDescent="0.35">
      <c r="B349" s="577"/>
      <c r="C349" s="586" t="s">
        <v>668</v>
      </c>
      <c r="D349" s="545" t="s">
        <v>669</v>
      </c>
      <c r="E349" s="587" t="s">
        <v>534</v>
      </c>
      <c r="F349" s="1192" t="str">
        <f>"f(" &amp; C345 &amp; ")"</f>
        <v>f(1000)</v>
      </c>
      <c r="G349" s="1868" t="s">
        <v>535</v>
      </c>
      <c r="H349" s="1869"/>
      <c r="I349" s="585"/>
      <c r="J349" s="135"/>
      <c r="K349" s="542"/>
      <c r="O349" s="1134"/>
      <c r="Q349" s="1133"/>
    </row>
    <row r="350" spans="2:17" x14ac:dyDescent="0.3">
      <c r="B350" s="577"/>
      <c r="C350" s="582">
        <f>IF($C$336&gt;4,0,IF($C$336=1,$C$341,IF($C$337="Yes",$C$342,$C$341)))</f>
        <v>0</v>
      </c>
      <c r="D350" s="579">
        <f>IF($C$336&gt;4,0,$C$343)</f>
        <v>0</v>
      </c>
      <c r="E350" s="588" t="e">
        <f>(($D350*EXP(-$D$367))^1.56)/(($D350*EXP(-$D$367)+530)^1.19)</f>
        <v>#VALUE!</v>
      </c>
      <c r="F350" s="588" t="e">
        <f>(($D350*EXP(-$D$1367))^1.56)/(($D350*EXP(-$D$1367)+530)^1.19)</f>
        <v>#VALUE!</v>
      </c>
      <c r="G350" s="589">
        <f>IF($C$336&lt;=4,
$C$346/3*
(4*SUMPRODUCT(((($D350*EXP(-$D$367:$D$1367))^1.56)/(($D350*EXP(-$D$367:$D$1367)+530)^1.19))*(MOD($C$367:$C$1367,2)=1))+
2*SUMPRODUCT(((($D350*EXP(-$D$367:$D$1367))^1.56)/(($D350*EXP(-$D$367:$D$1367)+530)^1.19))*(MOD($C$367:$C$1367,2)=0))
-$F350-$E350)/$C350,0)</f>
        <v>0</v>
      </c>
      <c r="H350" s="617" t="s">
        <v>454</v>
      </c>
      <c r="I350" s="585"/>
      <c r="J350" s="135"/>
      <c r="K350" s="542"/>
      <c r="O350" s="1134"/>
      <c r="Q350" s="1133"/>
    </row>
    <row r="351" spans="2:17" x14ac:dyDescent="0.3">
      <c r="B351" s="577"/>
      <c r="C351" s="582">
        <f>C350</f>
        <v>0</v>
      </c>
      <c r="D351" s="579">
        <f>D350</f>
        <v>0</v>
      </c>
      <c r="E351" s="588" t="e">
        <f>(($D351*EXP(-$D$367)+100)^1.56)/(($D351*EXP(-$D$367)+630)^1.19)-(($D351*EXP(-$D$367))^1.56)/(($D351*EXP(-$D$367)+530)^1.19)</f>
        <v>#VALUE!</v>
      </c>
      <c r="F351" s="588" t="e">
        <f>(($D351*EXP(-$D$1367)+100)^1.56)/(($D351*EXP(-$D$1367)+630)^1.19)-(($D351*EXP(-$D$1367))^1.56)/(($D351*EXP(-$D$1367)+530)^1.19)</f>
        <v>#VALUE!</v>
      </c>
      <c r="G351" s="589">
        <f>IF($C$336&lt;=4,
$C$346/3*
(4*SUMPRODUCT(((($D351*EXP(-$D$367:$D$1367)+100)^1.56)/(($D351*EXP(-$D$367:$D$1367)+630)^1.19)-(($D351*EXP(-$D$367:$D$1367))^1.56)/(($D351*EXP(-$D$367:$D$1367)+530)^1.19))*(MOD($C$367:$C$1367,2)=1))+
2*SUMPRODUCT(((($D351*EXP(-$D$367:$D$1367)+100)^1.56)/(($D351*EXP(-$D$367:$D$1367)+630)^1.19)-(($D351*EXP(-$D$367:$D$1367))^1.56)/(($D351*EXP(-$D$367:$D$1367)+530)^1.19))*(MOD($C$367:$C$1367,2)=0))-
$F351-$E351)/(100*$C351),0)</f>
        <v>0</v>
      </c>
      <c r="H351" s="617" t="s">
        <v>455</v>
      </c>
      <c r="I351" s="585"/>
      <c r="J351" s="135"/>
      <c r="K351" s="542"/>
      <c r="O351" s="1134"/>
      <c r="Q351" s="1133"/>
    </row>
    <row r="352" spans="2:17" x14ac:dyDescent="0.3">
      <c r="B352" s="577"/>
      <c r="C352" s="582" t="str">
        <f>IF($C$336&lt;=4,0,IF(AND($C$336=10,$C$337="Yes"),$C$342,$C$341))</f>
        <v>N/A</v>
      </c>
      <c r="D352" s="579" t="str">
        <f>IF($C$336&lt;=4,0,IF($C$336&lt;=8,$C$344,$C$343))</f>
        <v>N/A</v>
      </c>
      <c r="E352" s="588" t="e">
        <f>((($D352*EXP(-$D$367)+28)^0.56)*($D352*EXP(-$D$367)))/
(($D352*EXP(-$D$367)+530)^1.19)</f>
        <v>#VALUE!</v>
      </c>
      <c r="F352" s="588" t="e">
        <f>((($D352*EXP(-$D$1367)+28)^0.56)*($D352*EXP(-$D$1367)))/
(($D352*EXP(-$D$1367)+530)^1.19)</f>
        <v>#VALUE!</v>
      </c>
      <c r="G352" s="589" t="e">
        <f>IF($C$336&gt;4,
$C$346/3*
(4*SUMPRODUCT((((($D352*EXP(-$D$367:$D$1367)+28)^0.56)*($D352*EXP(-$D$367:$D$1367)))/(($D352*EXP(-$D$367:$D$1367)+530)^1.19))*(MOD($C$367:$C$1367,2)=1))+
2*SUMPRODUCT((((($D352*EXP(-$D$367:$D$1367)+28)^0.56)*($D352*EXP(-$D$367:$D$1367)))/(($D352*EXP(-$D$367:$D$1367)+530)^1.19))*(MOD($C$367:$C$1367,2)=0))-
$E352-$F352)/($C352),0)</f>
        <v>#VALUE!</v>
      </c>
      <c r="H352" s="617" t="s">
        <v>456</v>
      </c>
      <c r="I352" s="585"/>
      <c r="J352" s="135"/>
      <c r="K352" s="542"/>
      <c r="O352" s="1134"/>
      <c r="Q352" s="1133"/>
    </row>
    <row r="353" spans="2:17" x14ac:dyDescent="0.3">
      <c r="B353" s="577"/>
      <c r="C353" s="582" t="str">
        <f>C352</f>
        <v>N/A</v>
      </c>
      <c r="D353" s="579" t="str">
        <f>D352</f>
        <v>N/A</v>
      </c>
      <c r="E353" s="588" t="e">
        <f>((($D353*EXP(-$D$367)+128)^0.56)*($D353*EXP(-$D$367)+100))/(($D353*EXP(-$D$367)+630)^1.19)-((($D353*EXP(-$D$367)+28)^0.56)*($D353*EXP(-$D$367)))/(($D353*EXP(-$D$367)+530)^1.19)</f>
        <v>#VALUE!</v>
      </c>
      <c r="F353" s="588" t="e">
        <f>((($D353*EXP(-$D$1367)+128)^0.56)*($D353*EXP(-$D$1367)+100))/(($D353*EXP(-$D$1367)+630)^1.19)-((($D353*EXP(-$D$1367)+28)^0.56)*($D353*EXP(-$D$1367)))/(($D353*EXP(-$D$1367)+530)^1.19)</f>
        <v>#VALUE!</v>
      </c>
      <c r="G353" s="589" t="e">
        <f>IF($C$336&gt;4,
$C$346/3*
(4*SUMPRODUCT((((($D353*EXP(-$D$367:$D$1367)+128)^0.56)*($D353*EXP(-$D$367:$D$1367)+100))/(($D353*EXP(-$D$367:$D$1367)+630)^1.19)-((($D353*EXP(-$D$367:$D$1367)+28)^0.56)*($D353*EXP(-$D$367:$D$1367)))/(($D353*EXP(-$D$367:$D$1367)+530)^1.19))*(MOD($C$367:$C$1367,2)=1))+
2*SUMPRODUCT((((($D353*EXP(-$D$367:$D$1367)+128)^0.56)*($D353*EXP(-$D$367:$D$1367)+100))/(($D353*EXP(-$D$367:$D$1367)+630)^1.19)-((($D353*EXP(-$D$367:$D$1367)+28)^0.56)*($D353*EXP(-$D$367:$D$1367)))/(($D353*EXP(-$D$367:$D$1367)+530)^1.19))*(MOD($C$367:$C$1367,2)=0))-
$F353-$E353)/(100*$C353),0)</f>
        <v>#VALUE!</v>
      </c>
      <c r="H353" s="617" t="s">
        <v>457</v>
      </c>
      <c r="I353" s="585"/>
      <c r="J353" s="135"/>
      <c r="K353" s="542"/>
      <c r="O353" s="1134"/>
      <c r="Q353" s="1133"/>
    </row>
    <row r="354" spans="2:17" x14ac:dyDescent="0.3">
      <c r="B354" s="577"/>
      <c r="C354" s="582">
        <f>IF($C$336&gt;=9,0,IF(AND($C$336&gt;=2,$C$336&lt;=4,$C$337="Yes"),$C$342,$C$341))</f>
        <v>0</v>
      </c>
      <c r="D354" s="579">
        <f>IF($C$336&gt;=9,0,IF($C$336=3,$C$343,$C$344))</f>
        <v>0</v>
      </c>
      <c r="E354" s="588" t="e">
        <f>(($D354*EXP(-$D$367)+28)^0.56)/(($D354*EXP(-$D$367)+530)^1.19)</f>
        <v>#VALUE!</v>
      </c>
      <c r="F354" s="588" t="e">
        <f>(($D354*EXP(-$D$1367)+28)^0.56)/(($D354*EXP(-$D$1367)+530)^1.19)</f>
        <v>#VALUE!</v>
      </c>
      <c r="G354" s="589">
        <f>IF($C$336&gt;=9,0,
$C$346/3*
(4*SUMPRODUCT(((($D354*EXP(-$D$367:$D$1367)+28)^0.56)/(($D354*EXP(-$D$367:$D$1367)+530)^1.19))*(MOD($C$367:$C$1367,2)=1))+
2*SUMPRODUCT(((($D354*EXP(-$D$367:$D$1367)+28)^0.56)/(($D354*EXP(-$D$367:$D$1367)+530)^1.19))*(MOD($C$367:$C$1367,2)=0))-
$F354-$E354)/($C354))</f>
        <v>0</v>
      </c>
      <c r="H354" s="617" t="s">
        <v>458</v>
      </c>
      <c r="I354" s="585"/>
      <c r="J354" s="135"/>
      <c r="K354" s="542"/>
      <c r="O354" s="1134"/>
      <c r="Q354" s="1133"/>
    </row>
    <row r="355" spans="2:17" ht="17.25" thickBot="1" x14ac:dyDescent="0.35">
      <c r="B355" s="577"/>
      <c r="C355" s="618">
        <f>C354</f>
        <v>0</v>
      </c>
      <c r="D355" s="619">
        <f>D354</f>
        <v>0</v>
      </c>
      <c r="E355" s="620" t="e">
        <f>(($D355*EXP(-$D$367)+128)^0.56)/(($D355*EXP(-$D$367)+630)^1.19)-(($D355*EXP(-$D$367)+28)^0.56)/(($D355*EXP(-$D$367)+530)^1.19)</f>
        <v>#VALUE!</v>
      </c>
      <c r="F355" s="620" t="e">
        <f>(($D355*EXP(-$D$1367)+128)^0.56)/(($D355*EXP(-$D$1367)+630)^1.19)-(($D355*EXP(-$D$1367)+28)^0.56)/(($D355*EXP(-$D$1367)+530)^1.19)</f>
        <v>#VALUE!</v>
      </c>
      <c r="G355" s="621">
        <f>IF($C$336&gt;=9,0,
$C$346/3*
(4*SUMPRODUCT(((($D355*EXP(-$D$367:$D$1367)+128)^0.56)/(($D355*EXP(-$D$367:$D$1367)+630)^1.19)-(($D355*EXP(-$D$367:$D$1367)+28)^0.56)/(($D355*EXP(-$D$367:$D$1367)+530)^1.19))*(MOD($C$367:$C$1367,2)=1))+
2*SUMPRODUCT(((($D355*EXP(-$D$367:$D$1367)+128)^0.56)/(($D355*EXP(-$D$367:$D$1367)+630)^1.19)-(($D355*EXP(-$D$367:$D$1367)+28)^0.56)/(($D355*EXP(-$D$367:$D$1367)+530)^1.19))*(MOD($C$367:$C$1367,2)=0))-
$F355-$E355)/(100*$C355))</f>
        <v>0</v>
      </c>
      <c r="H355" s="622" t="s">
        <v>460</v>
      </c>
      <c r="I355" s="585"/>
      <c r="J355" s="135"/>
      <c r="K355" s="542"/>
      <c r="O355" s="1134"/>
      <c r="Q355" s="1133"/>
    </row>
    <row r="356" spans="2:17" ht="17.25" thickBot="1" x14ac:dyDescent="0.35">
      <c r="B356" s="577"/>
      <c r="C356" s="584"/>
      <c r="D356" s="585"/>
      <c r="E356" s="585"/>
      <c r="F356" s="585"/>
      <c r="G356" s="585"/>
      <c r="H356" s="585"/>
      <c r="I356" s="585"/>
      <c r="J356" s="135"/>
      <c r="K356" s="542"/>
      <c r="O356" s="1134"/>
      <c r="Q356" s="1133"/>
    </row>
    <row r="357" spans="2:17" ht="17.25" x14ac:dyDescent="0.3">
      <c r="B357" s="577"/>
      <c r="C357" s="614" t="s">
        <v>489</v>
      </c>
      <c r="D357" s="615"/>
      <c r="E357" s="615"/>
      <c r="F357" s="615"/>
      <c r="G357" s="615"/>
      <c r="H357" s="616"/>
      <c r="I357" s="585"/>
      <c r="J357" s="135"/>
      <c r="K357" s="542"/>
      <c r="O357" s="1134"/>
      <c r="Q357" s="1133"/>
    </row>
    <row r="358" spans="2:17" ht="18.75" x14ac:dyDescent="0.35">
      <c r="B358" s="577"/>
      <c r="C358" s="586" t="s">
        <v>668</v>
      </c>
      <c r="D358" s="545" t="s">
        <v>669</v>
      </c>
      <c r="E358" s="587" t="s">
        <v>534</v>
      </c>
      <c r="F358" s="1192" t="str">
        <f>"f(" &amp; D345 &amp; ")"</f>
        <v>f(1000)</v>
      </c>
      <c r="G358" s="1868" t="s">
        <v>535</v>
      </c>
      <c r="H358" s="1869"/>
      <c r="I358" s="585"/>
      <c r="J358" s="135"/>
      <c r="K358" s="542"/>
      <c r="O358" s="1134"/>
      <c r="Q358" s="1133"/>
    </row>
    <row r="359" spans="2:17" x14ac:dyDescent="0.3">
      <c r="B359" s="577"/>
      <c r="C359" s="582" t="e">
        <f ca="1">IF($D$336&gt;4,0,IF($D$336=1,$D$341,IF($D$337="Yes",$D$342,$D$341)))</f>
        <v>#N/A</v>
      </c>
      <c r="D359" s="579" t="e">
        <f ca="1">IF($D$336&gt;4,0,$D$343)</f>
        <v>#N/A</v>
      </c>
      <c r="E359" s="588" t="e">
        <f ca="1">(($D359*EXP(-$D$367))^1.56)/(($D359*EXP(-$D$367)+530)^1.19)</f>
        <v>#N/A</v>
      </c>
      <c r="F359" s="588" t="e">
        <f ca="1">(($D359*EXP(-$D$1367))^1.56)/(($D359*EXP(-$D$1367)+530)^1.19)</f>
        <v>#N/A</v>
      </c>
      <c r="G359" s="589" t="e">
        <f ca="1">IF($D$336&lt;=4,
$D$346/3*
(4*SUMPRODUCT(((($D359*EXP(-$D$367:$D$1367))^1.56)/(($D359*EXP(-$D$367:$D$1367)+530)^1.19))*(MOD($C$367:$C$1367,2)=1))+
2*SUMPRODUCT(((($D359*EXP(-$D$367:$D$1367))^1.56)/(($D359*EXP(-$D$367:$D$1367)+530)^1.19))*(MOD($C$367:$C$1367,2)=0))
-$F359-$E359)/$C359,0)</f>
        <v>#N/A</v>
      </c>
      <c r="H359" s="617" t="s">
        <v>454</v>
      </c>
      <c r="I359" s="585"/>
      <c r="J359" s="135"/>
      <c r="K359" s="542"/>
      <c r="O359" s="1134"/>
      <c r="Q359" s="1133"/>
    </row>
    <row r="360" spans="2:17" x14ac:dyDescent="0.3">
      <c r="B360" s="577"/>
      <c r="C360" s="582" t="e">
        <f ca="1">C359</f>
        <v>#N/A</v>
      </c>
      <c r="D360" s="579" t="e">
        <f ca="1">D359</f>
        <v>#N/A</v>
      </c>
      <c r="E360" s="588" t="e">
        <f ca="1">(($D360*EXP(-$D$367)+100)^1.56)/(($D360*EXP(-$D$367)+630)^1.19)-(($D360*EXP(-$D$367))^1.56)/(($D360*EXP(-$D$367)+530)^1.19)</f>
        <v>#N/A</v>
      </c>
      <c r="F360" s="588" t="e">
        <f ca="1">(($D360*EXP(-$D$1367)+100)^1.56)/(($D360*EXP(-$D$1367)+630)^1.19)-(($D360*EXP(-$D$1367))^1.56)/(($D360*EXP(-$D$1367)+530)^1.19)</f>
        <v>#N/A</v>
      </c>
      <c r="G360" s="589" t="e">
        <f ca="1">IF($D$336&lt;=4,
$D$346/3*
(4*SUMPRODUCT(((($D360*EXP(-$D$367:$D$1367)+100)^1.56)/(($D360*EXP(-$D$367:$D$1367)+630)^1.19)-(($D360*EXP(-$D$367:$D$1367))^1.56)/(($D360*EXP(-$D$367:$D$1367)+530)^1.19))*(MOD($C$367:$C$1367,2)=1))+
2*SUMPRODUCT(((($D360*EXP(-$D$367:$D$1367)+100)^1.56)/(($D360*EXP(-$D$367:$D$1367)+630)^1.19)-(($D360*EXP(-$D$367:$D$1367))^1.56)/(($D360*EXP(-$D$367:$D$1367)+530)^1.19))*(MOD($C$367:$C$1367,2)=0))-
$F360-$E360)/(100*$C360),0)</f>
        <v>#N/A</v>
      </c>
      <c r="H360" s="617" t="s">
        <v>455</v>
      </c>
      <c r="I360" s="585"/>
      <c r="J360" s="135"/>
      <c r="K360" s="542"/>
      <c r="O360" s="1134"/>
      <c r="Q360" s="1133"/>
    </row>
    <row r="361" spans="2:17" x14ac:dyDescent="0.3">
      <c r="B361" s="577"/>
      <c r="C361" s="582" t="e">
        <f ca="1">IF($D$336&lt;=4,0,IF(AND($D$336=10,$D$337="Yes"),$D$342,$D$341))</f>
        <v>#N/A</v>
      </c>
      <c r="D361" s="579" t="e">
        <f ca="1">IF($D$336&lt;=4,0,IF($D$336&lt;=8,$D$344,$D$343))</f>
        <v>#N/A</v>
      </c>
      <c r="E361" s="588" t="e">
        <f ca="1">((($D361*EXP(-$D$367)+28)^0.56)*($D361*EXP(-$D$367)))/
(($D361*EXP(-$D$367)+530)^1.19)</f>
        <v>#N/A</v>
      </c>
      <c r="F361" s="588" t="e">
        <f ca="1">((($D361*EXP(-$D$1367)+28)^0.56)*($D361*EXP(-$D$1367)))/
(($D361*EXP(-$D$1367)+530)^1.19)</f>
        <v>#N/A</v>
      </c>
      <c r="G361" s="589" t="e">
        <f ca="1">IF($D$336&gt;4,
$D$346/3*
(4*SUMPRODUCT((((($D361*EXP(-$D$367:$D$1367)+28)^0.56)*($D361*EXP(-$D$367:$D$1367)))/(($D361*EXP(-$D$367:$D$1367)+530)^1.19))*(MOD($C$367:$C$1367,2)=1))+
2*SUMPRODUCT((((($D361*EXP(-$D$367:$D$1367)+28)^0.56)*($D361*EXP(-$D$367:$D$1367)))/(($D361*EXP(-$D$367:$D$1367)+530)^1.19))*(MOD($C$367:$C$1367,2)=0))-
$E361-$F361)/($C361),0)</f>
        <v>#N/A</v>
      </c>
      <c r="H361" s="617" t="s">
        <v>456</v>
      </c>
      <c r="I361" s="585"/>
      <c r="J361" s="135"/>
      <c r="K361" s="542"/>
      <c r="O361" s="1134"/>
      <c r="Q361" s="1133"/>
    </row>
    <row r="362" spans="2:17" x14ac:dyDescent="0.3">
      <c r="B362" s="577"/>
      <c r="C362" s="582" t="e">
        <f ca="1">C361</f>
        <v>#N/A</v>
      </c>
      <c r="D362" s="579" t="e">
        <f ca="1">D361</f>
        <v>#N/A</v>
      </c>
      <c r="E362" s="588" t="e">
        <f ca="1">((($D362*EXP(-$D$367)+128)^0.56)*($D362*EXP(-$D$367)+100))/(($D362*EXP(-$D$367)+630)^1.19)-((($D362*EXP(-$D$367)+28)^0.56)*($D362*EXP(-$D$367)))/(($D362*EXP(-$D$367)+530)^1.19)</f>
        <v>#N/A</v>
      </c>
      <c r="F362" s="588" t="e">
        <f ca="1">((($D362*EXP(-$D$1367)+128)^0.56)*($D362*EXP(-$D$1367)+100))/(($D362*EXP(-$D$1367)+630)^1.19)-((($D362*EXP(-$D$1367)+28)^0.56)*($D362*EXP(-$D$1367)))/(($D362*EXP(-$D$1367)+530)^1.19)</f>
        <v>#N/A</v>
      </c>
      <c r="G362" s="589" t="e">
        <f ca="1">IF($D$336&gt;4,
$D$346/3*
(4*SUMPRODUCT((((($D362*EXP(-$D$367:$D$1367)+128)^0.56)*($D362*EXP(-$D$367:$D$1367)+100))/(($D362*EXP(-$D$367:$D$1367)+630)^1.19)-((($D362*EXP(-$D$367:$D$1367)+28)^0.56)*($D362*EXP(-$D$367:$D$1367)))/(($D362*EXP(-$D$367:$D$1367)+530)^1.19))*(MOD($C$367:$C$1367,2)=1))+
2*SUMPRODUCT((((($D362*EXP(-$D$367:$D$1367)+128)^0.56)*($D362*EXP(-$D$367:$D$1367)+100))/(($D362*EXP(-$D$367:$D$1367)+630)^1.19)-((($D362*EXP(-$D$367:$D$1367)+28)^0.56)*($D362*EXP(-$D$367:$D$1367)))/(($D362*EXP(-$D$367:$D$1367)+530)^1.19))*(MOD($C$367:$C$1367,2)=0))-
$F362-$E362)/(100*$C362),0)</f>
        <v>#N/A</v>
      </c>
      <c r="H362" s="617" t="s">
        <v>457</v>
      </c>
      <c r="I362" s="585"/>
      <c r="J362" s="135"/>
      <c r="K362" s="542"/>
      <c r="O362" s="1134"/>
      <c r="Q362" s="1133"/>
    </row>
    <row r="363" spans="2:17" x14ac:dyDescent="0.3">
      <c r="B363" s="577"/>
      <c r="C363" s="582" t="e">
        <f ca="1">IF($D$336&gt;=9,0,IF(AND($D$336&gt;=2,$D$336&lt;=4,$D$337="Yes"),$D$342,$D$341))</f>
        <v>#N/A</v>
      </c>
      <c r="D363" s="579" t="e">
        <f ca="1">IF($D$336&gt;=9,0,IF($D$336=3,$D$343,$D$344))</f>
        <v>#N/A</v>
      </c>
      <c r="E363" s="588" t="e">
        <f ca="1">(($D363*EXP(-$D$367)+28)^0.56)/(($D363*EXP(-$D$367)+530)^1.19)</f>
        <v>#N/A</v>
      </c>
      <c r="F363" s="588" t="e">
        <f ca="1">(($D363*EXP(-$D$1367)+28)^0.56)/(($D363*EXP(-$D$1367)+530)^1.19)</f>
        <v>#N/A</v>
      </c>
      <c r="G363" s="589" t="e">
        <f ca="1">IF($D$336&gt;=9,0,
$D$346/3*
(4*SUMPRODUCT(((($D363*EXP(-$D$367:$D$1367)+28)^0.56)/(($D363*EXP(-$D$367:$D$1367)+530)^1.19))*(MOD($C$367:$C$1367,2)=1))+
2*SUMPRODUCT(((($D363*EXP(-$D$367:$D$1367)+28)^0.56)/(($D363*EXP(-$D$367:$D$1367)+530)^1.19))*(MOD($C$367:$C$1367,2)=0))-
$F363-$E363)/($C363))</f>
        <v>#N/A</v>
      </c>
      <c r="H363" s="617" t="s">
        <v>458</v>
      </c>
      <c r="I363" s="585"/>
      <c r="J363" s="135"/>
      <c r="K363" s="542"/>
      <c r="O363" s="1134"/>
      <c r="Q363" s="1133"/>
    </row>
    <row r="364" spans="2:17" ht="17.25" thickBot="1" x14ac:dyDescent="0.35">
      <c r="B364" s="577"/>
      <c r="C364" s="618" t="e">
        <f ca="1">C363</f>
        <v>#N/A</v>
      </c>
      <c r="D364" s="619" t="e">
        <f ca="1">D363</f>
        <v>#N/A</v>
      </c>
      <c r="E364" s="620" t="e">
        <f ca="1">(($D364*EXP(-$D$367)+128)^0.56)/(($D364*EXP(-$D$367)+630)^1.19)-(($D364*EXP(-$D$367)+28)^0.56)/(($D364*EXP(-$D$367)+530)^1.19)</f>
        <v>#N/A</v>
      </c>
      <c r="F364" s="620" t="e">
        <f ca="1">(($D364*EXP(-$D$1367)+128)^0.56)/(($D364*EXP(-$D$1367)+630)^1.19)-(($D364*EXP(-$D$1367)+28)^0.56)/(($D364*EXP(-$D$1367)+530)^1.19)</f>
        <v>#N/A</v>
      </c>
      <c r="G364" s="621" t="e">
        <f ca="1">IF($D$336&gt;=9,0,
$D$346/3*
(4*SUMPRODUCT(((($D364*EXP(-$D$367:$D$1367)+128)^0.56)/(($D364*EXP(-$D$367:$D$1367)+630)^1.19)-(($D364*EXP(-$D$367:$D$1367)+28)^0.56)/(($D364*EXP(-$D$367:$D$1367)+530)^1.19))*(MOD($C$367:$C$1367,2)=1))+
2*SUMPRODUCT(((($D364*EXP(-$D$367:$D$1367)+128)^0.56)/(($D364*EXP(-$D$367:$D$1367)+630)^1.19)-(($D364*EXP(-$D$367:$D$1367)+28)^0.56)/(($D364*EXP(-$D$367:$D$1367)+530)^1.19))*(MOD($C$367:$C$1367,2)=0))-
$F364-$E364)/(100*$C364))</f>
        <v>#N/A</v>
      </c>
      <c r="H364" s="622" t="s">
        <v>460</v>
      </c>
      <c r="I364" s="585"/>
      <c r="J364" s="135"/>
      <c r="K364" s="542"/>
      <c r="O364" s="1134"/>
      <c r="Q364" s="1133"/>
    </row>
    <row r="365" spans="2:17" ht="17.25" thickBot="1" x14ac:dyDescent="0.35">
      <c r="B365" s="577"/>
      <c r="C365" s="584"/>
      <c r="D365" s="585"/>
      <c r="E365" s="585"/>
      <c r="F365" s="585"/>
      <c r="G365" s="585"/>
      <c r="H365" s="585"/>
      <c r="I365" s="585"/>
      <c r="J365" s="135"/>
      <c r="K365" s="542"/>
      <c r="O365" s="1134"/>
      <c r="Q365" s="1133"/>
    </row>
    <row r="366" spans="2:17" ht="18" x14ac:dyDescent="0.3">
      <c r="B366" s="577"/>
      <c r="C366" s="623" t="s">
        <v>525</v>
      </c>
      <c r="D366" s="624" t="s">
        <v>670</v>
      </c>
      <c r="E366" s="585"/>
      <c r="F366" s="585"/>
      <c r="G366" s="585"/>
      <c r="H366" s="585"/>
      <c r="I366" s="585"/>
      <c r="J366" s="135"/>
      <c r="K366" s="542"/>
      <c r="O366" s="1134"/>
      <c r="Q366" s="1133"/>
    </row>
    <row r="367" spans="2:17" x14ac:dyDescent="0.3">
      <c r="B367" s="577"/>
      <c r="C367" s="583">
        <v>0</v>
      </c>
      <c r="D367" s="625" t="e">
        <f t="shared" ref="D367:D430" si="25">$C$346*C367</f>
        <v>#VALUE!</v>
      </c>
      <c r="E367" s="585"/>
      <c r="F367" s="585"/>
      <c r="G367" s="585"/>
      <c r="H367" s="585"/>
      <c r="I367" s="585"/>
      <c r="J367" s="135"/>
      <c r="K367" s="542"/>
      <c r="O367" s="1134"/>
      <c r="Q367" s="1133"/>
    </row>
    <row r="368" spans="2:17" x14ac:dyDescent="0.3">
      <c r="B368" s="577"/>
      <c r="C368" s="583">
        <v>1</v>
      </c>
      <c r="D368" s="625" t="e">
        <f t="shared" si="25"/>
        <v>#VALUE!</v>
      </c>
      <c r="E368" s="585"/>
      <c r="F368" s="585"/>
      <c r="G368" s="585"/>
      <c r="H368" s="585"/>
      <c r="I368" s="585"/>
      <c r="J368" s="135"/>
      <c r="K368" s="542"/>
      <c r="O368" s="1134"/>
      <c r="Q368" s="1133"/>
    </row>
    <row r="369" spans="2:17" x14ac:dyDescent="0.3">
      <c r="B369" s="577"/>
      <c r="C369" s="583">
        <v>2</v>
      </c>
      <c r="D369" s="625" t="e">
        <f t="shared" si="25"/>
        <v>#VALUE!</v>
      </c>
      <c r="E369" s="585"/>
      <c r="F369" s="585"/>
      <c r="G369" s="585"/>
      <c r="H369" s="585"/>
      <c r="I369" s="585"/>
      <c r="J369" s="135"/>
      <c r="K369" s="542"/>
      <c r="O369" s="1134"/>
      <c r="Q369" s="1133"/>
    </row>
    <row r="370" spans="2:17" x14ac:dyDescent="0.3">
      <c r="B370" s="577"/>
      <c r="C370" s="583">
        <v>3</v>
      </c>
      <c r="D370" s="625" t="e">
        <f>$C$346*C370</f>
        <v>#VALUE!</v>
      </c>
      <c r="E370" s="585"/>
      <c r="F370" s="585"/>
      <c r="G370" s="585"/>
      <c r="H370" s="585"/>
      <c r="I370" s="585"/>
      <c r="J370" s="135"/>
      <c r="K370" s="542"/>
      <c r="O370" s="1134"/>
      <c r="Q370" s="1133"/>
    </row>
    <row r="371" spans="2:17" x14ac:dyDescent="0.3">
      <c r="B371" s="577"/>
      <c r="C371" s="583">
        <v>4</v>
      </c>
      <c r="D371" s="625" t="e">
        <f t="shared" si="25"/>
        <v>#VALUE!</v>
      </c>
      <c r="E371" s="585"/>
      <c r="F371" s="585"/>
      <c r="G371" s="585"/>
      <c r="H371" s="585"/>
      <c r="I371" s="585"/>
      <c r="J371" s="135"/>
      <c r="K371" s="542"/>
      <c r="O371" s="1134"/>
      <c r="Q371" s="1133"/>
    </row>
    <row r="372" spans="2:17" x14ac:dyDescent="0.3">
      <c r="B372" s="577"/>
      <c r="C372" s="583">
        <v>5</v>
      </c>
      <c r="D372" s="625" t="e">
        <f t="shared" si="25"/>
        <v>#VALUE!</v>
      </c>
      <c r="E372" s="585"/>
      <c r="F372" s="585"/>
      <c r="G372" s="585"/>
      <c r="H372" s="585"/>
      <c r="I372" s="585"/>
      <c r="J372" s="135"/>
      <c r="K372" s="542"/>
      <c r="O372" s="1134"/>
      <c r="Q372" s="1133"/>
    </row>
    <row r="373" spans="2:17" x14ac:dyDescent="0.3">
      <c r="B373" s="577"/>
      <c r="C373" s="583">
        <v>6</v>
      </c>
      <c r="D373" s="625" t="e">
        <f t="shared" si="25"/>
        <v>#VALUE!</v>
      </c>
      <c r="E373" s="585"/>
      <c r="F373" s="585"/>
      <c r="G373" s="585"/>
      <c r="H373" s="585"/>
      <c r="I373" s="585"/>
      <c r="J373" s="135"/>
      <c r="K373" s="542"/>
      <c r="O373" s="1134"/>
      <c r="Q373" s="1133"/>
    </row>
    <row r="374" spans="2:17" x14ac:dyDescent="0.3">
      <c r="B374" s="577"/>
      <c r="C374" s="583">
        <v>7</v>
      </c>
      <c r="D374" s="625" t="e">
        <f t="shared" si="25"/>
        <v>#VALUE!</v>
      </c>
      <c r="E374" s="585"/>
      <c r="F374" s="585"/>
      <c r="G374" s="585"/>
      <c r="H374" s="585"/>
      <c r="I374" s="585"/>
      <c r="J374" s="135"/>
      <c r="K374" s="542"/>
      <c r="O374" s="1134"/>
      <c r="Q374" s="1133"/>
    </row>
    <row r="375" spans="2:17" x14ac:dyDescent="0.3">
      <c r="B375" s="126"/>
      <c r="C375" s="583">
        <v>8</v>
      </c>
      <c r="D375" s="625" t="e">
        <f t="shared" si="25"/>
        <v>#VALUE!</v>
      </c>
      <c r="E375" s="590"/>
      <c r="F375" s="590"/>
      <c r="G375" s="590"/>
      <c r="H375" s="590"/>
      <c r="I375" s="590"/>
      <c r="J375" s="590"/>
      <c r="K375" s="542"/>
      <c r="O375" s="1134"/>
      <c r="Q375" s="1133"/>
    </row>
    <row r="376" spans="2:17" x14ac:dyDescent="0.3">
      <c r="B376" s="126"/>
      <c r="C376" s="583">
        <v>9</v>
      </c>
      <c r="D376" s="625" t="e">
        <f t="shared" si="25"/>
        <v>#VALUE!</v>
      </c>
      <c r="E376" s="591"/>
      <c r="F376" s="591"/>
      <c r="G376" s="591"/>
      <c r="H376" s="591"/>
      <c r="I376" s="591"/>
      <c r="J376" s="591"/>
      <c r="K376" s="542"/>
      <c r="O376" s="1134"/>
      <c r="Q376" s="1133"/>
    </row>
    <row r="377" spans="2:17" x14ac:dyDescent="0.3">
      <c r="B377" s="126"/>
      <c r="C377" s="583">
        <v>10</v>
      </c>
      <c r="D377" s="625" t="e">
        <f t="shared" si="25"/>
        <v>#VALUE!</v>
      </c>
      <c r="E377" s="591"/>
      <c r="F377" s="591"/>
      <c r="G377" s="591"/>
      <c r="H377" s="591"/>
      <c r="I377" s="591"/>
      <c r="J377" s="591"/>
      <c r="K377" s="542"/>
      <c r="O377" s="1134"/>
      <c r="Q377" s="1133"/>
    </row>
    <row r="378" spans="2:17" x14ac:dyDescent="0.3">
      <c r="B378" s="126"/>
      <c r="C378" s="583">
        <v>11</v>
      </c>
      <c r="D378" s="625" t="e">
        <f t="shared" si="25"/>
        <v>#VALUE!</v>
      </c>
      <c r="E378" s="591"/>
      <c r="F378" s="591"/>
      <c r="G378" s="591"/>
      <c r="H378" s="591"/>
      <c r="I378" s="591"/>
      <c r="J378" s="591"/>
      <c r="K378" s="542"/>
      <c r="O378" s="1134"/>
      <c r="Q378" s="1133"/>
    </row>
    <row r="379" spans="2:17" x14ac:dyDescent="0.3">
      <c r="B379" s="126"/>
      <c r="C379" s="583">
        <v>12</v>
      </c>
      <c r="D379" s="625" t="e">
        <f t="shared" si="25"/>
        <v>#VALUE!</v>
      </c>
      <c r="E379" s="591"/>
      <c r="F379" s="591"/>
      <c r="G379" s="591"/>
      <c r="H379" s="591"/>
      <c r="I379" s="591"/>
      <c r="J379" s="591"/>
      <c r="K379" s="542"/>
      <c r="O379" s="1134"/>
      <c r="Q379" s="1133"/>
    </row>
    <row r="380" spans="2:17" x14ac:dyDescent="0.3">
      <c r="B380" s="126"/>
      <c r="C380" s="583">
        <v>13</v>
      </c>
      <c r="D380" s="625" t="e">
        <f t="shared" si="25"/>
        <v>#VALUE!</v>
      </c>
      <c r="E380" s="591"/>
      <c r="F380" s="591"/>
      <c r="G380" s="591"/>
      <c r="H380" s="591"/>
      <c r="I380" s="591"/>
      <c r="J380" s="591"/>
      <c r="K380" s="542"/>
      <c r="O380" s="1134"/>
      <c r="Q380" s="1133"/>
    </row>
    <row r="381" spans="2:17" x14ac:dyDescent="0.3">
      <c r="B381" s="126"/>
      <c r="C381" s="583">
        <v>14</v>
      </c>
      <c r="D381" s="625" t="e">
        <f t="shared" si="25"/>
        <v>#VALUE!</v>
      </c>
      <c r="E381" s="591"/>
      <c r="F381" s="591"/>
      <c r="G381" s="591"/>
      <c r="H381" s="591"/>
      <c r="I381" s="591"/>
      <c r="J381" s="591"/>
      <c r="K381" s="542"/>
      <c r="O381" s="1134"/>
      <c r="Q381" s="1133"/>
    </row>
    <row r="382" spans="2:17" x14ac:dyDescent="0.3">
      <c r="B382" s="126"/>
      <c r="C382" s="583">
        <v>15</v>
      </c>
      <c r="D382" s="625" t="e">
        <f t="shared" si="25"/>
        <v>#VALUE!</v>
      </c>
      <c r="E382" s="591"/>
      <c r="F382" s="591"/>
      <c r="G382" s="591"/>
      <c r="H382" s="591"/>
      <c r="I382" s="591"/>
      <c r="J382" s="591"/>
      <c r="K382" s="542"/>
      <c r="O382" s="1134"/>
      <c r="Q382" s="1133"/>
    </row>
    <row r="383" spans="2:17" x14ac:dyDescent="0.3">
      <c r="B383" s="126"/>
      <c r="C383" s="583">
        <v>16</v>
      </c>
      <c r="D383" s="625" t="e">
        <f t="shared" si="25"/>
        <v>#VALUE!</v>
      </c>
      <c r="E383" s="591"/>
      <c r="F383" s="591"/>
      <c r="G383" s="591"/>
      <c r="H383" s="591"/>
      <c r="I383" s="591"/>
      <c r="J383" s="591"/>
      <c r="K383" s="542"/>
      <c r="O383" s="1134"/>
      <c r="Q383" s="1133"/>
    </row>
    <row r="384" spans="2:17" x14ac:dyDescent="0.3">
      <c r="B384" s="126"/>
      <c r="C384" s="583">
        <v>17</v>
      </c>
      <c r="D384" s="625" t="e">
        <f t="shared" si="25"/>
        <v>#VALUE!</v>
      </c>
      <c r="E384" s="591"/>
      <c r="F384" s="591"/>
      <c r="G384" s="591"/>
      <c r="H384" s="591"/>
      <c r="I384" s="591"/>
      <c r="J384" s="591"/>
      <c r="K384" s="542"/>
      <c r="O384" s="1134"/>
      <c r="Q384" s="1133"/>
    </row>
    <row r="385" spans="2:17" x14ac:dyDescent="0.3">
      <c r="B385" s="126"/>
      <c r="C385" s="583">
        <v>18</v>
      </c>
      <c r="D385" s="625" t="e">
        <f t="shared" si="25"/>
        <v>#VALUE!</v>
      </c>
      <c r="E385" s="591"/>
      <c r="F385" s="591"/>
      <c r="G385" s="591"/>
      <c r="H385" s="591"/>
      <c r="I385" s="591"/>
      <c r="J385" s="591"/>
      <c r="K385" s="542"/>
      <c r="O385" s="1134"/>
      <c r="Q385" s="1133"/>
    </row>
    <row r="386" spans="2:17" x14ac:dyDescent="0.3">
      <c r="B386" s="126"/>
      <c r="C386" s="583">
        <v>19</v>
      </c>
      <c r="D386" s="625" t="e">
        <f t="shared" si="25"/>
        <v>#VALUE!</v>
      </c>
      <c r="E386" s="591"/>
      <c r="F386" s="591"/>
      <c r="G386" s="591"/>
      <c r="H386" s="591"/>
      <c r="I386" s="591"/>
      <c r="J386" s="591"/>
      <c r="K386" s="542"/>
      <c r="O386" s="1134"/>
      <c r="Q386" s="1133"/>
    </row>
    <row r="387" spans="2:17" x14ac:dyDescent="0.3">
      <c r="B387" s="126"/>
      <c r="C387" s="583">
        <v>20</v>
      </c>
      <c r="D387" s="625" t="e">
        <f t="shared" si="25"/>
        <v>#VALUE!</v>
      </c>
      <c r="E387" s="591"/>
      <c r="F387" s="591"/>
      <c r="G387" s="591"/>
      <c r="H387" s="591"/>
      <c r="I387" s="591"/>
      <c r="J387" s="591"/>
      <c r="K387" s="542"/>
      <c r="O387" s="1134"/>
      <c r="Q387" s="1133"/>
    </row>
    <row r="388" spans="2:17" x14ac:dyDescent="0.3">
      <c r="B388" s="126"/>
      <c r="C388" s="583">
        <v>21</v>
      </c>
      <c r="D388" s="625" t="e">
        <f t="shared" si="25"/>
        <v>#VALUE!</v>
      </c>
      <c r="E388" s="591"/>
      <c r="F388" s="591"/>
      <c r="G388" s="591"/>
      <c r="H388" s="591"/>
      <c r="I388" s="591"/>
      <c r="J388" s="591"/>
      <c r="K388" s="542"/>
      <c r="O388" s="1134"/>
      <c r="Q388" s="1133"/>
    </row>
    <row r="389" spans="2:17" x14ac:dyDescent="0.3">
      <c r="B389" s="126"/>
      <c r="C389" s="583">
        <v>22</v>
      </c>
      <c r="D389" s="625" t="e">
        <f t="shared" si="25"/>
        <v>#VALUE!</v>
      </c>
      <c r="E389" s="591"/>
      <c r="F389" s="591"/>
      <c r="G389" s="591"/>
      <c r="H389" s="591"/>
      <c r="I389" s="591"/>
      <c r="J389" s="591"/>
      <c r="K389" s="542"/>
      <c r="O389" s="1134"/>
      <c r="Q389" s="1133"/>
    </row>
    <row r="390" spans="2:17" x14ac:dyDescent="0.3">
      <c r="B390" s="126"/>
      <c r="C390" s="583">
        <v>23</v>
      </c>
      <c r="D390" s="625" t="e">
        <f t="shared" si="25"/>
        <v>#VALUE!</v>
      </c>
      <c r="E390" s="591"/>
      <c r="F390" s="591"/>
      <c r="G390" s="591"/>
      <c r="H390" s="591"/>
      <c r="I390" s="591"/>
      <c r="J390" s="591"/>
      <c r="K390" s="542"/>
      <c r="O390" s="1134"/>
      <c r="Q390" s="1133"/>
    </row>
    <row r="391" spans="2:17" x14ac:dyDescent="0.3">
      <c r="B391" s="126"/>
      <c r="C391" s="583">
        <v>24</v>
      </c>
      <c r="D391" s="625" t="e">
        <f t="shared" si="25"/>
        <v>#VALUE!</v>
      </c>
      <c r="E391" s="591"/>
      <c r="F391" s="591"/>
      <c r="G391" s="591"/>
      <c r="H391" s="591"/>
      <c r="I391" s="591"/>
      <c r="J391" s="591"/>
      <c r="K391" s="542"/>
      <c r="O391" s="1134"/>
      <c r="Q391" s="1133"/>
    </row>
    <row r="392" spans="2:17" x14ac:dyDescent="0.3">
      <c r="B392" s="126"/>
      <c r="C392" s="583">
        <v>25</v>
      </c>
      <c r="D392" s="625" t="e">
        <f t="shared" si="25"/>
        <v>#VALUE!</v>
      </c>
      <c r="E392" s="591"/>
      <c r="F392" s="591"/>
      <c r="G392" s="591"/>
      <c r="H392" s="591"/>
      <c r="I392" s="591"/>
      <c r="J392" s="591"/>
      <c r="K392" s="542"/>
      <c r="O392" s="1134"/>
      <c r="Q392" s="1133"/>
    </row>
    <row r="393" spans="2:17" x14ac:dyDescent="0.3">
      <c r="B393" s="126"/>
      <c r="C393" s="583">
        <v>26</v>
      </c>
      <c r="D393" s="625" t="e">
        <f t="shared" si="25"/>
        <v>#VALUE!</v>
      </c>
      <c r="E393" s="591"/>
      <c r="F393" s="591"/>
      <c r="G393" s="591"/>
      <c r="H393" s="591"/>
      <c r="I393" s="591"/>
      <c r="J393" s="591"/>
      <c r="K393" s="542"/>
      <c r="O393" s="1134"/>
      <c r="Q393" s="1133"/>
    </row>
    <row r="394" spans="2:17" x14ac:dyDescent="0.3">
      <c r="B394" s="126"/>
      <c r="C394" s="583">
        <v>27</v>
      </c>
      <c r="D394" s="625" t="e">
        <f t="shared" si="25"/>
        <v>#VALUE!</v>
      </c>
      <c r="E394" s="591"/>
      <c r="F394" s="591"/>
      <c r="G394" s="591"/>
      <c r="H394" s="591"/>
      <c r="I394" s="591"/>
      <c r="J394" s="591"/>
      <c r="K394" s="542"/>
      <c r="O394" s="1134"/>
      <c r="Q394" s="1133"/>
    </row>
    <row r="395" spans="2:17" x14ac:dyDescent="0.3">
      <c r="B395" s="126"/>
      <c r="C395" s="583">
        <v>28</v>
      </c>
      <c r="D395" s="625" t="e">
        <f t="shared" si="25"/>
        <v>#VALUE!</v>
      </c>
      <c r="E395" s="591"/>
      <c r="F395" s="591"/>
      <c r="G395" s="591"/>
      <c r="H395" s="591"/>
      <c r="I395" s="591"/>
      <c r="J395" s="591"/>
      <c r="K395" s="542"/>
      <c r="O395" s="1134"/>
      <c r="Q395" s="1133"/>
    </row>
    <row r="396" spans="2:17" x14ac:dyDescent="0.3">
      <c r="B396" s="126"/>
      <c r="C396" s="583">
        <v>29</v>
      </c>
      <c r="D396" s="625" t="e">
        <f t="shared" si="25"/>
        <v>#VALUE!</v>
      </c>
      <c r="E396" s="591"/>
      <c r="F396" s="591"/>
      <c r="G396" s="591"/>
      <c r="H396" s="591"/>
      <c r="I396" s="591"/>
      <c r="J396" s="591"/>
      <c r="K396" s="542"/>
      <c r="O396" s="1134"/>
      <c r="Q396" s="1133"/>
    </row>
    <row r="397" spans="2:17" x14ac:dyDescent="0.3">
      <c r="B397" s="126"/>
      <c r="C397" s="583">
        <v>30</v>
      </c>
      <c r="D397" s="625" t="e">
        <f t="shared" si="25"/>
        <v>#VALUE!</v>
      </c>
      <c r="E397" s="591"/>
      <c r="F397" s="591"/>
      <c r="G397" s="591"/>
      <c r="H397" s="591"/>
      <c r="I397" s="591"/>
      <c r="J397" s="591"/>
      <c r="K397" s="542"/>
      <c r="O397" s="1134"/>
      <c r="Q397" s="1133"/>
    </row>
    <row r="398" spans="2:17" x14ac:dyDescent="0.3">
      <c r="B398" s="126"/>
      <c r="C398" s="583">
        <v>31</v>
      </c>
      <c r="D398" s="625" t="e">
        <f t="shared" si="25"/>
        <v>#VALUE!</v>
      </c>
      <c r="E398" s="591"/>
      <c r="F398" s="591"/>
      <c r="G398" s="591"/>
      <c r="H398" s="591"/>
      <c r="I398" s="591"/>
      <c r="J398" s="591"/>
      <c r="K398" s="542"/>
      <c r="O398" s="1134"/>
      <c r="Q398" s="1133"/>
    </row>
    <row r="399" spans="2:17" x14ac:dyDescent="0.3">
      <c r="B399" s="126"/>
      <c r="C399" s="583">
        <v>32</v>
      </c>
      <c r="D399" s="625" t="e">
        <f t="shared" si="25"/>
        <v>#VALUE!</v>
      </c>
      <c r="E399" s="591"/>
      <c r="F399" s="591"/>
      <c r="G399" s="591"/>
      <c r="H399" s="591"/>
      <c r="I399" s="591"/>
      <c r="J399" s="591"/>
      <c r="K399" s="542"/>
      <c r="O399" s="1134"/>
      <c r="Q399" s="1133"/>
    </row>
    <row r="400" spans="2:17" x14ac:dyDescent="0.3">
      <c r="B400" s="126"/>
      <c r="C400" s="583">
        <v>33</v>
      </c>
      <c r="D400" s="625" t="e">
        <f t="shared" si="25"/>
        <v>#VALUE!</v>
      </c>
      <c r="E400" s="591"/>
      <c r="F400" s="591"/>
      <c r="G400" s="591"/>
      <c r="H400" s="591"/>
      <c r="I400" s="591"/>
      <c r="J400" s="591"/>
      <c r="K400" s="542"/>
      <c r="O400" s="1134"/>
      <c r="Q400" s="1133"/>
    </row>
    <row r="401" spans="2:17" x14ac:dyDescent="0.3">
      <c r="B401" s="126"/>
      <c r="C401" s="583">
        <v>34</v>
      </c>
      <c r="D401" s="625" t="e">
        <f t="shared" si="25"/>
        <v>#VALUE!</v>
      </c>
      <c r="E401" s="591"/>
      <c r="F401" s="591"/>
      <c r="G401" s="591"/>
      <c r="H401" s="591"/>
      <c r="I401" s="591"/>
      <c r="J401" s="591"/>
      <c r="K401" s="542"/>
      <c r="O401" s="1134"/>
      <c r="Q401" s="1133"/>
    </row>
    <row r="402" spans="2:17" x14ac:dyDescent="0.3">
      <c r="B402" s="126"/>
      <c r="C402" s="583">
        <v>35</v>
      </c>
      <c r="D402" s="625" t="e">
        <f t="shared" si="25"/>
        <v>#VALUE!</v>
      </c>
      <c r="E402" s="591"/>
      <c r="F402" s="591"/>
      <c r="G402" s="591"/>
      <c r="H402" s="591"/>
      <c r="I402" s="591"/>
      <c r="J402" s="591"/>
      <c r="K402" s="542"/>
      <c r="O402" s="1134"/>
      <c r="Q402" s="1133"/>
    </row>
    <row r="403" spans="2:17" x14ac:dyDescent="0.3">
      <c r="B403" s="126"/>
      <c r="C403" s="583">
        <v>36</v>
      </c>
      <c r="D403" s="625" t="e">
        <f t="shared" si="25"/>
        <v>#VALUE!</v>
      </c>
      <c r="E403" s="591"/>
      <c r="F403" s="591"/>
      <c r="G403" s="591"/>
      <c r="H403" s="591"/>
      <c r="I403" s="591"/>
      <c r="J403" s="591"/>
      <c r="K403" s="542"/>
      <c r="O403" s="1134"/>
      <c r="Q403" s="1133"/>
    </row>
    <row r="404" spans="2:17" x14ac:dyDescent="0.3">
      <c r="B404" s="126"/>
      <c r="C404" s="583">
        <v>37</v>
      </c>
      <c r="D404" s="625" t="e">
        <f t="shared" si="25"/>
        <v>#VALUE!</v>
      </c>
      <c r="E404" s="591"/>
      <c r="F404" s="591"/>
      <c r="G404" s="591"/>
      <c r="H404" s="591"/>
      <c r="I404" s="591"/>
      <c r="J404" s="591"/>
      <c r="K404" s="542"/>
      <c r="O404" s="1134"/>
      <c r="Q404" s="1133"/>
    </row>
    <row r="405" spans="2:17" x14ac:dyDescent="0.3">
      <c r="B405" s="126"/>
      <c r="C405" s="583">
        <v>38</v>
      </c>
      <c r="D405" s="625" t="e">
        <f t="shared" si="25"/>
        <v>#VALUE!</v>
      </c>
      <c r="E405" s="591"/>
      <c r="F405" s="591"/>
      <c r="G405" s="591"/>
      <c r="H405" s="591"/>
      <c r="I405" s="591"/>
      <c r="J405" s="591"/>
      <c r="K405" s="542"/>
      <c r="O405" s="1134"/>
      <c r="Q405" s="1133"/>
    </row>
    <row r="406" spans="2:17" x14ac:dyDescent="0.3">
      <c r="B406" s="126"/>
      <c r="C406" s="583">
        <v>39</v>
      </c>
      <c r="D406" s="625" t="e">
        <f t="shared" si="25"/>
        <v>#VALUE!</v>
      </c>
      <c r="E406" s="591"/>
      <c r="F406" s="591"/>
      <c r="G406" s="591"/>
      <c r="H406" s="591"/>
      <c r="I406" s="591"/>
      <c r="J406" s="591"/>
      <c r="K406" s="542"/>
      <c r="O406" s="1134"/>
      <c r="Q406" s="1133"/>
    </row>
    <row r="407" spans="2:17" x14ac:dyDescent="0.3">
      <c r="B407" s="126"/>
      <c r="C407" s="583">
        <v>40</v>
      </c>
      <c r="D407" s="625" t="e">
        <f t="shared" si="25"/>
        <v>#VALUE!</v>
      </c>
      <c r="E407" s="591"/>
      <c r="F407" s="591"/>
      <c r="G407" s="591"/>
      <c r="H407" s="591"/>
      <c r="I407" s="591"/>
      <c r="J407" s="591"/>
      <c r="K407" s="542"/>
      <c r="O407" s="1134"/>
      <c r="Q407" s="1133"/>
    </row>
    <row r="408" spans="2:17" x14ac:dyDescent="0.3">
      <c r="B408" s="126"/>
      <c r="C408" s="583">
        <v>41</v>
      </c>
      <c r="D408" s="625" t="e">
        <f t="shared" si="25"/>
        <v>#VALUE!</v>
      </c>
      <c r="E408" s="591"/>
      <c r="F408" s="591"/>
      <c r="G408" s="591"/>
      <c r="H408" s="591"/>
      <c r="I408" s="591"/>
      <c r="J408" s="591"/>
      <c r="K408" s="542"/>
      <c r="O408" s="1134"/>
      <c r="Q408" s="1133"/>
    </row>
    <row r="409" spans="2:17" x14ac:dyDescent="0.3">
      <c r="B409" s="126"/>
      <c r="C409" s="583">
        <v>42</v>
      </c>
      <c r="D409" s="625" t="e">
        <f t="shared" si="25"/>
        <v>#VALUE!</v>
      </c>
      <c r="E409" s="591"/>
      <c r="F409" s="591"/>
      <c r="G409" s="591"/>
      <c r="H409" s="591"/>
      <c r="I409" s="591"/>
      <c r="J409" s="591"/>
      <c r="K409" s="542"/>
      <c r="O409" s="1134"/>
      <c r="Q409" s="1133"/>
    </row>
    <row r="410" spans="2:17" x14ac:dyDescent="0.3">
      <c r="B410" s="126"/>
      <c r="C410" s="583">
        <v>43</v>
      </c>
      <c r="D410" s="625" t="e">
        <f t="shared" si="25"/>
        <v>#VALUE!</v>
      </c>
      <c r="E410" s="591"/>
      <c r="F410" s="591"/>
      <c r="G410" s="591"/>
      <c r="H410" s="591"/>
      <c r="I410" s="591"/>
      <c r="J410" s="591"/>
      <c r="K410" s="542"/>
      <c r="O410" s="1134"/>
      <c r="Q410" s="1133"/>
    </row>
    <row r="411" spans="2:17" x14ac:dyDescent="0.3">
      <c r="B411" s="126"/>
      <c r="C411" s="583">
        <v>44</v>
      </c>
      <c r="D411" s="625" t="e">
        <f t="shared" si="25"/>
        <v>#VALUE!</v>
      </c>
      <c r="E411" s="591"/>
      <c r="F411" s="591"/>
      <c r="G411" s="591"/>
      <c r="H411" s="591"/>
      <c r="I411" s="591"/>
      <c r="J411" s="591"/>
      <c r="K411" s="542"/>
      <c r="O411" s="1134"/>
      <c r="Q411" s="1133"/>
    </row>
    <row r="412" spans="2:17" x14ac:dyDescent="0.3">
      <c r="B412" s="126"/>
      <c r="C412" s="583">
        <v>45</v>
      </c>
      <c r="D412" s="625" t="e">
        <f t="shared" si="25"/>
        <v>#VALUE!</v>
      </c>
      <c r="E412" s="591"/>
      <c r="F412" s="591"/>
      <c r="G412" s="591"/>
      <c r="H412" s="591"/>
      <c r="I412" s="591"/>
      <c r="J412" s="591"/>
      <c r="K412" s="542"/>
      <c r="O412" s="1134"/>
      <c r="Q412" s="1133"/>
    </row>
    <row r="413" spans="2:17" x14ac:dyDescent="0.3">
      <c r="B413" s="126"/>
      <c r="C413" s="583">
        <v>46</v>
      </c>
      <c r="D413" s="625" t="e">
        <f t="shared" si="25"/>
        <v>#VALUE!</v>
      </c>
      <c r="E413" s="591"/>
      <c r="F413" s="591"/>
      <c r="G413" s="591"/>
      <c r="H413" s="591"/>
      <c r="I413" s="591"/>
      <c r="J413" s="591"/>
      <c r="K413" s="542"/>
      <c r="O413" s="1134"/>
      <c r="Q413" s="1133"/>
    </row>
    <row r="414" spans="2:17" x14ac:dyDescent="0.3">
      <c r="B414" s="126"/>
      <c r="C414" s="583">
        <v>47</v>
      </c>
      <c r="D414" s="625" t="e">
        <f t="shared" si="25"/>
        <v>#VALUE!</v>
      </c>
      <c r="E414" s="591"/>
      <c r="F414" s="591"/>
      <c r="G414" s="591"/>
      <c r="H414" s="591"/>
      <c r="I414" s="591"/>
      <c r="J414" s="591"/>
      <c r="K414" s="542"/>
      <c r="O414" s="1134"/>
      <c r="Q414" s="1133"/>
    </row>
    <row r="415" spans="2:17" x14ac:dyDescent="0.3">
      <c r="B415" s="126"/>
      <c r="C415" s="583">
        <v>48</v>
      </c>
      <c r="D415" s="625" t="e">
        <f t="shared" si="25"/>
        <v>#VALUE!</v>
      </c>
      <c r="E415" s="591"/>
      <c r="F415" s="591"/>
      <c r="G415" s="591"/>
      <c r="H415" s="591"/>
      <c r="I415" s="591"/>
      <c r="J415" s="591"/>
      <c r="K415" s="542"/>
      <c r="O415" s="1134"/>
      <c r="Q415" s="1133"/>
    </row>
    <row r="416" spans="2:17" x14ac:dyDescent="0.3">
      <c r="B416" s="126"/>
      <c r="C416" s="583">
        <v>49</v>
      </c>
      <c r="D416" s="625" t="e">
        <f t="shared" si="25"/>
        <v>#VALUE!</v>
      </c>
      <c r="E416" s="591"/>
      <c r="F416" s="591"/>
      <c r="G416" s="591"/>
      <c r="H416" s="591"/>
      <c r="I416" s="591"/>
      <c r="J416" s="591"/>
      <c r="K416" s="542"/>
      <c r="O416" s="1134"/>
      <c r="Q416" s="1133"/>
    </row>
    <row r="417" spans="2:17" x14ac:dyDescent="0.3">
      <c r="B417" s="126"/>
      <c r="C417" s="583">
        <v>50</v>
      </c>
      <c r="D417" s="625" t="e">
        <f t="shared" si="25"/>
        <v>#VALUE!</v>
      </c>
      <c r="E417" s="591"/>
      <c r="F417" s="591"/>
      <c r="G417" s="591"/>
      <c r="H417" s="591"/>
      <c r="I417" s="591"/>
      <c r="J417" s="591"/>
      <c r="K417" s="542"/>
      <c r="O417" s="1134"/>
      <c r="Q417" s="1133"/>
    </row>
    <row r="418" spans="2:17" x14ac:dyDescent="0.3">
      <c r="B418" s="126"/>
      <c r="C418" s="583">
        <v>51</v>
      </c>
      <c r="D418" s="625" t="e">
        <f t="shared" si="25"/>
        <v>#VALUE!</v>
      </c>
      <c r="E418" s="591"/>
      <c r="F418" s="591"/>
      <c r="G418" s="591"/>
      <c r="H418" s="591"/>
      <c r="I418" s="591"/>
      <c r="J418" s="591"/>
      <c r="K418" s="542"/>
      <c r="O418" s="1134"/>
      <c r="Q418" s="1133"/>
    </row>
    <row r="419" spans="2:17" x14ac:dyDescent="0.3">
      <c r="B419" s="126"/>
      <c r="C419" s="583">
        <v>52</v>
      </c>
      <c r="D419" s="625" t="e">
        <f t="shared" si="25"/>
        <v>#VALUE!</v>
      </c>
      <c r="E419" s="591"/>
      <c r="F419" s="591"/>
      <c r="G419" s="591"/>
      <c r="H419" s="591"/>
      <c r="I419" s="591"/>
      <c r="J419" s="591"/>
      <c r="K419" s="542"/>
      <c r="O419" s="1134"/>
      <c r="Q419" s="1133"/>
    </row>
    <row r="420" spans="2:17" x14ac:dyDescent="0.3">
      <c r="B420" s="126"/>
      <c r="C420" s="583">
        <v>53</v>
      </c>
      <c r="D420" s="625" t="e">
        <f t="shared" si="25"/>
        <v>#VALUE!</v>
      </c>
      <c r="E420" s="591"/>
      <c r="F420" s="591"/>
      <c r="G420" s="591"/>
      <c r="H420" s="591"/>
      <c r="I420" s="591"/>
      <c r="J420" s="591"/>
      <c r="K420" s="542"/>
      <c r="O420" s="1134"/>
      <c r="Q420" s="1133"/>
    </row>
    <row r="421" spans="2:17" x14ac:dyDescent="0.3">
      <c r="B421" s="126"/>
      <c r="C421" s="583">
        <v>54</v>
      </c>
      <c r="D421" s="625" t="e">
        <f t="shared" si="25"/>
        <v>#VALUE!</v>
      </c>
      <c r="E421" s="591"/>
      <c r="F421" s="591"/>
      <c r="G421" s="591"/>
      <c r="H421" s="591"/>
      <c r="I421" s="591"/>
      <c r="J421" s="591"/>
      <c r="K421" s="542"/>
      <c r="O421" s="1134"/>
      <c r="Q421" s="1133"/>
    </row>
    <row r="422" spans="2:17" x14ac:dyDescent="0.3">
      <c r="B422" s="126"/>
      <c r="C422" s="583">
        <v>55</v>
      </c>
      <c r="D422" s="625" t="e">
        <f t="shared" si="25"/>
        <v>#VALUE!</v>
      </c>
      <c r="E422" s="591"/>
      <c r="F422" s="591"/>
      <c r="G422" s="591"/>
      <c r="H422" s="591"/>
      <c r="I422" s="591"/>
      <c r="J422" s="591"/>
      <c r="K422" s="542"/>
      <c r="O422" s="1134"/>
      <c r="Q422" s="1133"/>
    </row>
    <row r="423" spans="2:17" x14ac:dyDescent="0.3">
      <c r="B423" s="126"/>
      <c r="C423" s="583">
        <v>56</v>
      </c>
      <c r="D423" s="625" t="e">
        <f t="shared" si="25"/>
        <v>#VALUE!</v>
      </c>
      <c r="E423" s="591"/>
      <c r="F423" s="591"/>
      <c r="G423" s="591"/>
      <c r="H423" s="591"/>
      <c r="I423" s="591"/>
      <c r="J423" s="591"/>
      <c r="K423" s="542"/>
      <c r="O423" s="1134"/>
      <c r="Q423" s="1133"/>
    </row>
    <row r="424" spans="2:17" x14ac:dyDescent="0.3">
      <c r="B424" s="126"/>
      <c r="C424" s="583">
        <v>57</v>
      </c>
      <c r="D424" s="625" t="e">
        <f t="shared" si="25"/>
        <v>#VALUE!</v>
      </c>
      <c r="E424" s="591"/>
      <c r="F424" s="591"/>
      <c r="G424" s="591"/>
      <c r="H424" s="591"/>
      <c r="I424" s="591"/>
      <c r="J424" s="591"/>
      <c r="K424" s="542"/>
      <c r="O424" s="1134"/>
      <c r="Q424" s="1133"/>
    </row>
    <row r="425" spans="2:17" x14ac:dyDescent="0.3">
      <c r="B425" s="126"/>
      <c r="C425" s="583">
        <v>58</v>
      </c>
      <c r="D425" s="625" t="e">
        <f t="shared" si="25"/>
        <v>#VALUE!</v>
      </c>
      <c r="E425" s="591"/>
      <c r="F425" s="591"/>
      <c r="G425" s="591"/>
      <c r="H425" s="591"/>
      <c r="I425" s="591"/>
      <c r="J425" s="591"/>
      <c r="K425" s="542"/>
      <c r="O425" s="1134"/>
      <c r="Q425" s="1133"/>
    </row>
    <row r="426" spans="2:17" x14ac:dyDescent="0.3">
      <c r="B426" s="126"/>
      <c r="C426" s="583">
        <v>59</v>
      </c>
      <c r="D426" s="625" t="e">
        <f t="shared" si="25"/>
        <v>#VALUE!</v>
      </c>
      <c r="E426" s="591"/>
      <c r="F426" s="591"/>
      <c r="G426" s="591"/>
      <c r="H426" s="591"/>
      <c r="I426" s="591"/>
      <c r="J426" s="591"/>
      <c r="K426" s="542"/>
      <c r="O426" s="1134"/>
      <c r="Q426" s="1133"/>
    </row>
    <row r="427" spans="2:17" x14ac:dyDescent="0.3">
      <c r="B427" s="126"/>
      <c r="C427" s="583">
        <v>60</v>
      </c>
      <c r="D427" s="625" t="e">
        <f t="shared" si="25"/>
        <v>#VALUE!</v>
      </c>
      <c r="E427" s="591"/>
      <c r="F427" s="591"/>
      <c r="G427" s="591"/>
      <c r="H427" s="591"/>
      <c r="I427" s="591"/>
      <c r="J427" s="591"/>
      <c r="K427" s="542"/>
      <c r="O427" s="1134"/>
      <c r="Q427" s="1133"/>
    </row>
    <row r="428" spans="2:17" x14ac:dyDescent="0.3">
      <c r="B428" s="126"/>
      <c r="C428" s="583">
        <v>61</v>
      </c>
      <c r="D428" s="625" t="e">
        <f t="shared" si="25"/>
        <v>#VALUE!</v>
      </c>
      <c r="E428" s="591"/>
      <c r="F428" s="591"/>
      <c r="G428" s="591"/>
      <c r="H428" s="591"/>
      <c r="I428" s="591"/>
      <c r="J428" s="591"/>
      <c r="K428" s="542"/>
      <c r="O428" s="1134"/>
      <c r="Q428" s="1133"/>
    </row>
    <row r="429" spans="2:17" x14ac:dyDescent="0.3">
      <c r="B429" s="126"/>
      <c r="C429" s="583">
        <v>62</v>
      </c>
      <c r="D429" s="625" t="e">
        <f t="shared" si="25"/>
        <v>#VALUE!</v>
      </c>
      <c r="E429" s="591"/>
      <c r="F429" s="591"/>
      <c r="G429" s="591"/>
      <c r="H429" s="591"/>
      <c r="I429" s="591"/>
      <c r="J429" s="591"/>
      <c r="K429" s="542"/>
      <c r="O429" s="1134"/>
      <c r="Q429" s="1133"/>
    </row>
    <row r="430" spans="2:17" x14ac:dyDescent="0.3">
      <c r="B430" s="126"/>
      <c r="C430" s="583">
        <v>63</v>
      </c>
      <c r="D430" s="625" t="e">
        <f t="shared" si="25"/>
        <v>#VALUE!</v>
      </c>
      <c r="E430" s="591"/>
      <c r="F430" s="591"/>
      <c r="G430" s="591"/>
      <c r="H430" s="591"/>
      <c r="I430" s="591"/>
      <c r="J430" s="591"/>
      <c r="K430" s="542"/>
      <c r="O430" s="1134"/>
      <c r="Q430" s="1133"/>
    </row>
    <row r="431" spans="2:17" x14ac:dyDescent="0.3">
      <c r="B431" s="126"/>
      <c r="C431" s="583">
        <v>64</v>
      </c>
      <c r="D431" s="625" t="e">
        <f t="shared" ref="D431:D494" si="26">$C$346*C431</f>
        <v>#VALUE!</v>
      </c>
      <c r="E431" s="591"/>
      <c r="F431" s="591"/>
      <c r="G431" s="591"/>
      <c r="H431" s="591"/>
      <c r="I431" s="591"/>
      <c r="J431" s="591"/>
      <c r="K431" s="542"/>
      <c r="O431" s="1134"/>
      <c r="Q431" s="1133"/>
    </row>
    <row r="432" spans="2:17" x14ac:dyDescent="0.3">
      <c r="B432" s="126"/>
      <c r="C432" s="583">
        <v>65</v>
      </c>
      <c r="D432" s="625" t="e">
        <f t="shared" si="26"/>
        <v>#VALUE!</v>
      </c>
      <c r="E432" s="591"/>
      <c r="F432" s="591"/>
      <c r="G432" s="591"/>
      <c r="H432" s="591"/>
      <c r="I432" s="591"/>
      <c r="J432" s="591"/>
      <c r="K432" s="542"/>
      <c r="O432" s="1134"/>
      <c r="Q432" s="1133"/>
    </row>
    <row r="433" spans="2:17" x14ac:dyDescent="0.3">
      <c r="B433" s="126"/>
      <c r="C433" s="583">
        <v>66</v>
      </c>
      <c r="D433" s="625" t="e">
        <f t="shared" si="26"/>
        <v>#VALUE!</v>
      </c>
      <c r="E433" s="591"/>
      <c r="F433" s="591"/>
      <c r="G433" s="591"/>
      <c r="H433" s="591"/>
      <c r="I433" s="591"/>
      <c r="J433" s="591"/>
      <c r="K433" s="542"/>
      <c r="O433" s="1134"/>
      <c r="Q433" s="1133"/>
    </row>
    <row r="434" spans="2:17" x14ac:dyDescent="0.3">
      <c r="B434" s="126"/>
      <c r="C434" s="583">
        <v>67</v>
      </c>
      <c r="D434" s="625" t="e">
        <f t="shared" si="26"/>
        <v>#VALUE!</v>
      </c>
      <c r="E434" s="591"/>
      <c r="F434" s="591"/>
      <c r="G434" s="591"/>
      <c r="H434" s="591"/>
      <c r="I434" s="591"/>
      <c r="J434" s="591"/>
      <c r="K434" s="542"/>
      <c r="O434" s="1134"/>
      <c r="Q434" s="1133"/>
    </row>
    <row r="435" spans="2:17" x14ac:dyDescent="0.3">
      <c r="B435" s="126"/>
      <c r="C435" s="583">
        <v>68</v>
      </c>
      <c r="D435" s="625" t="e">
        <f t="shared" si="26"/>
        <v>#VALUE!</v>
      </c>
      <c r="E435" s="591"/>
      <c r="F435" s="591"/>
      <c r="G435" s="591"/>
      <c r="H435" s="591"/>
      <c r="I435" s="591"/>
      <c r="J435" s="591"/>
      <c r="K435" s="542"/>
      <c r="O435" s="1134"/>
      <c r="Q435" s="1133"/>
    </row>
    <row r="436" spans="2:17" x14ac:dyDescent="0.3">
      <c r="B436" s="126"/>
      <c r="C436" s="583">
        <v>69</v>
      </c>
      <c r="D436" s="625" t="e">
        <f t="shared" si="26"/>
        <v>#VALUE!</v>
      </c>
      <c r="E436" s="591"/>
      <c r="F436" s="591"/>
      <c r="G436" s="591"/>
      <c r="H436" s="591"/>
      <c r="I436" s="591"/>
      <c r="J436" s="591"/>
      <c r="K436" s="542"/>
      <c r="O436" s="1134"/>
      <c r="Q436" s="1133"/>
    </row>
    <row r="437" spans="2:17" x14ac:dyDescent="0.3">
      <c r="B437" s="126"/>
      <c r="C437" s="583">
        <v>70</v>
      </c>
      <c r="D437" s="625" t="e">
        <f t="shared" si="26"/>
        <v>#VALUE!</v>
      </c>
      <c r="E437" s="591"/>
      <c r="F437" s="591"/>
      <c r="G437" s="591"/>
      <c r="H437" s="591"/>
      <c r="I437" s="591"/>
      <c r="J437" s="591"/>
      <c r="K437" s="542"/>
      <c r="O437" s="1134"/>
      <c r="Q437" s="1133"/>
    </row>
    <row r="438" spans="2:17" x14ac:dyDescent="0.3">
      <c r="B438" s="126"/>
      <c r="C438" s="583">
        <v>71</v>
      </c>
      <c r="D438" s="625" t="e">
        <f t="shared" si="26"/>
        <v>#VALUE!</v>
      </c>
      <c r="E438" s="591"/>
      <c r="F438" s="591"/>
      <c r="G438" s="591"/>
      <c r="H438" s="591"/>
      <c r="I438" s="591"/>
      <c r="J438" s="591"/>
      <c r="K438" s="542"/>
      <c r="O438" s="1134"/>
      <c r="Q438" s="1133"/>
    </row>
    <row r="439" spans="2:17" x14ac:dyDescent="0.3">
      <c r="B439" s="126"/>
      <c r="C439" s="583">
        <v>72</v>
      </c>
      <c r="D439" s="625" t="e">
        <f t="shared" si="26"/>
        <v>#VALUE!</v>
      </c>
      <c r="E439" s="591"/>
      <c r="F439" s="591"/>
      <c r="G439" s="591"/>
      <c r="H439" s="591"/>
      <c r="I439" s="591"/>
      <c r="J439" s="591"/>
      <c r="K439" s="542"/>
      <c r="O439" s="1134"/>
      <c r="Q439" s="1133"/>
    </row>
    <row r="440" spans="2:17" x14ac:dyDescent="0.3">
      <c r="B440" s="126"/>
      <c r="C440" s="583">
        <v>73</v>
      </c>
      <c r="D440" s="625" t="e">
        <f t="shared" si="26"/>
        <v>#VALUE!</v>
      </c>
      <c r="E440" s="591"/>
      <c r="F440" s="591"/>
      <c r="G440" s="591"/>
      <c r="H440" s="591"/>
      <c r="I440" s="591"/>
      <c r="J440" s="591"/>
      <c r="K440" s="542"/>
      <c r="O440" s="1134"/>
      <c r="Q440" s="1133"/>
    </row>
    <row r="441" spans="2:17" x14ac:dyDescent="0.3">
      <c r="B441" s="126"/>
      <c r="C441" s="583">
        <v>74</v>
      </c>
      <c r="D441" s="625" t="e">
        <f t="shared" si="26"/>
        <v>#VALUE!</v>
      </c>
      <c r="E441" s="591"/>
      <c r="F441" s="591"/>
      <c r="G441" s="591"/>
      <c r="H441" s="591"/>
      <c r="I441" s="591"/>
      <c r="J441" s="591"/>
      <c r="K441" s="542"/>
      <c r="O441" s="1134"/>
      <c r="Q441" s="1133"/>
    </row>
    <row r="442" spans="2:17" x14ac:dyDescent="0.3">
      <c r="B442" s="126"/>
      <c r="C442" s="583">
        <v>75</v>
      </c>
      <c r="D442" s="625" t="e">
        <f t="shared" si="26"/>
        <v>#VALUE!</v>
      </c>
      <c r="E442" s="591"/>
      <c r="F442" s="591"/>
      <c r="G442" s="591"/>
      <c r="H442" s="591"/>
      <c r="I442" s="591"/>
      <c r="J442" s="591"/>
      <c r="K442" s="542"/>
      <c r="O442" s="1134"/>
      <c r="Q442" s="1133"/>
    </row>
    <row r="443" spans="2:17" x14ac:dyDescent="0.3">
      <c r="B443" s="126"/>
      <c r="C443" s="583">
        <v>76</v>
      </c>
      <c r="D443" s="625" t="e">
        <f t="shared" si="26"/>
        <v>#VALUE!</v>
      </c>
      <c r="E443" s="591"/>
      <c r="F443" s="591"/>
      <c r="G443" s="591"/>
      <c r="H443" s="591"/>
      <c r="I443" s="591"/>
      <c r="J443" s="591"/>
      <c r="K443" s="542"/>
      <c r="O443" s="1134"/>
      <c r="Q443" s="1133"/>
    </row>
    <row r="444" spans="2:17" x14ac:dyDescent="0.3">
      <c r="B444" s="126"/>
      <c r="C444" s="583">
        <v>77</v>
      </c>
      <c r="D444" s="625" t="e">
        <f t="shared" si="26"/>
        <v>#VALUE!</v>
      </c>
      <c r="E444" s="591"/>
      <c r="F444" s="591"/>
      <c r="G444" s="591"/>
      <c r="H444" s="591"/>
      <c r="I444" s="591"/>
      <c r="J444" s="591"/>
      <c r="K444" s="542"/>
      <c r="O444" s="1134"/>
      <c r="Q444" s="1133"/>
    </row>
    <row r="445" spans="2:17" x14ac:dyDescent="0.3">
      <c r="B445" s="126"/>
      <c r="C445" s="583">
        <v>78</v>
      </c>
      <c r="D445" s="625" t="e">
        <f t="shared" si="26"/>
        <v>#VALUE!</v>
      </c>
      <c r="E445" s="591"/>
      <c r="F445" s="591"/>
      <c r="G445" s="591"/>
      <c r="H445" s="591"/>
      <c r="I445" s="591"/>
      <c r="J445" s="591"/>
      <c r="K445" s="542"/>
      <c r="O445" s="1134"/>
      <c r="Q445" s="1133"/>
    </row>
    <row r="446" spans="2:17" x14ac:dyDescent="0.3">
      <c r="B446" s="126"/>
      <c r="C446" s="583">
        <v>79</v>
      </c>
      <c r="D446" s="625" t="e">
        <f t="shared" si="26"/>
        <v>#VALUE!</v>
      </c>
      <c r="E446" s="591"/>
      <c r="F446" s="591"/>
      <c r="G446" s="591"/>
      <c r="H446" s="591"/>
      <c r="I446" s="591"/>
      <c r="J446" s="591"/>
      <c r="K446" s="542"/>
      <c r="O446" s="1134"/>
      <c r="Q446" s="1133"/>
    </row>
    <row r="447" spans="2:17" x14ac:dyDescent="0.3">
      <c r="B447" s="126"/>
      <c r="C447" s="583">
        <v>80</v>
      </c>
      <c r="D447" s="625" t="e">
        <f t="shared" si="26"/>
        <v>#VALUE!</v>
      </c>
      <c r="E447" s="591"/>
      <c r="F447" s="591"/>
      <c r="G447" s="591"/>
      <c r="H447" s="591"/>
      <c r="I447" s="591"/>
      <c r="J447" s="591"/>
      <c r="K447" s="542"/>
      <c r="O447" s="1134"/>
      <c r="Q447" s="1133"/>
    </row>
    <row r="448" spans="2:17" x14ac:dyDescent="0.3">
      <c r="B448" s="126"/>
      <c r="C448" s="583">
        <v>81</v>
      </c>
      <c r="D448" s="625" t="e">
        <f t="shared" si="26"/>
        <v>#VALUE!</v>
      </c>
      <c r="E448" s="591"/>
      <c r="F448" s="591"/>
      <c r="G448" s="591"/>
      <c r="H448" s="591"/>
      <c r="I448" s="591"/>
      <c r="J448" s="591"/>
      <c r="K448" s="542"/>
      <c r="O448" s="1134"/>
      <c r="Q448" s="1133"/>
    </row>
    <row r="449" spans="2:17" x14ac:dyDescent="0.3">
      <c r="B449" s="126"/>
      <c r="C449" s="583">
        <v>82</v>
      </c>
      <c r="D449" s="625" t="e">
        <f t="shared" si="26"/>
        <v>#VALUE!</v>
      </c>
      <c r="E449" s="591"/>
      <c r="F449" s="591"/>
      <c r="G449" s="591"/>
      <c r="H449" s="591"/>
      <c r="I449" s="591"/>
      <c r="J449" s="591"/>
      <c r="K449" s="542"/>
      <c r="O449" s="1134"/>
      <c r="Q449" s="1133"/>
    </row>
    <row r="450" spans="2:17" x14ac:dyDescent="0.3">
      <c r="B450" s="126"/>
      <c r="C450" s="583">
        <v>83</v>
      </c>
      <c r="D450" s="625" t="e">
        <f t="shared" si="26"/>
        <v>#VALUE!</v>
      </c>
      <c r="E450" s="591"/>
      <c r="F450" s="591"/>
      <c r="G450" s="591"/>
      <c r="H450" s="591"/>
      <c r="I450" s="591"/>
      <c r="J450" s="591"/>
      <c r="K450" s="542"/>
      <c r="O450" s="1134"/>
      <c r="Q450" s="1133"/>
    </row>
    <row r="451" spans="2:17" x14ac:dyDescent="0.3">
      <c r="B451" s="126"/>
      <c r="C451" s="583">
        <v>84</v>
      </c>
      <c r="D451" s="625" t="e">
        <f t="shared" si="26"/>
        <v>#VALUE!</v>
      </c>
      <c r="E451" s="591"/>
      <c r="F451" s="591"/>
      <c r="G451" s="591"/>
      <c r="H451" s="591"/>
      <c r="I451" s="591"/>
      <c r="J451" s="591"/>
      <c r="K451" s="542"/>
      <c r="O451" s="1134"/>
      <c r="Q451" s="1133"/>
    </row>
    <row r="452" spans="2:17" x14ac:dyDescent="0.3">
      <c r="B452" s="126"/>
      <c r="C452" s="583">
        <v>85</v>
      </c>
      <c r="D452" s="625" t="e">
        <f t="shared" si="26"/>
        <v>#VALUE!</v>
      </c>
      <c r="E452" s="591"/>
      <c r="F452" s="591"/>
      <c r="G452" s="591"/>
      <c r="H452" s="591"/>
      <c r="I452" s="591"/>
      <c r="J452" s="591"/>
      <c r="K452" s="542"/>
      <c r="O452" s="1134"/>
      <c r="Q452" s="1133"/>
    </row>
    <row r="453" spans="2:17" x14ac:dyDescent="0.3">
      <c r="B453" s="126"/>
      <c r="C453" s="583">
        <v>86</v>
      </c>
      <c r="D453" s="625" t="e">
        <f t="shared" si="26"/>
        <v>#VALUE!</v>
      </c>
      <c r="E453" s="591"/>
      <c r="F453" s="591"/>
      <c r="G453" s="591"/>
      <c r="H453" s="591"/>
      <c r="I453" s="591"/>
      <c r="J453" s="591"/>
      <c r="K453" s="542"/>
      <c r="O453" s="1134"/>
      <c r="Q453" s="1133"/>
    </row>
    <row r="454" spans="2:17" x14ac:dyDescent="0.3">
      <c r="B454" s="126"/>
      <c r="C454" s="583">
        <v>87</v>
      </c>
      <c r="D454" s="625" t="e">
        <f t="shared" si="26"/>
        <v>#VALUE!</v>
      </c>
      <c r="E454" s="591"/>
      <c r="F454" s="591"/>
      <c r="G454" s="591"/>
      <c r="H454" s="591"/>
      <c r="I454" s="591"/>
      <c r="J454" s="591"/>
      <c r="K454" s="542"/>
      <c r="O454" s="1134"/>
      <c r="Q454" s="1133"/>
    </row>
    <row r="455" spans="2:17" x14ac:dyDescent="0.3">
      <c r="B455" s="126"/>
      <c r="C455" s="583">
        <v>88</v>
      </c>
      <c r="D455" s="625" t="e">
        <f t="shared" si="26"/>
        <v>#VALUE!</v>
      </c>
      <c r="E455" s="591"/>
      <c r="F455" s="591"/>
      <c r="G455" s="591"/>
      <c r="H455" s="591"/>
      <c r="I455" s="591"/>
      <c r="J455" s="591"/>
      <c r="K455" s="542"/>
      <c r="O455" s="1134"/>
      <c r="Q455" s="1133"/>
    </row>
    <row r="456" spans="2:17" x14ac:dyDescent="0.3">
      <c r="B456" s="126"/>
      <c r="C456" s="583">
        <v>89</v>
      </c>
      <c r="D456" s="625" t="e">
        <f t="shared" si="26"/>
        <v>#VALUE!</v>
      </c>
      <c r="E456" s="591"/>
      <c r="F456" s="591"/>
      <c r="G456" s="591"/>
      <c r="H456" s="591"/>
      <c r="I456" s="591"/>
      <c r="J456" s="591"/>
      <c r="K456" s="542"/>
      <c r="O456" s="1134"/>
      <c r="Q456" s="1133"/>
    </row>
    <row r="457" spans="2:17" x14ac:dyDescent="0.3">
      <c r="B457" s="126"/>
      <c r="C457" s="583">
        <v>90</v>
      </c>
      <c r="D457" s="625" t="e">
        <f t="shared" si="26"/>
        <v>#VALUE!</v>
      </c>
      <c r="E457" s="591"/>
      <c r="F457" s="591"/>
      <c r="G457" s="591"/>
      <c r="H457" s="591"/>
      <c r="I457" s="591"/>
      <c r="J457" s="591"/>
      <c r="K457" s="542"/>
      <c r="O457" s="1134"/>
      <c r="Q457" s="1133"/>
    </row>
    <row r="458" spans="2:17" x14ac:dyDescent="0.3">
      <c r="B458" s="126"/>
      <c r="C458" s="583">
        <v>91</v>
      </c>
      <c r="D458" s="625" t="e">
        <f t="shared" si="26"/>
        <v>#VALUE!</v>
      </c>
      <c r="E458" s="591"/>
      <c r="F458" s="591"/>
      <c r="G458" s="591"/>
      <c r="H458" s="591"/>
      <c r="I458" s="591"/>
      <c r="J458" s="591"/>
      <c r="K458" s="542"/>
      <c r="O458" s="1134"/>
      <c r="Q458" s="1133"/>
    </row>
    <row r="459" spans="2:17" x14ac:dyDescent="0.3">
      <c r="B459" s="126"/>
      <c r="C459" s="583">
        <v>92</v>
      </c>
      <c r="D459" s="625" t="e">
        <f t="shared" si="26"/>
        <v>#VALUE!</v>
      </c>
      <c r="E459" s="591"/>
      <c r="F459" s="591"/>
      <c r="G459" s="591"/>
      <c r="H459" s="591"/>
      <c r="I459" s="591"/>
      <c r="J459" s="591"/>
      <c r="K459" s="542"/>
      <c r="O459" s="1134"/>
      <c r="Q459" s="1133"/>
    </row>
    <row r="460" spans="2:17" x14ac:dyDescent="0.3">
      <c r="B460" s="126"/>
      <c r="C460" s="583">
        <v>93</v>
      </c>
      <c r="D460" s="625" t="e">
        <f t="shared" si="26"/>
        <v>#VALUE!</v>
      </c>
      <c r="E460" s="591"/>
      <c r="F460" s="591"/>
      <c r="G460" s="591"/>
      <c r="H460" s="591"/>
      <c r="I460" s="591"/>
      <c r="J460" s="591"/>
      <c r="K460" s="542"/>
      <c r="O460" s="1134"/>
      <c r="Q460" s="1133"/>
    </row>
    <row r="461" spans="2:17" x14ac:dyDescent="0.3">
      <c r="B461" s="126"/>
      <c r="C461" s="583">
        <v>94</v>
      </c>
      <c r="D461" s="625" t="e">
        <f t="shared" si="26"/>
        <v>#VALUE!</v>
      </c>
      <c r="E461" s="591"/>
      <c r="F461" s="591"/>
      <c r="G461" s="591"/>
      <c r="H461" s="591"/>
      <c r="I461" s="591"/>
      <c r="J461" s="591"/>
      <c r="K461" s="542"/>
      <c r="O461" s="1134"/>
      <c r="Q461" s="1133"/>
    </row>
    <row r="462" spans="2:17" x14ac:dyDescent="0.3">
      <c r="B462" s="126"/>
      <c r="C462" s="583">
        <v>95</v>
      </c>
      <c r="D462" s="625" t="e">
        <f t="shared" si="26"/>
        <v>#VALUE!</v>
      </c>
      <c r="E462" s="591"/>
      <c r="F462" s="591"/>
      <c r="G462" s="591"/>
      <c r="H462" s="591"/>
      <c r="I462" s="591"/>
      <c r="J462" s="591"/>
      <c r="K462" s="542"/>
      <c r="O462" s="1134"/>
      <c r="Q462" s="1133"/>
    </row>
    <row r="463" spans="2:17" x14ac:dyDescent="0.3">
      <c r="B463" s="126"/>
      <c r="C463" s="583">
        <v>96</v>
      </c>
      <c r="D463" s="625" t="e">
        <f t="shared" si="26"/>
        <v>#VALUE!</v>
      </c>
      <c r="E463" s="591"/>
      <c r="F463" s="591"/>
      <c r="G463" s="591"/>
      <c r="H463" s="591"/>
      <c r="I463" s="591"/>
      <c r="J463" s="591"/>
      <c r="K463" s="542"/>
      <c r="O463" s="1134"/>
      <c r="Q463" s="1133"/>
    </row>
    <row r="464" spans="2:17" x14ac:dyDescent="0.3">
      <c r="B464" s="126"/>
      <c r="C464" s="583">
        <v>97</v>
      </c>
      <c r="D464" s="625" t="e">
        <f t="shared" si="26"/>
        <v>#VALUE!</v>
      </c>
      <c r="E464" s="591"/>
      <c r="F464" s="591"/>
      <c r="G464" s="591"/>
      <c r="H464" s="591"/>
      <c r="I464" s="591"/>
      <c r="J464" s="591"/>
      <c r="K464" s="542"/>
      <c r="O464" s="1134"/>
      <c r="Q464" s="1133"/>
    </row>
    <row r="465" spans="2:17" x14ac:dyDescent="0.3">
      <c r="B465" s="126"/>
      <c r="C465" s="583">
        <v>98</v>
      </c>
      <c r="D465" s="625" t="e">
        <f t="shared" si="26"/>
        <v>#VALUE!</v>
      </c>
      <c r="E465" s="591"/>
      <c r="F465" s="591"/>
      <c r="G465" s="591"/>
      <c r="H465" s="591"/>
      <c r="I465" s="591"/>
      <c r="J465" s="591"/>
      <c r="K465" s="542"/>
      <c r="O465" s="1134"/>
      <c r="Q465" s="1133"/>
    </row>
    <row r="466" spans="2:17" x14ac:dyDescent="0.3">
      <c r="B466" s="126"/>
      <c r="C466" s="583">
        <v>99</v>
      </c>
      <c r="D466" s="625" t="e">
        <f t="shared" si="26"/>
        <v>#VALUE!</v>
      </c>
      <c r="E466" s="591"/>
      <c r="F466" s="591"/>
      <c r="G466" s="591"/>
      <c r="H466" s="591"/>
      <c r="I466" s="591"/>
      <c r="J466" s="591"/>
      <c r="K466" s="542"/>
      <c r="O466" s="1134"/>
      <c r="Q466" s="1133"/>
    </row>
    <row r="467" spans="2:17" x14ac:dyDescent="0.3">
      <c r="B467" s="126"/>
      <c r="C467" s="583">
        <v>100</v>
      </c>
      <c r="D467" s="625" t="e">
        <f t="shared" si="26"/>
        <v>#VALUE!</v>
      </c>
      <c r="E467" s="591"/>
      <c r="F467" s="591"/>
      <c r="G467" s="591"/>
      <c r="H467" s="591"/>
      <c r="I467" s="591"/>
      <c r="J467" s="591"/>
      <c r="K467" s="542"/>
      <c r="O467" s="1134"/>
      <c r="Q467" s="1133"/>
    </row>
    <row r="468" spans="2:17" x14ac:dyDescent="0.3">
      <c r="B468" s="126"/>
      <c r="C468" s="583">
        <v>101</v>
      </c>
      <c r="D468" s="625" t="e">
        <f t="shared" si="26"/>
        <v>#VALUE!</v>
      </c>
      <c r="E468" s="591"/>
      <c r="F468" s="591"/>
      <c r="G468" s="591"/>
      <c r="H468" s="591"/>
      <c r="I468" s="591"/>
      <c r="J468" s="591"/>
      <c r="K468" s="542"/>
      <c r="O468" s="1134"/>
      <c r="Q468" s="1133"/>
    </row>
    <row r="469" spans="2:17" x14ac:dyDescent="0.3">
      <c r="B469" s="126"/>
      <c r="C469" s="583">
        <v>102</v>
      </c>
      <c r="D469" s="625" t="e">
        <f t="shared" si="26"/>
        <v>#VALUE!</v>
      </c>
      <c r="E469" s="591"/>
      <c r="F469" s="591"/>
      <c r="G469" s="591"/>
      <c r="H469" s="591"/>
      <c r="I469" s="591"/>
      <c r="J469" s="591"/>
      <c r="K469" s="542"/>
      <c r="O469" s="1134"/>
      <c r="Q469" s="1133"/>
    </row>
    <row r="470" spans="2:17" x14ac:dyDescent="0.3">
      <c r="B470" s="126"/>
      <c r="C470" s="583">
        <v>103</v>
      </c>
      <c r="D470" s="625" t="e">
        <f t="shared" si="26"/>
        <v>#VALUE!</v>
      </c>
      <c r="E470" s="591"/>
      <c r="F470" s="591"/>
      <c r="G470" s="591"/>
      <c r="H470" s="591"/>
      <c r="I470" s="591"/>
      <c r="J470" s="591"/>
      <c r="K470" s="542"/>
      <c r="O470" s="1134"/>
      <c r="Q470" s="1133"/>
    </row>
    <row r="471" spans="2:17" x14ac:dyDescent="0.3">
      <c r="B471" s="126"/>
      <c r="C471" s="583">
        <v>104</v>
      </c>
      <c r="D471" s="625" t="e">
        <f t="shared" si="26"/>
        <v>#VALUE!</v>
      </c>
      <c r="E471" s="591"/>
      <c r="F471" s="591"/>
      <c r="G471" s="591"/>
      <c r="H471" s="591"/>
      <c r="I471" s="591"/>
      <c r="J471" s="591"/>
      <c r="K471" s="542"/>
      <c r="O471" s="1134"/>
      <c r="Q471" s="1133"/>
    </row>
    <row r="472" spans="2:17" x14ac:dyDescent="0.3">
      <c r="B472" s="126"/>
      <c r="C472" s="583">
        <v>105</v>
      </c>
      <c r="D472" s="625" t="e">
        <f t="shared" si="26"/>
        <v>#VALUE!</v>
      </c>
      <c r="E472" s="591"/>
      <c r="F472" s="591"/>
      <c r="G472" s="591"/>
      <c r="H472" s="591"/>
      <c r="I472" s="591"/>
      <c r="J472" s="591"/>
      <c r="K472" s="542"/>
      <c r="O472" s="1134"/>
      <c r="Q472" s="1133"/>
    </row>
    <row r="473" spans="2:17" x14ac:dyDescent="0.3">
      <c r="B473" s="126"/>
      <c r="C473" s="583">
        <v>106</v>
      </c>
      <c r="D473" s="625" t="e">
        <f t="shared" si="26"/>
        <v>#VALUE!</v>
      </c>
      <c r="E473" s="591"/>
      <c r="F473" s="591"/>
      <c r="G473" s="591"/>
      <c r="H473" s="591"/>
      <c r="I473" s="591"/>
      <c r="J473" s="591"/>
      <c r="K473" s="542"/>
      <c r="O473" s="1134"/>
      <c r="Q473" s="1133"/>
    </row>
    <row r="474" spans="2:17" x14ac:dyDescent="0.3">
      <c r="B474" s="126"/>
      <c r="C474" s="583">
        <v>107</v>
      </c>
      <c r="D474" s="625" t="e">
        <f t="shared" si="26"/>
        <v>#VALUE!</v>
      </c>
      <c r="E474" s="591"/>
      <c r="F474" s="591"/>
      <c r="G474" s="591"/>
      <c r="H474" s="591"/>
      <c r="I474" s="591"/>
      <c r="J474" s="591"/>
      <c r="K474" s="542"/>
      <c r="O474" s="1134"/>
      <c r="Q474" s="1133"/>
    </row>
    <row r="475" spans="2:17" x14ac:dyDescent="0.3">
      <c r="B475" s="126"/>
      <c r="C475" s="583">
        <v>108</v>
      </c>
      <c r="D475" s="625" t="e">
        <f t="shared" si="26"/>
        <v>#VALUE!</v>
      </c>
      <c r="E475" s="591"/>
      <c r="F475" s="591"/>
      <c r="G475" s="591"/>
      <c r="H475" s="591"/>
      <c r="I475" s="591"/>
      <c r="J475" s="591"/>
      <c r="K475" s="542"/>
      <c r="O475" s="1134"/>
      <c r="Q475" s="1133"/>
    </row>
    <row r="476" spans="2:17" x14ac:dyDescent="0.3">
      <c r="B476" s="126"/>
      <c r="C476" s="583">
        <v>109</v>
      </c>
      <c r="D476" s="625" t="e">
        <f t="shared" si="26"/>
        <v>#VALUE!</v>
      </c>
      <c r="E476" s="591"/>
      <c r="F476" s="591"/>
      <c r="G476" s="591"/>
      <c r="H476" s="591"/>
      <c r="I476" s="591"/>
      <c r="J476" s="591"/>
      <c r="K476" s="542"/>
      <c r="O476" s="1134"/>
      <c r="Q476" s="1133"/>
    </row>
    <row r="477" spans="2:17" x14ac:dyDescent="0.3">
      <c r="B477" s="126"/>
      <c r="C477" s="583">
        <v>110</v>
      </c>
      <c r="D477" s="625" t="e">
        <f t="shared" si="26"/>
        <v>#VALUE!</v>
      </c>
      <c r="E477" s="591"/>
      <c r="F477" s="591"/>
      <c r="G477" s="591"/>
      <c r="H477" s="591"/>
      <c r="I477" s="591"/>
      <c r="J477" s="591"/>
      <c r="K477" s="542"/>
      <c r="O477" s="1134"/>
      <c r="Q477" s="1133"/>
    </row>
    <row r="478" spans="2:17" x14ac:dyDescent="0.3">
      <c r="B478" s="126"/>
      <c r="C478" s="583">
        <v>111</v>
      </c>
      <c r="D478" s="625" t="e">
        <f t="shared" si="26"/>
        <v>#VALUE!</v>
      </c>
      <c r="E478" s="591"/>
      <c r="F478" s="591"/>
      <c r="G478" s="591"/>
      <c r="H478" s="591"/>
      <c r="I478" s="591"/>
      <c r="J478" s="591"/>
      <c r="K478" s="542"/>
      <c r="O478" s="1134"/>
      <c r="Q478" s="1133"/>
    </row>
    <row r="479" spans="2:17" x14ac:dyDescent="0.3">
      <c r="B479" s="126"/>
      <c r="C479" s="583">
        <v>112</v>
      </c>
      <c r="D479" s="625" t="e">
        <f t="shared" si="26"/>
        <v>#VALUE!</v>
      </c>
      <c r="E479" s="591"/>
      <c r="F479" s="591"/>
      <c r="G479" s="591"/>
      <c r="H479" s="591"/>
      <c r="I479" s="591"/>
      <c r="J479" s="591"/>
      <c r="K479" s="542"/>
      <c r="O479" s="1134"/>
      <c r="Q479" s="1133"/>
    </row>
    <row r="480" spans="2:17" x14ac:dyDescent="0.3">
      <c r="B480" s="126"/>
      <c r="C480" s="583">
        <v>113</v>
      </c>
      <c r="D480" s="625" t="e">
        <f t="shared" si="26"/>
        <v>#VALUE!</v>
      </c>
      <c r="E480" s="591"/>
      <c r="F480" s="591"/>
      <c r="G480" s="591"/>
      <c r="H480" s="591"/>
      <c r="I480" s="591"/>
      <c r="J480" s="591"/>
      <c r="K480" s="542"/>
      <c r="O480" s="1134"/>
      <c r="Q480" s="1133"/>
    </row>
    <row r="481" spans="2:17" x14ac:dyDescent="0.3">
      <c r="B481" s="126"/>
      <c r="C481" s="583">
        <v>114</v>
      </c>
      <c r="D481" s="625" t="e">
        <f t="shared" si="26"/>
        <v>#VALUE!</v>
      </c>
      <c r="E481" s="591"/>
      <c r="F481" s="591"/>
      <c r="G481" s="591"/>
      <c r="H481" s="591"/>
      <c r="I481" s="591"/>
      <c r="J481" s="591"/>
      <c r="K481" s="542"/>
      <c r="O481" s="1134"/>
      <c r="Q481" s="1133"/>
    </row>
    <row r="482" spans="2:17" x14ac:dyDescent="0.3">
      <c r="B482" s="126"/>
      <c r="C482" s="583">
        <v>115</v>
      </c>
      <c r="D482" s="625" t="e">
        <f t="shared" si="26"/>
        <v>#VALUE!</v>
      </c>
      <c r="E482" s="591"/>
      <c r="F482" s="591"/>
      <c r="G482" s="591"/>
      <c r="H482" s="591"/>
      <c r="I482" s="591"/>
      <c r="J482" s="591"/>
      <c r="K482" s="542"/>
      <c r="O482" s="1134"/>
      <c r="Q482" s="1133"/>
    </row>
    <row r="483" spans="2:17" x14ac:dyDescent="0.3">
      <c r="B483" s="126"/>
      <c r="C483" s="583">
        <v>116</v>
      </c>
      <c r="D483" s="625" t="e">
        <f t="shared" si="26"/>
        <v>#VALUE!</v>
      </c>
      <c r="E483" s="591"/>
      <c r="F483" s="591"/>
      <c r="G483" s="591"/>
      <c r="H483" s="591"/>
      <c r="I483" s="591"/>
      <c r="J483" s="591"/>
      <c r="K483" s="542"/>
      <c r="O483" s="1134"/>
      <c r="Q483" s="1133"/>
    </row>
    <row r="484" spans="2:17" x14ac:dyDescent="0.3">
      <c r="B484" s="126"/>
      <c r="C484" s="583">
        <v>117</v>
      </c>
      <c r="D484" s="625" t="e">
        <f t="shared" si="26"/>
        <v>#VALUE!</v>
      </c>
      <c r="E484" s="591"/>
      <c r="F484" s="591"/>
      <c r="G484" s="591"/>
      <c r="H484" s="591"/>
      <c r="I484" s="591"/>
      <c r="J484" s="591"/>
      <c r="K484" s="542"/>
      <c r="O484" s="1134"/>
      <c r="Q484" s="1133"/>
    </row>
    <row r="485" spans="2:17" x14ac:dyDescent="0.3">
      <c r="B485" s="126"/>
      <c r="C485" s="583">
        <v>118</v>
      </c>
      <c r="D485" s="625" t="e">
        <f t="shared" si="26"/>
        <v>#VALUE!</v>
      </c>
      <c r="E485" s="591"/>
      <c r="F485" s="591"/>
      <c r="G485" s="591"/>
      <c r="H485" s="591"/>
      <c r="I485" s="591"/>
      <c r="J485" s="591"/>
      <c r="K485" s="542"/>
      <c r="O485" s="1134"/>
      <c r="Q485" s="1133"/>
    </row>
    <row r="486" spans="2:17" x14ac:dyDescent="0.3">
      <c r="B486" s="126"/>
      <c r="C486" s="583">
        <v>119</v>
      </c>
      <c r="D486" s="625" t="e">
        <f t="shared" si="26"/>
        <v>#VALUE!</v>
      </c>
      <c r="E486" s="591"/>
      <c r="F486" s="591"/>
      <c r="G486" s="591"/>
      <c r="H486" s="591"/>
      <c r="I486" s="591"/>
      <c r="J486" s="591"/>
      <c r="K486" s="542"/>
      <c r="O486" s="1134"/>
      <c r="Q486" s="1133"/>
    </row>
    <row r="487" spans="2:17" x14ac:dyDescent="0.3">
      <c r="B487" s="126"/>
      <c r="C487" s="583">
        <v>120</v>
      </c>
      <c r="D487" s="625" t="e">
        <f t="shared" si="26"/>
        <v>#VALUE!</v>
      </c>
      <c r="E487" s="591"/>
      <c r="F487" s="591"/>
      <c r="G487" s="591"/>
      <c r="H487" s="591"/>
      <c r="I487" s="591"/>
      <c r="J487" s="591"/>
      <c r="K487" s="542"/>
      <c r="O487" s="1134"/>
      <c r="Q487" s="1133"/>
    </row>
    <row r="488" spans="2:17" x14ac:dyDescent="0.3">
      <c r="B488" s="126"/>
      <c r="C488" s="583">
        <v>121</v>
      </c>
      <c r="D488" s="625" t="e">
        <f t="shared" si="26"/>
        <v>#VALUE!</v>
      </c>
      <c r="E488" s="591"/>
      <c r="F488" s="591"/>
      <c r="G488" s="591"/>
      <c r="H488" s="591"/>
      <c r="I488" s="591"/>
      <c r="J488" s="591"/>
      <c r="K488" s="542"/>
      <c r="O488" s="1134"/>
      <c r="Q488" s="1133"/>
    </row>
    <row r="489" spans="2:17" x14ac:dyDescent="0.3">
      <c r="B489" s="126"/>
      <c r="C489" s="583">
        <v>122</v>
      </c>
      <c r="D489" s="625" t="e">
        <f t="shared" si="26"/>
        <v>#VALUE!</v>
      </c>
      <c r="E489" s="591"/>
      <c r="F489" s="591"/>
      <c r="G489" s="591"/>
      <c r="H489" s="591"/>
      <c r="I489" s="591"/>
      <c r="J489" s="591"/>
      <c r="K489" s="542"/>
      <c r="O489" s="1134"/>
      <c r="Q489" s="1133"/>
    </row>
    <row r="490" spans="2:17" x14ac:dyDescent="0.3">
      <c r="B490" s="126"/>
      <c r="C490" s="583">
        <v>123</v>
      </c>
      <c r="D490" s="625" t="e">
        <f t="shared" si="26"/>
        <v>#VALUE!</v>
      </c>
      <c r="E490" s="591"/>
      <c r="F490" s="591"/>
      <c r="G490" s="591"/>
      <c r="H490" s="591"/>
      <c r="I490" s="591"/>
      <c r="J490" s="591"/>
      <c r="K490" s="542"/>
      <c r="O490" s="1134"/>
      <c r="Q490" s="1133"/>
    </row>
    <row r="491" spans="2:17" x14ac:dyDescent="0.3">
      <c r="B491" s="126"/>
      <c r="C491" s="583">
        <v>124</v>
      </c>
      <c r="D491" s="625" t="e">
        <f t="shared" si="26"/>
        <v>#VALUE!</v>
      </c>
      <c r="E491" s="591"/>
      <c r="F491" s="591"/>
      <c r="G491" s="591"/>
      <c r="H491" s="591"/>
      <c r="I491" s="591"/>
      <c r="J491" s="591"/>
      <c r="K491" s="542"/>
      <c r="O491" s="1134"/>
      <c r="Q491" s="1133"/>
    </row>
    <row r="492" spans="2:17" x14ac:dyDescent="0.3">
      <c r="B492" s="126"/>
      <c r="C492" s="583">
        <v>125</v>
      </c>
      <c r="D492" s="625" t="e">
        <f t="shared" si="26"/>
        <v>#VALUE!</v>
      </c>
      <c r="E492" s="591"/>
      <c r="F492" s="591"/>
      <c r="G492" s="591"/>
      <c r="H492" s="591"/>
      <c r="I492" s="591"/>
      <c r="J492" s="591"/>
      <c r="K492" s="542"/>
      <c r="O492" s="1134"/>
      <c r="Q492" s="1133"/>
    </row>
    <row r="493" spans="2:17" x14ac:dyDescent="0.3">
      <c r="B493" s="126"/>
      <c r="C493" s="583">
        <v>126</v>
      </c>
      <c r="D493" s="625" t="e">
        <f t="shared" si="26"/>
        <v>#VALUE!</v>
      </c>
      <c r="E493" s="591"/>
      <c r="F493" s="591"/>
      <c r="G493" s="591"/>
      <c r="H493" s="591"/>
      <c r="I493" s="591"/>
      <c r="J493" s="591"/>
      <c r="K493" s="542"/>
      <c r="O493" s="1134"/>
      <c r="Q493" s="1133"/>
    </row>
    <row r="494" spans="2:17" x14ac:dyDescent="0.3">
      <c r="B494" s="126"/>
      <c r="C494" s="583">
        <v>127</v>
      </c>
      <c r="D494" s="625" t="e">
        <f t="shared" si="26"/>
        <v>#VALUE!</v>
      </c>
      <c r="E494" s="591"/>
      <c r="F494" s="591"/>
      <c r="G494" s="591"/>
      <c r="H494" s="591"/>
      <c r="I494" s="591"/>
      <c r="J494" s="591"/>
      <c r="K494" s="542"/>
      <c r="O494" s="1134"/>
      <c r="Q494" s="1133"/>
    </row>
    <row r="495" spans="2:17" x14ac:dyDescent="0.3">
      <c r="B495" s="126"/>
      <c r="C495" s="583">
        <v>128</v>
      </c>
      <c r="D495" s="625" t="e">
        <f t="shared" ref="D495:D558" si="27">$C$346*C495</f>
        <v>#VALUE!</v>
      </c>
      <c r="E495" s="591"/>
      <c r="F495" s="591"/>
      <c r="G495" s="591"/>
      <c r="H495" s="591"/>
      <c r="I495" s="591"/>
      <c r="J495" s="591"/>
      <c r="K495" s="542"/>
      <c r="O495" s="1134"/>
      <c r="Q495" s="1133"/>
    </row>
    <row r="496" spans="2:17" x14ac:dyDescent="0.3">
      <c r="B496" s="126"/>
      <c r="C496" s="583">
        <v>129</v>
      </c>
      <c r="D496" s="625" t="e">
        <f t="shared" si="27"/>
        <v>#VALUE!</v>
      </c>
      <c r="E496" s="591"/>
      <c r="F496" s="591"/>
      <c r="G496" s="591"/>
      <c r="H496" s="591"/>
      <c r="I496" s="591"/>
      <c r="J496" s="591"/>
      <c r="K496" s="542"/>
      <c r="O496" s="1134"/>
      <c r="Q496" s="1133"/>
    </row>
    <row r="497" spans="2:17" x14ac:dyDescent="0.3">
      <c r="B497" s="126"/>
      <c r="C497" s="583">
        <v>130</v>
      </c>
      <c r="D497" s="625" t="e">
        <f t="shared" si="27"/>
        <v>#VALUE!</v>
      </c>
      <c r="E497" s="591"/>
      <c r="F497" s="591"/>
      <c r="G497" s="591"/>
      <c r="H497" s="591"/>
      <c r="I497" s="591"/>
      <c r="J497" s="591"/>
      <c r="K497" s="542"/>
      <c r="O497" s="1134"/>
      <c r="Q497" s="1133"/>
    </row>
    <row r="498" spans="2:17" x14ac:dyDescent="0.3">
      <c r="B498" s="126"/>
      <c r="C498" s="583">
        <v>131</v>
      </c>
      <c r="D498" s="625" t="e">
        <f t="shared" si="27"/>
        <v>#VALUE!</v>
      </c>
      <c r="E498" s="591"/>
      <c r="F498" s="591"/>
      <c r="G498" s="591"/>
      <c r="H498" s="591"/>
      <c r="I498" s="591"/>
      <c r="J498" s="591"/>
      <c r="K498" s="542"/>
      <c r="O498" s="1134"/>
      <c r="Q498" s="1133"/>
    </row>
    <row r="499" spans="2:17" x14ac:dyDescent="0.3">
      <c r="B499" s="126"/>
      <c r="C499" s="583">
        <v>132</v>
      </c>
      <c r="D499" s="625" t="e">
        <f t="shared" si="27"/>
        <v>#VALUE!</v>
      </c>
      <c r="E499" s="591"/>
      <c r="F499" s="591"/>
      <c r="G499" s="591"/>
      <c r="H499" s="591"/>
      <c r="I499" s="591"/>
      <c r="J499" s="591"/>
      <c r="K499" s="542"/>
      <c r="O499" s="1134"/>
      <c r="Q499" s="1133"/>
    </row>
    <row r="500" spans="2:17" x14ac:dyDescent="0.3">
      <c r="B500" s="126"/>
      <c r="C500" s="583">
        <v>133</v>
      </c>
      <c r="D500" s="625" t="e">
        <f t="shared" si="27"/>
        <v>#VALUE!</v>
      </c>
      <c r="E500" s="591"/>
      <c r="F500" s="591"/>
      <c r="G500" s="591"/>
      <c r="H500" s="591"/>
      <c r="I500" s="591"/>
      <c r="J500" s="591"/>
      <c r="K500" s="542"/>
      <c r="O500" s="1134"/>
      <c r="Q500" s="1133"/>
    </row>
    <row r="501" spans="2:17" x14ac:dyDescent="0.3">
      <c r="B501" s="126"/>
      <c r="C501" s="583">
        <v>134</v>
      </c>
      <c r="D501" s="625" t="e">
        <f t="shared" si="27"/>
        <v>#VALUE!</v>
      </c>
      <c r="E501" s="591"/>
      <c r="F501" s="591"/>
      <c r="G501" s="591"/>
      <c r="H501" s="591"/>
      <c r="I501" s="591"/>
      <c r="J501" s="591"/>
      <c r="K501" s="542"/>
      <c r="O501" s="1134"/>
      <c r="Q501" s="1133"/>
    </row>
    <row r="502" spans="2:17" x14ac:dyDescent="0.3">
      <c r="B502" s="126"/>
      <c r="C502" s="583">
        <v>135</v>
      </c>
      <c r="D502" s="625" t="e">
        <f t="shared" si="27"/>
        <v>#VALUE!</v>
      </c>
      <c r="E502" s="591"/>
      <c r="F502" s="591"/>
      <c r="G502" s="591"/>
      <c r="H502" s="591"/>
      <c r="I502" s="591"/>
      <c r="J502" s="591"/>
      <c r="K502" s="542"/>
      <c r="O502" s="1134"/>
      <c r="Q502" s="1133"/>
    </row>
    <row r="503" spans="2:17" x14ac:dyDescent="0.3">
      <c r="B503" s="126"/>
      <c r="C503" s="583">
        <v>136</v>
      </c>
      <c r="D503" s="625" t="e">
        <f t="shared" si="27"/>
        <v>#VALUE!</v>
      </c>
      <c r="E503" s="591"/>
      <c r="F503" s="591"/>
      <c r="G503" s="591"/>
      <c r="H503" s="591"/>
      <c r="I503" s="591"/>
      <c r="J503" s="591"/>
      <c r="K503" s="542"/>
      <c r="O503" s="1134"/>
      <c r="Q503" s="1133"/>
    </row>
    <row r="504" spans="2:17" x14ac:dyDescent="0.3">
      <c r="B504" s="126"/>
      <c r="C504" s="583">
        <v>137</v>
      </c>
      <c r="D504" s="625" t="e">
        <f t="shared" si="27"/>
        <v>#VALUE!</v>
      </c>
      <c r="E504" s="591"/>
      <c r="F504" s="591"/>
      <c r="G504" s="591"/>
      <c r="H504" s="591"/>
      <c r="I504" s="591"/>
      <c r="J504" s="591"/>
      <c r="K504" s="542"/>
      <c r="O504" s="1134"/>
      <c r="Q504" s="1133"/>
    </row>
    <row r="505" spans="2:17" x14ac:dyDescent="0.3">
      <c r="B505" s="126"/>
      <c r="C505" s="583">
        <v>138</v>
      </c>
      <c r="D505" s="625" t="e">
        <f t="shared" si="27"/>
        <v>#VALUE!</v>
      </c>
      <c r="E505" s="591"/>
      <c r="F505" s="591"/>
      <c r="G505" s="591"/>
      <c r="H505" s="591"/>
      <c r="I505" s="591"/>
      <c r="J505" s="591"/>
      <c r="K505" s="542"/>
      <c r="O505" s="1134"/>
      <c r="Q505" s="1133"/>
    </row>
    <row r="506" spans="2:17" x14ac:dyDescent="0.3">
      <c r="B506" s="126"/>
      <c r="C506" s="583">
        <v>139</v>
      </c>
      <c r="D506" s="625" t="e">
        <f t="shared" si="27"/>
        <v>#VALUE!</v>
      </c>
      <c r="E506" s="591"/>
      <c r="F506" s="591"/>
      <c r="G506" s="591"/>
      <c r="H506" s="591"/>
      <c r="I506" s="591"/>
      <c r="J506" s="591"/>
      <c r="K506" s="542"/>
      <c r="O506" s="1134"/>
      <c r="Q506" s="1133"/>
    </row>
    <row r="507" spans="2:17" x14ac:dyDescent="0.3">
      <c r="B507" s="126"/>
      <c r="C507" s="583">
        <v>140</v>
      </c>
      <c r="D507" s="625" t="e">
        <f t="shared" si="27"/>
        <v>#VALUE!</v>
      </c>
      <c r="E507" s="591"/>
      <c r="F507" s="591"/>
      <c r="G507" s="591"/>
      <c r="H507" s="591"/>
      <c r="I507" s="591"/>
      <c r="J507" s="591"/>
      <c r="K507" s="542"/>
      <c r="O507" s="1134"/>
      <c r="Q507" s="1133"/>
    </row>
    <row r="508" spans="2:17" x14ac:dyDescent="0.3">
      <c r="B508" s="126"/>
      <c r="C508" s="583">
        <v>141</v>
      </c>
      <c r="D508" s="625" t="e">
        <f t="shared" si="27"/>
        <v>#VALUE!</v>
      </c>
      <c r="E508" s="591"/>
      <c r="F508" s="591"/>
      <c r="G508" s="591"/>
      <c r="H508" s="591"/>
      <c r="I508" s="591"/>
      <c r="J508" s="591"/>
      <c r="K508" s="542"/>
      <c r="O508" s="1134"/>
      <c r="Q508" s="1133"/>
    </row>
    <row r="509" spans="2:17" x14ac:dyDescent="0.3">
      <c r="B509" s="126"/>
      <c r="C509" s="583">
        <v>142</v>
      </c>
      <c r="D509" s="625" t="e">
        <f t="shared" si="27"/>
        <v>#VALUE!</v>
      </c>
      <c r="E509" s="591"/>
      <c r="F509" s="591"/>
      <c r="G509" s="591"/>
      <c r="H509" s="591"/>
      <c r="I509" s="591"/>
      <c r="J509" s="591"/>
      <c r="K509" s="542"/>
      <c r="O509" s="1134"/>
      <c r="Q509" s="1133"/>
    </row>
    <row r="510" spans="2:17" x14ac:dyDescent="0.3">
      <c r="B510" s="126"/>
      <c r="C510" s="583">
        <v>143</v>
      </c>
      <c r="D510" s="625" t="e">
        <f t="shared" si="27"/>
        <v>#VALUE!</v>
      </c>
      <c r="E510" s="591"/>
      <c r="F510" s="591"/>
      <c r="G510" s="591"/>
      <c r="H510" s="591"/>
      <c r="I510" s="591"/>
      <c r="J510" s="591"/>
      <c r="K510" s="542"/>
      <c r="O510" s="1134"/>
      <c r="Q510" s="1133"/>
    </row>
    <row r="511" spans="2:17" x14ac:dyDescent="0.3">
      <c r="B511" s="126"/>
      <c r="C511" s="583">
        <v>144</v>
      </c>
      <c r="D511" s="625" t="e">
        <f t="shared" si="27"/>
        <v>#VALUE!</v>
      </c>
      <c r="E511" s="591"/>
      <c r="F511" s="591"/>
      <c r="G511" s="591"/>
      <c r="H511" s="591"/>
      <c r="I511" s="591"/>
      <c r="J511" s="591"/>
      <c r="K511" s="542"/>
      <c r="O511" s="1134"/>
      <c r="Q511" s="1133"/>
    </row>
    <row r="512" spans="2:17" x14ac:dyDescent="0.3">
      <c r="B512" s="126"/>
      <c r="C512" s="583">
        <v>145</v>
      </c>
      <c r="D512" s="625" t="e">
        <f t="shared" si="27"/>
        <v>#VALUE!</v>
      </c>
      <c r="E512" s="591"/>
      <c r="F512" s="591"/>
      <c r="G512" s="591"/>
      <c r="H512" s="591"/>
      <c r="I512" s="591"/>
      <c r="J512" s="591"/>
      <c r="K512" s="542"/>
      <c r="O512" s="1134"/>
      <c r="Q512" s="1133"/>
    </row>
    <row r="513" spans="2:17" x14ac:dyDescent="0.3">
      <c r="B513" s="126"/>
      <c r="C513" s="583">
        <v>146</v>
      </c>
      <c r="D513" s="625" t="e">
        <f t="shared" si="27"/>
        <v>#VALUE!</v>
      </c>
      <c r="E513" s="591"/>
      <c r="F513" s="591"/>
      <c r="G513" s="591"/>
      <c r="H513" s="591"/>
      <c r="I513" s="591"/>
      <c r="J513" s="591"/>
      <c r="K513" s="542"/>
      <c r="O513" s="1134"/>
      <c r="Q513" s="1133"/>
    </row>
    <row r="514" spans="2:17" x14ac:dyDescent="0.3">
      <c r="B514" s="126"/>
      <c r="C514" s="583">
        <v>147</v>
      </c>
      <c r="D514" s="625" t="e">
        <f t="shared" si="27"/>
        <v>#VALUE!</v>
      </c>
      <c r="E514" s="591"/>
      <c r="F514" s="591"/>
      <c r="G514" s="591"/>
      <c r="H514" s="591"/>
      <c r="I514" s="591"/>
      <c r="J514" s="591"/>
      <c r="K514" s="542"/>
      <c r="O514" s="1134"/>
      <c r="Q514" s="1133"/>
    </row>
    <row r="515" spans="2:17" x14ac:dyDescent="0.3">
      <c r="B515" s="126"/>
      <c r="C515" s="583">
        <v>148</v>
      </c>
      <c r="D515" s="625" t="e">
        <f t="shared" si="27"/>
        <v>#VALUE!</v>
      </c>
      <c r="E515" s="591"/>
      <c r="F515" s="591"/>
      <c r="G515" s="591"/>
      <c r="H515" s="591"/>
      <c r="I515" s="591"/>
      <c r="J515" s="591"/>
      <c r="K515" s="542"/>
      <c r="O515" s="1134"/>
      <c r="Q515" s="1133"/>
    </row>
    <row r="516" spans="2:17" x14ac:dyDescent="0.3">
      <c r="B516" s="126"/>
      <c r="C516" s="583">
        <v>149</v>
      </c>
      <c r="D516" s="625" t="e">
        <f t="shared" si="27"/>
        <v>#VALUE!</v>
      </c>
      <c r="E516" s="591"/>
      <c r="F516" s="591"/>
      <c r="G516" s="591"/>
      <c r="H516" s="591"/>
      <c r="I516" s="591"/>
      <c r="J516" s="591"/>
      <c r="K516" s="542"/>
      <c r="O516" s="1134"/>
      <c r="Q516" s="1133"/>
    </row>
    <row r="517" spans="2:17" x14ac:dyDescent="0.3">
      <c r="B517" s="126"/>
      <c r="C517" s="583">
        <v>150</v>
      </c>
      <c r="D517" s="625" t="e">
        <f t="shared" si="27"/>
        <v>#VALUE!</v>
      </c>
      <c r="E517" s="591"/>
      <c r="F517" s="591"/>
      <c r="G517" s="591"/>
      <c r="H517" s="591"/>
      <c r="I517" s="591"/>
      <c r="J517" s="591"/>
      <c r="K517" s="542"/>
      <c r="O517" s="1134"/>
      <c r="Q517" s="1133"/>
    </row>
    <row r="518" spans="2:17" x14ac:dyDescent="0.3">
      <c r="B518" s="126"/>
      <c r="C518" s="583">
        <v>151</v>
      </c>
      <c r="D518" s="625" t="e">
        <f t="shared" si="27"/>
        <v>#VALUE!</v>
      </c>
      <c r="E518" s="591"/>
      <c r="F518" s="591"/>
      <c r="G518" s="591"/>
      <c r="H518" s="591"/>
      <c r="I518" s="591"/>
      <c r="J518" s="591"/>
      <c r="K518" s="542"/>
      <c r="O518" s="1134"/>
      <c r="Q518" s="1133"/>
    </row>
    <row r="519" spans="2:17" x14ac:dyDescent="0.3">
      <c r="B519" s="126"/>
      <c r="C519" s="583">
        <v>152</v>
      </c>
      <c r="D519" s="625" t="e">
        <f t="shared" si="27"/>
        <v>#VALUE!</v>
      </c>
      <c r="E519" s="591"/>
      <c r="F519" s="591"/>
      <c r="G519" s="591"/>
      <c r="H519" s="591"/>
      <c r="I519" s="591"/>
      <c r="J519" s="591"/>
      <c r="K519" s="542"/>
      <c r="O519" s="1134"/>
      <c r="Q519" s="1133"/>
    </row>
    <row r="520" spans="2:17" x14ac:dyDescent="0.3">
      <c r="B520" s="126"/>
      <c r="C520" s="583">
        <v>153</v>
      </c>
      <c r="D520" s="625" t="e">
        <f t="shared" si="27"/>
        <v>#VALUE!</v>
      </c>
      <c r="E520" s="591"/>
      <c r="F520" s="591"/>
      <c r="G520" s="591"/>
      <c r="H520" s="591"/>
      <c r="I520" s="591"/>
      <c r="J520" s="591"/>
      <c r="K520" s="542"/>
      <c r="O520" s="1134"/>
      <c r="Q520" s="1133"/>
    </row>
    <row r="521" spans="2:17" x14ac:dyDescent="0.3">
      <c r="B521" s="126"/>
      <c r="C521" s="583">
        <v>154</v>
      </c>
      <c r="D521" s="625" t="e">
        <f t="shared" si="27"/>
        <v>#VALUE!</v>
      </c>
      <c r="E521" s="591"/>
      <c r="F521" s="591"/>
      <c r="G521" s="591"/>
      <c r="H521" s="591"/>
      <c r="I521" s="591"/>
      <c r="J521" s="591"/>
      <c r="K521" s="542"/>
      <c r="O521" s="1134"/>
      <c r="Q521" s="1133"/>
    </row>
    <row r="522" spans="2:17" x14ac:dyDescent="0.3">
      <c r="B522" s="126"/>
      <c r="C522" s="583">
        <v>155</v>
      </c>
      <c r="D522" s="625" t="e">
        <f t="shared" si="27"/>
        <v>#VALUE!</v>
      </c>
      <c r="E522" s="591"/>
      <c r="F522" s="591"/>
      <c r="G522" s="591"/>
      <c r="H522" s="591"/>
      <c r="I522" s="591"/>
      <c r="J522" s="591"/>
      <c r="K522" s="542"/>
      <c r="O522" s="1134"/>
      <c r="Q522" s="1133"/>
    </row>
    <row r="523" spans="2:17" x14ac:dyDescent="0.3">
      <c r="B523" s="126"/>
      <c r="C523" s="583">
        <v>156</v>
      </c>
      <c r="D523" s="625" t="e">
        <f t="shared" si="27"/>
        <v>#VALUE!</v>
      </c>
      <c r="E523" s="591"/>
      <c r="F523" s="591"/>
      <c r="G523" s="591"/>
      <c r="H523" s="591"/>
      <c r="I523" s="591"/>
      <c r="J523" s="591"/>
      <c r="K523" s="542"/>
      <c r="O523" s="1134"/>
      <c r="Q523" s="1133"/>
    </row>
    <row r="524" spans="2:17" x14ac:dyDescent="0.3">
      <c r="B524" s="126"/>
      <c r="C524" s="583">
        <v>157</v>
      </c>
      <c r="D524" s="625" t="e">
        <f t="shared" si="27"/>
        <v>#VALUE!</v>
      </c>
      <c r="E524" s="591"/>
      <c r="F524" s="591"/>
      <c r="G524" s="591"/>
      <c r="H524" s="591"/>
      <c r="I524" s="591"/>
      <c r="J524" s="591"/>
      <c r="K524" s="542"/>
      <c r="O524" s="1134"/>
      <c r="Q524" s="1133"/>
    </row>
    <row r="525" spans="2:17" x14ac:dyDescent="0.3">
      <c r="B525" s="126"/>
      <c r="C525" s="583">
        <v>158</v>
      </c>
      <c r="D525" s="625" t="e">
        <f t="shared" si="27"/>
        <v>#VALUE!</v>
      </c>
      <c r="E525" s="591"/>
      <c r="F525" s="591"/>
      <c r="G525" s="591"/>
      <c r="H525" s="591"/>
      <c r="I525" s="591"/>
      <c r="J525" s="591"/>
      <c r="K525" s="542"/>
      <c r="O525" s="1134"/>
      <c r="Q525" s="1133"/>
    </row>
    <row r="526" spans="2:17" x14ac:dyDescent="0.3">
      <c r="B526" s="126"/>
      <c r="C526" s="583">
        <v>159</v>
      </c>
      <c r="D526" s="625" t="e">
        <f t="shared" si="27"/>
        <v>#VALUE!</v>
      </c>
      <c r="E526" s="591"/>
      <c r="F526" s="591"/>
      <c r="G526" s="591"/>
      <c r="H526" s="591"/>
      <c r="I526" s="591"/>
      <c r="J526" s="591"/>
      <c r="K526" s="542"/>
      <c r="O526" s="1134"/>
      <c r="Q526" s="1133"/>
    </row>
    <row r="527" spans="2:17" x14ac:dyDescent="0.3">
      <c r="B527" s="126"/>
      <c r="C527" s="583">
        <v>160</v>
      </c>
      <c r="D527" s="625" t="e">
        <f t="shared" si="27"/>
        <v>#VALUE!</v>
      </c>
      <c r="E527" s="591"/>
      <c r="F527" s="591"/>
      <c r="G527" s="591"/>
      <c r="H527" s="591"/>
      <c r="I527" s="591"/>
      <c r="J527" s="591"/>
      <c r="K527" s="542"/>
      <c r="O527" s="1134"/>
      <c r="Q527" s="1133"/>
    </row>
    <row r="528" spans="2:17" x14ac:dyDescent="0.3">
      <c r="B528" s="126"/>
      <c r="C528" s="583">
        <v>161</v>
      </c>
      <c r="D528" s="625" t="e">
        <f t="shared" si="27"/>
        <v>#VALUE!</v>
      </c>
      <c r="E528" s="591"/>
      <c r="F528" s="591"/>
      <c r="G528" s="591"/>
      <c r="H528" s="591"/>
      <c r="I528" s="591"/>
      <c r="J528" s="591"/>
      <c r="K528" s="542"/>
      <c r="O528" s="1134"/>
      <c r="Q528" s="1133"/>
    </row>
    <row r="529" spans="2:17" x14ac:dyDescent="0.3">
      <c r="B529" s="126"/>
      <c r="C529" s="583">
        <v>162</v>
      </c>
      <c r="D529" s="625" t="e">
        <f t="shared" si="27"/>
        <v>#VALUE!</v>
      </c>
      <c r="E529" s="591"/>
      <c r="F529" s="591"/>
      <c r="G529" s="591"/>
      <c r="H529" s="591"/>
      <c r="I529" s="591"/>
      <c r="J529" s="591"/>
      <c r="K529" s="542"/>
      <c r="O529" s="1134"/>
      <c r="Q529" s="1133"/>
    </row>
    <row r="530" spans="2:17" x14ac:dyDescent="0.3">
      <c r="B530" s="126"/>
      <c r="C530" s="583">
        <v>163</v>
      </c>
      <c r="D530" s="625" t="e">
        <f t="shared" si="27"/>
        <v>#VALUE!</v>
      </c>
      <c r="E530" s="591"/>
      <c r="F530" s="591"/>
      <c r="G530" s="591"/>
      <c r="H530" s="591"/>
      <c r="I530" s="591"/>
      <c r="J530" s="591"/>
      <c r="K530" s="542"/>
      <c r="O530" s="1134"/>
      <c r="Q530" s="1133"/>
    </row>
    <row r="531" spans="2:17" x14ac:dyDescent="0.3">
      <c r="B531" s="126"/>
      <c r="C531" s="583">
        <v>164</v>
      </c>
      <c r="D531" s="625" t="e">
        <f t="shared" si="27"/>
        <v>#VALUE!</v>
      </c>
      <c r="E531" s="591"/>
      <c r="F531" s="591"/>
      <c r="G531" s="591"/>
      <c r="H531" s="591"/>
      <c r="I531" s="591"/>
      <c r="J531" s="591"/>
      <c r="K531" s="542"/>
      <c r="O531" s="1134"/>
      <c r="Q531" s="1133"/>
    </row>
    <row r="532" spans="2:17" x14ac:dyDescent="0.3">
      <c r="B532" s="126"/>
      <c r="C532" s="583">
        <v>165</v>
      </c>
      <c r="D532" s="625" t="e">
        <f t="shared" si="27"/>
        <v>#VALUE!</v>
      </c>
      <c r="E532" s="591"/>
      <c r="F532" s="591"/>
      <c r="G532" s="591"/>
      <c r="H532" s="591"/>
      <c r="I532" s="591"/>
      <c r="J532" s="591"/>
      <c r="K532" s="542"/>
      <c r="O532" s="1134"/>
      <c r="Q532" s="1133"/>
    </row>
    <row r="533" spans="2:17" x14ac:dyDescent="0.3">
      <c r="B533" s="126"/>
      <c r="C533" s="583">
        <v>166</v>
      </c>
      <c r="D533" s="625" t="e">
        <f t="shared" si="27"/>
        <v>#VALUE!</v>
      </c>
      <c r="E533" s="591"/>
      <c r="F533" s="591"/>
      <c r="G533" s="591"/>
      <c r="H533" s="591"/>
      <c r="I533" s="591"/>
      <c r="J533" s="591"/>
      <c r="K533" s="542"/>
      <c r="O533" s="1134"/>
      <c r="Q533" s="1133"/>
    </row>
    <row r="534" spans="2:17" x14ac:dyDescent="0.3">
      <c r="B534" s="126"/>
      <c r="C534" s="583">
        <v>167</v>
      </c>
      <c r="D534" s="625" t="e">
        <f t="shared" si="27"/>
        <v>#VALUE!</v>
      </c>
      <c r="E534" s="591"/>
      <c r="F534" s="591"/>
      <c r="G534" s="591"/>
      <c r="H534" s="591"/>
      <c r="I534" s="591"/>
      <c r="J534" s="591"/>
      <c r="K534" s="542"/>
      <c r="O534" s="1134"/>
      <c r="Q534" s="1133"/>
    </row>
    <row r="535" spans="2:17" x14ac:dyDescent="0.3">
      <c r="B535" s="126"/>
      <c r="C535" s="583">
        <v>168</v>
      </c>
      <c r="D535" s="625" t="e">
        <f t="shared" si="27"/>
        <v>#VALUE!</v>
      </c>
      <c r="E535" s="591"/>
      <c r="F535" s="591"/>
      <c r="G535" s="591"/>
      <c r="H535" s="591"/>
      <c r="I535" s="591"/>
      <c r="J535" s="591"/>
      <c r="K535" s="542"/>
      <c r="O535" s="1134"/>
      <c r="Q535" s="1133"/>
    </row>
    <row r="536" spans="2:17" x14ac:dyDescent="0.3">
      <c r="B536" s="126"/>
      <c r="C536" s="583">
        <v>169</v>
      </c>
      <c r="D536" s="625" t="e">
        <f t="shared" si="27"/>
        <v>#VALUE!</v>
      </c>
      <c r="E536" s="591"/>
      <c r="F536" s="591"/>
      <c r="G536" s="591"/>
      <c r="H536" s="591"/>
      <c r="I536" s="591"/>
      <c r="J536" s="591"/>
      <c r="K536" s="542"/>
      <c r="O536" s="1134"/>
      <c r="Q536" s="1133"/>
    </row>
    <row r="537" spans="2:17" x14ac:dyDescent="0.3">
      <c r="B537" s="126"/>
      <c r="C537" s="583">
        <v>170</v>
      </c>
      <c r="D537" s="625" t="e">
        <f t="shared" si="27"/>
        <v>#VALUE!</v>
      </c>
      <c r="E537" s="591"/>
      <c r="F537" s="591"/>
      <c r="G537" s="591"/>
      <c r="H537" s="591"/>
      <c r="I537" s="591"/>
      <c r="J537" s="591"/>
      <c r="K537" s="542"/>
      <c r="O537" s="1134"/>
      <c r="Q537" s="1133"/>
    </row>
    <row r="538" spans="2:17" x14ac:dyDescent="0.3">
      <c r="B538" s="126"/>
      <c r="C538" s="583">
        <v>171</v>
      </c>
      <c r="D538" s="625" t="e">
        <f t="shared" si="27"/>
        <v>#VALUE!</v>
      </c>
      <c r="E538" s="591"/>
      <c r="F538" s="591"/>
      <c r="G538" s="591"/>
      <c r="H538" s="591"/>
      <c r="I538" s="591"/>
      <c r="J538" s="591"/>
      <c r="K538" s="542"/>
      <c r="O538" s="1134"/>
      <c r="Q538" s="1133"/>
    </row>
    <row r="539" spans="2:17" x14ac:dyDescent="0.3">
      <c r="B539" s="126"/>
      <c r="C539" s="583">
        <v>172</v>
      </c>
      <c r="D539" s="625" t="e">
        <f t="shared" si="27"/>
        <v>#VALUE!</v>
      </c>
      <c r="E539" s="591"/>
      <c r="F539" s="591"/>
      <c r="G539" s="591"/>
      <c r="H539" s="591"/>
      <c r="I539" s="591"/>
      <c r="J539" s="591"/>
      <c r="K539" s="542"/>
      <c r="O539" s="1134"/>
      <c r="Q539" s="1133"/>
    </row>
    <row r="540" spans="2:17" x14ac:dyDescent="0.3">
      <c r="B540" s="126"/>
      <c r="C540" s="583">
        <v>173</v>
      </c>
      <c r="D540" s="625" t="e">
        <f t="shared" si="27"/>
        <v>#VALUE!</v>
      </c>
      <c r="E540" s="591"/>
      <c r="F540" s="591"/>
      <c r="G540" s="591"/>
      <c r="H540" s="591"/>
      <c r="I540" s="591"/>
      <c r="J540" s="591"/>
      <c r="K540" s="542"/>
      <c r="O540" s="1134"/>
      <c r="Q540" s="1133"/>
    </row>
    <row r="541" spans="2:17" x14ac:dyDescent="0.3">
      <c r="B541" s="126"/>
      <c r="C541" s="583">
        <v>174</v>
      </c>
      <c r="D541" s="625" t="e">
        <f t="shared" si="27"/>
        <v>#VALUE!</v>
      </c>
      <c r="E541" s="591"/>
      <c r="F541" s="591"/>
      <c r="G541" s="591"/>
      <c r="H541" s="591"/>
      <c r="I541" s="591"/>
      <c r="J541" s="591"/>
      <c r="K541" s="542"/>
      <c r="O541" s="1134"/>
      <c r="Q541" s="1133"/>
    </row>
    <row r="542" spans="2:17" x14ac:dyDescent="0.3">
      <c r="B542" s="126"/>
      <c r="C542" s="583">
        <v>175</v>
      </c>
      <c r="D542" s="625" t="e">
        <f t="shared" si="27"/>
        <v>#VALUE!</v>
      </c>
      <c r="E542" s="591"/>
      <c r="F542" s="591"/>
      <c r="G542" s="591"/>
      <c r="H542" s="591"/>
      <c r="I542" s="591"/>
      <c r="J542" s="591"/>
      <c r="K542" s="542"/>
      <c r="O542" s="1134"/>
      <c r="Q542" s="1133"/>
    </row>
    <row r="543" spans="2:17" x14ac:dyDescent="0.3">
      <c r="B543" s="126"/>
      <c r="C543" s="583">
        <v>176</v>
      </c>
      <c r="D543" s="625" t="e">
        <f t="shared" si="27"/>
        <v>#VALUE!</v>
      </c>
      <c r="E543" s="591"/>
      <c r="F543" s="591"/>
      <c r="G543" s="591"/>
      <c r="H543" s="591"/>
      <c r="I543" s="591"/>
      <c r="J543" s="591"/>
      <c r="K543" s="542"/>
      <c r="O543" s="1134"/>
      <c r="Q543" s="1133"/>
    </row>
    <row r="544" spans="2:17" x14ac:dyDescent="0.3">
      <c r="B544" s="126"/>
      <c r="C544" s="583">
        <v>177</v>
      </c>
      <c r="D544" s="625" t="e">
        <f t="shared" si="27"/>
        <v>#VALUE!</v>
      </c>
      <c r="E544" s="591"/>
      <c r="F544" s="591"/>
      <c r="G544" s="591"/>
      <c r="H544" s="591"/>
      <c r="I544" s="591"/>
      <c r="J544" s="591"/>
      <c r="K544" s="542"/>
      <c r="O544" s="1134"/>
      <c r="Q544" s="1133"/>
    </row>
    <row r="545" spans="2:17" x14ac:dyDescent="0.3">
      <c r="B545" s="126"/>
      <c r="C545" s="583">
        <v>178</v>
      </c>
      <c r="D545" s="625" t="e">
        <f t="shared" si="27"/>
        <v>#VALUE!</v>
      </c>
      <c r="E545" s="591"/>
      <c r="F545" s="591"/>
      <c r="G545" s="591"/>
      <c r="H545" s="591"/>
      <c r="I545" s="591"/>
      <c r="J545" s="591"/>
      <c r="K545" s="542"/>
      <c r="O545" s="1134"/>
      <c r="Q545" s="1133"/>
    </row>
    <row r="546" spans="2:17" x14ac:dyDescent="0.3">
      <c r="B546" s="126"/>
      <c r="C546" s="583">
        <v>179</v>
      </c>
      <c r="D546" s="625" t="e">
        <f t="shared" si="27"/>
        <v>#VALUE!</v>
      </c>
      <c r="E546" s="591"/>
      <c r="F546" s="591"/>
      <c r="G546" s="591"/>
      <c r="H546" s="591"/>
      <c r="I546" s="591"/>
      <c r="J546" s="591"/>
      <c r="K546" s="542"/>
      <c r="O546" s="1134"/>
      <c r="Q546" s="1133"/>
    </row>
    <row r="547" spans="2:17" x14ac:dyDescent="0.3">
      <c r="B547" s="126"/>
      <c r="C547" s="583">
        <v>180</v>
      </c>
      <c r="D547" s="625" t="e">
        <f t="shared" si="27"/>
        <v>#VALUE!</v>
      </c>
      <c r="E547" s="591"/>
      <c r="F547" s="591"/>
      <c r="G547" s="591"/>
      <c r="H547" s="591"/>
      <c r="I547" s="591"/>
      <c r="J547" s="591"/>
      <c r="K547" s="542"/>
      <c r="O547" s="1134"/>
      <c r="Q547" s="1133"/>
    </row>
    <row r="548" spans="2:17" x14ac:dyDescent="0.3">
      <c r="B548" s="126"/>
      <c r="C548" s="583">
        <v>181</v>
      </c>
      <c r="D548" s="625" t="e">
        <f t="shared" si="27"/>
        <v>#VALUE!</v>
      </c>
      <c r="E548" s="591"/>
      <c r="F548" s="591"/>
      <c r="G548" s="591"/>
      <c r="H548" s="591"/>
      <c r="I548" s="591"/>
      <c r="J548" s="591"/>
      <c r="K548" s="542"/>
      <c r="O548" s="1134"/>
      <c r="Q548" s="1133"/>
    </row>
    <row r="549" spans="2:17" x14ac:dyDescent="0.3">
      <c r="B549" s="126"/>
      <c r="C549" s="583">
        <v>182</v>
      </c>
      <c r="D549" s="625" t="e">
        <f t="shared" si="27"/>
        <v>#VALUE!</v>
      </c>
      <c r="E549" s="591"/>
      <c r="F549" s="591"/>
      <c r="G549" s="591"/>
      <c r="H549" s="591"/>
      <c r="I549" s="591"/>
      <c r="J549" s="591"/>
      <c r="K549" s="542"/>
      <c r="O549" s="1134"/>
      <c r="Q549" s="1133"/>
    </row>
    <row r="550" spans="2:17" x14ac:dyDescent="0.3">
      <c r="B550" s="126"/>
      <c r="C550" s="583">
        <v>183</v>
      </c>
      <c r="D550" s="625" t="e">
        <f t="shared" si="27"/>
        <v>#VALUE!</v>
      </c>
      <c r="E550" s="591"/>
      <c r="F550" s="591"/>
      <c r="G550" s="591"/>
      <c r="H550" s="591"/>
      <c r="I550" s="591"/>
      <c r="J550" s="591"/>
      <c r="K550" s="542"/>
      <c r="O550" s="1134"/>
      <c r="Q550" s="1133"/>
    </row>
    <row r="551" spans="2:17" x14ac:dyDescent="0.3">
      <c r="B551" s="126"/>
      <c r="C551" s="583">
        <v>184</v>
      </c>
      <c r="D551" s="625" t="e">
        <f t="shared" si="27"/>
        <v>#VALUE!</v>
      </c>
      <c r="E551" s="591"/>
      <c r="F551" s="591"/>
      <c r="G551" s="591"/>
      <c r="H551" s="591"/>
      <c r="I551" s="591"/>
      <c r="J551" s="591"/>
      <c r="K551" s="542"/>
      <c r="O551" s="1134"/>
      <c r="Q551" s="1133"/>
    </row>
    <row r="552" spans="2:17" x14ac:dyDescent="0.3">
      <c r="B552" s="126"/>
      <c r="C552" s="583">
        <v>185</v>
      </c>
      <c r="D552" s="625" t="e">
        <f t="shared" si="27"/>
        <v>#VALUE!</v>
      </c>
      <c r="E552" s="591"/>
      <c r="F552" s="591"/>
      <c r="G552" s="591"/>
      <c r="H552" s="591"/>
      <c r="I552" s="591"/>
      <c r="J552" s="591"/>
      <c r="K552" s="542"/>
      <c r="O552" s="1134"/>
      <c r="Q552" s="1133"/>
    </row>
    <row r="553" spans="2:17" x14ac:dyDescent="0.3">
      <c r="B553" s="126"/>
      <c r="C553" s="583">
        <v>186</v>
      </c>
      <c r="D553" s="625" t="e">
        <f t="shared" si="27"/>
        <v>#VALUE!</v>
      </c>
      <c r="E553" s="591"/>
      <c r="F553" s="591"/>
      <c r="G553" s="591"/>
      <c r="H553" s="591"/>
      <c r="I553" s="591"/>
      <c r="J553" s="591"/>
      <c r="K553" s="542"/>
      <c r="O553" s="1134"/>
      <c r="Q553" s="1133"/>
    </row>
    <row r="554" spans="2:17" x14ac:dyDescent="0.3">
      <c r="B554" s="126"/>
      <c r="C554" s="583">
        <v>187</v>
      </c>
      <c r="D554" s="625" t="e">
        <f t="shared" si="27"/>
        <v>#VALUE!</v>
      </c>
      <c r="E554" s="591"/>
      <c r="F554" s="591"/>
      <c r="G554" s="591"/>
      <c r="H554" s="591"/>
      <c r="I554" s="591"/>
      <c r="J554" s="591"/>
      <c r="K554" s="542"/>
      <c r="O554" s="1134"/>
      <c r="Q554" s="1133"/>
    </row>
    <row r="555" spans="2:17" x14ac:dyDescent="0.3">
      <c r="B555" s="126"/>
      <c r="C555" s="583">
        <v>188</v>
      </c>
      <c r="D555" s="625" t="e">
        <f t="shared" si="27"/>
        <v>#VALUE!</v>
      </c>
      <c r="E555" s="591"/>
      <c r="F555" s="591"/>
      <c r="G555" s="591"/>
      <c r="H555" s="591"/>
      <c r="I555" s="591"/>
      <c r="J555" s="591"/>
      <c r="K555" s="542"/>
      <c r="O555" s="1134"/>
      <c r="Q555" s="1133"/>
    </row>
    <row r="556" spans="2:17" x14ac:dyDescent="0.3">
      <c r="B556" s="126"/>
      <c r="C556" s="583">
        <v>189</v>
      </c>
      <c r="D556" s="625" t="e">
        <f t="shared" si="27"/>
        <v>#VALUE!</v>
      </c>
      <c r="E556" s="591"/>
      <c r="F556" s="591"/>
      <c r="G556" s="591"/>
      <c r="H556" s="591"/>
      <c r="I556" s="591"/>
      <c r="J556" s="591"/>
      <c r="K556" s="542"/>
      <c r="O556" s="1134"/>
      <c r="Q556" s="1133"/>
    </row>
    <row r="557" spans="2:17" x14ac:dyDescent="0.3">
      <c r="B557" s="126"/>
      <c r="C557" s="583">
        <v>190</v>
      </c>
      <c r="D557" s="625" t="e">
        <f t="shared" si="27"/>
        <v>#VALUE!</v>
      </c>
      <c r="E557" s="591"/>
      <c r="F557" s="591"/>
      <c r="G557" s="591"/>
      <c r="H557" s="591"/>
      <c r="I557" s="591"/>
      <c r="J557" s="591"/>
      <c r="K557" s="542"/>
      <c r="O557" s="1134"/>
      <c r="Q557" s="1133"/>
    </row>
    <row r="558" spans="2:17" x14ac:dyDescent="0.3">
      <c r="B558" s="126"/>
      <c r="C558" s="583">
        <v>191</v>
      </c>
      <c r="D558" s="625" t="e">
        <f t="shared" si="27"/>
        <v>#VALUE!</v>
      </c>
      <c r="E558" s="591"/>
      <c r="F558" s="591"/>
      <c r="G558" s="591"/>
      <c r="H558" s="591"/>
      <c r="I558" s="591"/>
      <c r="J558" s="591"/>
      <c r="K558" s="542"/>
      <c r="O558" s="1134"/>
      <c r="Q558" s="1133"/>
    </row>
    <row r="559" spans="2:17" x14ac:dyDescent="0.3">
      <c r="B559" s="126"/>
      <c r="C559" s="583">
        <v>192</v>
      </c>
      <c r="D559" s="625" t="e">
        <f t="shared" ref="D559:D622" si="28">$C$346*C559</f>
        <v>#VALUE!</v>
      </c>
      <c r="E559" s="591"/>
      <c r="F559" s="591"/>
      <c r="G559" s="591"/>
      <c r="H559" s="591"/>
      <c r="I559" s="591"/>
      <c r="J559" s="591"/>
      <c r="K559" s="542"/>
      <c r="O559" s="1134"/>
      <c r="Q559" s="1133"/>
    </row>
    <row r="560" spans="2:17" x14ac:dyDescent="0.3">
      <c r="B560" s="126"/>
      <c r="C560" s="583">
        <v>193</v>
      </c>
      <c r="D560" s="625" t="e">
        <f t="shared" si="28"/>
        <v>#VALUE!</v>
      </c>
      <c r="E560" s="591"/>
      <c r="F560" s="591"/>
      <c r="G560" s="591"/>
      <c r="H560" s="591"/>
      <c r="I560" s="591"/>
      <c r="J560" s="591"/>
      <c r="K560" s="542"/>
      <c r="O560" s="1134"/>
      <c r="Q560" s="1133"/>
    </row>
    <row r="561" spans="2:17" x14ac:dyDescent="0.3">
      <c r="B561" s="126"/>
      <c r="C561" s="583">
        <v>194</v>
      </c>
      <c r="D561" s="625" t="e">
        <f t="shared" si="28"/>
        <v>#VALUE!</v>
      </c>
      <c r="E561" s="591"/>
      <c r="F561" s="591"/>
      <c r="G561" s="591"/>
      <c r="H561" s="591"/>
      <c r="I561" s="591"/>
      <c r="J561" s="591"/>
      <c r="K561" s="542"/>
      <c r="O561" s="1134"/>
      <c r="Q561" s="1133"/>
    </row>
    <row r="562" spans="2:17" x14ac:dyDescent="0.3">
      <c r="B562" s="126"/>
      <c r="C562" s="583">
        <v>195</v>
      </c>
      <c r="D562" s="625" t="e">
        <f t="shared" si="28"/>
        <v>#VALUE!</v>
      </c>
      <c r="E562" s="591"/>
      <c r="F562" s="591"/>
      <c r="G562" s="591"/>
      <c r="H562" s="591"/>
      <c r="I562" s="591"/>
      <c r="J562" s="591"/>
      <c r="K562" s="542"/>
      <c r="O562" s="1134"/>
      <c r="Q562" s="1133"/>
    </row>
    <row r="563" spans="2:17" x14ac:dyDescent="0.3">
      <c r="B563" s="126"/>
      <c r="C563" s="583">
        <v>196</v>
      </c>
      <c r="D563" s="625" t="e">
        <f t="shared" si="28"/>
        <v>#VALUE!</v>
      </c>
      <c r="E563" s="591"/>
      <c r="F563" s="591"/>
      <c r="G563" s="591"/>
      <c r="H563" s="591"/>
      <c r="I563" s="591"/>
      <c r="J563" s="591"/>
      <c r="K563" s="542"/>
      <c r="O563" s="1134"/>
      <c r="Q563" s="1133"/>
    </row>
    <row r="564" spans="2:17" x14ac:dyDescent="0.3">
      <c r="B564" s="126"/>
      <c r="C564" s="583">
        <v>197</v>
      </c>
      <c r="D564" s="625" t="e">
        <f t="shared" si="28"/>
        <v>#VALUE!</v>
      </c>
      <c r="E564" s="591"/>
      <c r="F564" s="591"/>
      <c r="G564" s="591"/>
      <c r="H564" s="591"/>
      <c r="I564" s="591"/>
      <c r="J564" s="591"/>
      <c r="K564" s="542"/>
      <c r="O564" s="1134"/>
      <c r="Q564" s="1133"/>
    </row>
    <row r="565" spans="2:17" x14ac:dyDescent="0.3">
      <c r="B565" s="126"/>
      <c r="C565" s="583">
        <v>198</v>
      </c>
      <c r="D565" s="625" t="e">
        <f t="shared" si="28"/>
        <v>#VALUE!</v>
      </c>
      <c r="E565" s="591"/>
      <c r="F565" s="591"/>
      <c r="G565" s="591"/>
      <c r="H565" s="591"/>
      <c r="I565" s="591"/>
      <c r="J565" s="591"/>
      <c r="K565" s="542"/>
      <c r="O565" s="1134"/>
      <c r="Q565" s="1133"/>
    </row>
    <row r="566" spans="2:17" x14ac:dyDescent="0.3">
      <c r="B566" s="126"/>
      <c r="C566" s="583">
        <v>199</v>
      </c>
      <c r="D566" s="625" t="e">
        <f t="shared" si="28"/>
        <v>#VALUE!</v>
      </c>
      <c r="E566" s="591"/>
      <c r="F566" s="591"/>
      <c r="G566" s="591"/>
      <c r="H566" s="591"/>
      <c r="I566" s="591"/>
      <c r="J566" s="591"/>
      <c r="K566" s="542"/>
      <c r="O566" s="1134"/>
      <c r="Q566" s="1133"/>
    </row>
    <row r="567" spans="2:17" x14ac:dyDescent="0.3">
      <c r="B567" s="126"/>
      <c r="C567" s="583">
        <v>200</v>
      </c>
      <c r="D567" s="625" t="e">
        <f t="shared" si="28"/>
        <v>#VALUE!</v>
      </c>
      <c r="E567" s="591"/>
      <c r="F567" s="591"/>
      <c r="G567" s="591"/>
      <c r="H567" s="591"/>
      <c r="I567" s="591"/>
      <c r="J567" s="591"/>
      <c r="K567" s="542"/>
      <c r="O567" s="1134"/>
      <c r="Q567" s="1133"/>
    </row>
    <row r="568" spans="2:17" x14ac:dyDescent="0.3">
      <c r="B568" s="126"/>
      <c r="C568" s="583">
        <v>201</v>
      </c>
      <c r="D568" s="625" t="e">
        <f t="shared" si="28"/>
        <v>#VALUE!</v>
      </c>
      <c r="E568" s="591"/>
      <c r="F568" s="591"/>
      <c r="G568" s="591"/>
      <c r="H568" s="591"/>
      <c r="I568" s="591"/>
      <c r="J568" s="591"/>
      <c r="K568" s="542"/>
      <c r="O568" s="1134"/>
      <c r="Q568" s="1133"/>
    </row>
    <row r="569" spans="2:17" x14ac:dyDescent="0.3">
      <c r="B569" s="126"/>
      <c r="C569" s="583">
        <v>202</v>
      </c>
      <c r="D569" s="625" t="e">
        <f t="shared" si="28"/>
        <v>#VALUE!</v>
      </c>
      <c r="E569" s="591"/>
      <c r="F569" s="591"/>
      <c r="G569" s="591"/>
      <c r="H569" s="591"/>
      <c r="I569" s="591"/>
      <c r="J569" s="591"/>
      <c r="K569" s="542"/>
      <c r="O569" s="1134"/>
      <c r="Q569" s="1133"/>
    </row>
    <row r="570" spans="2:17" x14ac:dyDescent="0.3">
      <c r="B570" s="126"/>
      <c r="C570" s="583">
        <v>203</v>
      </c>
      <c r="D570" s="625" t="e">
        <f t="shared" si="28"/>
        <v>#VALUE!</v>
      </c>
      <c r="E570" s="591"/>
      <c r="F570" s="591"/>
      <c r="G570" s="591"/>
      <c r="H570" s="591"/>
      <c r="I570" s="591"/>
      <c r="J570" s="591"/>
      <c r="K570" s="542"/>
      <c r="O570" s="1134"/>
      <c r="Q570" s="1133"/>
    </row>
    <row r="571" spans="2:17" x14ac:dyDescent="0.3">
      <c r="B571" s="126"/>
      <c r="C571" s="583">
        <v>204</v>
      </c>
      <c r="D571" s="625" t="e">
        <f t="shared" si="28"/>
        <v>#VALUE!</v>
      </c>
      <c r="E571" s="591"/>
      <c r="F571" s="591"/>
      <c r="G571" s="591"/>
      <c r="H571" s="591"/>
      <c r="I571" s="591"/>
      <c r="J571" s="591"/>
      <c r="K571" s="542"/>
      <c r="O571" s="1134"/>
      <c r="Q571" s="1133"/>
    </row>
    <row r="572" spans="2:17" x14ac:dyDescent="0.3">
      <c r="B572" s="126"/>
      <c r="C572" s="583">
        <v>205</v>
      </c>
      <c r="D572" s="625" t="e">
        <f t="shared" si="28"/>
        <v>#VALUE!</v>
      </c>
      <c r="E572" s="591"/>
      <c r="F572" s="591"/>
      <c r="G572" s="591"/>
      <c r="H572" s="591"/>
      <c r="I572" s="591"/>
      <c r="J572" s="591"/>
      <c r="K572" s="542"/>
      <c r="O572" s="1134"/>
      <c r="Q572" s="1133"/>
    </row>
    <row r="573" spans="2:17" x14ac:dyDescent="0.3">
      <c r="B573" s="126"/>
      <c r="C573" s="583">
        <v>206</v>
      </c>
      <c r="D573" s="625" t="e">
        <f t="shared" si="28"/>
        <v>#VALUE!</v>
      </c>
      <c r="E573" s="591"/>
      <c r="F573" s="591"/>
      <c r="G573" s="591"/>
      <c r="H573" s="591"/>
      <c r="I573" s="591"/>
      <c r="J573" s="591"/>
      <c r="K573" s="542"/>
      <c r="O573" s="1134"/>
      <c r="Q573" s="1133"/>
    </row>
    <row r="574" spans="2:17" x14ac:dyDescent="0.3">
      <c r="B574" s="126"/>
      <c r="C574" s="583">
        <v>207</v>
      </c>
      <c r="D574" s="625" t="e">
        <f t="shared" si="28"/>
        <v>#VALUE!</v>
      </c>
      <c r="E574" s="591"/>
      <c r="F574" s="591"/>
      <c r="G574" s="591"/>
      <c r="H574" s="591"/>
      <c r="I574" s="591"/>
      <c r="J574" s="591"/>
      <c r="K574" s="542"/>
      <c r="O574" s="1134"/>
      <c r="Q574" s="1133"/>
    </row>
    <row r="575" spans="2:17" x14ac:dyDescent="0.3">
      <c r="B575" s="126"/>
      <c r="C575" s="583">
        <v>208</v>
      </c>
      <c r="D575" s="625" t="e">
        <f t="shared" si="28"/>
        <v>#VALUE!</v>
      </c>
      <c r="E575" s="591"/>
      <c r="F575" s="591"/>
      <c r="G575" s="591"/>
      <c r="H575" s="591"/>
      <c r="I575" s="591"/>
      <c r="J575" s="591"/>
      <c r="K575" s="542"/>
      <c r="O575" s="1134"/>
      <c r="Q575" s="1133"/>
    </row>
    <row r="576" spans="2:17" x14ac:dyDescent="0.3">
      <c r="B576" s="126"/>
      <c r="C576" s="583">
        <v>209</v>
      </c>
      <c r="D576" s="625" t="e">
        <f t="shared" si="28"/>
        <v>#VALUE!</v>
      </c>
      <c r="E576" s="591"/>
      <c r="F576" s="591"/>
      <c r="G576" s="591"/>
      <c r="H576" s="591"/>
      <c r="I576" s="591"/>
      <c r="J576" s="591"/>
      <c r="K576" s="542"/>
      <c r="O576" s="1134"/>
      <c r="Q576" s="1133"/>
    </row>
    <row r="577" spans="2:17" x14ac:dyDescent="0.3">
      <c r="B577" s="126"/>
      <c r="C577" s="583">
        <v>210</v>
      </c>
      <c r="D577" s="625" t="e">
        <f t="shared" si="28"/>
        <v>#VALUE!</v>
      </c>
      <c r="E577" s="591"/>
      <c r="F577" s="591"/>
      <c r="G577" s="591"/>
      <c r="H577" s="591"/>
      <c r="I577" s="591"/>
      <c r="J577" s="591"/>
      <c r="K577" s="542"/>
      <c r="O577" s="1134"/>
      <c r="Q577" s="1133"/>
    </row>
    <row r="578" spans="2:17" x14ac:dyDescent="0.3">
      <c r="B578" s="126"/>
      <c r="C578" s="583">
        <v>211</v>
      </c>
      <c r="D578" s="625" t="e">
        <f t="shared" si="28"/>
        <v>#VALUE!</v>
      </c>
      <c r="E578" s="591"/>
      <c r="F578" s="591"/>
      <c r="G578" s="591"/>
      <c r="H578" s="591"/>
      <c r="I578" s="591"/>
      <c r="J578" s="591"/>
      <c r="K578" s="542"/>
      <c r="O578" s="1134"/>
      <c r="Q578" s="1133"/>
    </row>
    <row r="579" spans="2:17" x14ac:dyDescent="0.3">
      <c r="B579" s="126"/>
      <c r="C579" s="583">
        <v>212</v>
      </c>
      <c r="D579" s="625" t="e">
        <f t="shared" si="28"/>
        <v>#VALUE!</v>
      </c>
      <c r="E579" s="591"/>
      <c r="F579" s="591"/>
      <c r="G579" s="591"/>
      <c r="H579" s="591"/>
      <c r="I579" s="591"/>
      <c r="J579" s="591"/>
      <c r="K579" s="542"/>
      <c r="O579" s="1134"/>
      <c r="Q579" s="1133"/>
    </row>
    <row r="580" spans="2:17" x14ac:dyDescent="0.3">
      <c r="B580" s="126"/>
      <c r="C580" s="583">
        <v>213</v>
      </c>
      <c r="D580" s="625" t="e">
        <f t="shared" si="28"/>
        <v>#VALUE!</v>
      </c>
      <c r="E580" s="591"/>
      <c r="F580" s="591"/>
      <c r="G580" s="591"/>
      <c r="H580" s="591"/>
      <c r="I580" s="591"/>
      <c r="J580" s="591"/>
      <c r="K580" s="542"/>
      <c r="O580" s="1134"/>
      <c r="Q580" s="1133"/>
    </row>
    <row r="581" spans="2:17" x14ac:dyDescent="0.3">
      <c r="B581" s="126"/>
      <c r="C581" s="583">
        <v>214</v>
      </c>
      <c r="D581" s="625" t="e">
        <f t="shared" si="28"/>
        <v>#VALUE!</v>
      </c>
      <c r="E581" s="591"/>
      <c r="F581" s="591"/>
      <c r="G581" s="591"/>
      <c r="H581" s="591"/>
      <c r="I581" s="591"/>
      <c r="J581" s="591"/>
      <c r="K581" s="542"/>
      <c r="O581" s="1134"/>
      <c r="Q581" s="1133"/>
    </row>
    <row r="582" spans="2:17" x14ac:dyDescent="0.3">
      <c r="B582" s="126"/>
      <c r="C582" s="583">
        <v>215</v>
      </c>
      <c r="D582" s="625" t="e">
        <f t="shared" si="28"/>
        <v>#VALUE!</v>
      </c>
      <c r="E582" s="591"/>
      <c r="F582" s="591"/>
      <c r="G582" s="591"/>
      <c r="H582" s="591"/>
      <c r="I582" s="591"/>
      <c r="J582" s="591"/>
      <c r="K582" s="542"/>
      <c r="O582" s="1134"/>
      <c r="Q582" s="1133"/>
    </row>
    <row r="583" spans="2:17" x14ac:dyDescent="0.3">
      <c r="B583" s="126"/>
      <c r="C583" s="583">
        <v>216</v>
      </c>
      <c r="D583" s="625" t="e">
        <f t="shared" si="28"/>
        <v>#VALUE!</v>
      </c>
      <c r="E583" s="591"/>
      <c r="F583" s="591"/>
      <c r="G583" s="591"/>
      <c r="H583" s="591"/>
      <c r="I583" s="591"/>
      <c r="J583" s="591"/>
      <c r="K583" s="542"/>
      <c r="O583" s="1134"/>
      <c r="Q583" s="1133"/>
    </row>
    <row r="584" spans="2:17" x14ac:dyDescent="0.3">
      <c r="B584" s="126"/>
      <c r="C584" s="583">
        <v>217</v>
      </c>
      <c r="D584" s="625" t="e">
        <f t="shared" si="28"/>
        <v>#VALUE!</v>
      </c>
      <c r="E584" s="591"/>
      <c r="F584" s="591"/>
      <c r="G584" s="591"/>
      <c r="H584" s="591"/>
      <c r="I584" s="591"/>
      <c r="J584" s="591"/>
      <c r="K584" s="542"/>
      <c r="O584" s="1134"/>
      <c r="Q584" s="1133"/>
    </row>
    <row r="585" spans="2:17" x14ac:dyDescent="0.3">
      <c r="B585" s="126"/>
      <c r="C585" s="583">
        <v>218</v>
      </c>
      <c r="D585" s="625" t="e">
        <f t="shared" si="28"/>
        <v>#VALUE!</v>
      </c>
      <c r="E585" s="591"/>
      <c r="F585" s="591"/>
      <c r="G585" s="591"/>
      <c r="H585" s="591"/>
      <c r="I585" s="591"/>
      <c r="J585" s="591"/>
      <c r="K585" s="542"/>
      <c r="O585" s="1134"/>
      <c r="Q585" s="1133"/>
    </row>
    <row r="586" spans="2:17" x14ac:dyDescent="0.3">
      <c r="B586" s="126"/>
      <c r="C586" s="583">
        <v>219</v>
      </c>
      <c r="D586" s="625" t="e">
        <f t="shared" si="28"/>
        <v>#VALUE!</v>
      </c>
      <c r="E586" s="591"/>
      <c r="F586" s="591"/>
      <c r="G586" s="591"/>
      <c r="H586" s="591"/>
      <c r="I586" s="591"/>
      <c r="J586" s="591"/>
      <c r="K586" s="542"/>
      <c r="O586" s="1134"/>
      <c r="Q586" s="1133"/>
    </row>
    <row r="587" spans="2:17" x14ac:dyDescent="0.3">
      <c r="B587" s="126"/>
      <c r="C587" s="583">
        <v>220</v>
      </c>
      <c r="D587" s="625" t="e">
        <f t="shared" si="28"/>
        <v>#VALUE!</v>
      </c>
      <c r="E587" s="591"/>
      <c r="F587" s="591"/>
      <c r="G587" s="591"/>
      <c r="H587" s="591"/>
      <c r="I587" s="591"/>
      <c r="J587" s="591"/>
      <c r="K587" s="542"/>
      <c r="O587" s="1134"/>
      <c r="Q587" s="1133"/>
    </row>
    <row r="588" spans="2:17" x14ac:dyDescent="0.3">
      <c r="B588" s="126"/>
      <c r="C588" s="583">
        <v>221</v>
      </c>
      <c r="D588" s="625" t="e">
        <f t="shared" si="28"/>
        <v>#VALUE!</v>
      </c>
      <c r="E588" s="591"/>
      <c r="F588" s="591"/>
      <c r="G588" s="591"/>
      <c r="H588" s="591"/>
      <c r="I588" s="591"/>
      <c r="J588" s="591"/>
      <c r="K588" s="542"/>
      <c r="O588" s="1134"/>
      <c r="Q588" s="1133"/>
    </row>
    <row r="589" spans="2:17" x14ac:dyDescent="0.3">
      <c r="B589" s="126"/>
      <c r="C589" s="583">
        <v>222</v>
      </c>
      <c r="D589" s="625" t="e">
        <f t="shared" si="28"/>
        <v>#VALUE!</v>
      </c>
      <c r="E589" s="591"/>
      <c r="F589" s="591"/>
      <c r="G589" s="591"/>
      <c r="H589" s="591"/>
      <c r="I589" s="591"/>
      <c r="J589" s="591"/>
      <c r="K589" s="542"/>
      <c r="O589" s="1134"/>
      <c r="Q589" s="1133"/>
    </row>
    <row r="590" spans="2:17" x14ac:dyDescent="0.3">
      <c r="B590" s="126"/>
      <c r="C590" s="583">
        <v>223</v>
      </c>
      <c r="D590" s="625" t="e">
        <f t="shared" si="28"/>
        <v>#VALUE!</v>
      </c>
      <c r="E590" s="591"/>
      <c r="F590" s="591"/>
      <c r="G590" s="591"/>
      <c r="H590" s="591"/>
      <c r="I590" s="591"/>
      <c r="J590" s="591"/>
      <c r="K590" s="542"/>
      <c r="O590" s="1134"/>
      <c r="Q590" s="1133"/>
    </row>
    <row r="591" spans="2:17" x14ac:dyDescent="0.3">
      <c r="B591" s="126"/>
      <c r="C591" s="583">
        <v>224</v>
      </c>
      <c r="D591" s="625" t="e">
        <f t="shared" si="28"/>
        <v>#VALUE!</v>
      </c>
      <c r="E591" s="591"/>
      <c r="F591" s="591"/>
      <c r="G591" s="591"/>
      <c r="H591" s="591"/>
      <c r="I591" s="591"/>
      <c r="J591" s="591"/>
      <c r="K591" s="542"/>
      <c r="O591" s="1134"/>
      <c r="Q591" s="1133"/>
    </row>
    <row r="592" spans="2:17" x14ac:dyDescent="0.3">
      <c r="B592" s="126"/>
      <c r="C592" s="583">
        <v>225</v>
      </c>
      <c r="D592" s="625" t="e">
        <f t="shared" si="28"/>
        <v>#VALUE!</v>
      </c>
      <c r="E592" s="591"/>
      <c r="F592" s="591"/>
      <c r="G592" s="591"/>
      <c r="H592" s="591"/>
      <c r="I592" s="591"/>
      <c r="J592" s="591"/>
      <c r="K592" s="542"/>
      <c r="O592" s="1134"/>
      <c r="Q592" s="1133"/>
    </row>
    <row r="593" spans="2:17" x14ac:dyDescent="0.3">
      <c r="B593" s="126"/>
      <c r="C593" s="583">
        <v>226</v>
      </c>
      <c r="D593" s="625" t="e">
        <f t="shared" si="28"/>
        <v>#VALUE!</v>
      </c>
      <c r="E593" s="591"/>
      <c r="F593" s="591"/>
      <c r="G593" s="591"/>
      <c r="H593" s="591"/>
      <c r="I593" s="591"/>
      <c r="J593" s="591"/>
      <c r="K593" s="542"/>
      <c r="O593" s="1134"/>
      <c r="Q593" s="1133"/>
    </row>
    <row r="594" spans="2:17" x14ac:dyDescent="0.3">
      <c r="B594" s="126"/>
      <c r="C594" s="583">
        <v>227</v>
      </c>
      <c r="D594" s="625" t="e">
        <f t="shared" si="28"/>
        <v>#VALUE!</v>
      </c>
      <c r="E594" s="591"/>
      <c r="F594" s="591"/>
      <c r="G594" s="591"/>
      <c r="H594" s="591"/>
      <c r="I594" s="591"/>
      <c r="J594" s="591"/>
      <c r="K594" s="542"/>
      <c r="O594" s="1134"/>
      <c r="Q594" s="1133"/>
    </row>
    <row r="595" spans="2:17" x14ac:dyDescent="0.3">
      <c r="B595" s="126"/>
      <c r="C595" s="583">
        <v>228</v>
      </c>
      <c r="D595" s="625" t="e">
        <f t="shared" si="28"/>
        <v>#VALUE!</v>
      </c>
      <c r="E595" s="591"/>
      <c r="F595" s="591"/>
      <c r="G595" s="591"/>
      <c r="H595" s="591"/>
      <c r="I595" s="591"/>
      <c r="J595" s="591"/>
      <c r="K595" s="542"/>
      <c r="O595" s="1134"/>
      <c r="Q595" s="1133"/>
    </row>
    <row r="596" spans="2:17" x14ac:dyDescent="0.3">
      <c r="B596" s="126"/>
      <c r="C596" s="583">
        <v>229</v>
      </c>
      <c r="D596" s="625" t="e">
        <f t="shared" si="28"/>
        <v>#VALUE!</v>
      </c>
      <c r="E596" s="591"/>
      <c r="F596" s="591"/>
      <c r="G596" s="591"/>
      <c r="H596" s="591"/>
      <c r="I596" s="591"/>
      <c r="J596" s="591"/>
      <c r="K596" s="542"/>
      <c r="O596" s="1134"/>
      <c r="Q596" s="1133"/>
    </row>
    <row r="597" spans="2:17" x14ac:dyDescent="0.3">
      <c r="B597" s="126"/>
      <c r="C597" s="583">
        <v>230</v>
      </c>
      <c r="D597" s="625" t="e">
        <f t="shared" si="28"/>
        <v>#VALUE!</v>
      </c>
      <c r="E597" s="591"/>
      <c r="F597" s="591"/>
      <c r="G597" s="591"/>
      <c r="H597" s="591"/>
      <c r="I597" s="591"/>
      <c r="J597" s="591"/>
      <c r="K597" s="542"/>
      <c r="O597" s="1134"/>
      <c r="Q597" s="1133"/>
    </row>
    <row r="598" spans="2:17" x14ac:dyDescent="0.3">
      <c r="B598" s="126"/>
      <c r="C598" s="583">
        <v>231</v>
      </c>
      <c r="D598" s="625" t="e">
        <f t="shared" si="28"/>
        <v>#VALUE!</v>
      </c>
      <c r="E598" s="591"/>
      <c r="F598" s="591"/>
      <c r="G598" s="591"/>
      <c r="H598" s="591"/>
      <c r="I598" s="591"/>
      <c r="J598" s="591"/>
      <c r="K598" s="542"/>
      <c r="O598" s="1134"/>
      <c r="Q598" s="1133"/>
    </row>
    <row r="599" spans="2:17" x14ac:dyDescent="0.3">
      <c r="B599" s="126"/>
      <c r="C599" s="583">
        <v>232</v>
      </c>
      <c r="D599" s="625" t="e">
        <f t="shared" si="28"/>
        <v>#VALUE!</v>
      </c>
      <c r="E599" s="591"/>
      <c r="F599" s="591"/>
      <c r="G599" s="591"/>
      <c r="H599" s="591"/>
      <c r="I599" s="591"/>
      <c r="J599" s="591"/>
      <c r="K599" s="542"/>
      <c r="O599" s="1134"/>
      <c r="Q599" s="1133"/>
    </row>
    <row r="600" spans="2:17" x14ac:dyDescent="0.3">
      <c r="B600" s="126"/>
      <c r="C600" s="583">
        <v>233</v>
      </c>
      <c r="D600" s="625" t="e">
        <f t="shared" si="28"/>
        <v>#VALUE!</v>
      </c>
      <c r="E600" s="591"/>
      <c r="F600" s="591"/>
      <c r="G600" s="591"/>
      <c r="H600" s="591"/>
      <c r="I600" s="591"/>
      <c r="J600" s="591"/>
      <c r="K600" s="542"/>
      <c r="O600" s="1134"/>
      <c r="Q600" s="1133"/>
    </row>
    <row r="601" spans="2:17" x14ac:dyDescent="0.3">
      <c r="B601" s="126"/>
      <c r="C601" s="583">
        <v>234</v>
      </c>
      <c r="D601" s="625" t="e">
        <f t="shared" si="28"/>
        <v>#VALUE!</v>
      </c>
      <c r="E601" s="591"/>
      <c r="F601" s="591"/>
      <c r="G601" s="591"/>
      <c r="H601" s="591"/>
      <c r="I601" s="591"/>
      <c r="J601" s="591"/>
      <c r="K601" s="542"/>
      <c r="O601" s="1134"/>
      <c r="Q601" s="1133"/>
    </row>
    <row r="602" spans="2:17" x14ac:dyDescent="0.3">
      <c r="B602" s="126"/>
      <c r="C602" s="583">
        <v>235</v>
      </c>
      <c r="D602" s="625" t="e">
        <f t="shared" si="28"/>
        <v>#VALUE!</v>
      </c>
      <c r="E602" s="591"/>
      <c r="F602" s="591"/>
      <c r="G602" s="591"/>
      <c r="H602" s="591"/>
      <c r="I602" s="591"/>
      <c r="J602" s="591"/>
      <c r="K602" s="542"/>
      <c r="O602" s="1134"/>
      <c r="Q602" s="1133"/>
    </row>
    <row r="603" spans="2:17" x14ac:dyDescent="0.3">
      <c r="B603" s="126"/>
      <c r="C603" s="583">
        <v>236</v>
      </c>
      <c r="D603" s="625" t="e">
        <f t="shared" si="28"/>
        <v>#VALUE!</v>
      </c>
      <c r="E603" s="591"/>
      <c r="F603" s="591"/>
      <c r="G603" s="591"/>
      <c r="H603" s="591"/>
      <c r="I603" s="591"/>
      <c r="J603" s="591"/>
      <c r="K603" s="542"/>
      <c r="O603" s="1134"/>
      <c r="Q603" s="1133"/>
    </row>
    <row r="604" spans="2:17" x14ac:dyDescent="0.3">
      <c r="B604" s="126"/>
      <c r="C604" s="583">
        <v>237</v>
      </c>
      <c r="D604" s="625" t="e">
        <f t="shared" si="28"/>
        <v>#VALUE!</v>
      </c>
      <c r="E604" s="591"/>
      <c r="F604" s="591"/>
      <c r="G604" s="591"/>
      <c r="H604" s="591"/>
      <c r="I604" s="591"/>
      <c r="J604" s="591"/>
      <c r="K604" s="542"/>
      <c r="O604" s="1134"/>
      <c r="Q604" s="1133"/>
    </row>
    <row r="605" spans="2:17" x14ac:dyDescent="0.3">
      <c r="B605" s="126"/>
      <c r="C605" s="583">
        <v>238</v>
      </c>
      <c r="D605" s="625" t="e">
        <f t="shared" si="28"/>
        <v>#VALUE!</v>
      </c>
      <c r="E605" s="591"/>
      <c r="F605" s="591"/>
      <c r="G605" s="591"/>
      <c r="H605" s="591"/>
      <c r="I605" s="591"/>
      <c r="J605" s="591"/>
      <c r="K605" s="542"/>
      <c r="O605" s="1134"/>
      <c r="Q605" s="1133"/>
    </row>
    <row r="606" spans="2:17" x14ac:dyDescent="0.3">
      <c r="B606" s="126"/>
      <c r="C606" s="583">
        <v>239</v>
      </c>
      <c r="D606" s="625" t="e">
        <f t="shared" si="28"/>
        <v>#VALUE!</v>
      </c>
      <c r="E606" s="591"/>
      <c r="F606" s="591"/>
      <c r="G606" s="591"/>
      <c r="H606" s="591"/>
      <c r="I606" s="591"/>
      <c r="J606" s="591"/>
      <c r="K606" s="542"/>
      <c r="O606" s="1134"/>
      <c r="Q606" s="1133"/>
    </row>
    <row r="607" spans="2:17" x14ac:dyDescent="0.3">
      <c r="B607" s="126"/>
      <c r="C607" s="583">
        <v>240</v>
      </c>
      <c r="D607" s="625" t="e">
        <f t="shared" si="28"/>
        <v>#VALUE!</v>
      </c>
      <c r="E607" s="591"/>
      <c r="F607" s="591"/>
      <c r="G607" s="591"/>
      <c r="H607" s="591"/>
      <c r="I607" s="591"/>
      <c r="J607" s="591"/>
      <c r="K607" s="542"/>
      <c r="O607" s="1134"/>
      <c r="Q607" s="1133"/>
    </row>
    <row r="608" spans="2:17" x14ac:dyDescent="0.3">
      <c r="B608" s="126"/>
      <c r="C608" s="583">
        <v>241</v>
      </c>
      <c r="D608" s="625" t="e">
        <f t="shared" si="28"/>
        <v>#VALUE!</v>
      </c>
      <c r="E608" s="591"/>
      <c r="F608" s="591"/>
      <c r="G608" s="591"/>
      <c r="H608" s="591"/>
      <c r="I608" s="591"/>
      <c r="J608" s="591"/>
      <c r="K608" s="542"/>
      <c r="O608" s="1134"/>
      <c r="Q608" s="1133"/>
    </row>
    <row r="609" spans="2:17" x14ac:dyDescent="0.3">
      <c r="B609" s="126"/>
      <c r="C609" s="583">
        <v>242</v>
      </c>
      <c r="D609" s="625" t="e">
        <f t="shared" si="28"/>
        <v>#VALUE!</v>
      </c>
      <c r="E609" s="591"/>
      <c r="F609" s="591"/>
      <c r="G609" s="591"/>
      <c r="H609" s="591"/>
      <c r="I609" s="591"/>
      <c r="J609" s="591"/>
      <c r="K609" s="542"/>
      <c r="O609" s="1134"/>
      <c r="Q609" s="1133"/>
    </row>
    <row r="610" spans="2:17" x14ac:dyDescent="0.3">
      <c r="B610" s="126"/>
      <c r="C610" s="583">
        <v>243</v>
      </c>
      <c r="D610" s="625" t="e">
        <f t="shared" si="28"/>
        <v>#VALUE!</v>
      </c>
      <c r="E610" s="591"/>
      <c r="F610" s="591"/>
      <c r="G610" s="591"/>
      <c r="H610" s="591"/>
      <c r="I610" s="591"/>
      <c r="J610" s="591"/>
      <c r="K610" s="542"/>
      <c r="O610" s="1134"/>
      <c r="Q610" s="1133"/>
    </row>
    <row r="611" spans="2:17" x14ac:dyDescent="0.3">
      <c r="B611" s="126"/>
      <c r="C611" s="583">
        <v>244</v>
      </c>
      <c r="D611" s="625" t="e">
        <f t="shared" si="28"/>
        <v>#VALUE!</v>
      </c>
      <c r="E611" s="591"/>
      <c r="F611" s="591"/>
      <c r="G611" s="591"/>
      <c r="H611" s="591"/>
      <c r="I611" s="591"/>
      <c r="J611" s="591"/>
      <c r="K611" s="542"/>
      <c r="O611" s="1134"/>
      <c r="Q611" s="1133"/>
    </row>
    <row r="612" spans="2:17" x14ac:dyDescent="0.3">
      <c r="B612" s="126"/>
      <c r="C612" s="583">
        <v>245</v>
      </c>
      <c r="D612" s="625" t="e">
        <f t="shared" si="28"/>
        <v>#VALUE!</v>
      </c>
      <c r="E612" s="591"/>
      <c r="F612" s="591"/>
      <c r="G612" s="591"/>
      <c r="H612" s="591"/>
      <c r="I612" s="591"/>
      <c r="J612" s="591"/>
      <c r="K612" s="542"/>
      <c r="O612" s="1134"/>
      <c r="Q612" s="1133"/>
    </row>
    <row r="613" spans="2:17" x14ac:dyDescent="0.3">
      <c r="B613" s="126"/>
      <c r="C613" s="583">
        <v>246</v>
      </c>
      <c r="D613" s="625" t="e">
        <f t="shared" si="28"/>
        <v>#VALUE!</v>
      </c>
      <c r="E613" s="591"/>
      <c r="F613" s="591"/>
      <c r="G613" s="591"/>
      <c r="H613" s="591"/>
      <c r="I613" s="591"/>
      <c r="J613" s="591"/>
      <c r="K613" s="542"/>
      <c r="O613" s="1134"/>
      <c r="Q613" s="1133"/>
    </row>
    <row r="614" spans="2:17" x14ac:dyDescent="0.3">
      <c r="B614" s="126"/>
      <c r="C614" s="583">
        <v>247</v>
      </c>
      <c r="D614" s="625" t="e">
        <f t="shared" si="28"/>
        <v>#VALUE!</v>
      </c>
      <c r="E614" s="591"/>
      <c r="F614" s="591"/>
      <c r="G614" s="591"/>
      <c r="H614" s="591"/>
      <c r="I614" s="591"/>
      <c r="J614" s="591"/>
      <c r="K614" s="542"/>
      <c r="O614" s="1134"/>
      <c r="Q614" s="1133"/>
    </row>
    <row r="615" spans="2:17" x14ac:dyDescent="0.3">
      <c r="B615" s="126"/>
      <c r="C615" s="583">
        <v>248</v>
      </c>
      <c r="D615" s="625" t="e">
        <f t="shared" si="28"/>
        <v>#VALUE!</v>
      </c>
      <c r="E615" s="591"/>
      <c r="F615" s="591"/>
      <c r="G615" s="591"/>
      <c r="H615" s="591"/>
      <c r="I615" s="591"/>
      <c r="J615" s="591"/>
      <c r="K615" s="542"/>
      <c r="O615" s="1134"/>
      <c r="Q615" s="1133"/>
    </row>
    <row r="616" spans="2:17" x14ac:dyDescent="0.3">
      <c r="B616" s="126"/>
      <c r="C616" s="583">
        <v>249</v>
      </c>
      <c r="D616" s="625" t="e">
        <f t="shared" si="28"/>
        <v>#VALUE!</v>
      </c>
      <c r="E616" s="591"/>
      <c r="F616" s="591"/>
      <c r="G616" s="591"/>
      <c r="H616" s="591"/>
      <c r="I616" s="591"/>
      <c r="J616" s="591"/>
      <c r="K616" s="542"/>
      <c r="O616" s="1134"/>
      <c r="Q616" s="1133"/>
    </row>
    <row r="617" spans="2:17" x14ac:dyDescent="0.3">
      <c r="B617" s="126"/>
      <c r="C617" s="583">
        <v>250</v>
      </c>
      <c r="D617" s="625" t="e">
        <f t="shared" si="28"/>
        <v>#VALUE!</v>
      </c>
      <c r="E617" s="591"/>
      <c r="F617" s="591"/>
      <c r="G617" s="591"/>
      <c r="H617" s="591"/>
      <c r="I617" s="591"/>
      <c r="J617" s="591"/>
      <c r="K617" s="542"/>
      <c r="O617" s="1134"/>
      <c r="Q617" s="1133"/>
    </row>
    <row r="618" spans="2:17" x14ac:dyDescent="0.3">
      <c r="B618" s="126"/>
      <c r="C618" s="583">
        <v>251</v>
      </c>
      <c r="D618" s="625" t="e">
        <f t="shared" si="28"/>
        <v>#VALUE!</v>
      </c>
      <c r="E618" s="591"/>
      <c r="F618" s="591"/>
      <c r="G618" s="591"/>
      <c r="H618" s="591"/>
      <c r="I618" s="591"/>
      <c r="J618" s="591"/>
      <c r="K618" s="542"/>
      <c r="O618" s="1134"/>
      <c r="Q618" s="1133"/>
    </row>
    <row r="619" spans="2:17" x14ac:dyDescent="0.3">
      <c r="B619" s="126"/>
      <c r="C619" s="583">
        <v>252</v>
      </c>
      <c r="D619" s="625" t="e">
        <f t="shared" si="28"/>
        <v>#VALUE!</v>
      </c>
      <c r="E619" s="591"/>
      <c r="F619" s="591"/>
      <c r="G619" s="591"/>
      <c r="H619" s="591"/>
      <c r="I619" s="591"/>
      <c r="J619" s="591"/>
      <c r="K619" s="542"/>
      <c r="O619" s="1134"/>
      <c r="Q619" s="1133"/>
    </row>
    <row r="620" spans="2:17" x14ac:dyDescent="0.3">
      <c r="B620" s="126"/>
      <c r="C620" s="583">
        <v>253</v>
      </c>
      <c r="D620" s="625" t="e">
        <f t="shared" si="28"/>
        <v>#VALUE!</v>
      </c>
      <c r="E620" s="591"/>
      <c r="F620" s="591"/>
      <c r="G620" s="591"/>
      <c r="H620" s="591"/>
      <c r="I620" s="591"/>
      <c r="J620" s="591"/>
      <c r="K620" s="542"/>
      <c r="O620" s="1134"/>
      <c r="Q620" s="1133"/>
    </row>
    <row r="621" spans="2:17" x14ac:dyDescent="0.3">
      <c r="B621" s="126"/>
      <c r="C621" s="583">
        <v>254</v>
      </c>
      <c r="D621" s="625" t="e">
        <f t="shared" si="28"/>
        <v>#VALUE!</v>
      </c>
      <c r="E621" s="591"/>
      <c r="F621" s="591"/>
      <c r="G621" s="591"/>
      <c r="H621" s="591"/>
      <c r="I621" s="591"/>
      <c r="J621" s="591"/>
      <c r="K621" s="542"/>
      <c r="O621" s="1134"/>
      <c r="Q621" s="1133"/>
    </row>
    <row r="622" spans="2:17" x14ac:dyDescent="0.3">
      <c r="B622" s="126"/>
      <c r="C622" s="583">
        <v>255</v>
      </c>
      <c r="D622" s="625" t="e">
        <f t="shared" si="28"/>
        <v>#VALUE!</v>
      </c>
      <c r="E622" s="591"/>
      <c r="F622" s="591"/>
      <c r="G622" s="591"/>
      <c r="H622" s="591"/>
      <c r="I622" s="591"/>
      <c r="J622" s="591"/>
      <c r="K622" s="542"/>
      <c r="O622" s="1134"/>
      <c r="Q622" s="1133"/>
    </row>
    <row r="623" spans="2:17" x14ac:dyDescent="0.3">
      <c r="B623" s="126"/>
      <c r="C623" s="583">
        <v>256</v>
      </c>
      <c r="D623" s="625" t="e">
        <f t="shared" ref="D623:D686" si="29">$C$346*C623</f>
        <v>#VALUE!</v>
      </c>
      <c r="E623" s="591"/>
      <c r="F623" s="591"/>
      <c r="G623" s="591"/>
      <c r="H623" s="591"/>
      <c r="I623" s="591"/>
      <c r="J623" s="591"/>
      <c r="K623" s="542"/>
      <c r="O623" s="1134"/>
      <c r="Q623" s="1133"/>
    </row>
    <row r="624" spans="2:17" x14ac:dyDescent="0.3">
      <c r="B624" s="126"/>
      <c r="C624" s="583">
        <v>257</v>
      </c>
      <c r="D624" s="625" t="e">
        <f t="shared" si="29"/>
        <v>#VALUE!</v>
      </c>
      <c r="E624" s="591"/>
      <c r="F624" s="591"/>
      <c r="G624" s="591"/>
      <c r="H624" s="591"/>
      <c r="I624" s="591"/>
      <c r="J624" s="591"/>
      <c r="K624" s="542"/>
      <c r="O624" s="1134"/>
      <c r="Q624" s="1133"/>
    </row>
    <row r="625" spans="2:17" x14ac:dyDescent="0.3">
      <c r="B625" s="126"/>
      <c r="C625" s="583">
        <v>258</v>
      </c>
      <c r="D625" s="625" t="e">
        <f t="shared" si="29"/>
        <v>#VALUE!</v>
      </c>
      <c r="E625" s="591"/>
      <c r="F625" s="591"/>
      <c r="G625" s="591"/>
      <c r="H625" s="591"/>
      <c r="I625" s="591"/>
      <c r="J625" s="591"/>
      <c r="K625" s="542"/>
      <c r="O625" s="1134"/>
      <c r="Q625" s="1133"/>
    </row>
    <row r="626" spans="2:17" x14ac:dyDescent="0.3">
      <c r="B626" s="126"/>
      <c r="C626" s="583">
        <v>259</v>
      </c>
      <c r="D626" s="625" t="e">
        <f t="shared" si="29"/>
        <v>#VALUE!</v>
      </c>
      <c r="E626" s="591"/>
      <c r="F626" s="591"/>
      <c r="G626" s="591"/>
      <c r="H626" s="591"/>
      <c r="I626" s="591"/>
      <c r="J626" s="591"/>
      <c r="K626" s="542"/>
      <c r="O626" s="1134"/>
      <c r="Q626" s="1133"/>
    </row>
    <row r="627" spans="2:17" x14ac:dyDescent="0.3">
      <c r="B627" s="126"/>
      <c r="C627" s="583">
        <v>260</v>
      </c>
      <c r="D627" s="625" t="e">
        <f t="shared" si="29"/>
        <v>#VALUE!</v>
      </c>
      <c r="E627" s="591"/>
      <c r="F627" s="591"/>
      <c r="G627" s="591"/>
      <c r="H627" s="591"/>
      <c r="I627" s="591"/>
      <c r="J627" s="591"/>
      <c r="K627" s="542"/>
      <c r="O627" s="1134"/>
      <c r="Q627" s="1133"/>
    </row>
    <row r="628" spans="2:17" x14ac:dyDescent="0.3">
      <c r="B628" s="126"/>
      <c r="C628" s="583">
        <v>261</v>
      </c>
      <c r="D628" s="625" t="e">
        <f t="shared" si="29"/>
        <v>#VALUE!</v>
      </c>
      <c r="E628" s="591"/>
      <c r="F628" s="591"/>
      <c r="G628" s="591"/>
      <c r="H628" s="591"/>
      <c r="I628" s="591"/>
      <c r="J628" s="591"/>
      <c r="K628" s="542"/>
      <c r="O628" s="1134"/>
      <c r="Q628" s="1133"/>
    </row>
    <row r="629" spans="2:17" x14ac:dyDescent="0.3">
      <c r="B629" s="126"/>
      <c r="C629" s="583">
        <v>262</v>
      </c>
      <c r="D629" s="625" t="e">
        <f t="shared" si="29"/>
        <v>#VALUE!</v>
      </c>
      <c r="E629" s="591"/>
      <c r="F629" s="591"/>
      <c r="G629" s="591"/>
      <c r="H629" s="591"/>
      <c r="I629" s="591"/>
      <c r="J629" s="591"/>
      <c r="K629" s="542"/>
      <c r="O629" s="1134"/>
      <c r="Q629" s="1133"/>
    </row>
    <row r="630" spans="2:17" x14ac:dyDescent="0.3">
      <c r="B630" s="126"/>
      <c r="C630" s="583">
        <v>263</v>
      </c>
      <c r="D630" s="625" t="e">
        <f t="shared" si="29"/>
        <v>#VALUE!</v>
      </c>
      <c r="E630" s="591"/>
      <c r="F630" s="591"/>
      <c r="G630" s="591"/>
      <c r="H630" s="591"/>
      <c r="I630" s="591"/>
      <c r="J630" s="591"/>
      <c r="K630" s="542"/>
      <c r="O630" s="1134"/>
      <c r="Q630" s="1133"/>
    </row>
    <row r="631" spans="2:17" x14ac:dyDescent="0.3">
      <c r="B631" s="126"/>
      <c r="C631" s="583">
        <v>264</v>
      </c>
      <c r="D631" s="625" t="e">
        <f t="shared" si="29"/>
        <v>#VALUE!</v>
      </c>
      <c r="E631" s="591"/>
      <c r="F631" s="591"/>
      <c r="G631" s="591"/>
      <c r="H631" s="591"/>
      <c r="I631" s="591"/>
      <c r="J631" s="591"/>
      <c r="K631" s="542"/>
      <c r="O631" s="1134"/>
      <c r="Q631" s="1133"/>
    </row>
    <row r="632" spans="2:17" x14ac:dyDescent="0.3">
      <c r="B632" s="126"/>
      <c r="C632" s="583">
        <v>265</v>
      </c>
      <c r="D632" s="625" t="e">
        <f t="shared" si="29"/>
        <v>#VALUE!</v>
      </c>
      <c r="E632" s="591"/>
      <c r="F632" s="591"/>
      <c r="G632" s="591"/>
      <c r="H632" s="591"/>
      <c r="I632" s="591"/>
      <c r="J632" s="591"/>
      <c r="K632" s="542"/>
      <c r="O632" s="1134"/>
      <c r="Q632" s="1133"/>
    </row>
    <row r="633" spans="2:17" x14ac:dyDescent="0.3">
      <c r="B633" s="126"/>
      <c r="C633" s="583">
        <v>266</v>
      </c>
      <c r="D633" s="625" t="e">
        <f t="shared" si="29"/>
        <v>#VALUE!</v>
      </c>
      <c r="E633" s="591"/>
      <c r="F633" s="591"/>
      <c r="G633" s="591"/>
      <c r="H633" s="591"/>
      <c r="I633" s="591"/>
      <c r="J633" s="591"/>
      <c r="K633" s="542"/>
      <c r="O633" s="1134"/>
      <c r="Q633" s="1133"/>
    </row>
    <row r="634" spans="2:17" x14ac:dyDescent="0.3">
      <c r="B634" s="126"/>
      <c r="C634" s="583">
        <v>267</v>
      </c>
      <c r="D634" s="625" t="e">
        <f t="shared" si="29"/>
        <v>#VALUE!</v>
      </c>
      <c r="E634" s="591"/>
      <c r="F634" s="591"/>
      <c r="G634" s="591"/>
      <c r="H634" s="591"/>
      <c r="I634" s="591"/>
      <c r="J634" s="591"/>
      <c r="K634" s="542"/>
      <c r="O634" s="1134"/>
      <c r="Q634" s="1133"/>
    </row>
    <row r="635" spans="2:17" x14ac:dyDescent="0.3">
      <c r="B635" s="126"/>
      <c r="C635" s="583">
        <v>268</v>
      </c>
      <c r="D635" s="625" t="e">
        <f t="shared" si="29"/>
        <v>#VALUE!</v>
      </c>
      <c r="E635" s="591"/>
      <c r="F635" s="591"/>
      <c r="G635" s="591"/>
      <c r="H635" s="591"/>
      <c r="I635" s="591"/>
      <c r="J635" s="591"/>
      <c r="K635" s="542"/>
      <c r="O635" s="1134"/>
      <c r="Q635" s="1133"/>
    </row>
    <row r="636" spans="2:17" x14ac:dyDescent="0.3">
      <c r="B636" s="126"/>
      <c r="C636" s="583">
        <v>269</v>
      </c>
      <c r="D636" s="625" t="e">
        <f t="shared" si="29"/>
        <v>#VALUE!</v>
      </c>
      <c r="E636" s="591"/>
      <c r="F636" s="591"/>
      <c r="G636" s="591"/>
      <c r="H636" s="591"/>
      <c r="I636" s="591"/>
      <c r="J636" s="591"/>
      <c r="K636" s="542"/>
      <c r="O636" s="1134"/>
      <c r="Q636" s="1133"/>
    </row>
    <row r="637" spans="2:17" x14ac:dyDescent="0.3">
      <c r="B637" s="126"/>
      <c r="C637" s="583">
        <v>270</v>
      </c>
      <c r="D637" s="625" t="e">
        <f t="shared" si="29"/>
        <v>#VALUE!</v>
      </c>
      <c r="E637" s="591"/>
      <c r="F637" s="591"/>
      <c r="G637" s="591"/>
      <c r="H637" s="591"/>
      <c r="I637" s="591"/>
      <c r="J637" s="591"/>
      <c r="K637" s="542"/>
      <c r="O637" s="1134"/>
      <c r="Q637" s="1133"/>
    </row>
    <row r="638" spans="2:17" x14ac:dyDescent="0.3">
      <c r="B638" s="126"/>
      <c r="C638" s="583">
        <v>271</v>
      </c>
      <c r="D638" s="625" t="e">
        <f t="shared" si="29"/>
        <v>#VALUE!</v>
      </c>
      <c r="E638" s="591"/>
      <c r="F638" s="591"/>
      <c r="G638" s="591"/>
      <c r="H638" s="591"/>
      <c r="I638" s="591"/>
      <c r="J638" s="591"/>
      <c r="K638" s="542"/>
      <c r="O638" s="1134"/>
      <c r="Q638" s="1133"/>
    </row>
    <row r="639" spans="2:17" x14ac:dyDescent="0.3">
      <c r="B639" s="126"/>
      <c r="C639" s="583">
        <v>272</v>
      </c>
      <c r="D639" s="625" t="e">
        <f t="shared" si="29"/>
        <v>#VALUE!</v>
      </c>
      <c r="E639" s="591"/>
      <c r="F639" s="591"/>
      <c r="G639" s="591"/>
      <c r="H639" s="591"/>
      <c r="I639" s="591"/>
      <c r="J639" s="591"/>
      <c r="K639" s="542"/>
      <c r="O639" s="1134"/>
      <c r="Q639" s="1133"/>
    </row>
    <row r="640" spans="2:17" x14ac:dyDescent="0.3">
      <c r="B640" s="126"/>
      <c r="C640" s="583">
        <v>273</v>
      </c>
      <c r="D640" s="625" t="e">
        <f t="shared" si="29"/>
        <v>#VALUE!</v>
      </c>
      <c r="E640" s="591"/>
      <c r="F640" s="591"/>
      <c r="G640" s="591"/>
      <c r="H640" s="591"/>
      <c r="I640" s="591"/>
      <c r="J640" s="591"/>
      <c r="K640" s="542"/>
      <c r="O640" s="1134"/>
      <c r="Q640" s="1133"/>
    </row>
    <row r="641" spans="2:17" x14ac:dyDescent="0.3">
      <c r="B641" s="126"/>
      <c r="C641" s="583">
        <v>274</v>
      </c>
      <c r="D641" s="625" t="e">
        <f t="shared" si="29"/>
        <v>#VALUE!</v>
      </c>
      <c r="E641" s="591"/>
      <c r="F641" s="591"/>
      <c r="G641" s="591"/>
      <c r="H641" s="591"/>
      <c r="I641" s="591"/>
      <c r="J641" s="591"/>
      <c r="K641" s="542"/>
      <c r="O641" s="1134"/>
      <c r="Q641" s="1133"/>
    </row>
    <row r="642" spans="2:17" x14ac:dyDescent="0.3">
      <c r="B642" s="126"/>
      <c r="C642" s="583">
        <v>275</v>
      </c>
      <c r="D642" s="625" t="e">
        <f t="shared" si="29"/>
        <v>#VALUE!</v>
      </c>
      <c r="E642" s="591"/>
      <c r="F642" s="591"/>
      <c r="G642" s="591"/>
      <c r="H642" s="591"/>
      <c r="I642" s="591"/>
      <c r="J642" s="591"/>
      <c r="K642" s="542"/>
      <c r="O642" s="1134"/>
      <c r="Q642" s="1133"/>
    </row>
    <row r="643" spans="2:17" x14ac:dyDescent="0.3">
      <c r="B643" s="126"/>
      <c r="C643" s="583">
        <v>276</v>
      </c>
      <c r="D643" s="625" t="e">
        <f t="shared" si="29"/>
        <v>#VALUE!</v>
      </c>
      <c r="E643" s="591"/>
      <c r="F643" s="591"/>
      <c r="G643" s="591"/>
      <c r="H643" s="591"/>
      <c r="I643" s="591"/>
      <c r="J643" s="591"/>
      <c r="K643" s="542"/>
      <c r="O643" s="1134"/>
      <c r="Q643" s="1133"/>
    </row>
    <row r="644" spans="2:17" x14ac:dyDescent="0.3">
      <c r="B644" s="126"/>
      <c r="C644" s="583">
        <v>277</v>
      </c>
      <c r="D644" s="625" t="e">
        <f t="shared" si="29"/>
        <v>#VALUE!</v>
      </c>
      <c r="E644" s="591"/>
      <c r="F644" s="591"/>
      <c r="G644" s="591"/>
      <c r="H644" s="591"/>
      <c r="I644" s="591"/>
      <c r="J644" s="591"/>
      <c r="K644" s="542"/>
      <c r="O644" s="1134"/>
      <c r="Q644" s="1133"/>
    </row>
    <row r="645" spans="2:17" x14ac:dyDescent="0.3">
      <c r="B645" s="126"/>
      <c r="C645" s="583">
        <v>278</v>
      </c>
      <c r="D645" s="625" t="e">
        <f t="shared" si="29"/>
        <v>#VALUE!</v>
      </c>
      <c r="E645" s="591"/>
      <c r="F645" s="591"/>
      <c r="G645" s="591"/>
      <c r="H645" s="591"/>
      <c r="I645" s="591"/>
      <c r="J645" s="591"/>
      <c r="K645" s="542"/>
      <c r="O645" s="1134"/>
      <c r="Q645" s="1133"/>
    </row>
    <row r="646" spans="2:17" x14ac:dyDescent="0.3">
      <c r="B646" s="126"/>
      <c r="C646" s="583">
        <v>279</v>
      </c>
      <c r="D646" s="625" t="e">
        <f t="shared" si="29"/>
        <v>#VALUE!</v>
      </c>
      <c r="E646" s="591"/>
      <c r="F646" s="591"/>
      <c r="G646" s="591"/>
      <c r="H646" s="591"/>
      <c r="I646" s="591"/>
      <c r="J646" s="591"/>
      <c r="K646" s="542"/>
      <c r="O646" s="1134"/>
      <c r="Q646" s="1133"/>
    </row>
    <row r="647" spans="2:17" x14ac:dyDescent="0.3">
      <c r="B647" s="126"/>
      <c r="C647" s="583">
        <v>280</v>
      </c>
      <c r="D647" s="625" t="e">
        <f t="shared" si="29"/>
        <v>#VALUE!</v>
      </c>
      <c r="E647" s="591"/>
      <c r="F647" s="591"/>
      <c r="G647" s="591"/>
      <c r="H647" s="591"/>
      <c r="I647" s="591"/>
      <c r="J647" s="591"/>
      <c r="K647" s="542"/>
      <c r="O647" s="1134"/>
      <c r="Q647" s="1133"/>
    </row>
    <row r="648" spans="2:17" x14ac:dyDescent="0.3">
      <c r="B648" s="126"/>
      <c r="C648" s="583">
        <v>281</v>
      </c>
      <c r="D648" s="625" t="e">
        <f t="shared" si="29"/>
        <v>#VALUE!</v>
      </c>
      <c r="E648" s="591"/>
      <c r="F648" s="591"/>
      <c r="G648" s="591"/>
      <c r="H648" s="591"/>
      <c r="I648" s="591"/>
      <c r="J648" s="591"/>
      <c r="K648" s="542"/>
      <c r="O648" s="1134"/>
      <c r="Q648" s="1133"/>
    </row>
    <row r="649" spans="2:17" x14ac:dyDescent="0.3">
      <c r="B649" s="126"/>
      <c r="C649" s="583">
        <v>282</v>
      </c>
      <c r="D649" s="625" t="e">
        <f t="shared" si="29"/>
        <v>#VALUE!</v>
      </c>
      <c r="E649" s="591"/>
      <c r="F649" s="591"/>
      <c r="G649" s="591"/>
      <c r="H649" s="591"/>
      <c r="I649" s="591"/>
      <c r="J649" s="591"/>
      <c r="K649" s="542"/>
      <c r="O649" s="1134"/>
      <c r="Q649" s="1133"/>
    </row>
    <row r="650" spans="2:17" x14ac:dyDescent="0.3">
      <c r="B650" s="126"/>
      <c r="C650" s="583">
        <v>283</v>
      </c>
      <c r="D650" s="625" t="e">
        <f t="shared" si="29"/>
        <v>#VALUE!</v>
      </c>
      <c r="E650" s="591"/>
      <c r="F650" s="591"/>
      <c r="G650" s="591"/>
      <c r="H650" s="591"/>
      <c r="I650" s="591"/>
      <c r="J650" s="591"/>
      <c r="K650" s="542"/>
      <c r="O650" s="1134"/>
      <c r="Q650" s="1133"/>
    </row>
    <row r="651" spans="2:17" x14ac:dyDescent="0.3">
      <c r="B651" s="126"/>
      <c r="C651" s="583">
        <v>284</v>
      </c>
      <c r="D651" s="625" t="e">
        <f t="shared" si="29"/>
        <v>#VALUE!</v>
      </c>
      <c r="E651" s="591"/>
      <c r="F651" s="591"/>
      <c r="G651" s="591"/>
      <c r="H651" s="591"/>
      <c r="I651" s="591"/>
      <c r="J651" s="591"/>
      <c r="K651" s="542"/>
      <c r="O651" s="1134"/>
      <c r="Q651" s="1133"/>
    </row>
    <row r="652" spans="2:17" x14ac:dyDescent="0.3">
      <c r="B652" s="126"/>
      <c r="C652" s="583">
        <v>285</v>
      </c>
      <c r="D652" s="625" t="e">
        <f t="shared" si="29"/>
        <v>#VALUE!</v>
      </c>
      <c r="E652" s="591"/>
      <c r="F652" s="591"/>
      <c r="G652" s="591"/>
      <c r="H652" s="591"/>
      <c r="I652" s="591"/>
      <c r="J652" s="591"/>
      <c r="K652" s="542"/>
      <c r="O652" s="1134"/>
      <c r="Q652" s="1133"/>
    </row>
    <row r="653" spans="2:17" x14ac:dyDescent="0.3">
      <c r="B653" s="126"/>
      <c r="C653" s="583">
        <v>286</v>
      </c>
      <c r="D653" s="625" t="e">
        <f t="shared" si="29"/>
        <v>#VALUE!</v>
      </c>
      <c r="E653" s="591"/>
      <c r="F653" s="591"/>
      <c r="G653" s="591"/>
      <c r="H653" s="591"/>
      <c r="I653" s="591"/>
      <c r="J653" s="591"/>
      <c r="K653" s="542"/>
      <c r="O653" s="1134"/>
      <c r="Q653" s="1133"/>
    </row>
    <row r="654" spans="2:17" x14ac:dyDescent="0.3">
      <c r="B654" s="126"/>
      <c r="C654" s="583">
        <v>287</v>
      </c>
      <c r="D654" s="625" t="e">
        <f t="shared" si="29"/>
        <v>#VALUE!</v>
      </c>
      <c r="E654" s="591"/>
      <c r="F654" s="591"/>
      <c r="G654" s="591"/>
      <c r="H654" s="591"/>
      <c r="I654" s="591"/>
      <c r="J654" s="591"/>
      <c r="K654" s="542"/>
      <c r="O654" s="1134"/>
      <c r="Q654" s="1133"/>
    </row>
    <row r="655" spans="2:17" x14ac:dyDescent="0.3">
      <c r="B655" s="126"/>
      <c r="C655" s="583">
        <v>288</v>
      </c>
      <c r="D655" s="625" t="e">
        <f t="shared" si="29"/>
        <v>#VALUE!</v>
      </c>
      <c r="E655" s="591"/>
      <c r="F655" s="591"/>
      <c r="G655" s="591"/>
      <c r="H655" s="591"/>
      <c r="I655" s="591"/>
      <c r="J655" s="591"/>
      <c r="K655" s="542"/>
      <c r="O655" s="1134"/>
      <c r="Q655" s="1133"/>
    </row>
    <row r="656" spans="2:17" x14ac:dyDescent="0.3">
      <c r="B656" s="126"/>
      <c r="C656" s="583">
        <v>289</v>
      </c>
      <c r="D656" s="625" t="e">
        <f t="shared" si="29"/>
        <v>#VALUE!</v>
      </c>
      <c r="E656" s="591"/>
      <c r="F656" s="591"/>
      <c r="G656" s="591"/>
      <c r="H656" s="591"/>
      <c r="I656" s="591"/>
      <c r="J656" s="591"/>
      <c r="K656" s="542"/>
      <c r="O656" s="1134"/>
      <c r="Q656" s="1133"/>
    </row>
    <row r="657" spans="2:17" x14ac:dyDescent="0.3">
      <c r="B657" s="126"/>
      <c r="C657" s="583">
        <v>290</v>
      </c>
      <c r="D657" s="625" t="e">
        <f t="shared" si="29"/>
        <v>#VALUE!</v>
      </c>
      <c r="E657" s="591"/>
      <c r="F657" s="591"/>
      <c r="G657" s="591"/>
      <c r="H657" s="591"/>
      <c r="I657" s="591"/>
      <c r="J657" s="591"/>
      <c r="K657" s="542"/>
      <c r="O657" s="1134"/>
      <c r="Q657" s="1133"/>
    </row>
    <row r="658" spans="2:17" x14ac:dyDescent="0.3">
      <c r="B658" s="126"/>
      <c r="C658" s="583">
        <v>291</v>
      </c>
      <c r="D658" s="625" t="e">
        <f t="shared" si="29"/>
        <v>#VALUE!</v>
      </c>
      <c r="E658" s="591"/>
      <c r="F658" s="591"/>
      <c r="G658" s="591"/>
      <c r="H658" s="591"/>
      <c r="I658" s="591"/>
      <c r="J658" s="591"/>
      <c r="K658" s="542"/>
      <c r="O658" s="1134"/>
      <c r="Q658" s="1133"/>
    </row>
    <row r="659" spans="2:17" x14ac:dyDescent="0.3">
      <c r="B659" s="126"/>
      <c r="C659" s="583">
        <v>292</v>
      </c>
      <c r="D659" s="625" t="e">
        <f t="shared" si="29"/>
        <v>#VALUE!</v>
      </c>
      <c r="E659" s="591"/>
      <c r="F659" s="591"/>
      <c r="G659" s="591"/>
      <c r="H659" s="591"/>
      <c r="I659" s="591"/>
      <c r="J659" s="591"/>
      <c r="K659" s="542"/>
      <c r="O659" s="1134"/>
      <c r="Q659" s="1133"/>
    </row>
    <row r="660" spans="2:17" x14ac:dyDescent="0.3">
      <c r="B660" s="126"/>
      <c r="C660" s="583">
        <v>293</v>
      </c>
      <c r="D660" s="625" t="e">
        <f t="shared" si="29"/>
        <v>#VALUE!</v>
      </c>
      <c r="E660" s="591"/>
      <c r="F660" s="591"/>
      <c r="G660" s="591"/>
      <c r="H660" s="591"/>
      <c r="I660" s="591"/>
      <c r="J660" s="591"/>
      <c r="K660" s="542"/>
      <c r="O660" s="1134"/>
      <c r="Q660" s="1133"/>
    </row>
    <row r="661" spans="2:17" x14ac:dyDescent="0.3">
      <c r="B661" s="126"/>
      <c r="C661" s="583">
        <v>294</v>
      </c>
      <c r="D661" s="625" t="e">
        <f t="shared" si="29"/>
        <v>#VALUE!</v>
      </c>
      <c r="E661" s="591"/>
      <c r="F661" s="591"/>
      <c r="G661" s="591"/>
      <c r="H661" s="591"/>
      <c r="I661" s="591"/>
      <c r="J661" s="591"/>
      <c r="K661" s="542"/>
      <c r="O661" s="1134"/>
      <c r="Q661" s="1133"/>
    </row>
    <row r="662" spans="2:17" x14ac:dyDescent="0.3">
      <c r="B662" s="126"/>
      <c r="C662" s="583">
        <v>295</v>
      </c>
      <c r="D662" s="625" t="e">
        <f t="shared" si="29"/>
        <v>#VALUE!</v>
      </c>
      <c r="E662" s="591"/>
      <c r="F662" s="591"/>
      <c r="G662" s="591"/>
      <c r="H662" s="591"/>
      <c r="I662" s="591"/>
      <c r="J662" s="591"/>
      <c r="K662" s="542"/>
      <c r="O662" s="1134"/>
      <c r="Q662" s="1133"/>
    </row>
    <row r="663" spans="2:17" x14ac:dyDescent="0.3">
      <c r="B663" s="126"/>
      <c r="C663" s="583">
        <v>296</v>
      </c>
      <c r="D663" s="625" t="e">
        <f t="shared" si="29"/>
        <v>#VALUE!</v>
      </c>
      <c r="E663" s="591"/>
      <c r="F663" s="591"/>
      <c r="G663" s="591"/>
      <c r="H663" s="591"/>
      <c r="I663" s="591"/>
      <c r="J663" s="591"/>
      <c r="K663" s="542"/>
      <c r="O663" s="1134"/>
      <c r="Q663" s="1133"/>
    </row>
    <row r="664" spans="2:17" x14ac:dyDescent="0.3">
      <c r="B664" s="126"/>
      <c r="C664" s="583">
        <v>297</v>
      </c>
      <c r="D664" s="625" t="e">
        <f t="shared" si="29"/>
        <v>#VALUE!</v>
      </c>
      <c r="E664" s="591"/>
      <c r="F664" s="591"/>
      <c r="G664" s="591"/>
      <c r="H664" s="591"/>
      <c r="I664" s="591"/>
      <c r="J664" s="591"/>
      <c r="K664" s="542"/>
      <c r="O664" s="1134"/>
      <c r="Q664" s="1133"/>
    </row>
    <row r="665" spans="2:17" x14ac:dyDescent="0.3">
      <c r="B665" s="126"/>
      <c r="C665" s="583">
        <v>298</v>
      </c>
      <c r="D665" s="625" t="e">
        <f t="shared" si="29"/>
        <v>#VALUE!</v>
      </c>
      <c r="E665" s="591"/>
      <c r="F665" s="591"/>
      <c r="G665" s="591"/>
      <c r="H665" s="591"/>
      <c r="I665" s="591"/>
      <c r="J665" s="591"/>
      <c r="K665" s="542"/>
      <c r="O665" s="1134"/>
      <c r="Q665" s="1133"/>
    </row>
    <row r="666" spans="2:17" x14ac:dyDescent="0.3">
      <c r="B666" s="126"/>
      <c r="C666" s="583">
        <v>299</v>
      </c>
      <c r="D666" s="625" t="e">
        <f t="shared" si="29"/>
        <v>#VALUE!</v>
      </c>
      <c r="E666" s="591"/>
      <c r="F666" s="591"/>
      <c r="G666" s="591"/>
      <c r="H666" s="591"/>
      <c r="I666" s="591"/>
      <c r="J666" s="591"/>
      <c r="K666" s="542"/>
      <c r="O666" s="1134"/>
      <c r="Q666" s="1133"/>
    </row>
    <row r="667" spans="2:17" x14ac:dyDescent="0.3">
      <c r="B667" s="126"/>
      <c r="C667" s="583">
        <v>300</v>
      </c>
      <c r="D667" s="625" t="e">
        <f t="shared" si="29"/>
        <v>#VALUE!</v>
      </c>
      <c r="E667" s="591"/>
      <c r="F667" s="591"/>
      <c r="G667" s="591"/>
      <c r="H667" s="591"/>
      <c r="I667" s="591"/>
      <c r="J667" s="591"/>
      <c r="K667" s="542"/>
      <c r="O667" s="1134"/>
      <c r="Q667" s="1133"/>
    </row>
    <row r="668" spans="2:17" x14ac:dyDescent="0.3">
      <c r="B668" s="126"/>
      <c r="C668" s="583">
        <v>301</v>
      </c>
      <c r="D668" s="625" t="e">
        <f t="shared" si="29"/>
        <v>#VALUE!</v>
      </c>
      <c r="E668" s="591"/>
      <c r="F668" s="591"/>
      <c r="G668" s="591"/>
      <c r="H668" s="591"/>
      <c r="I668" s="591"/>
      <c r="J668" s="591"/>
      <c r="K668" s="542"/>
      <c r="O668" s="1134"/>
      <c r="Q668" s="1133"/>
    </row>
    <row r="669" spans="2:17" x14ac:dyDescent="0.3">
      <c r="B669" s="126"/>
      <c r="C669" s="583">
        <v>302</v>
      </c>
      <c r="D669" s="625" t="e">
        <f t="shared" si="29"/>
        <v>#VALUE!</v>
      </c>
      <c r="E669" s="591"/>
      <c r="F669" s="591"/>
      <c r="G669" s="591"/>
      <c r="H669" s="591"/>
      <c r="I669" s="591"/>
      <c r="J669" s="591"/>
      <c r="K669" s="542"/>
      <c r="O669" s="1134"/>
      <c r="Q669" s="1133"/>
    </row>
    <row r="670" spans="2:17" x14ac:dyDescent="0.3">
      <c r="B670" s="126"/>
      <c r="C670" s="583">
        <v>303</v>
      </c>
      <c r="D670" s="625" t="e">
        <f t="shared" si="29"/>
        <v>#VALUE!</v>
      </c>
      <c r="E670" s="591"/>
      <c r="F670" s="591"/>
      <c r="G670" s="591"/>
      <c r="H670" s="591"/>
      <c r="I670" s="591"/>
      <c r="J670" s="591"/>
      <c r="K670" s="542"/>
      <c r="O670" s="1134"/>
      <c r="Q670" s="1133"/>
    </row>
    <row r="671" spans="2:17" x14ac:dyDescent="0.3">
      <c r="B671" s="126"/>
      <c r="C671" s="583">
        <v>304</v>
      </c>
      <c r="D671" s="625" t="e">
        <f t="shared" si="29"/>
        <v>#VALUE!</v>
      </c>
      <c r="E671" s="591"/>
      <c r="F671" s="591"/>
      <c r="G671" s="591"/>
      <c r="H671" s="591"/>
      <c r="I671" s="591"/>
      <c r="J671" s="591"/>
      <c r="K671" s="542"/>
      <c r="O671" s="1134"/>
      <c r="Q671" s="1133"/>
    </row>
    <row r="672" spans="2:17" x14ac:dyDescent="0.3">
      <c r="B672" s="126"/>
      <c r="C672" s="583">
        <v>305</v>
      </c>
      <c r="D672" s="625" t="e">
        <f t="shared" si="29"/>
        <v>#VALUE!</v>
      </c>
      <c r="E672" s="591"/>
      <c r="F672" s="591"/>
      <c r="G672" s="591"/>
      <c r="H672" s="591"/>
      <c r="I672" s="591"/>
      <c r="J672" s="591"/>
      <c r="K672" s="542"/>
      <c r="O672" s="1134"/>
      <c r="Q672" s="1133"/>
    </row>
    <row r="673" spans="2:17" x14ac:dyDescent="0.3">
      <c r="B673" s="126"/>
      <c r="C673" s="583">
        <v>306</v>
      </c>
      <c r="D673" s="625" t="e">
        <f t="shared" si="29"/>
        <v>#VALUE!</v>
      </c>
      <c r="E673" s="591"/>
      <c r="F673" s="591"/>
      <c r="G673" s="591"/>
      <c r="H673" s="591"/>
      <c r="I673" s="591"/>
      <c r="J673" s="591"/>
      <c r="K673" s="542"/>
      <c r="O673" s="1134"/>
      <c r="Q673" s="1133"/>
    </row>
    <row r="674" spans="2:17" x14ac:dyDescent="0.3">
      <c r="B674" s="126"/>
      <c r="C674" s="583">
        <v>307</v>
      </c>
      <c r="D674" s="625" t="e">
        <f t="shared" si="29"/>
        <v>#VALUE!</v>
      </c>
      <c r="E674" s="591"/>
      <c r="F674" s="591"/>
      <c r="G674" s="591"/>
      <c r="H674" s="591"/>
      <c r="I674" s="591"/>
      <c r="J674" s="591"/>
      <c r="K674" s="542"/>
      <c r="O674" s="1134"/>
      <c r="Q674" s="1133"/>
    </row>
    <row r="675" spans="2:17" x14ac:dyDescent="0.3">
      <c r="B675" s="126"/>
      <c r="C675" s="583">
        <v>308</v>
      </c>
      <c r="D675" s="625" t="e">
        <f t="shared" si="29"/>
        <v>#VALUE!</v>
      </c>
      <c r="E675" s="591"/>
      <c r="F675" s="591"/>
      <c r="G675" s="591"/>
      <c r="H675" s="591"/>
      <c r="I675" s="591"/>
      <c r="J675" s="591"/>
      <c r="K675" s="542"/>
      <c r="O675" s="1134"/>
      <c r="Q675" s="1133"/>
    </row>
    <row r="676" spans="2:17" x14ac:dyDescent="0.3">
      <c r="B676" s="126"/>
      <c r="C676" s="583">
        <v>309</v>
      </c>
      <c r="D676" s="625" t="e">
        <f t="shared" si="29"/>
        <v>#VALUE!</v>
      </c>
      <c r="E676" s="591"/>
      <c r="F676" s="591"/>
      <c r="G676" s="591"/>
      <c r="H676" s="591"/>
      <c r="I676" s="591"/>
      <c r="J676" s="591"/>
      <c r="K676" s="542"/>
      <c r="O676" s="1134"/>
      <c r="Q676" s="1133"/>
    </row>
    <row r="677" spans="2:17" x14ac:dyDescent="0.3">
      <c r="B677" s="126"/>
      <c r="C677" s="583">
        <v>310</v>
      </c>
      <c r="D677" s="625" t="e">
        <f t="shared" si="29"/>
        <v>#VALUE!</v>
      </c>
      <c r="E677" s="591"/>
      <c r="F677" s="591"/>
      <c r="G677" s="591"/>
      <c r="H677" s="591"/>
      <c r="I677" s="591"/>
      <c r="J677" s="591"/>
      <c r="K677" s="542"/>
      <c r="O677" s="1134"/>
      <c r="Q677" s="1133"/>
    </row>
    <row r="678" spans="2:17" x14ac:dyDescent="0.3">
      <c r="B678" s="126"/>
      <c r="C678" s="583">
        <v>311</v>
      </c>
      <c r="D678" s="625" t="e">
        <f t="shared" si="29"/>
        <v>#VALUE!</v>
      </c>
      <c r="E678" s="591"/>
      <c r="F678" s="591"/>
      <c r="G678" s="591"/>
      <c r="H678" s="591"/>
      <c r="I678" s="591"/>
      <c r="J678" s="591"/>
      <c r="K678" s="542"/>
      <c r="O678" s="1134"/>
      <c r="Q678" s="1133"/>
    </row>
    <row r="679" spans="2:17" x14ac:dyDescent="0.3">
      <c r="B679" s="126"/>
      <c r="C679" s="583">
        <v>312</v>
      </c>
      <c r="D679" s="625" t="e">
        <f t="shared" si="29"/>
        <v>#VALUE!</v>
      </c>
      <c r="E679" s="591"/>
      <c r="F679" s="591"/>
      <c r="G679" s="591"/>
      <c r="H679" s="591"/>
      <c r="I679" s="591"/>
      <c r="J679" s="591"/>
      <c r="K679" s="542"/>
      <c r="O679" s="1134"/>
      <c r="Q679" s="1133"/>
    </row>
    <row r="680" spans="2:17" x14ac:dyDescent="0.3">
      <c r="B680" s="126"/>
      <c r="C680" s="583">
        <v>313</v>
      </c>
      <c r="D680" s="625" t="e">
        <f t="shared" si="29"/>
        <v>#VALUE!</v>
      </c>
      <c r="E680" s="591"/>
      <c r="F680" s="591"/>
      <c r="G680" s="591"/>
      <c r="H680" s="591"/>
      <c r="I680" s="591"/>
      <c r="J680" s="591"/>
      <c r="K680" s="542"/>
      <c r="O680" s="1134"/>
      <c r="Q680" s="1133"/>
    </row>
    <row r="681" spans="2:17" x14ac:dyDescent="0.3">
      <c r="B681" s="126"/>
      <c r="C681" s="583">
        <v>314</v>
      </c>
      <c r="D681" s="625" t="e">
        <f t="shared" si="29"/>
        <v>#VALUE!</v>
      </c>
      <c r="E681" s="591"/>
      <c r="F681" s="591"/>
      <c r="G681" s="591"/>
      <c r="H681" s="591"/>
      <c r="I681" s="591"/>
      <c r="J681" s="591"/>
      <c r="K681" s="542"/>
      <c r="O681" s="1134"/>
      <c r="Q681" s="1133"/>
    </row>
    <row r="682" spans="2:17" x14ac:dyDescent="0.3">
      <c r="B682" s="126"/>
      <c r="C682" s="583">
        <v>315</v>
      </c>
      <c r="D682" s="625" t="e">
        <f t="shared" si="29"/>
        <v>#VALUE!</v>
      </c>
      <c r="E682" s="591"/>
      <c r="F682" s="591"/>
      <c r="G682" s="591"/>
      <c r="H682" s="591"/>
      <c r="I682" s="591"/>
      <c r="J682" s="591"/>
      <c r="K682" s="542"/>
      <c r="O682" s="1134"/>
      <c r="Q682" s="1133"/>
    </row>
    <row r="683" spans="2:17" x14ac:dyDescent="0.3">
      <c r="B683" s="126"/>
      <c r="C683" s="583">
        <v>316</v>
      </c>
      <c r="D683" s="625" t="e">
        <f t="shared" si="29"/>
        <v>#VALUE!</v>
      </c>
      <c r="E683" s="591"/>
      <c r="F683" s="591"/>
      <c r="G683" s="591"/>
      <c r="H683" s="591"/>
      <c r="I683" s="591"/>
      <c r="J683" s="591"/>
      <c r="K683" s="542"/>
      <c r="O683" s="1134"/>
      <c r="Q683" s="1133"/>
    </row>
    <row r="684" spans="2:17" x14ac:dyDescent="0.3">
      <c r="B684" s="126"/>
      <c r="C684" s="583">
        <v>317</v>
      </c>
      <c r="D684" s="625" t="e">
        <f t="shared" si="29"/>
        <v>#VALUE!</v>
      </c>
      <c r="E684" s="591"/>
      <c r="F684" s="591"/>
      <c r="G684" s="591"/>
      <c r="H684" s="591"/>
      <c r="I684" s="591"/>
      <c r="J684" s="591"/>
      <c r="K684" s="542"/>
      <c r="O684" s="1134"/>
      <c r="Q684" s="1133"/>
    </row>
    <row r="685" spans="2:17" x14ac:dyDescent="0.3">
      <c r="B685" s="126"/>
      <c r="C685" s="583">
        <v>318</v>
      </c>
      <c r="D685" s="625" t="e">
        <f t="shared" si="29"/>
        <v>#VALUE!</v>
      </c>
      <c r="E685" s="591"/>
      <c r="F685" s="591"/>
      <c r="G685" s="591"/>
      <c r="H685" s="591"/>
      <c r="I685" s="591"/>
      <c r="J685" s="591"/>
      <c r="K685" s="542"/>
      <c r="O685" s="1134"/>
      <c r="Q685" s="1133"/>
    </row>
    <row r="686" spans="2:17" x14ac:dyDescent="0.3">
      <c r="B686" s="126"/>
      <c r="C686" s="583">
        <v>319</v>
      </c>
      <c r="D686" s="625" t="e">
        <f t="shared" si="29"/>
        <v>#VALUE!</v>
      </c>
      <c r="E686" s="591"/>
      <c r="F686" s="591"/>
      <c r="G686" s="591"/>
      <c r="H686" s="591"/>
      <c r="I686" s="591"/>
      <c r="J686" s="591"/>
      <c r="K686" s="542"/>
      <c r="O686" s="1134"/>
      <c r="Q686" s="1133"/>
    </row>
    <row r="687" spans="2:17" x14ac:dyDescent="0.3">
      <c r="B687" s="126"/>
      <c r="C687" s="583">
        <v>320</v>
      </c>
      <c r="D687" s="625" t="e">
        <f t="shared" ref="D687:D750" si="30">$C$346*C687</f>
        <v>#VALUE!</v>
      </c>
      <c r="E687" s="591"/>
      <c r="F687" s="591"/>
      <c r="G687" s="591"/>
      <c r="H687" s="591"/>
      <c r="I687" s="591"/>
      <c r="J687" s="591"/>
      <c r="K687" s="542"/>
      <c r="O687" s="1134"/>
      <c r="Q687" s="1133"/>
    </row>
    <row r="688" spans="2:17" x14ac:dyDescent="0.3">
      <c r="B688" s="126"/>
      <c r="C688" s="583">
        <v>321</v>
      </c>
      <c r="D688" s="625" t="e">
        <f t="shared" si="30"/>
        <v>#VALUE!</v>
      </c>
      <c r="E688" s="591"/>
      <c r="F688" s="591"/>
      <c r="G688" s="591"/>
      <c r="H688" s="591"/>
      <c r="I688" s="591"/>
      <c r="J688" s="591"/>
      <c r="K688" s="542"/>
      <c r="O688" s="1134"/>
      <c r="Q688" s="1133"/>
    </row>
    <row r="689" spans="2:17" x14ac:dyDescent="0.3">
      <c r="B689" s="126"/>
      <c r="C689" s="583">
        <v>322</v>
      </c>
      <c r="D689" s="625" t="e">
        <f t="shared" si="30"/>
        <v>#VALUE!</v>
      </c>
      <c r="E689" s="591"/>
      <c r="F689" s="591"/>
      <c r="G689" s="591"/>
      <c r="H689" s="591"/>
      <c r="I689" s="591"/>
      <c r="J689" s="591"/>
      <c r="K689" s="542"/>
      <c r="O689" s="1134"/>
      <c r="Q689" s="1133"/>
    </row>
    <row r="690" spans="2:17" x14ac:dyDescent="0.3">
      <c r="B690" s="126"/>
      <c r="C690" s="583">
        <v>323</v>
      </c>
      <c r="D690" s="625" t="e">
        <f t="shared" si="30"/>
        <v>#VALUE!</v>
      </c>
      <c r="E690" s="591"/>
      <c r="F690" s="591"/>
      <c r="G690" s="591"/>
      <c r="H690" s="591"/>
      <c r="I690" s="591"/>
      <c r="J690" s="591"/>
      <c r="K690" s="542"/>
      <c r="O690" s="1134"/>
      <c r="Q690" s="1133"/>
    </row>
    <row r="691" spans="2:17" x14ac:dyDescent="0.3">
      <c r="B691" s="126"/>
      <c r="C691" s="583">
        <v>324</v>
      </c>
      <c r="D691" s="625" t="e">
        <f t="shared" si="30"/>
        <v>#VALUE!</v>
      </c>
      <c r="E691" s="591"/>
      <c r="F691" s="591"/>
      <c r="G691" s="591"/>
      <c r="H691" s="591"/>
      <c r="I691" s="591"/>
      <c r="J691" s="591"/>
      <c r="K691" s="542"/>
      <c r="O691" s="1134"/>
      <c r="Q691" s="1133"/>
    </row>
    <row r="692" spans="2:17" x14ac:dyDescent="0.3">
      <c r="B692" s="126"/>
      <c r="C692" s="583">
        <v>325</v>
      </c>
      <c r="D692" s="625" t="e">
        <f t="shared" si="30"/>
        <v>#VALUE!</v>
      </c>
      <c r="E692" s="591"/>
      <c r="F692" s="591"/>
      <c r="G692" s="591"/>
      <c r="H692" s="591"/>
      <c r="I692" s="591"/>
      <c r="J692" s="591"/>
      <c r="K692" s="542"/>
      <c r="O692" s="1134"/>
      <c r="Q692" s="1133"/>
    </row>
    <row r="693" spans="2:17" x14ac:dyDescent="0.3">
      <c r="B693" s="126"/>
      <c r="C693" s="583">
        <v>326</v>
      </c>
      <c r="D693" s="625" t="e">
        <f t="shared" si="30"/>
        <v>#VALUE!</v>
      </c>
      <c r="E693" s="591"/>
      <c r="F693" s="591"/>
      <c r="G693" s="591"/>
      <c r="H693" s="591"/>
      <c r="I693" s="591"/>
      <c r="J693" s="591"/>
      <c r="K693" s="542"/>
      <c r="O693" s="1134"/>
      <c r="Q693" s="1133"/>
    </row>
    <row r="694" spans="2:17" x14ac:dyDescent="0.3">
      <c r="B694" s="126"/>
      <c r="C694" s="583">
        <v>327</v>
      </c>
      <c r="D694" s="625" t="e">
        <f t="shared" si="30"/>
        <v>#VALUE!</v>
      </c>
      <c r="E694" s="591"/>
      <c r="F694" s="591"/>
      <c r="G694" s="591"/>
      <c r="H694" s="591"/>
      <c r="I694" s="591"/>
      <c r="J694" s="591"/>
      <c r="K694" s="542"/>
      <c r="O694" s="1134"/>
      <c r="Q694" s="1133"/>
    </row>
    <row r="695" spans="2:17" x14ac:dyDescent="0.3">
      <c r="B695" s="126"/>
      <c r="C695" s="583">
        <v>328</v>
      </c>
      <c r="D695" s="625" t="e">
        <f t="shared" si="30"/>
        <v>#VALUE!</v>
      </c>
      <c r="E695" s="591"/>
      <c r="F695" s="591"/>
      <c r="G695" s="591"/>
      <c r="H695" s="591"/>
      <c r="I695" s="591"/>
      <c r="J695" s="591"/>
      <c r="K695" s="542"/>
      <c r="O695" s="1134"/>
      <c r="Q695" s="1133"/>
    </row>
    <row r="696" spans="2:17" x14ac:dyDescent="0.3">
      <c r="B696" s="126"/>
      <c r="C696" s="583">
        <v>329</v>
      </c>
      <c r="D696" s="625" t="e">
        <f t="shared" si="30"/>
        <v>#VALUE!</v>
      </c>
      <c r="E696" s="591"/>
      <c r="F696" s="591"/>
      <c r="G696" s="591"/>
      <c r="H696" s="591"/>
      <c r="I696" s="591"/>
      <c r="J696" s="591"/>
      <c r="K696" s="542"/>
      <c r="O696" s="1134"/>
      <c r="Q696" s="1133"/>
    </row>
    <row r="697" spans="2:17" x14ac:dyDescent="0.3">
      <c r="B697" s="126"/>
      <c r="C697" s="583">
        <v>330</v>
      </c>
      <c r="D697" s="625" t="e">
        <f t="shared" si="30"/>
        <v>#VALUE!</v>
      </c>
      <c r="E697" s="591"/>
      <c r="F697" s="591"/>
      <c r="G697" s="591"/>
      <c r="H697" s="591"/>
      <c r="I697" s="591"/>
      <c r="J697" s="591"/>
      <c r="K697" s="542"/>
      <c r="O697" s="1134"/>
      <c r="Q697" s="1133"/>
    </row>
    <row r="698" spans="2:17" x14ac:dyDescent="0.3">
      <c r="B698" s="126"/>
      <c r="C698" s="583">
        <v>331</v>
      </c>
      <c r="D698" s="625" t="e">
        <f t="shared" si="30"/>
        <v>#VALUE!</v>
      </c>
      <c r="E698" s="591"/>
      <c r="F698" s="591"/>
      <c r="G698" s="591"/>
      <c r="H698" s="591"/>
      <c r="I698" s="591"/>
      <c r="J698" s="591"/>
      <c r="K698" s="542"/>
      <c r="O698" s="1134"/>
      <c r="Q698" s="1133"/>
    </row>
    <row r="699" spans="2:17" x14ac:dyDescent="0.3">
      <c r="B699" s="126"/>
      <c r="C699" s="583">
        <v>332</v>
      </c>
      <c r="D699" s="625" t="e">
        <f t="shared" si="30"/>
        <v>#VALUE!</v>
      </c>
      <c r="E699" s="591"/>
      <c r="F699" s="591"/>
      <c r="G699" s="591"/>
      <c r="H699" s="591"/>
      <c r="I699" s="591"/>
      <c r="J699" s="591"/>
      <c r="K699" s="542"/>
      <c r="O699" s="1134"/>
      <c r="Q699" s="1133"/>
    </row>
    <row r="700" spans="2:17" x14ac:dyDescent="0.3">
      <c r="B700" s="126"/>
      <c r="C700" s="583">
        <v>333</v>
      </c>
      <c r="D700" s="625" t="e">
        <f t="shared" si="30"/>
        <v>#VALUE!</v>
      </c>
      <c r="E700" s="591"/>
      <c r="F700" s="591"/>
      <c r="G700" s="591"/>
      <c r="H700" s="591"/>
      <c r="I700" s="591"/>
      <c r="J700" s="591"/>
      <c r="K700" s="542"/>
      <c r="O700" s="1134"/>
      <c r="Q700" s="1133"/>
    </row>
    <row r="701" spans="2:17" x14ac:dyDescent="0.3">
      <c r="B701" s="126"/>
      <c r="C701" s="583">
        <v>334</v>
      </c>
      <c r="D701" s="625" t="e">
        <f t="shared" si="30"/>
        <v>#VALUE!</v>
      </c>
      <c r="E701" s="591"/>
      <c r="F701" s="591"/>
      <c r="G701" s="591"/>
      <c r="H701" s="591"/>
      <c r="I701" s="591"/>
      <c r="J701" s="591"/>
      <c r="K701" s="542"/>
      <c r="O701" s="1134"/>
      <c r="Q701" s="1133"/>
    </row>
    <row r="702" spans="2:17" x14ac:dyDescent="0.3">
      <c r="B702" s="126"/>
      <c r="C702" s="583">
        <v>335</v>
      </c>
      <c r="D702" s="625" t="e">
        <f t="shared" si="30"/>
        <v>#VALUE!</v>
      </c>
      <c r="E702" s="591"/>
      <c r="F702" s="591"/>
      <c r="G702" s="591"/>
      <c r="H702" s="591"/>
      <c r="I702" s="591"/>
      <c r="J702" s="591"/>
      <c r="K702" s="542"/>
      <c r="O702" s="1134"/>
      <c r="Q702" s="1133"/>
    </row>
    <row r="703" spans="2:17" x14ac:dyDescent="0.3">
      <c r="B703" s="126"/>
      <c r="C703" s="583">
        <v>336</v>
      </c>
      <c r="D703" s="625" t="e">
        <f t="shared" si="30"/>
        <v>#VALUE!</v>
      </c>
      <c r="E703" s="591"/>
      <c r="F703" s="591"/>
      <c r="G703" s="591"/>
      <c r="H703" s="591"/>
      <c r="I703" s="591"/>
      <c r="J703" s="591"/>
      <c r="K703" s="542"/>
      <c r="O703" s="1134"/>
      <c r="Q703" s="1133"/>
    </row>
    <row r="704" spans="2:17" x14ac:dyDescent="0.3">
      <c r="B704" s="126"/>
      <c r="C704" s="583">
        <v>337</v>
      </c>
      <c r="D704" s="625" t="e">
        <f t="shared" si="30"/>
        <v>#VALUE!</v>
      </c>
      <c r="E704" s="591"/>
      <c r="F704" s="591"/>
      <c r="G704" s="591"/>
      <c r="H704" s="591"/>
      <c r="I704" s="591"/>
      <c r="J704" s="591"/>
      <c r="K704" s="542"/>
      <c r="O704" s="1134"/>
      <c r="Q704" s="1133"/>
    </row>
    <row r="705" spans="2:17" x14ac:dyDescent="0.3">
      <c r="B705" s="126"/>
      <c r="C705" s="583">
        <v>338</v>
      </c>
      <c r="D705" s="625" t="e">
        <f t="shared" si="30"/>
        <v>#VALUE!</v>
      </c>
      <c r="E705" s="591"/>
      <c r="F705" s="591"/>
      <c r="G705" s="591"/>
      <c r="H705" s="591"/>
      <c r="I705" s="591"/>
      <c r="J705" s="591"/>
      <c r="K705" s="542"/>
      <c r="O705" s="1134"/>
      <c r="Q705" s="1133"/>
    </row>
    <row r="706" spans="2:17" x14ac:dyDescent="0.3">
      <c r="B706" s="126"/>
      <c r="C706" s="583">
        <v>339</v>
      </c>
      <c r="D706" s="625" t="e">
        <f t="shared" si="30"/>
        <v>#VALUE!</v>
      </c>
      <c r="E706" s="591"/>
      <c r="F706" s="591"/>
      <c r="G706" s="591"/>
      <c r="H706" s="591"/>
      <c r="I706" s="591"/>
      <c r="J706" s="591"/>
      <c r="K706" s="542"/>
      <c r="O706" s="1134"/>
      <c r="Q706" s="1133"/>
    </row>
    <row r="707" spans="2:17" x14ac:dyDescent="0.3">
      <c r="B707" s="126"/>
      <c r="C707" s="583">
        <v>340</v>
      </c>
      <c r="D707" s="625" t="e">
        <f t="shared" si="30"/>
        <v>#VALUE!</v>
      </c>
      <c r="E707" s="591"/>
      <c r="F707" s="591"/>
      <c r="G707" s="591"/>
      <c r="H707" s="591"/>
      <c r="I707" s="591"/>
      <c r="J707" s="591"/>
      <c r="K707" s="542"/>
      <c r="O707" s="1134"/>
      <c r="Q707" s="1133"/>
    </row>
    <row r="708" spans="2:17" x14ac:dyDescent="0.3">
      <c r="B708" s="126"/>
      <c r="C708" s="583">
        <v>341</v>
      </c>
      <c r="D708" s="625" t="e">
        <f t="shared" si="30"/>
        <v>#VALUE!</v>
      </c>
      <c r="E708" s="591"/>
      <c r="F708" s="591"/>
      <c r="G708" s="591"/>
      <c r="H708" s="591"/>
      <c r="I708" s="591"/>
      <c r="J708" s="591"/>
      <c r="K708" s="542"/>
      <c r="O708" s="1134"/>
      <c r="Q708" s="1133"/>
    </row>
    <row r="709" spans="2:17" x14ac:dyDescent="0.3">
      <c r="B709" s="126"/>
      <c r="C709" s="583">
        <v>342</v>
      </c>
      <c r="D709" s="625" t="e">
        <f t="shared" si="30"/>
        <v>#VALUE!</v>
      </c>
      <c r="E709" s="591"/>
      <c r="F709" s="591"/>
      <c r="G709" s="591"/>
      <c r="H709" s="591"/>
      <c r="I709" s="591"/>
      <c r="J709" s="591"/>
      <c r="K709" s="542"/>
      <c r="O709" s="1134"/>
      <c r="Q709" s="1133"/>
    </row>
    <row r="710" spans="2:17" x14ac:dyDescent="0.3">
      <c r="B710" s="126"/>
      <c r="C710" s="583">
        <v>343</v>
      </c>
      <c r="D710" s="625" t="e">
        <f t="shared" si="30"/>
        <v>#VALUE!</v>
      </c>
      <c r="E710" s="591"/>
      <c r="F710" s="591"/>
      <c r="G710" s="591"/>
      <c r="H710" s="591"/>
      <c r="I710" s="591"/>
      <c r="J710" s="591"/>
      <c r="K710" s="542"/>
      <c r="O710" s="1134"/>
      <c r="Q710" s="1133"/>
    </row>
    <row r="711" spans="2:17" x14ac:dyDescent="0.3">
      <c r="B711" s="126"/>
      <c r="C711" s="583">
        <v>344</v>
      </c>
      <c r="D711" s="625" t="e">
        <f t="shared" si="30"/>
        <v>#VALUE!</v>
      </c>
      <c r="E711" s="591"/>
      <c r="F711" s="591"/>
      <c r="G711" s="591"/>
      <c r="H711" s="591"/>
      <c r="I711" s="591"/>
      <c r="J711" s="591"/>
      <c r="K711" s="542"/>
      <c r="O711" s="1134"/>
      <c r="Q711" s="1133"/>
    </row>
    <row r="712" spans="2:17" x14ac:dyDescent="0.3">
      <c r="B712" s="126"/>
      <c r="C712" s="583">
        <v>345</v>
      </c>
      <c r="D712" s="625" t="e">
        <f t="shared" si="30"/>
        <v>#VALUE!</v>
      </c>
      <c r="E712" s="591"/>
      <c r="F712" s="591"/>
      <c r="G712" s="591"/>
      <c r="H712" s="591"/>
      <c r="I712" s="591"/>
      <c r="J712" s="591"/>
      <c r="K712" s="542"/>
      <c r="O712" s="1134"/>
      <c r="Q712" s="1133"/>
    </row>
    <row r="713" spans="2:17" x14ac:dyDescent="0.3">
      <c r="B713" s="126"/>
      <c r="C713" s="583">
        <v>346</v>
      </c>
      <c r="D713" s="625" t="e">
        <f t="shared" si="30"/>
        <v>#VALUE!</v>
      </c>
      <c r="E713" s="591"/>
      <c r="F713" s="591"/>
      <c r="G713" s="591"/>
      <c r="H713" s="591"/>
      <c r="I713" s="591"/>
      <c r="J713" s="591"/>
      <c r="K713" s="542"/>
      <c r="O713" s="1134"/>
      <c r="Q713" s="1133"/>
    </row>
    <row r="714" spans="2:17" x14ac:dyDescent="0.3">
      <c r="B714" s="126"/>
      <c r="C714" s="583">
        <v>347</v>
      </c>
      <c r="D714" s="625" t="e">
        <f t="shared" si="30"/>
        <v>#VALUE!</v>
      </c>
      <c r="E714" s="591"/>
      <c r="F714" s="591"/>
      <c r="G714" s="591"/>
      <c r="H714" s="591"/>
      <c r="I714" s="591"/>
      <c r="J714" s="591"/>
      <c r="K714" s="542"/>
      <c r="O714" s="1134"/>
      <c r="Q714" s="1133"/>
    </row>
    <row r="715" spans="2:17" x14ac:dyDescent="0.3">
      <c r="B715" s="126"/>
      <c r="C715" s="583">
        <v>348</v>
      </c>
      <c r="D715" s="625" t="e">
        <f t="shared" si="30"/>
        <v>#VALUE!</v>
      </c>
      <c r="E715" s="591"/>
      <c r="F715" s="591"/>
      <c r="G715" s="591"/>
      <c r="H715" s="591"/>
      <c r="I715" s="591"/>
      <c r="J715" s="591"/>
      <c r="K715" s="542"/>
      <c r="O715" s="1134"/>
      <c r="Q715" s="1133"/>
    </row>
    <row r="716" spans="2:17" x14ac:dyDescent="0.3">
      <c r="B716" s="126"/>
      <c r="C716" s="583">
        <v>349</v>
      </c>
      <c r="D716" s="625" t="e">
        <f t="shared" si="30"/>
        <v>#VALUE!</v>
      </c>
      <c r="E716" s="591"/>
      <c r="F716" s="591"/>
      <c r="G716" s="591"/>
      <c r="H716" s="591"/>
      <c r="I716" s="591"/>
      <c r="J716" s="591"/>
      <c r="K716" s="542"/>
      <c r="O716" s="1134"/>
      <c r="Q716" s="1133"/>
    </row>
    <row r="717" spans="2:17" x14ac:dyDescent="0.3">
      <c r="B717" s="126"/>
      <c r="C717" s="583">
        <v>350</v>
      </c>
      <c r="D717" s="625" t="e">
        <f t="shared" si="30"/>
        <v>#VALUE!</v>
      </c>
      <c r="E717" s="591"/>
      <c r="F717" s="591"/>
      <c r="G717" s="591"/>
      <c r="H717" s="591"/>
      <c r="I717" s="591"/>
      <c r="J717" s="591"/>
      <c r="K717" s="542"/>
      <c r="O717" s="1134"/>
      <c r="Q717" s="1133"/>
    </row>
    <row r="718" spans="2:17" x14ac:dyDescent="0.3">
      <c r="B718" s="126"/>
      <c r="C718" s="583">
        <v>351</v>
      </c>
      <c r="D718" s="625" t="e">
        <f t="shared" si="30"/>
        <v>#VALUE!</v>
      </c>
      <c r="E718" s="591"/>
      <c r="F718" s="591"/>
      <c r="G718" s="591"/>
      <c r="H718" s="591"/>
      <c r="I718" s="591"/>
      <c r="J718" s="591"/>
      <c r="K718" s="542"/>
      <c r="O718" s="1134"/>
      <c r="Q718" s="1133"/>
    </row>
    <row r="719" spans="2:17" x14ac:dyDescent="0.3">
      <c r="B719" s="126"/>
      <c r="C719" s="583">
        <v>352</v>
      </c>
      <c r="D719" s="625" t="e">
        <f t="shared" si="30"/>
        <v>#VALUE!</v>
      </c>
      <c r="E719" s="591"/>
      <c r="F719" s="591"/>
      <c r="G719" s="591"/>
      <c r="H719" s="591"/>
      <c r="I719" s="591"/>
      <c r="J719" s="591"/>
      <c r="K719" s="542"/>
      <c r="O719" s="1134"/>
      <c r="Q719" s="1133"/>
    </row>
    <row r="720" spans="2:17" x14ac:dyDescent="0.3">
      <c r="B720" s="126"/>
      <c r="C720" s="583">
        <v>353</v>
      </c>
      <c r="D720" s="625" t="e">
        <f t="shared" si="30"/>
        <v>#VALUE!</v>
      </c>
      <c r="E720" s="591"/>
      <c r="F720" s="591"/>
      <c r="G720" s="591"/>
      <c r="H720" s="591"/>
      <c r="I720" s="591"/>
      <c r="J720" s="591"/>
      <c r="K720" s="542"/>
      <c r="O720" s="1134"/>
      <c r="Q720" s="1133"/>
    </row>
    <row r="721" spans="2:17" x14ac:dyDescent="0.3">
      <c r="B721" s="126"/>
      <c r="C721" s="583">
        <v>354</v>
      </c>
      <c r="D721" s="625" t="e">
        <f t="shared" si="30"/>
        <v>#VALUE!</v>
      </c>
      <c r="E721" s="591"/>
      <c r="F721" s="591"/>
      <c r="G721" s="591"/>
      <c r="H721" s="591"/>
      <c r="I721" s="591"/>
      <c r="J721" s="591"/>
      <c r="K721" s="542"/>
      <c r="O721" s="1134"/>
      <c r="Q721" s="1133"/>
    </row>
    <row r="722" spans="2:17" x14ac:dyDescent="0.3">
      <c r="B722" s="126"/>
      <c r="C722" s="583">
        <v>355</v>
      </c>
      <c r="D722" s="625" t="e">
        <f t="shared" si="30"/>
        <v>#VALUE!</v>
      </c>
      <c r="E722" s="591"/>
      <c r="F722" s="591"/>
      <c r="G722" s="591"/>
      <c r="H722" s="591"/>
      <c r="I722" s="591"/>
      <c r="J722" s="591"/>
      <c r="K722" s="542"/>
      <c r="O722" s="1134"/>
      <c r="Q722" s="1133"/>
    </row>
    <row r="723" spans="2:17" x14ac:dyDescent="0.3">
      <c r="B723" s="126"/>
      <c r="C723" s="583">
        <v>356</v>
      </c>
      <c r="D723" s="625" t="e">
        <f t="shared" si="30"/>
        <v>#VALUE!</v>
      </c>
      <c r="E723" s="591"/>
      <c r="F723" s="591"/>
      <c r="G723" s="591"/>
      <c r="H723" s="591"/>
      <c r="I723" s="591"/>
      <c r="J723" s="591"/>
      <c r="K723" s="542"/>
      <c r="O723" s="1134"/>
      <c r="Q723" s="1133"/>
    </row>
    <row r="724" spans="2:17" x14ac:dyDescent="0.3">
      <c r="B724" s="126"/>
      <c r="C724" s="583">
        <v>357</v>
      </c>
      <c r="D724" s="625" t="e">
        <f t="shared" si="30"/>
        <v>#VALUE!</v>
      </c>
      <c r="E724" s="591"/>
      <c r="F724" s="591"/>
      <c r="G724" s="591"/>
      <c r="H724" s="591"/>
      <c r="I724" s="591"/>
      <c r="J724" s="591"/>
      <c r="K724" s="542"/>
      <c r="O724" s="1134"/>
      <c r="Q724" s="1133"/>
    </row>
    <row r="725" spans="2:17" x14ac:dyDescent="0.3">
      <c r="B725" s="126"/>
      <c r="C725" s="583">
        <v>358</v>
      </c>
      <c r="D725" s="625" t="e">
        <f t="shared" si="30"/>
        <v>#VALUE!</v>
      </c>
      <c r="E725" s="591"/>
      <c r="F725" s="591"/>
      <c r="G725" s="591"/>
      <c r="H725" s="591"/>
      <c r="I725" s="591"/>
      <c r="J725" s="591"/>
      <c r="K725" s="542"/>
      <c r="O725" s="1134"/>
      <c r="Q725" s="1133"/>
    </row>
    <row r="726" spans="2:17" x14ac:dyDescent="0.3">
      <c r="B726" s="126"/>
      <c r="C726" s="583">
        <v>359</v>
      </c>
      <c r="D726" s="625" t="e">
        <f t="shared" si="30"/>
        <v>#VALUE!</v>
      </c>
      <c r="E726" s="591"/>
      <c r="F726" s="591"/>
      <c r="G726" s="591"/>
      <c r="H726" s="591"/>
      <c r="I726" s="591"/>
      <c r="J726" s="591"/>
      <c r="K726" s="542"/>
      <c r="O726" s="1134"/>
      <c r="Q726" s="1133"/>
    </row>
    <row r="727" spans="2:17" x14ac:dyDescent="0.3">
      <c r="B727" s="126"/>
      <c r="C727" s="583">
        <v>360</v>
      </c>
      <c r="D727" s="625" t="e">
        <f t="shared" si="30"/>
        <v>#VALUE!</v>
      </c>
      <c r="E727" s="591"/>
      <c r="F727" s="591"/>
      <c r="G727" s="591"/>
      <c r="H727" s="591"/>
      <c r="I727" s="591"/>
      <c r="J727" s="591"/>
      <c r="K727" s="542"/>
      <c r="O727" s="1134"/>
      <c r="Q727" s="1133"/>
    </row>
    <row r="728" spans="2:17" x14ac:dyDescent="0.3">
      <c r="B728" s="126"/>
      <c r="C728" s="583">
        <v>361</v>
      </c>
      <c r="D728" s="625" t="e">
        <f t="shared" si="30"/>
        <v>#VALUE!</v>
      </c>
      <c r="E728" s="591"/>
      <c r="F728" s="591"/>
      <c r="G728" s="591"/>
      <c r="H728" s="591"/>
      <c r="I728" s="591"/>
      <c r="J728" s="591"/>
      <c r="K728" s="542"/>
      <c r="O728" s="1134"/>
      <c r="Q728" s="1133"/>
    </row>
    <row r="729" spans="2:17" x14ac:dyDescent="0.3">
      <c r="B729" s="126"/>
      <c r="C729" s="583">
        <v>362</v>
      </c>
      <c r="D729" s="625" t="e">
        <f t="shared" si="30"/>
        <v>#VALUE!</v>
      </c>
      <c r="E729" s="591"/>
      <c r="F729" s="591"/>
      <c r="G729" s="591"/>
      <c r="H729" s="591"/>
      <c r="I729" s="591"/>
      <c r="J729" s="591"/>
      <c r="K729" s="542"/>
      <c r="O729" s="1134"/>
      <c r="Q729" s="1133"/>
    </row>
    <row r="730" spans="2:17" x14ac:dyDescent="0.3">
      <c r="B730" s="126"/>
      <c r="C730" s="583">
        <v>363</v>
      </c>
      <c r="D730" s="625" t="e">
        <f t="shared" si="30"/>
        <v>#VALUE!</v>
      </c>
      <c r="E730" s="591"/>
      <c r="F730" s="591"/>
      <c r="G730" s="591"/>
      <c r="H730" s="591"/>
      <c r="I730" s="591"/>
      <c r="J730" s="591"/>
      <c r="K730" s="542"/>
      <c r="O730" s="1134"/>
      <c r="Q730" s="1133"/>
    </row>
    <row r="731" spans="2:17" x14ac:dyDescent="0.3">
      <c r="B731" s="126"/>
      <c r="C731" s="583">
        <v>364</v>
      </c>
      <c r="D731" s="625" t="e">
        <f t="shared" si="30"/>
        <v>#VALUE!</v>
      </c>
      <c r="E731" s="591"/>
      <c r="F731" s="591"/>
      <c r="G731" s="591"/>
      <c r="H731" s="591"/>
      <c r="I731" s="591"/>
      <c r="J731" s="591"/>
      <c r="K731" s="542"/>
      <c r="O731" s="1134"/>
      <c r="Q731" s="1133"/>
    </row>
    <row r="732" spans="2:17" x14ac:dyDescent="0.3">
      <c r="B732" s="126"/>
      <c r="C732" s="583">
        <v>365</v>
      </c>
      <c r="D732" s="625" t="e">
        <f t="shared" si="30"/>
        <v>#VALUE!</v>
      </c>
      <c r="E732" s="591"/>
      <c r="F732" s="591"/>
      <c r="G732" s="591"/>
      <c r="H732" s="591"/>
      <c r="I732" s="591"/>
      <c r="J732" s="591"/>
      <c r="K732" s="542"/>
      <c r="O732" s="1134"/>
      <c r="Q732" s="1133"/>
    </row>
    <row r="733" spans="2:17" x14ac:dyDescent="0.3">
      <c r="B733" s="126"/>
      <c r="C733" s="583">
        <v>366</v>
      </c>
      <c r="D733" s="625" t="e">
        <f t="shared" si="30"/>
        <v>#VALUE!</v>
      </c>
      <c r="E733" s="591"/>
      <c r="F733" s="591"/>
      <c r="G733" s="591"/>
      <c r="H733" s="591"/>
      <c r="I733" s="591"/>
      <c r="J733" s="591"/>
      <c r="K733" s="542"/>
      <c r="O733" s="1134"/>
      <c r="Q733" s="1133"/>
    </row>
    <row r="734" spans="2:17" x14ac:dyDescent="0.3">
      <c r="B734" s="126"/>
      <c r="C734" s="583">
        <v>367</v>
      </c>
      <c r="D734" s="625" t="e">
        <f t="shared" si="30"/>
        <v>#VALUE!</v>
      </c>
      <c r="E734" s="591"/>
      <c r="F734" s="591"/>
      <c r="G734" s="591"/>
      <c r="H734" s="591"/>
      <c r="I734" s="591"/>
      <c r="J734" s="591"/>
      <c r="K734" s="542"/>
      <c r="O734" s="1134"/>
      <c r="Q734" s="1133"/>
    </row>
    <row r="735" spans="2:17" x14ac:dyDescent="0.3">
      <c r="B735" s="126"/>
      <c r="C735" s="583">
        <v>368</v>
      </c>
      <c r="D735" s="625" t="e">
        <f t="shared" si="30"/>
        <v>#VALUE!</v>
      </c>
      <c r="E735" s="591"/>
      <c r="F735" s="591"/>
      <c r="G735" s="591"/>
      <c r="H735" s="591"/>
      <c r="I735" s="591"/>
      <c r="J735" s="591"/>
      <c r="K735" s="542"/>
      <c r="O735" s="1134"/>
      <c r="Q735" s="1133"/>
    </row>
    <row r="736" spans="2:17" x14ac:dyDescent="0.3">
      <c r="B736" s="126"/>
      <c r="C736" s="583">
        <v>369</v>
      </c>
      <c r="D736" s="625" t="e">
        <f t="shared" si="30"/>
        <v>#VALUE!</v>
      </c>
      <c r="E736" s="591"/>
      <c r="F736" s="591"/>
      <c r="G736" s="591"/>
      <c r="H736" s="591"/>
      <c r="I736" s="591"/>
      <c r="J736" s="591"/>
      <c r="K736" s="542"/>
      <c r="O736" s="1134"/>
      <c r="Q736" s="1133"/>
    </row>
    <row r="737" spans="2:17" x14ac:dyDescent="0.3">
      <c r="B737" s="126"/>
      <c r="C737" s="583">
        <v>370</v>
      </c>
      <c r="D737" s="625" t="e">
        <f t="shared" si="30"/>
        <v>#VALUE!</v>
      </c>
      <c r="E737" s="591"/>
      <c r="F737" s="591"/>
      <c r="G737" s="591"/>
      <c r="H737" s="591"/>
      <c r="I737" s="591"/>
      <c r="J737" s="591"/>
      <c r="K737" s="542"/>
      <c r="O737" s="1134"/>
      <c r="Q737" s="1133"/>
    </row>
    <row r="738" spans="2:17" x14ac:dyDescent="0.3">
      <c r="B738" s="126"/>
      <c r="C738" s="583">
        <v>371</v>
      </c>
      <c r="D738" s="625" t="e">
        <f t="shared" si="30"/>
        <v>#VALUE!</v>
      </c>
      <c r="E738" s="591"/>
      <c r="F738" s="591"/>
      <c r="G738" s="591"/>
      <c r="H738" s="591"/>
      <c r="I738" s="591"/>
      <c r="J738" s="591"/>
      <c r="K738" s="542"/>
      <c r="O738" s="1134"/>
      <c r="Q738" s="1133"/>
    </row>
    <row r="739" spans="2:17" x14ac:dyDescent="0.3">
      <c r="B739" s="126"/>
      <c r="C739" s="583">
        <v>372</v>
      </c>
      <c r="D739" s="625" t="e">
        <f t="shared" si="30"/>
        <v>#VALUE!</v>
      </c>
      <c r="E739" s="591"/>
      <c r="F739" s="591"/>
      <c r="G739" s="591"/>
      <c r="H739" s="591"/>
      <c r="I739" s="591"/>
      <c r="J739" s="591"/>
      <c r="K739" s="542"/>
      <c r="O739" s="1134"/>
      <c r="Q739" s="1133"/>
    </row>
    <row r="740" spans="2:17" x14ac:dyDescent="0.3">
      <c r="B740" s="126"/>
      <c r="C740" s="583">
        <v>373</v>
      </c>
      <c r="D740" s="625" t="e">
        <f t="shared" si="30"/>
        <v>#VALUE!</v>
      </c>
      <c r="E740" s="591"/>
      <c r="F740" s="591"/>
      <c r="G740" s="591"/>
      <c r="H740" s="591"/>
      <c r="I740" s="591"/>
      <c r="J740" s="591"/>
      <c r="K740" s="542"/>
      <c r="O740" s="1134"/>
      <c r="Q740" s="1133"/>
    </row>
    <row r="741" spans="2:17" x14ac:dyDescent="0.3">
      <c r="B741" s="126"/>
      <c r="C741" s="583">
        <v>374</v>
      </c>
      <c r="D741" s="625" t="e">
        <f t="shared" si="30"/>
        <v>#VALUE!</v>
      </c>
      <c r="E741" s="591"/>
      <c r="F741" s="591"/>
      <c r="G741" s="591"/>
      <c r="H741" s="591"/>
      <c r="I741" s="591"/>
      <c r="J741" s="591"/>
      <c r="K741" s="542"/>
      <c r="O741" s="1134"/>
      <c r="Q741" s="1133"/>
    </row>
    <row r="742" spans="2:17" x14ac:dyDescent="0.3">
      <c r="B742" s="126"/>
      <c r="C742" s="583">
        <v>375</v>
      </c>
      <c r="D742" s="625" t="e">
        <f t="shared" si="30"/>
        <v>#VALUE!</v>
      </c>
      <c r="E742" s="591"/>
      <c r="F742" s="591"/>
      <c r="G742" s="591"/>
      <c r="H742" s="591"/>
      <c r="I742" s="591"/>
      <c r="J742" s="591"/>
      <c r="K742" s="542"/>
      <c r="O742" s="1134"/>
      <c r="Q742" s="1133"/>
    </row>
    <row r="743" spans="2:17" x14ac:dyDescent="0.3">
      <c r="B743" s="126"/>
      <c r="C743" s="583">
        <v>376</v>
      </c>
      <c r="D743" s="625" t="e">
        <f t="shared" si="30"/>
        <v>#VALUE!</v>
      </c>
      <c r="E743" s="591"/>
      <c r="F743" s="591"/>
      <c r="G743" s="591"/>
      <c r="H743" s="591"/>
      <c r="I743" s="591"/>
      <c r="J743" s="591"/>
      <c r="K743" s="542"/>
      <c r="O743" s="1134"/>
      <c r="Q743" s="1133"/>
    </row>
    <row r="744" spans="2:17" x14ac:dyDescent="0.3">
      <c r="B744" s="126"/>
      <c r="C744" s="583">
        <v>377</v>
      </c>
      <c r="D744" s="625" t="e">
        <f t="shared" si="30"/>
        <v>#VALUE!</v>
      </c>
      <c r="E744" s="591"/>
      <c r="F744" s="591"/>
      <c r="G744" s="591"/>
      <c r="H744" s="591"/>
      <c r="I744" s="591"/>
      <c r="J744" s="591"/>
      <c r="K744" s="542"/>
      <c r="O744" s="1134"/>
      <c r="Q744" s="1133"/>
    </row>
    <row r="745" spans="2:17" x14ac:dyDescent="0.3">
      <c r="B745" s="126"/>
      <c r="C745" s="583">
        <v>378</v>
      </c>
      <c r="D745" s="625" t="e">
        <f t="shared" si="30"/>
        <v>#VALUE!</v>
      </c>
      <c r="E745" s="591"/>
      <c r="F745" s="591"/>
      <c r="G745" s="591"/>
      <c r="H745" s="591"/>
      <c r="I745" s="591"/>
      <c r="J745" s="591"/>
      <c r="K745" s="542"/>
      <c r="O745" s="1134"/>
      <c r="Q745" s="1133"/>
    </row>
    <row r="746" spans="2:17" x14ac:dyDescent="0.3">
      <c r="B746" s="126"/>
      <c r="C746" s="583">
        <v>379</v>
      </c>
      <c r="D746" s="625" t="e">
        <f t="shared" si="30"/>
        <v>#VALUE!</v>
      </c>
      <c r="E746" s="591"/>
      <c r="F746" s="591"/>
      <c r="G746" s="591"/>
      <c r="H746" s="591"/>
      <c r="I746" s="591"/>
      <c r="J746" s="591"/>
      <c r="K746" s="542"/>
      <c r="O746" s="1134"/>
      <c r="Q746" s="1133"/>
    </row>
    <row r="747" spans="2:17" x14ac:dyDescent="0.3">
      <c r="B747" s="126"/>
      <c r="C747" s="583">
        <v>380</v>
      </c>
      <c r="D747" s="625" t="e">
        <f t="shared" si="30"/>
        <v>#VALUE!</v>
      </c>
      <c r="E747" s="591"/>
      <c r="F747" s="591"/>
      <c r="G747" s="591"/>
      <c r="H747" s="591"/>
      <c r="I747" s="591"/>
      <c r="J747" s="591"/>
      <c r="K747" s="542"/>
      <c r="O747" s="1134"/>
      <c r="Q747" s="1133"/>
    </row>
    <row r="748" spans="2:17" x14ac:dyDescent="0.3">
      <c r="B748" s="126"/>
      <c r="C748" s="583">
        <v>381</v>
      </c>
      <c r="D748" s="625" t="e">
        <f t="shared" si="30"/>
        <v>#VALUE!</v>
      </c>
      <c r="E748" s="591"/>
      <c r="F748" s="591"/>
      <c r="G748" s="591"/>
      <c r="H748" s="591"/>
      <c r="I748" s="591"/>
      <c r="J748" s="591"/>
      <c r="K748" s="542"/>
      <c r="O748" s="1134"/>
      <c r="Q748" s="1133"/>
    </row>
    <row r="749" spans="2:17" x14ac:dyDescent="0.3">
      <c r="B749" s="126"/>
      <c r="C749" s="583">
        <v>382</v>
      </c>
      <c r="D749" s="625" t="e">
        <f t="shared" si="30"/>
        <v>#VALUE!</v>
      </c>
      <c r="E749" s="591"/>
      <c r="F749" s="591"/>
      <c r="G749" s="591"/>
      <c r="H749" s="591"/>
      <c r="I749" s="591"/>
      <c r="J749" s="591"/>
      <c r="K749" s="542"/>
      <c r="O749" s="1134"/>
      <c r="Q749" s="1133"/>
    </row>
    <row r="750" spans="2:17" x14ac:dyDescent="0.3">
      <c r="B750" s="126"/>
      <c r="C750" s="583">
        <v>383</v>
      </c>
      <c r="D750" s="625" t="e">
        <f t="shared" si="30"/>
        <v>#VALUE!</v>
      </c>
      <c r="E750" s="591"/>
      <c r="F750" s="591"/>
      <c r="G750" s="591"/>
      <c r="H750" s="591"/>
      <c r="I750" s="591"/>
      <c r="J750" s="591"/>
      <c r="K750" s="542"/>
      <c r="O750" s="1134"/>
      <c r="Q750" s="1133"/>
    </row>
    <row r="751" spans="2:17" x14ac:dyDescent="0.3">
      <c r="B751" s="126"/>
      <c r="C751" s="583">
        <v>384</v>
      </c>
      <c r="D751" s="625" t="e">
        <f t="shared" ref="D751:D814" si="31">$C$346*C751</f>
        <v>#VALUE!</v>
      </c>
      <c r="E751" s="591"/>
      <c r="F751" s="591"/>
      <c r="G751" s="591"/>
      <c r="H751" s="591"/>
      <c r="I751" s="591"/>
      <c r="J751" s="591"/>
      <c r="K751" s="542"/>
      <c r="O751" s="1134"/>
      <c r="Q751" s="1133"/>
    </row>
    <row r="752" spans="2:17" x14ac:dyDescent="0.3">
      <c r="B752" s="126"/>
      <c r="C752" s="583">
        <v>385</v>
      </c>
      <c r="D752" s="625" t="e">
        <f t="shared" si="31"/>
        <v>#VALUE!</v>
      </c>
      <c r="E752" s="591"/>
      <c r="F752" s="591"/>
      <c r="G752" s="591"/>
      <c r="H752" s="591"/>
      <c r="I752" s="591"/>
      <c r="J752" s="591"/>
      <c r="K752" s="542"/>
      <c r="O752" s="1134"/>
      <c r="Q752" s="1133"/>
    </row>
    <row r="753" spans="2:17" x14ac:dyDescent="0.3">
      <c r="B753" s="126"/>
      <c r="C753" s="583">
        <v>386</v>
      </c>
      <c r="D753" s="625" t="e">
        <f t="shared" si="31"/>
        <v>#VALUE!</v>
      </c>
      <c r="E753" s="591"/>
      <c r="F753" s="591"/>
      <c r="G753" s="591"/>
      <c r="H753" s="591"/>
      <c r="I753" s="591"/>
      <c r="J753" s="591"/>
      <c r="K753" s="542"/>
      <c r="O753" s="1134"/>
      <c r="Q753" s="1133"/>
    </row>
    <row r="754" spans="2:17" x14ac:dyDescent="0.3">
      <c r="B754" s="126"/>
      <c r="C754" s="583">
        <v>387</v>
      </c>
      <c r="D754" s="625" t="e">
        <f t="shared" si="31"/>
        <v>#VALUE!</v>
      </c>
      <c r="E754" s="591"/>
      <c r="F754" s="591"/>
      <c r="G754" s="591"/>
      <c r="H754" s="591"/>
      <c r="I754" s="591"/>
      <c r="J754" s="591"/>
      <c r="K754" s="542"/>
      <c r="O754" s="1134"/>
      <c r="Q754" s="1133"/>
    </row>
    <row r="755" spans="2:17" x14ac:dyDescent="0.3">
      <c r="B755" s="126"/>
      <c r="C755" s="583">
        <v>388</v>
      </c>
      <c r="D755" s="625" t="e">
        <f t="shared" si="31"/>
        <v>#VALUE!</v>
      </c>
      <c r="E755" s="591"/>
      <c r="F755" s="591"/>
      <c r="G755" s="591"/>
      <c r="H755" s="591"/>
      <c r="I755" s="591"/>
      <c r="J755" s="591"/>
      <c r="K755" s="542"/>
      <c r="O755" s="1134"/>
      <c r="Q755" s="1133"/>
    </row>
    <row r="756" spans="2:17" x14ac:dyDescent="0.3">
      <c r="B756" s="126"/>
      <c r="C756" s="583">
        <v>389</v>
      </c>
      <c r="D756" s="625" t="e">
        <f t="shared" si="31"/>
        <v>#VALUE!</v>
      </c>
      <c r="E756" s="591"/>
      <c r="F756" s="591"/>
      <c r="G756" s="591"/>
      <c r="H756" s="591"/>
      <c r="I756" s="591"/>
      <c r="J756" s="591"/>
      <c r="K756" s="542"/>
      <c r="O756" s="1134"/>
      <c r="Q756" s="1133"/>
    </row>
    <row r="757" spans="2:17" x14ac:dyDescent="0.3">
      <c r="B757" s="126"/>
      <c r="C757" s="583">
        <v>390</v>
      </c>
      <c r="D757" s="625" t="e">
        <f t="shared" si="31"/>
        <v>#VALUE!</v>
      </c>
      <c r="E757" s="591"/>
      <c r="F757" s="591"/>
      <c r="G757" s="591"/>
      <c r="H757" s="591"/>
      <c r="I757" s="591"/>
      <c r="J757" s="591"/>
      <c r="K757" s="542"/>
      <c r="O757" s="1134"/>
      <c r="Q757" s="1133"/>
    </row>
    <row r="758" spans="2:17" x14ac:dyDescent="0.3">
      <c r="B758" s="126"/>
      <c r="C758" s="583">
        <v>391</v>
      </c>
      <c r="D758" s="625" t="e">
        <f t="shared" si="31"/>
        <v>#VALUE!</v>
      </c>
      <c r="E758" s="591"/>
      <c r="F758" s="591"/>
      <c r="G758" s="591"/>
      <c r="H758" s="591"/>
      <c r="I758" s="591"/>
      <c r="J758" s="591"/>
      <c r="K758" s="542"/>
      <c r="O758" s="1134"/>
      <c r="Q758" s="1133"/>
    </row>
    <row r="759" spans="2:17" x14ac:dyDescent="0.3">
      <c r="B759" s="126"/>
      <c r="C759" s="583">
        <v>392</v>
      </c>
      <c r="D759" s="625" t="e">
        <f t="shared" si="31"/>
        <v>#VALUE!</v>
      </c>
      <c r="E759" s="591"/>
      <c r="F759" s="591"/>
      <c r="G759" s="591"/>
      <c r="H759" s="591"/>
      <c r="I759" s="591"/>
      <c r="J759" s="591"/>
      <c r="K759" s="542"/>
      <c r="O759" s="1134"/>
      <c r="Q759" s="1133"/>
    </row>
    <row r="760" spans="2:17" x14ac:dyDescent="0.3">
      <c r="B760" s="126"/>
      <c r="C760" s="583">
        <v>393</v>
      </c>
      <c r="D760" s="625" t="e">
        <f t="shared" si="31"/>
        <v>#VALUE!</v>
      </c>
      <c r="E760" s="591"/>
      <c r="F760" s="591"/>
      <c r="G760" s="591"/>
      <c r="H760" s="591"/>
      <c r="I760" s="591"/>
      <c r="J760" s="591"/>
      <c r="K760" s="542"/>
      <c r="O760" s="1134"/>
      <c r="Q760" s="1133"/>
    </row>
    <row r="761" spans="2:17" x14ac:dyDescent="0.3">
      <c r="B761" s="126"/>
      <c r="C761" s="583">
        <v>394</v>
      </c>
      <c r="D761" s="625" t="e">
        <f t="shared" si="31"/>
        <v>#VALUE!</v>
      </c>
      <c r="E761" s="591"/>
      <c r="F761" s="591"/>
      <c r="G761" s="591"/>
      <c r="H761" s="591"/>
      <c r="I761" s="591"/>
      <c r="J761" s="591"/>
      <c r="K761" s="542"/>
      <c r="O761" s="1134"/>
      <c r="Q761" s="1133"/>
    </row>
    <row r="762" spans="2:17" x14ac:dyDescent="0.3">
      <c r="B762" s="126"/>
      <c r="C762" s="583">
        <v>395</v>
      </c>
      <c r="D762" s="625" t="e">
        <f t="shared" si="31"/>
        <v>#VALUE!</v>
      </c>
      <c r="E762" s="591"/>
      <c r="F762" s="591"/>
      <c r="G762" s="591"/>
      <c r="H762" s="591"/>
      <c r="I762" s="591"/>
      <c r="J762" s="591"/>
      <c r="K762" s="542"/>
      <c r="O762" s="1134"/>
      <c r="Q762" s="1133"/>
    </row>
    <row r="763" spans="2:17" x14ac:dyDescent="0.3">
      <c r="B763" s="126"/>
      <c r="C763" s="583">
        <v>396</v>
      </c>
      <c r="D763" s="625" t="e">
        <f t="shared" si="31"/>
        <v>#VALUE!</v>
      </c>
      <c r="E763" s="591"/>
      <c r="F763" s="591"/>
      <c r="G763" s="591"/>
      <c r="H763" s="591"/>
      <c r="I763" s="591"/>
      <c r="J763" s="591"/>
      <c r="K763" s="542"/>
      <c r="O763" s="1134"/>
      <c r="Q763" s="1133"/>
    </row>
    <row r="764" spans="2:17" x14ac:dyDescent="0.3">
      <c r="B764" s="126"/>
      <c r="C764" s="583">
        <v>397</v>
      </c>
      <c r="D764" s="625" t="e">
        <f t="shared" si="31"/>
        <v>#VALUE!</v>
      </c>
      <c r="E764" s="591"/>
      <c r="F764" s="591"/>
      <c r="G764" s="591"/>
      <c r="H764" s="591"/>
      <c r="I764" s="591"/>
      <c r="J764" s="591"/>
      <c r="K764" s="542"/>
      <c r="O764" s="1134"/>
      <c r="Q764" s="1133"/>
    </row>
    <row r="765" spans="2:17" x14ac:dyDescent="0.3">
      <c r="B765" s="126"/>
      <c r="C765" s="583">
        <v>398</v>
      </c>
      <c r="D765" s="625" t="e">
        <f t="shared" si="31"/>
        <v>#VALUE!</v>
      </c>
      <c r="E765" s="591"/>
      <c r="F765" s="591"/>
      <c r="G765" s="591"/>
      <c r="H765" s="591"/>
      <c r="I765" s="591"/>
      <c r="J765" s="591"/>
      <c r="K765" s="542"/>
      <c r="O765" s="1134"/>
      <c r="Q765" s="1133"/>
    </row>
    <row r="766" spans="2:17" x14ac:dyDescent="0.3">
      <c r="B766" s="126"/>
      <c r="C766" s="583">
        <v>399</v>
      </c>
      <c r="D766" s="625" t="e">
        <f t="shared" si="31"/>
        <v>#VALUE!</v>
      </c>
      <c r="E766" s="591"/>
      <c r="F766" s="591"/>
      <c r="G766" s="591"/>
      <c r="H766" s="591"/>
      <c r="I766" s="591"/>
      <c r="J766" s="591"/>
      <c r="K766" s="542"/>
      <c r="O766" s="1134"/>
      <c r="Q766" s="1133"/>
    </row>
    <row r="767" spans="2:17" x14ac:dyDescent="0.3">
      <c r="B767" s="126"/>
      <c r="C767" s="583">
        <v>400</v>
      </c>
      <c r="D767" s="625" t="e">
        <f t="shared" si="31"/>
        <v>#VALUE!</v>
      </c>
      <c r="E767" s="591"/>
      <c r="F767" s="591"/>
      <c r="G767" s="591"/>
      <c r="H767" s="591"/>
      <c r="I767" s="591"/>
      <c r="J767" s="591"/>
      <c r="K767" s="542"/>
      <c r="O767" s="1134"/>
      <c r="Q767" s="1133"/>
    </row>
    <row r="768" spans="2:17" x14ac:dyDescent="0.3">
      <c r="B768" s="126"/>
      <c r="C768" s="583">
        <v>401</v>
      </c>
      <c r="D768" s="625" t="e">
        <f t="shared" si="31"/>
        <v>#VALUE!</v>
      </c>
      <c r="E768" s="591"/>
      <c r="F768" s="591"/>
      <c r="G768" s="591"/>
      <c r="H768" s="591"/>
      <c r="I768" s="591"/>
      <c r="J768" s="591"/>
      <c r="K768" s="542"/>
      <c r="O768" s="1134"/>
      <c r="Q768" s="1133"/>
    </row>
    <row r="769" spans="2:17" x14ac:dyDescent="0.3">
      <c r="B769" s="126"/>
      <c r="C769" s="583">
        <v>402</v>
      </c>
      <c r="D769" s="625" t="e">
        <f t="shared" si="31"/>
        <v>#VALUE!</v>
      </c>
      <c r="E769" s="591"/>
      <c r="F769" s="591"/>
      <c r="G769" s="591"/>
      <c r="H769" s="591"/>
      <c r="I769" s="591"/>
      <c r="J769" s="591"/>
      <c r="K769" s="542"/>
      <c r="O769" s="1134"/>
      <c r="Q769" s="1133"/>
    </row>
    <row r="770" spans="2:17" x14ac:dyDescent="0.3">
      <c r="B770" s="126"/>
      <c r="C770" s="583">
        <v>403</v>
      </c>
      <c r="D770" s="625" t="e">
        <f t="shared" si="31"/>
        <v>#VALUE!</v>
      </c>
      <c r="E770" s="591"/>
      <c r="F770" s="591"/>
      <c r="G770" s="591"/>
      <c r="H770" s="591"/>
      <c r="I770" s="591"/>
      <c r="J770" s="591"/>
      <c r="K770" s="542"/>
      <c r="O770" s="1134"/>
      <c r="Q770" s="1133"/>
    </row>
    <row r="771" spans="2:17" x14ac:dyDescent="0.3">
      <c r="B771" s="126"/>
      <c r="C771" s="583">
        <v>404</v>
      </c>
      <c r="D771" s="625" t="e">
        <f t="shared" si="31"/>
        <v>#VALUE!</v>
      </c>
      <c r="E771" s="591"/>
      <c r="F771" s="591"/>
      <c r="G771" s="591"/>
      <c r="H771" s="591"/>
      <c r="I771" s="591"/>
      <c r="J771" s="591"/>
      <c r="K771" s="542"/>
      <c r="O771" s="1134"/>
      <c r="Q771" s="1133"/>
    </row>
    <row r="772" spans="2:17" x14ac:dyDescent="0.3">
      <c r="B772" s="126"/>
      <c r="C772" s="583">
        <v>405</v>
      </c>
      <c r="D772" s="625" t="e">
        <f t="shared" si="31"/>
        <v>#VALUE!</v>
      </c>
      <c r="E772" s="591"/>
      <c r="F772" s="591"/>
      <c r="G772" s="591"/>
      <c r="H772" s="591"/>
      <c r="I772" s="591"/>
      <c r="J772" s="591"/>
      <c r="K772" s="542"/>
      <c r="O772" s="1134"/>
      <c r="Q772" s="1133"/>
    </row>
    <row r="773" spans="2:17" x14ac:dyDescent="0.3">
      <c r="B773" s="126"/>
      <c r="C773" s="583">
        <v>406</v>
      </c>
      <c r="D773" s="625" t="e">
        <f t="shared" si="31"/>
        <v>#VALUE!</v>
      </c>
      <c r="E773" s="591"/>
      <c r="F773" s="591"/>
      <c r="G773" s="591"/>
      <c r="H773" s="591"/>
      <c r="I773" s="591"/>
      <c r="J773" s="591"/>
      <c r="K773" s="542"/>
      <c r="O773" s="1134"/>
      <c r="Q773" s="1133"/>
    </row>
    <row r="774" spans="2:17" x14ac:dyDescent="0.3">
      <c r="B774" s="126"/>
      <c r="C774" s="583">
        <v>407</v>
      </c>
      <c r="D774" s="625" t="e">
        <f t="shared" si="31"/>
        <v>#VALUE!</v>
      </c>
      <c r="E774" s="591"/>
      <c r="F774" s="591"/>
      <c r="G774" s="591"/>
      <c r="H774" s="591"/>
      <c r="I774" s="591"/>
      <c r="J774" s="591"/>
      <c r="K774" s="542"/>
      <c r="O774" s="1134"/>
      <c r="Q774" s="1133"/>
    </row>
    <row r="775" spans="2:17" x14ac:dyDescent="0.3">
      <c r="B775" s="126"/>
      <c r="C775" s="583">
        <v>408</v>
      </c>
      <c r="D775" s="625" t="e">
        <f t="shared" si="31"/>
        <v>#VALUE!</v>
      </c>
      <c r="E775" s="591"/>
      <c r="F775" s="591"/>
      <c r="G775" s="591"/>
      <c r="H775" s="591"/>
      <c r="I775" s="591"/>
      <c r="J775" s="591"/>
      <c r="K775" s="542"/>
      <c r="O775" s="1134"/>
      <c r="Q775" s="1133"/>
    </row>
    <row r="776" spans="2:17" x14ac:dyDescent="0.3">
      <c r="B776" s="126"/>
      <c r="C776" s="583">
        <v>409</v>
      </c>
      <c r="D776" s="625" t="e">
        <f t="shared" si="31"/>
        <v>#VALUE!</v>
      </c>
      <c r="E776" s="591"/>
      <c r="F776" s="591"/>
      <c r="G776" s="591"/>
      <c r="H776" s="591"/>
      <c r="I776" s="591"/>
      <c r="J776" s="591"/>
      <c r="K776" s="542"/>
      <c r="O776" s="1134"/>
      <c r="Q776" s="1133"/>
    </row>
    <row r="777" spans="2:17" x14ac:dyDescent="0.3">
      <c r="B777" s="126"/>
      <c r="C777" s="583">
        <v>410</v>
      </c>
      <c r="D777" s="625" t="e">
        <f t="shared" si="31"/>
        <v>#VALUE!</v>
      </c>
      <c r="E777" s="591"/>
      <c r="F777" s="591"/>
      <c r="G777" s="591"/>
      <c r="H777" s="591"/>
      <c r="I777" s="591"/>
      <c r="J777" s="591"/>
      <c r="K777" s="542"/>
      <c r="O777" s="1134"/>
      <c r="Q777" s="1133"/>
    </row>
    <row r="778" spans="2:17" x14ac:dyDescent="0.3">
      <c r="B778" s="126"/>
      <c r="C778" s="583">
        <v>411</v>
      </c>
      <c r="D778" s="625" t="e">
        <f t="shared" si="31"/>
        <v>#VALUE!</v>
      </c>
      <c r="E778" s="591"/>
      <c r="F778" s="591"/>
      <c r="G778" s="591"/>
      <c r="H778" s="591"/>
      <c r="I778" s="591"/>
      <c r="J778" s="591"/>
      <c r="K778" s="542"/>
      <c r="O778" s="1134"/>
      <c r="Q778" s="1133"/>
    </row>
    <row r="779" spans="2:17" x14ac:dyDescent="0.3">
      <c r="B779" s="126"/>
      <c r="C779" s="583">
        <v>412</v>
      </c>
      <c r="D779" s="625" t="e">
        <f t="shared" si="31"/>
        <v>#VALUE!</v>
      </c>
      <c r="E779" s="591"/>
      <c r="F779" s="591"/>
      <c r="G779" s="591"/>
      <c r="H779" s="591"/>
      <c r="I779" s="591"/>
      <c r="J779" s="591"/>
      <c r="K779" s="542"/>
      <c r="O779" s="1134"/>
      <c r="Q779" s="1133"/>
    </row>
    <row r="780" spans="2:17" x14ac:dyDescent="0.3">
      <c r="B780" s="126"/>
      <c r="C780" s="583">
        <v>413</v>
      </c>
      <c r="D780" s="625" t="e">
        <f t="shared" si="31"/>
        <v>#VALUE!</v>
      </c>
      <c r="E780" s="591"/>
      <c r="F780" s="591"/>
      <c r="G780" s="591"/>
      <c r="H780" s="591"/>
      <c r="I780" s="591"/>
      <c r="J780" s="591"/>
      <c r="K780" s="542"/>
      <c r="O780" s="1134"/>
      <c r="Q780" s="1133"/>
    </row>
    <row r="781" spans="2:17" x14ac:dyDescent="0.3">
      <c r="B781" s="126"/>
      <c r="C781" s="583">
        <v>414</v>
      </c>
      <c r="D781" s="625" t="e">
        <f t="shared" si="31"/>
        <v>#VALUE!</v>
      </c>
      <c r="E781" s="591"/>
      <c r="F781" s="591"/>
      <c r="G781" s="591"/>
      <c r="H781" s="591"/>
      <c r="I781" s="591"/>
      <c r="J781" s="591"/>
      <c r="K781" s="542"/>
      <c r="O781" s="1134"/>
      <c r="Q781" s="1133"/>
    </row>
    <row r="782" spans="2:17" x14ac:dyDescent="0.3">
      <c r="B782" s="126"/>
      <c r="C782" s="583">
        <v>415</v>
      </c>
      <c r="D782" s="625" t="e">
        <f t="shared" si="31"/>
        <v>#VALUE!</v>
      </c>
      <c r="E782" s="591"/>
      <c r="F782" s="591"/>
      <c r="G782" s="591"/>
      <c r="H782" s="591"/>
      <c r="I782" s="591"/>
      <c r="J782" s="591"/>
      <c r="K782" s="542"/>
      <c r="O782" s="1134"/>
      <c r="Q782" s="1133"/>
    </row>
    <row r="783" spans="2:17" x14ac:dyDescent="0.3">
      <c r="B783" s="126"/>
      <c r="C783" s="583">
        <v>416</v>
      </c>
      <c r="D783" s="625" t="e">
        <f t="shared" si="31"/>
        <v>#VALUE!</v>
      </c>
      <c r="E783" s="591"/>
      <c r="F783" s="591"/>
      <c r="G783" s="591"/>
      <c r="H783" s="591"/>
      <c r="I783" s="591"/>
      <c r="J783" s="591"/>
      <c r="K783" s="542"/>
      <c r="O783" s="1134"/>
      <c r="Q783" s="1133"/>
    </row>
    <row r="784" spans="2:17" x14ac:dyDescent="0.3">
      <c r="B784" s="126"/>
      <c r="C784" s="583">
        <v>417</v>
      </c>
      <c r="D784" s="625" t="e">
        <f t="shared" si="31"/>
        <v>#VALUE!</v>
      </c>
      <c r="E784" s="591"/>
      <c r="F784" s="591"/>
      <c r="G784" s="591"/>
      <c r="H784" s="591"/>
      <c r="I784" s="591"/>
      <c r="J784" s="591"/>
      <c r="K784" s="542"/>
      <c r="O784" s="1134"/>
      <c r="Q784" s="1133"/>
    </row>
    <row r="785" spans="2:17" x14ac:dyDescent="0.3">
      <c r="B785" s="126"/>
      <c r="C785" s="583">
        <v>418</v>
      </c>
      <c r="D785" s="625" t="e">
        <f t="shared" si="31"/>
        <v>#VALUE!</v>
      </c>
      <c r="E785" s="591"/>
      <c r="F785" s="591"/>
      <c r="G785" s="591"/>
      <c r="H785" s="591"/>
      <c r="I785" s="591"/>
      <c r="J785" s="591"/>
      <c r="K785" s="542"/>
      <c r="O785" s="1134"/>
      <c r="Q785" s="1133"/>
    </row>
    <row r="786" spans="2:17" x14ac:dyDescent="0.3">
      <c r="B786" s="126"/>
      <c r="C786" s="583">
        <v>419</v>
      </c>
      <c r="D786" s="625" t="e">
        <f t="shared" si="31"/>
        <v>#VALUE!</v>
      </c>
      <c r="E786" s="591"/>
      <c r="F786" s="591"/>
      <c r="G786" s="591"/>
      <c r="H786" s="591"/>
      <c r="I786" s="591"/>
      <c r="J786" s="591"/>
      <c r="K786" s="542"/>
      <c r="O786" s="1134"/>
      <c r="Q786" s="1133"/>
    </row>
    <row r="787" spans="2:17" x14ac:dyDescent="0.3">
      <c r="B787" s="126"/>
      <c r="C787" s="583">
        <v>420</v>
      </c>
      <c r="D787" s="625" t="e">
        <f t="shared" si="31"/>
        <v>#VALUE!</v>
      </c>
      <c r="E787" s="591"/>
      <c r="F787" s="591"/>
      <c r="G787" s="591"/>
      <c r="H787" s="591"/>
      <c r="I787" s="591"/>
      <c r="J787" s="591"/>
      <c r="K787" s="542"/>
      <c r="O787" s="1134"/>
      <c r="Q787" s="1133"/>
    </row>
    <row r="788" spans="2:17" x14ac:dyDescent="0.3">
      <c r="B788" s="126"/>
      <c r="C788" s="583">
        <v>421</v>
      </c>
      <c r="D788" s="625" t="e">
        <f t="shared" si="31"/>
        <v>#VALUE!</v>
      </c>
      <c r="E788" s="591"/>
      <c r="F788" s="591"/>
      <c r="G788" s="591"/>
      <c r="H788" s="591"/>
      <c r="I788" s="591"/>
      <c r="J788" s="591"/>
      <c r="K788" s="542"/>
      <c r="O788" s="1134"/>
      <c r="Q788" s="1133"/>
    </row>
    <row r="789" spans="2:17" x14ac:dyDescent="0.3">
      <c r="B789" s="126"/>
      <c r="C789" s="583">
        <v>422</v>
      </c>
      <c r="D789" s="625" t="e">
        <f t="shared" si="31"/>
        <v>#VALUE!</v>
      </c>
      <c r="E789" s="591"/>
      <c r="F789" s="591"/>
      <c r="G789" s="591"/>
      <c r="H789" s="591"/>
      <c r="I789" s="591"/>
      <c r="J789" s="591"/>
      <c r="K789" s="542"/>
      <c r="O789" s="1134"/>
      <c r="Q789" s="1133"/>
    </row>
    <row r="790" spans="2:17" x14ac:dyDescent="0.3">
      <c r="B790" s="126"/>
      <c r="C790" s="583">
        <v>423</v>
      </c>
      <c r="D790" s="625" t="e">
        <f t="shared" si="31"/>
        <v>#VALUE!</v>
      </c>
      <c r="E790" s="591"/>
      <c r="F790" s="591"/>
      <c r="G790" s="591"/>
      <c r="H790" s="591"/>
      <c r="I790" s="591"/>
      <c r="J790" s="591"/>
      <c r="K790" s="542"/>
      <c r="O790" s="1134"/>
      <c r="Q790" s="1133"/>
    </row>
    <row r="791" spans="2:17" x14ac:dyDescent="0.3">
      <c r="B791" s="126"/>
      <c r="C791" s="583">
        <v>424</v>
      </c>
      <c r="D791" s="625" t="e">
        <f t="shared" si="31"/>
        <v>#VALUE!</v>
      </c>
      <c r="E791" s="591"/>
      <c r="F791" s="591"/>
      <c r="G791" s="591"/>
      <c r="H791" s="591"/>
      <c r="I791" s="591"/>
      <c r="J791" s="591"/>
      <c r="K791" s="542"/>
      <c r="O791" s="1134"/>
      <c r="Q791" s="1133"/>
    </row>
    <row r="792" spans="2:17" x14ac:dyDescent="0.3">
      <c r="B792" s="126"/>
      <c r="C792" s="583">
        <v>425</v>
      </c>
      <c r="D792" s="625" t="e">
        <f t="shared" si="31"/>
        <v>#VALUE!</v>
      </c>
      <c r="E792" s="591"/>
      <c r="F792" s="591"/>
      <c r="G792" s="591"/>
      <c r="H792" s="591"/>
      <c r="I792" s="591"/>
      <c r="J792" s="591"/>
      <c r="K792" s="542"/>
      <c r="O792" s="1134"/>
      <c r="Q792" s="1133"/>
    </row>
    <row r="793" spans="2:17" x14ac:dyDescent="0.3">
      <c r="B793" s="126"/>
      <c r="C793" s="583">
        <v>426</v>
      </c>
      <c r="D793" s="625" t="e">
        <f t="shared" si="31"/>
        <v>#VALUE!</v>
      </c>
      <c r="E793" s="591"/>
      <c r="F793" s="591"/>
      <c r="G793" s="591"/>
      <c r="H793" s="591"/>
      <c r="I793" s="591"/>
      <c r="J793" s="591"/>
      <c r="K793" s="542"/>
      <c r="O793" s="1134"/>
      <c r="Q793" s="1133"/>
    </row>
    <row r="794" spans="2:17" x14ac:dyDescent="0.3">
      <c r="B794" s="126"/>
      <c r="C794" s="583">
        <v>427</v>
      </c>
      <c r="D794" s="625" t="e">
        <f t="shared" si="31"/>
        <v>#VALUE!</v>
      </c>
      <c r="E794" s="591"/>
      <c r="F794" s="591"/>
      <c r="G794" s="591"/>
      <c r="H794" s="591"/>
      <c r="I794" s="591"/>
      <c r="J794" s="591"/>
      <c r="K794" s="542"/>
      <c r="O794" s="1134"/>
      <c r="Q794" s="1133"/>
    </row>
    <row r="795" spans="2:17" x14ac:dyDescent="0.3">
      <c r="B795" s="126"/>
      <c r="C795" s="583">
        <v>428</v>
      </c>
      <c r="D795" s="625" t="e">
        <f t="shared" si="31"/>
        <v>#VALUE!</v>
      </c>
      <c r="E795" s="591"/>
      <c r="F795" s="591"/>
      <c r="G795" s="591"/>
      <c r="H795" s="591"/>
      <c r="I795" s="591"/>
      <c r="J795" s="591"/>
      <c r="K795" s="542"/>
      <c r="O795" s="1134"/>
      <c r="Q795" s="1133"/>
    </row>
    <row r="796" spans="2:17" x14ac:dyDescent="0.3">
      <c r="B796" s="126"/>
      <c r="C796" s="583">
        <v>429</v>
      </c>
      <c r="D796" s="625" t="e">
        <f t="shared" si="31"/>
        <v>#VALUE!</v>
      </c>
      <c r="E796" s="591"/>
      <c r="F796" s="591"/>
      <c r="G796" s="591"/>
      <c r="H796" s="591"/>
      <c r="I796" s="591"/>
      <c r="J796" s="591"/>
      <c r="K796" s="542"/>
      <c r="O796" s="1134"/>
      <c r="Q796" s="1133"/>
    </row>
    <row r="797" spans="2:17" x14ac:dyDescent="0.3">
      <c r="B797" s="126"/>
      <c r="C797" s="583">
        <v>430</v>
      </c>
      <c r="D797" s="625" t="e">
        <f t="shared" si="31"/>
        <v>#VALUE!</v>
      </c>
      <c r="E797" s="591"/>
      <c r="F797" s="591"/>
      <c r="G797" s="591"/>
      <c r="H797" s="591"/>
      <c r="I797" s="591"/>
      <c r="J797" s="591"/>
      <c r="K797" s="542"/>
      <c r="O797" s="1134"/>
      <c r="Q797" s="1133"/>
    </row>
    <row r="798" spans="2:17" x14ac:dyDescent="0.3">
      <c r="B798" s="126"/>
      <c r="C798" s="583">
        <v>431</v>
      </c>
      <c r="D798" s="625" t="e">
        <f t="shared" si="31"/>
        <v>#VALUE!</v>
      </c>
      <c r="E798" s="591"/>
      <c r="F798" s="591"/>
      <c r="G798" s="591"/>
      <c r="H798" s="591"/>
      <c r="I798" s="591"/>
      <c r="J798" s="591"/>
      <c r="K798" s="542"/>
      <c r="O798" s="1134"/>
      <c r="Q798" s="1133"/>
    </row>
    <row r="799" spans="2:17" x14ac:dyDescent="0.3">
      <c r="B799" s="126"/>
      <c r="C799" s="583">
        <v>432</v>
      </c>
      <c r="D799" s="625" t="e">
        <f t="shared" si="31"/>
        <v>#VALUE!</v>
      </c>
      <c r="E799" s="591"/>
      <c r="F799" s="591"/>
      <c r="G799" s="591"/>
      <c r="H799" s="591"/>
      <c r="I799" s="591"/>
      <c r="J799" s="591"/>
      <c r="K799" s="542"/>
      <c r="O799" s="1134"/>
      <c r="Q799" s="1133"/>
    </row>
    <row r="800" spans="2:17" x14ac:dyDescent="0.3">
      <c r="B800" s="126"/>
      <c r="C800" s="583">
        <v>433</v>
      </c>
      <c r="D800" s="625" t="e">
        <f t="shared" si="31"/>
        <v>#VALUE!</v>
      </c>
      <c r="E800" s="591"/>
      <c r="F800" s="591"/>
      <c r="G800" s="591"/>
      <c r="H800" s="591"/>
      <c r="I800" s="591"/>
      <c r="J800" s="591"/>
      <c r="K800" s="542"/>
      <c r="O800" s="1134"/>
      <c r="Q800" s="1133"/>
    </row>
    <row r="801" spans="2:17" x14ac:dyDescent="0.3">
      <c r="B801" s="126"/>
      <c r="C801" s="583">
        <v>434</v>
      </c>
      <c r="D801" s="625" t="e">
        <f t="shared" si="31"/>
        <v>#VALUE!</v>
      </c>
      <c r="E801" s="591"/>
      <c r="F801" s="591"/>
      <c r="G801" s="591"/>
      <c r="H801" s="591"/>
      <c r="I801" s="591"/>
      <c r="J801" s="591"/>
      <c r="K801" s="542"/>
      <c r="O801" s="1134"/>
      <c r="Q801" s="1133"/>
    </row>
    <row r="802" spans="2:17" x14ac:dyDescent="0.3">
      <c r="B802" s="126"/>
      <c r="C802" s="583">
        <v>435</v>
      </c>
      <c r="D802" s="625" t="e">
        <f t="shared" si="31"/>
        <v>#VALUE!</v>
      </c>
      <c r="E802" s="591"/>
      <c r="F802" s="591"/>
      <c r="G802" s="591"/>
      <c r="H802" s="591"/>
      <c r="I802" s="591"/>
      <c r="J802" s="591"/>
      <c r="K802" s="542"/>
      <c r="O802" s="1134"/>
      <c r="Q802" s="1133"/>
    </row>
    <row r="803" spans="2:17" x14ac:dyDescent="0.3">
      <c r="B803" s="126"/>
      <c r="C803" s="583">
        <v>436</v>
      </c>
      <c r="D803" s="625" t="e">
        <f t="shared" si="31"/>
        <v>#VALUE!</v>
      </c>
      <c r="E803" s="591"/>
      <c r="F803" s="591"/>
      <c r="G803" s="591"/>
      <c r="H803" s="591"/>
      <c r="I803" s="591"/>
      <c r="J803" s="591"/>
      <c r="K803" s="542"/>
      <c r="O803" s="1134"/>
      <c r="Q803" s="1133"/>
    </row>
    <row r="804" spans="2:17" x14ac:dyDescent="0.3">
      <c r="B804" s="126"/>
      <c r="C804" s="583">
        <v>437</v>
      </c>
      <c r="D804" s="625" t="e">
        <f t="shared" si="31"/>
        <v>#VALUE!</v>
      </c>
      <c r="E804" s="591"/>
      <c r="F804" s="591"/>
      <c r="G804" s="591"/>
      <c r="H804" s="591"/>
      <c r="I804" s="591"/>
      <c r="J804" s="591"/>
      <c r="K804" s="542"/>
      <c r="O804" s="1134"/>
      <c r="Q804" s="1133"/>
    </row>
    <row r="805" spans="2:17" x14ac:dyDescent="0.3">
      <c r="B805" s="126"/>
      <c r="C805" s="583">
        <v>438</v>
      </c>
      <c r="D805" s="625" t="e">
        <f t="shared" si="31"/>
        <v>#VALUE!</v>
      </c>
      <c r="E805" s="591"/>
      <c r="F805" s="591"/>
      <c r="G805" s="591"/>
      <c r="H805" s="591"/>
      <c r="I805" s="591"/>
      <c r="J805" s="591"/>
      <c r="K805" s="542"/>
      <c r="O805" s="1134"/>
      <c r="Q805" s="1133"/>
    </row>
    <row r="806" spans="2:17" x14ac:dyDescent="0.3">
      <c r="B806" s="126"/>
      <c r="C806" s="583">
        <v>439</v>
      </c>
      <c r="D806" s="625" t="e">
        <f t="shared" si="31"/>
        <v>#VALUE!</v>
      </c>
      <c r="E806" s="591"/>
      <c r="F806" s="591"/>
      <c r="G806" s="591"/>
      <c r="H806" s="591"/>
      <c r="I806" s="591"/>
      <c r="J806" s="591"/>
      <c r="K806" s="542"/>
      <c r="O806" s="1134"/>
      <c r="Q806" s="1133"/>
    </row>
    <row r="807" spans="2:17" x14ac:dyDescent="0.3">
      <c r="B807" s="126"/>
      <c r="C807" s="583">
        <v>440</v>
      </c>
      <c r="D807" s="625" t="e">
        <f t="shared" si="31"/>
        <v>#VALUE!</v>
      </c>
      <c r="E807" s="591"/>
      <c r="F807" s="591"/>
      <c r="G807" s="591"/>
      <c r="H807" s="591"/>
      <c r="I807" s="591"/>
      <c r="J807" s="591"/>
      <c r="K807" s="542"/>
      <c r="O807" s="1134"/>
      <c r="Q807" s="1133"/>
    </row>
    <row r="808" spans="2:17" x14ac:dyDescent="0.3">
      <c r="B808" s="126"/>
      <c r="C808" s="583">
        <v>441</v>
      </c>
      <c r="D808" s="625" t="e">
        <f t="shared" si="31"/>
        <v>#VALUE!</v>
      </c>
      <c r="E808" s="591"/>
      <c r="F808" s="591"/>
      <c r="G808" s="591"/>
      <c r="H808" s="591"/>
      <c r="I808" s="591"/>
      <c r="J808" s="591"/>
      <c r="K808" s="542"/>
      <c r="O808" s="1134"/>
      <c r="Q808" s="1133"/>
    </row>
    <row r="809" spans="2:17" x14ac:dyDescent="0.3">
      <c r="B809" s="126"/>
      <c r="C809" s="583">
        <v>442</v>
      </c>
      <c r="D809" s="625" t="e">
        <f t="shared" si="31"/>
        <v>#VALUE!</v>
      </c>
      <c r="E809" s="591"/>
      <c r="F809" s="591"/>
      <c r="G809" s="591"/>
      <c r="H809" s="591"/>
      <c r="I809" s="591"/>
      <c r="J809" s="591"/>
      <c r="K809" s="542"/>
      <c r="O809" s="1134"/>
      <c r="Q809" s="1133"/>
    </row>
    <row r="810" spans="2:17" x14ac:dyDescent="0.3">
      <c r="B810" s="126"/>
      <c r="C810" s="583">
        <v>443</v>
      </c>
      <c r="D810" s="625" t="e">
        <f t="shared" si="31"/>
        <v>#VALUE!</v>
      </c>
      <c r="E810" s="591"/>
      <c r="F810" s="591"/>
      <c r="G810" s="591"/>
      <c r="H810" s="591"/>
      <c r="I810" s="591"/>
      <c r="J810" s="591"/>
      <c r="K810" s="542"/>
      <c r="O810" s="1134"/>
      <c r="Q810" s="1133"/>
    </row>
    <row r="811" spans="2:17" x14ac:dyDescent="0.3">
      <c r="B811" s="126"/>
      <c r="C811" s="583">
        <v>444</v>
      </c>
      <c r="D811" s="625" t="e">
        <f t="shared" si="31"/>
        <v>#VALUE!</v>
      </c>
      <c r="E811" s="591"/>
      <c r="F811" s="591"/>
      <c r="G811" s="591"/>
      <c r="H811" s="591"/>
      <c r="I811" s="591"/>
      <c r="J811" s="591"/>
      <c r="K811" s="542"/>
      <c r="O811" s="1134"/>
      <c r="Q811" s="1133"/>
    </row>
    <row r="812" spans="2:17" x14ac:dyDescent="0.3">
      <c r="B812" s="126"/>
      <c r="C812" s="583">
        <v>445</v>
      </c>
      <c r="D812" s="625" t="e">
        <f t="shared" si="31"/>
        <v>#VALUE!</v>
      </c>
      <c r="E812" s="591"/>
      <c r="F812" s="591"/>
      <c r="G812" s="591"/>
      <c r="H812" s="591"/>
      <c r="I812" s="591"/>
      <c r="J812" s="591"/>
      <c r="K812" s="542"/>
      <c r="O812" s="1134"/>
      <c r="Q812" s="1133"/>
    </row>
    <row r="813" spans="2:17" x14ac:dyDescent="0.3">
      <c r="B813" s="126"/>
      <c r="C813" s="583">
        <v>446</v>
      </c>
      <c r="D813" s="625" t="e">
        <f t="shared" si="31"/>
        <v>#VALUE!</v>
      </c>
      <c r="E813" s="591"/>
      <c r="F813" s="591"/>
      <c r="G813" s="591"/>
      <c r="H813" s="591"/>
      <c r="I813" s="591"/>
      <c r="J813" s="591"/>
      <c r="K813" s="542"/>
      <c r="O813" s="1134"/>
      <c r="Q813" s="1133"/>
    </row>
    <row r="814" spans="2:17" x14ac:dyDescent="0.3">
      <c r="B814" s="126"/>
      <c r="C814" s="583">
        <v>447</v>
      </c>
      <c r="D814" s="625" t="e">
        <f t="shared" si="31"/>
        <v>#VALUE!</v>
      </c>
      <c r="E814" s="591"/>
      <c r="F814" s="591"/>
      <c r="G814" s="591"/>
      <c r="H814" s="591"/>
      <c r="I814" s="591"/>
      <c r="J814" s="591"/>
      <c r="K814" s="542"/>
      <c r="O814" s="1134"/>
      <c r="Q814" s="1133"/>
    </row>
    <row r="815" spans="2:17" x14ac:dyDescent="0.3">
      <c r="B815" s="126"/>
      <c r="C815" s="583">
        <v>448</v>
      </c>
      <c r="D815" s="625" t="e">
        <f t="shared" ref="D815:D878" si="32">$C$346*C815</f>
        <v>#VALUE!</v>
      </c>
      <c r="E815" s="591"/>
      <c r="F815" s="591"/>
      <c r="G815" s="591"/>
      <c r="H815" s="591"/>
      <c r="I815" s="591"/>
      <c r="J815" s="591"/>
      <c r="K815" s="542"/>
      <c r="O815" s="1134"/>
      <c r="Q815" s="1133"/>
    </row>
    <row r="816" spans="2:17" x14ac:dyDescent="0.3">
      <c r="B816" s="126"/>
      <c r="C816" s="583">
        <v>449</v>
      </c>
      <c r="D816" s="625" t="e">
        <f t="shared" si="32"/>
        <v>#VALUE!</v>
      </c>
      <c r="E816" s="591"/>
      <c r="F816" s="591"/>
      <c r="G816" s="591"/>
      <c r="H816" s="591"/>
      <c r="I816" s="591"/>
      <c r="J816" s="591"/>
      <c r="K816" s="542"/>
      <c r="O816" s="1134"/>
      <c r="Q816" s="1133"/>
    </row>
    <row r="817" spans="2:17" x14ac:dyDescent="0.3">
      <c r="B817" s="126"/>
      <c r="C817" s="583">
        <v>450</v>
      </c>
      <c r="D817" s="625" t="e">
        <f t="shared" si="32"/>
        <v>#VALUE!</v>
      </c>
      <c r="E817" s="591"/>
      <c r="F817" s="591"/>
      <c r="G817" s="591"/>
      <c r="H817" s="591"/>
      <c r="I817" s="591"/>
      <c r="J817" s="591"/>
      <c r="K817" s="542"/>
      <c r="O817" s="1134"/>
      <c r="Q817" s="1133"/>
    </row>
    <row r="818" spans="2:17" x14ac:dyDescent="0.3">
      <c r="B818" s="126"/>
      <c r="C818" s="583">
        <v>451</v>
      </c>
      <c r="D818" s="625" t="e">
        <f t="shared" si="32"/>
        <v>#VALUE!</v>
      </c>
      <c r="E818" s="591"/>
      <c r="F818" s="591"/>
      <c r="G818" s="591"/>
      <c r="H818" s="591"/>
      <c r="I818" s="591"/>
      <c r="J818" s="591"/>
      <c r="K818" s="542"/>
      <c r="O818" s="1134"/>
      <c r="Q818" s="1133"/>
    </row>
    <row r="819" spans="2:17" x14ac:dyDescent="0.3">
      <c r="B819" s="126"/>
      <c r="C819" s="583">
        <v>452</v>
      </c>
      <c r="D819" s="625" t="e">
        <f t="shared" si="32"/>
        <v>#VALUE!</v>
      </c>
      <c r="E819" s="591"/>
      <c r="F819" s="591"/>
      <c r="G819" s="591"/>
      <c r="H819" s="591"/>
      <c r="I819" s="591"/>
      <c r="J819" s="591"/>
      <c r="K819" s="542"/>
      <c r="O819" s="1134"/>
      <c r="Q819" s="1133"/>
    </row>
    <row r="820" spans="2:17" x14ac:dyDescent="0.3">
      <c r="B820" s="126"/>
      <c r="C820" s="583">
        <v>453</v>
      </c>
      <c r="D820" s="625" t="e">
        <f t="shared" si="32"/>
        <v>#VALUE!</v>
      </c>
      <c r="E820" s="591"/>
      <c r="F820" s="591"/>
      <c r="G820" s="591"/>
      <c r="H820" s="591"/>
      <c r="I820" s="591"/>
      <c r="J820" s="591"/>
      <c r="K820" s="542"/>
      <c r="O820" s="1134"/>
      <c r="Q820" s="1133"/>
    </row>
    <row r="821" spans="2:17" x14ac:dyDescent="0.3">
      <c r="B821" s="126"/>
      <c r="C821" s="583">
        <v>454</v>
      </c>
      <c r="D821" s="625" t="e">
        <f t="shared" si="32"/>
        <v>#VALUE!</v>
      </c>
      <c r="E821" s="591"/>
      <c r="F821" s="591"/>
      <c r="G821" s="591"/>
      <c r="H821" s="591"/>
      <c r="I821" s="591"/>
      <c r="J821" s="591"/>
      <c r="K821" s="542"/>
      <c r="O821" s="1134"/>
      <c r="Q821" s="1133"/>
    </row>
    <row r="822" spans="2:17" x14ac:dyDescent="0.3">
      <c r="B822" s="126"/>
      <c r="C822" s="583">
        <v>455</v>
      </c>
      <c r="D822" s="625" t="e">
        <f t="shared" si="32"/>
        <v>#VALUE!</v>
      </c>
      <c r="E822" s="591"/>
      <c r="F822" s="591"/>
      <c r="G822" s="591"/>
      <c r="H822" s="591"/>
      <c r="I822" s="591"/>
      <c r="J822" s="591"/>
      <c r="K822" s="542"/>
      <c r="O822" s="1134"/>
      <c r="Q822" s="1133"/>
    </row>
    <row r="823" spans="2:17" x14ac:dyDescent="0.3">
      <c r="B823" s="126"/>
      <c r="C823" s="583">
        <v>456</v>
      </c>
      <c r="D823" s="625" t="e">
        <f t="shared" si="32"/>
        <v>#VALUE!</v>
      </c>
      <c r="E823" s="591"/>
      <c r="F823" s="591"/>
      <c r="G823" s="591"/>
      <c r="H823" s="591"/>
      <c r="I823" s="591"/>
      <c r="J823" s="591"/>
      <c r="K823" s="542"/>
      <c r="O823" s="1134"/>
      <c r="Q823" s="1133"/>
    </row>
    <row r="824" spans="2:17" x14ac:dyDescent="0.3">
      <c r="B824" s="126"/>
      <c r="C824" s="583">
        <v>457</v>
      </c>
      <c r="D824" s="625" t="e">
        <f t="shared" si="32"/>
        <v>#VALUE!</v>
      </c>
      <c r="E824" s="591"/>
      <c r="F824" s="591"/>
      <c r="G824" s="591"/>
      <c r="H824" s="591"/>
      <c r="I824" s="591"/>
      <c r="J824" s="591"/>
      <c r="K824" s="542"/>
      <c r="O824" s="1134"/>
      <c r="Q824" s="1133"/>
    </row>
    <row r="825" spans="2:17" x14ac:dyDescent="0.3">
      <c r="B825" s="126"/>
      <c r="C825" s="583">
        <v>458</v>
      </c>
      <c r="D825" s="625" t="e">
        <f t="shared" si="32"/>
        <v>#VALUE!</v>
      </c>
      <c r="E825" s="591"/>
      <c r="F825" s="591"/>
      <c r="G825" s="591"/>
      <c r="H825" s="591"/>
      <c r="I825" s="591"/>
      <c r="J825" s="591"/>
      <c r="K825" s="542"/>
      <c r="O825" s="1134"/>
      <c r="Q825" s="1133"/>
    </row>
    <row r="826" spans="2:17" x14ac:dyDescent="0.3">
      <c r="B826" s="126"/>
      <c r="C826" s="583">
        <v>459</v>
      </c>
      <c r="D826" s="625" t="e">
        <f t="shared" si="32"/>
        <v>#VALUE!</v>
      </c>
      <c r="E826" s="591"/>
      <c r="F826" s="591"/>
      <c r="G826" s="591"/>
      <c r="H826" s="591"/>
      <c r="I826" s="591"/>
      <c r="J826" s="591"/>
      <c r="K826" s="542"/>
      <c r="O826" s="1134"/>
      <c r="Q826" s="1133"/>
    </row>
    <row r="827" spans="2:17" x14ac:dyDescent="0.3">
      <c r="B827" s="126"/>
      <c r="C827" s="583">
        <v>460</v>
      </c>
      <c r="D827" s="625" t="e">
        <f t="shared" si="32"/>
        <v>#VALUE!</v>
      </c>
      <c r="E827" s="591"/>
      <c r="F827" s="591"/>
      <c r="G827" s="591"/>
      <c r="H827" s="591"/>
      <c r="I827" s="591"/>
      <c r="J827" s="591"/>
      <c r="K827" s="542"/>
      <c r="O827" s="1134"/>
      <c r="Q827" s="1133"/>
    </row>
    <row r="828" spans="2:17" x14ac:dyDescent="0.3">
      <c r="B828" s="126"/>
      <c r="C828" s="583">
        <v>461</v>
      </c>
      <c r="D828" s="625" t="e">
        <f t="shared" si="32"/>
        <v>#VALUE!</v>
      </c>
      <c r="E828" s="591"/>
      <c r="F828" s="591"/>
      <c r="G828" s="591"/>
      <c r="H828" s="591"/>
      <c r="I828" s="591"/>
      <c r="J828" s="591"/>
      <c r="K828" s="542"/>
      <c r="O828" s="1134"/>
      <c r="Q828" s="1133"/>
    </row>
    <row r="829" spans="2:17" x14ac:dyDescent="0.3">
      <c r="B829" s="126"/>
      <c r="C829" s="583">
        <v>462</v>
      </c>
      <c r="D829" s="625" t="e">
        <f t="shared" si="32"/>
        <v>#VALUE!</v>
      </c>
      <c r="E829" s="591"/>
      <c r="F829" s="591"/>
      <c r="G829" s="591"/>
      <c r="H829" s="591"/>
      <c r="I829" s="591"/>
      <c r="J829" s="591"/>
      <c r="K829" s="542"/>
      <c r="O829" s="1134"/>
      <c r="Q829" s="1133"/>
    </row>
    <row r="830" spans="2:17" x14ac:dyDescent="0.3">
      <c r="B830" s="126"/>
      <c r="C830" s="583">
        <v>463</v>
      </c>
      <c r="D830" s="625" t="e">
        <f t="shared" si="32"/>
        <v>#VALUE!</v>
      </c>
      <c r="E830" s="591"/>
      <c r="F830" s="591"/>
      <c r="G830" s="591"/>
      <c r="H830" s="591"/>
      <c r="I830" s="591"/>
      <c r="J830" s="591"/>
      <c r="K830" s="542"/>
      <c r="O830" s="1134"/>
      <c r="Q830" s="1133"/>
    </row>
    <row r="831" spans="2:17" x14ac:dyDescent="0.3">
      <c r="B831" s="126"/>
      <c r="C831" s="583">
        <v>464</v>
      </c>
      <c r="D831" s="625" t="e">
        <f t="shared" si="32"/>
        <v>#VALUE!</v>
      </c>
      <c r="E831" s="591"/>
      <c r="F831" s="591"/>
      <c r="G831" s="591"/>
      <c r="H831" s="591"/>
      <c r="I831" s="591"/>
      <c r="J831" s="591"/>
      <c r="K831" s="542"/>
      <c r="O831" s="1134"/>
      <c r="Q831" s="1133"/>
    </row>
    <row r="832" spans="2:17" x14ac:dyDescent="0.3">
      <c r="B832" s="126"/>
      <c r="C832" s="583">
        <v>465</v>
      </c>
      <c r="D832" s="625" t="e">
        <f t="shared" si="32"/>
        <v>#VALUE!</v>
      </c>
      <c r="E832" s="591"/>
      <c r="F832" s="591"/>
      <c r="G832" s="591"/>
      <c r="H832" s="591"/>
      <c r="I832" s="591"/>
      <c r="J832" s="591"/>
      <c r="K832" s="542"/>
      <c r="O832" s="1134"/>
      <c r="Q832" s="1133"/>
    </row>
    <row r="833" spans="2:17" x14ac:dyDescent="0.3">
      <c r="B833" s="126"/>
      <c r="C833" s="583">
        <v>466</v>
      </c>
      <c r="D833" s="625" t="e">
        <f t="shared" si="32"/>
        <v>#VALUE!</v>
      </c>
      <c r="E833" s="591"/>
      <c r="F833" s="591"/>
      <c r="G833" s="591"/>
      <c r="H833" s="591"/>
      <c r="I833" s="591"/>
      <c r="J833" s="591"/>
      <c r="K833" s="542"/>
      <c r="O833" s="1134"/>
      <c r="Q833" s="1133"/>
    </row>
    <row r="834" spans="2:17" x14ac:dyDescent="0.3">
      <c r="B834" s="126"/>
      <c r="C834" s="583">
        <v>467</v>
      </c>
      <c r="D834" s="625" t="e">
        <f t="shared" si="32"/>
        <v>#VALUE!</v>
      </c>
      <c r="E834" s="591"/>
      <c r="F834" s="591"/>
      <c r="G834" s="591"/>
      <c r="H834" s="591"/>
      <c r="I834" s="591"/>
      <c r="J834" s="591"/>
      <c r="K834" s="542"/>
      <c r="O834" s="1134"/>
      <c r="Q834" s="1133"/>
    </row>
    <row r="835" spans="2:17" x14ac:dyDescent="0.3">
      <c r="B835" s="126"/>
      <c r="C835" s="583">
        <v>468</v>
      </c>
      <c r="D835" s="625" t="e">
        <f t="shared" si="32"/>
        <v>#VALUE!</v>
      </c>
      <c r="E835" s="591"/>
      <c r="F835" s="591"/>
      <c r="G835" s="591"/>
      <c r="H835" s="591"/>
      <c r="I835" s="591"/>
      <c r="J835" s="591"/>
      <c r="K835" s="542"/>
      <c r="O835" s="1134"/>
      <c r="Q835" s="1133"/>
    </row>
    <row r="836" spans="2:17" x14ac:dyDescent="0.3">
      <c r="B836" s="126"/>
      <c r="C836" s="583">
        <v>469</v>
      </c>
      <c r="D836" s="625" t="e">
        <f t="shared" si="32"/>
        <v>#VALUE!</v>
      </c>
      <c r="E836" s="591"/>
      <c r="F836" s="591"/>
      <c r="G836" s="591"/>
      <c r="H836" s="591"/>
      <c r="I836" s="591"/>
      <c r="J836" s="591"/>
      <c r="K836" s="542"/>
      <c r="O836" s="1134"/>
      <c r="Q836" s="1133"/>
    </row>
    <row r="837" spans="2:17" x14ac:dyDescent="0.3">
      <c r="B837" s="126"/>
      <c r="C837" s="583">
        <v>470</v>
      </c>
      <c r="D837" s="625" t="e">
        <f t="shared" si="32"/>
        <v>#VALUE!</v>
      </c>
      <c r="E837" s="591"/>
      <c r="F837" s="591"/>
      <c r="G837" s="591"/>
      <c r="H837" s="591"/>
      <c r="I837" s="591"/>
      <c r="J837" s="591"/>
      <c r="K837" s="542"/>
      <c r="O837" s="1134"/>
      <c r="Q837" s="1133"/>
    </row>
    <row r="838" spans="2:17" x14ac:dyDescent="0.3">
      <c r="B838" s="126"/>
      <c r="C838" s="583">
        <v>471</v>
      </c>
      <c r="D838" s="625" t="e">
        <f t="shared" si="32"/>
        <v>#VALUE!</v>
      </c>
      <c r="E838" s="591"/>
      <c r="F838" s="591"/>
      <c r="G838" s="591"/>
      <c r="H838" s="591"/>
      <c r="I838" s="591"/>
      <c r="J838" s="591"/>
      <c r="K838" s="542"/>
      <c r="O838" s="1134"/>
      <c r="Q838" s="1133"/>
    </row>
    <row r="839" spans="2:17" x14ac:dyDescent="0.3">
      <c r="B839" s="126"/>
      <c r="C839" s="583">
        <v>472</v>
      </c>
      <c r="D839" s="625" t="e">
        <f t="shared" si="32"/>
        <v>#VALUE!</v>
      </c>
      <c r="E839" s="591"/>
      <c r="F839" s="591"/>
      <c r="G839" s="591"/>
      <c r="H839" s="591"/>
      <c r="I839" s="591"/>
      <c r="J839" s="591"/>
      <c r="K839" s="542"/>
      <c r="O839" s="1134"/>
      <c r="Q839" s="1133"/>
    </row>
    <row r="840" spans="2:17" x14ac:dyDescent="0.3">
      <c r="B840" s="126"/>
      <c r="C840" s="583">
        <v>473</v>
      </c>
      <c r="D840" s="625" t="e">
        <f t="shared" si="32"/>
        <v>#VALUE!</v>
      </c>
      <c r="E840" s="591"/>
      <c r="F840" s="591"/>
      <c r="G840" s="591"/>
      <c r="H840" s="591"/>
      <c r="I840" s="591"/>
      <c r="J840" s="591"/>
      <c r="K840" s="542"/>
      <c r="O840" s="1134"/>
      <c r="Q840" s="1133"/>
    </row>
    <row r="841" spans="2:17" x14ac:dyDescent="0.3">
      <c r="B841" s="126"/>
      <c r="C841" s="583">
        <v>474</v>
      </c>
      <c r="D841" s="625" t="e">
        <f t="shared" si="32"/>
        <v>#VALUE!</v>
      </c>
      <c r="E841" s="591"/>
      <c r="F841" s="591"/>
      <c r="G841" s="591"/>
      <c r="H841" s="591"/>
      <c r="I841" s="591"/>
      <c r="J841" s="591"/>
      <c r="K841" s="542"/>
      <c r="O841" s="1134"/>
      <c r="Q841" s="1133"/>
    </row>
    <row r="842" spans="2:17" x14ac:dyDescent="0.3">
      <c r="B842" s="126"/>
      <c r="C842" s="583">
        <v>475</v>
      </c>
      <c r="D842" s="625" t="e">
        <f t="shared" si="32"/>
        <v>#VALUE!</v>
      </c>
      <c r="E842" s="591"/>
      <c r="F842" s="591"/>
      <c r="G842" s="591"/>
      <c r="H842" s="591"/>
      <c r="I842" s="591"/>
      <c r="J842" s="591"/>
      <c r="K842" s="542"/>
      <c r="O842" s="1134"/>
      <c r="Q842" s="1133"/>
    </row>
    <row r="843" spans="2:17" x14ac:dyDescent="0.3">
      <c r="B843" s="126"/>
      <c r="C843" s="583">
        <v>476</v>
      </c>
      <c r="D843" s="625" t="e">
        <f t="shared" si="32"/>
        <v>#VALUE!</v>
      </c>
      <c r="E843" s="591"/>
      <c r="F843" s="591"/>
      <c r="G843" s="591"/>
      <c r="H843" s="591"/>
      <c r="I843" s="591"/>
      <c r="J843" s="591"/>
      <c r="K843" s="542"/>
      <c r="O843" s="1134"/>
      <c r="Q843" s="1133"/>
    </row>
    <row r="844" spans="2:17" x14ac:dyDescent="0.3">
      <c r="B844" s="126"/>
      <c r="C844" s="583">
        <v>477</v>
      </c>
      <c r="D844" s="625" t="e">
        <f t="shared" si="32"/>
        <v>#VALUE!</v>
      </c>
      <c r="E844" s="591"/>
      <c r="F844" s="591"/>
      <c r="G844" s="591"/>
      <c r="H844" s="591"/>
      <c r="I844" s="591"/>
      <c r="J844" s="591"/>
      <c r="K844" s="542"/>
      <c r="O844" s="1134"/>
      <c r="Q844" s="1133"/>
    </row>
    <row r="845" spans="2:17" x14ac:dyDescent="0.3">
      <c r="B845" s="126"/>
      <c r="C845" s="583">
        <v>478</v>
      </c>
      <c r="D845" s="625" t="e">
        <f t="shared" si="32"/>
        <v>#VALUE!</v>
      </c>
      <c r="E845" s="591"/>
      <c r="F845" s="591"/>
      <c r="G845" s="591"/>
      <c r="H845" s="591"/>
      <c r="I845" s="591"/>
      <c r="J845" s="591"/>
      <c r="K845" s="542"/>
      <c r="O845" s="1134"/>
      <c r="Q845" s="1133"/>
    </row>
    <row r="846" spans="2:17" x14ac:dyDescent="0.3">
      <c r="B846" s="126"/>
      <c r="C846" s="583">
        <v>479</v>
      </c>
      <c r="D846" s="625" t="e">
        <f t="shared" si="32"/>
        <v>#VALUE!</v>
      </c>
      <c r="E846" s="591"/>
      <c r="F846" s="591"/>
      <c r="G846" s="591"/>
      <c r="H846" s="591"/>
      <c r="I846" s="591"/>
      <c r="J846" s="591"/>
      <c r="K846" s="542"/>
      <c r="O846" s="1134"/>
      <c r="Q846" s="1133"/>
    </row>
    <row r="847" spans="2:17" x14ac:dyDescent="0.3">
      <c r="B847" s="126"/>
      <c r="C847" s="583">
        <v>480</v>
      </c>
      <c r="D847" s="625" t="e">
        <f t="shared" si="32"/>
        <v>#VALUE!</v>
      </c>
      <c r="E847" s="591"/>
      <c r="F847" s="591"/>
      <c r="G847" s="591"/>
      <c r="H847" s="591"/>
      <c r="I847" s="591"/>
      <c r="J847" s="591"/>
      <c r="K847" s="542"/>
      <c r="O847" s="1134"/>
      <c r="Q847" s="1133"/>
    </row>
    <row r="848" spans="2:17" x14ac:dyDescent="0.3">
      <c r="B848" s="126"/>
      <c r="C848" s="583">
        <v>481</v>
      </c>
      <c r="D848" s="625" t="e">
        <f t="shared" si="32"/>
        <v>#VALUE!</v>
      </c>
      <c r="E848" s="591"/>
      <c r="F848" s="591"/>
      <c r="G848" s="591"/>
      <c r="H848" s="591"/>
      <c r="I848" s="591"/>
      <c r="J848" s="591"/>
      <c r="K848" s="542"/>
      <c r="O848" s="1134"/>
      <c r="Q848" s="1133"/>
    </row>
    <row r="849" spans="2:17" x14ac:dyDescent="0.3">
      <c r="B849" s="126"/>
      <c r="C849" s="583">
        <v>482</v>
      </c>
      <c r="D849" s="625" t="e">
        <f t="shared" si="32"/>
        <v>#VALUE!</v>
      </c>
      <c r="E849" s="591"/>
      <c r="F849" s="591"/>
      <c r="G849" s="591"/>
      <c r="H849" s="591"/>
      <c r="I849" s="591"/>
      <c r="J849" s="591"/>
      <c r="K849" s="542"/>
      <c r="O849" s="1134"/>
      <c r="Q849" s="1133"/>
    </row>
    <row r="850" spans="2:17" x14ac:dyDescent="0.3">
      <c r="B850" s="126"/>
      <c r="C850" s="583">
        <v>483</v>
      </c>
      <c r="D850" s="625" t="e">
        <f t="shared" si="32"/>
        <v>#VALUE!</v>
      </c>
      <c r="E850" s="591"/>
      <c r="F850" s="591"/>
      <c r="G850" s="591"/>
      <c r="H850" s="591"/>
      <c r="I850" s="591"/>
      <c r="J850" s="591"/>
      <c r="K850" s="542"/>
      <c r="O850" s="1134"/>
      <c r="Q850" s="1133"/>
    </row>
    <row r="851" spans="2:17" x14ac:dyDescent="0.3">
      <c r="B851" s="126"/>
      <c r="C851" s="583">
        <v>484</v>
      </c>
      <c r="D851" s="625" t="e">
        <f t="shared" si="32"/>
        <v>#VALUE!</v>
      </c>
      <c r="E851" s="591"/>
      <c r="F851" s="591"/>
      <c r="G851" s="591"/>
      <c r="H851" s="591"/>
      <c r="I851" s="591"/>
      <c r="J851" s="591"/>
      <c r="K851" s="542"/>
      <c r="O851" s="1134"/>
      <c r="Q851" s="1133"/>
    </row>
    <row r="852" spans="2:17" x14ac:dyDescent="0.3">
      <c r="B852" s="126"/>
      <c r="C852" s="583">
        <v>485</v>
      </c>
      <c r="D852" s="625" t="e">
        <f t="shared" si="32"/>
        <v>#VALUE!</v>
      </c>
      <c r="E852" s="591"/>
      <c r="F852" s="591"/>
      <c r="G852" s="591"/>
      <c r="H852" s="591"/>
      <c r="I852" s="591"/>
      <c r="J852" s="591"/>
      <c r="K852" s="542"/>
      <c r="O852" s="1134"/>
      <c r="Q852" s="1133"/>
    </row>
    <row r="853" spans="2:17" x14ac:dyDescent="0.3">
      <c r="B853" s="126"/>
      <c r="C853" s="583">
        <v>486</v>
      </c>
      <c r="D853" s="625" t="e">
        <f t="shared" si="32"/>
        <v>#VALUE!</v>
      </c>
      <c r="E853" s="591"/>
      <c r="F853" s="591"/>
      <c r="G853" s="591"/>
      <c r="H853" s="591"/>
      <c r="I853" s="591"/>
      <c r="J853" s="591"/>
      <c r="K853" s="542"/>
      <c r="O853" s="1134"/>
      <c r="Q853" s="1133"/>
    </row>
    <row r="854" spans="2:17" x14ac:dyDescent="0.3">
      <c r="B854" s="126"/>
      <c r="C854" s="583">
        <v>487</v>
      </c>
      <c r="D854" s="625" t="e">
        <f t="shared" si="32"/>
        <v>#VALUE!</v>
      </c>
      <c r="E854" s="591"/>
      <c r="F854" s="591"/>
      <c r="G854" s="591"/>
      <c r="H854" s="591"/>
      <c r="I854" s="591"/>
      <c r="J854" s="591"/>
      <c r="K854" s="542"/>
      <c r="O854" s="1134"/>
      <c r="Q854" s="1133"/>
    </row>
    <row r="855" spans="2:17" x14ac:dyDescent="0.3">
      <c r="B855" s="126"/>
      <c r="C855" s="583">
        <v>488</v>
      </c>
      <c r="D855" s="625" t="e">
        <f t="shared" si="32"/>
        <v>#VALUE!</v>
      </c>
      <c r="E855" s="591"/>
      <c r="F855" s="591"/>
      <c r="G855" s="591"/>
      <c r="H855" s="591"/>
      <c r="I855" s="591"/>
      <c r="J855" s="591"/>
      <c r="K855" s="542"/>
      <c r="O855" s="1134"/>
      <c r="Q855" s="1133"/>
    </row>
    <row r="856" spans="2:17" x14ac:dyDescent="0.3">
      <c r="B856" s="126"/>
      <c r="C856" s="583">
        <v>489</v>
      </c>
      <c r="D856" s="625" t="e">
        <f t="shared" si="32"/>
        <v>#VALUE!</v>
      </c>
      <c r="E856" s="591"/>
      <c r="F856" s="591"/>
      <c r="G856" s="591"/>
      <c r="H856" s="591"/>
      <c r="I856" s="591"/>
      <c r="J856" s="591"/>
      <c r="K856" s="542"/>
      <c r="O856" s="1134"/>
      <c r="Q856" s="1133"/>
    </row>
    <row r="857" spans="2:17" x14ac:dyDescent="0.3">
      <c r="B857" s="126"/>
      <c r="C857" s="583">
        <v>490</v>
      </c>
      <c r="D857" s="625" t="e">
        <f t="shared" si="32"/>
        <v>#VALUE!</v>
      </c>
      <c r="E857" s="591"/>
      <c r="F857" s="591"/>
      <c r="G857" s="591"/>
      <c r="H857" s="591"/>
      <c r="I857" s="591"/>
      <c r="J857" s="591"/>
      <c r="K857" s="542"/>
      <c r="O857" s="1134"/>
      <c r="Q857" s="1133"/>
    </row>
    <row r="858" spans="2:17" x14ac:dyDescent="0.3">
      <c r="B858" s="126"/>
      <c r="C858" s="583">
        <v>491</v>
      </c>
      <c r="D858" s="625" t="e">
        <f t="shared" si="32"/>
        <v>#VALUE!</v>
      </c>
      <c r="E858" s="591"/>
      <c r="F858" s="591"/>
      <c r="G858" s="591"/>
      <c r="H858" s="591"/>
      <c r="I858" s="591"/>
      <c r="J858" s="591"/>
      <c r="K858" s="542"/>
      <c r="O858" s="1134"/>
      <c r="Q858" s="1133"/>
    </row>
    <row r="859" spans="2:17" x14ac:dyDescent="0.3">
      <c r="B859" s="126"/>
      <c r="C859" s="583">
        <v>492</v>
      </c>
      <c r="D859" s="625" t="e">
        <f t="shared" si="32"/>
        <v>#VALUE!</v>
      </c>
      <c r="E859" s="591"/>
      <c r="F859" s="591"/>
      <c r="G859" s="591"/>
      <c r="H859" s="591"/>
      <c r="I859" s="591"/>
      <c r="J859" s="591"/>
      <c r="K859" s="542"/>
      <c r="O859" s="1134"/>
      <c r="Q859" s="1133"/>
    </row>
    <row r="860" spans="2:17" x14ac:dyDescent="0.3">
      <c r="B860" s="126"/>
      <c r="C860" s="583">
        <v>493</v>
      </c>
      <c r="D860" s="625" t="e">
        <f t="shared" si="32"/>
        <v>#VALUE!</v>
      </c>
      <c r="E860" s="591"/>
      <c r="F860" s="591"/>
      <c r="G860" s="591"/>
      <c r="H860" s="591"/>
      <c r="I860" s="591"/>
      <c r="J860" s="591"/>
      <c r="K860" s="542"/>
      <c r="O860" s="1134"/>
      <c r="Q860" s="1133"/>
    </row>
    <row r="861" spans="2:17" x14ac:dyDescent="0.3">
      <c r="B861" s="126"/>
      <c r="C861" s="583">
        <v>494</v>
      </c>
      <c r="D861" s="625" t="e">
        <f t="shared" si="32"/>
        <v>#VALUE!</v>
      </c>
      <c r="E861" s="591"/>
      <c r="F861" s="591"/>
      <c r="G861" s="591"/>
      <c r="H861" s="591"/>
      <c r="I861" s="591"/>
      <c r="J861" s="591"/>
      <c r="K861" s="542"/>
      <c r="O861" s="1134"/>
      <c r="Q861" s="1133"/>
    </row>
    <row r="862" spans="2:17" x14ac:dyDescent="0.3">
      <c r="B862" s="126"/>
      <c r="C862" s="583">
        <v>495</v>
      </c>
      <c r="D862" s="625" t="e">
        <f t="shared" si="32"/>
        <v>#VALUE!</v>
      </c>
      <c r="E862" s="591"/>
      <c r="F862" s="591"/>
      <c r="G862" s="591"/>
      <c r="H862" s="591"/>
      <c r="I862" s="591"/>
      <c r="J862" s="591"/>
      <c r="K862" s="542"/>
      <c r="O862" s="1134"/>
      <c r="Q862" s="1133"/>
    </row>
    <row r="863" spans="2:17" x14ac:dyDescent="0.3">
      <c r="B863" s="126"/>
      <c r="C863" s="583">
        <v>496</v>
      </c>
      <c r="D863" s="625" t="e">
        <f t="shared" si="32"/>
        <v>#VALUE!</v>
      </c>
      <c r="E863" s="591"/>
      <c r="F863" s="591"/>
      <c r="G863" s="591"/>
      <c r="H863" s="591"/>
      <c r="I863" s="591"/>
      <c r="J863" s="591"/>
      <c r="K863" s="542"/>
      <c r="O863" s="1134"/>
      <c r="Q863" s="1133"/>
    </row>
    <row r="864" spans="2:17" x14ac:dyDescent="0.3">
      <c r="B864" s="126"/>
      <c r="C864" s="583">
        <v>497</v>
      </c>
      <c r="D864" s="625" t="e">
        <f t="shared" si="32"/>
        <v>#VALUE!</v>
      </c>
      <c r="E864" s="591"/>
      <c r="F864" s="591"/>
      <c r="G864" s="591"/>
      <c r="H864" s="591"/>
      <c r="I864" s="591"/>
      <c r="J864" s="591"/>
      <c r="K864" s="542"/>
      <c r="O864" s="1134"/>
      <c r="Q864" s="1133"/>
    </row>
    <row r="865" spans="2:17" x14ac:dyDescent="0.3">
      <c r="B865" s="126"/>
      <c r="C865" s="583">
        <v>498</v>
      </c>
      <c r="D865" s="625" t="e">
        <f t="shared" si="32"/>
        <v>#VALUE!</v>
      </c>
      <c r="E865" s="591"/>
      <c r="F865" s="591"/>
      <c r="G865" s="591"/>
      <c r="H865" s="591"/>
      <c r="I865" s="591"/>
      <c r="J865" s="591"/>
      <c r="K865" s="542"/>
      <c r="O865" s="1134"/>
      <c r="Q865" s="1133"/>
    </row>
    <row r="866" spans="2:17" x14ac:dyDescent="0.3">
      <c r="B866" s="126"/>
      <c r="C866" s="583">
        <v>499</v>
      </c>
      <c r="D866" s="625" t="e">
        <f t="shared" si="32"/>
        <v>#VALUE!</v>
      </c>
      <c r="E866" s="591"/>
      <c r="F866" s="591"/>
      <c r="G866" s="591"/>
      <c r="H866" s="591"/>
      <c r="I866" s="591"/>
      <c r="J866" s="591"/>
      <c r="K866" s="542"/>
      <c r="O866" s="1134"/>
      <c r="Q866" s="1133"/>
    </row>
    <row r="867" spans="2:17" x14ac:dyDescent="0.3">
      <c r="B867" s="126"/>
      <c r="C867" s="583">
        <v>500</v>
      </c>
      <c r="D867" s="625" t="e">
        <f t="shared" si="32"/>
        <v>#VALUE!</v>
      </c>
      <c r="E867" s="591"/>
      <c r="F867" s="591"/>
      <c r="G867" s="591"/>
      <c r="H867" s="591"/>
      <c r="I867" s="591"/>
      <c r="J867" s="591"/>
      <c r="K867" s="542"/>
      <c r="O867" s="1134"/>
      <c r="Q867" s="1133"/>
    </row>
    <row r="868" spans="2:17" x14ac:dyDescent="0.3">
      <c r="B868" s="126"/>
      <c r="C868" s="583">
        <v>501</v>
      </c>
      <c r="D868" s="625" t="e">
        <f t="shared" si="32"/>
        <v>#VALUE!</v>
      </c>
      <c r="E868" s="591"/>
      <c r="F868" s="591"/>
      <c r="G868" s="591"/>
      <c r="H868" s="591"/>
      <c r="I868" s="591"/>
      <c r="J868" s="591"/>
      <c r="K868" s="542"/>
      <c r="O868" s="1134"/>
      <c r="Q868" s="1133"/>
    </row>
    <row r="869" spans="2:17" x14ac:dyDescent="0.3">
      <c r="B869" s="126"/>
      <c r="C869" s="583">
        <v>502</v>
      </c>
      <c r="D869" s="625" t="e">
        <f t="shared" si="32"/>
        <v>#VALUE!</v>
      </c>
      <c r="E869" s="591"/>
      <c r="F869" s="591"/>
      <c r="G869" s="591"/>
      <c r="H869" s="591"/>
      <c r="I869" s="591"/>
      <c r="J869" s="591"/>
      <c r="K869" s="542"/>
      <c r="O869" s="1134"/>
      <c r="Q869" s="1133"/>
    </row>
    <row r="870" spans="2:17" x14ac:dyDescent="0.3">
      <c r="B870" s="126"/>
      <c r="C870" s="583">
        <v>503</v>
      </c>
      <c r="D870" s="625" t="e">
        <f t="shared" si="32"/>
        <v>#VALUE!</v>
      </c>
      <c r="E870" s="591"/>
      <c r="F870" s="591"/>
      <c r="G870" s="591"/>
      <c r="H870" s="591"/>
      <c r="I870" s="591"/>
      <c r="J870" s="591"/>
      <c r="K870" s="542"/>
      <c r="O870" s="1134"/>
      <c r="Q870" s="1133"/>
    </row>
    <row r="871" spans="2:17" x14ac:dyDescent="0.3">
      <c r="B871" s="126"/>
      <c r="C871" s="583">
        <v>504</v>
      </c>
      <c r="D871" s="625" t="e">
        <f t="shared" si="32"/>
        <v>#VALUE!</v>
      </c>
      <c r="E871" s="591"/>
      <c r="F871" s="591"/>
      <c r="G871" s="591"/>
      <c r="H871" s="591"/>
      <c r="I871" s="591"/>
      <c r="J871" s="591"/>
      <c r="K871" s="542"/>
      <c r="O871" s="1134"/>
      <c r="Q871" s="1133"/>
    </row>
    <row r="872" spans="2:17" x14ac:dyDescent="0.3">
      <c r="B872" s="126"/>
      <c r="C872" s="583">
        <v>505</v>
      </c>
      <c r="D872" s="625" t="e">
        <f t="shared" si="32"/>
        <v>#VALUE!</v>
      </c>
      <c r="E872" s="591"/>
      <c r="F872" s="591"/>
      <c r="G872" s="591"/>
      <c r="H872" s="591"/>
      <c r="I872" s="591"/>
      <c r="J872" s="591"/>
      <c r="K872" s="542"/>
      <c r="O872" s="1134"/>
      <c r="Q872" s="1133"/>
    </row>
    <row r="873" spans="2:17" x14ac:dyDescent="0.3">
      <c r="B873" s="126"/>
      <c r="C873" s="583">
        <v>506</v>
      </c>
      <c r="D873" s="625" t="e">
        <f t="shared" si="32"/>
        <v>#VALUE!</v>
      </c>
      <c r="E873" s="591"/>
      <c r="F873" s="591"/>
      <c r="G873" s="591"/>
      <c r="H873" s="591"/>
      <c r="I873" s="591"/>
      <c r="J873" s="591"/>
      <c r="K873" s="542"/>
      <c r="O873" s="1134"/>
      <c r="Q873" s="1133"/>
    </row>
    <row r="874" spans="2:17" x14ac:dyDescent="0.3">
      <c r="B874" s="126"/>
      <c r="C874" s="583">
        <v>507</v>
      </c>
      <c r="D874" s="625" t="e">
        <f t="shared" si="32"/>
        <v>#VALUE!</v>
      </c>
      <c r="E874" s="591"/>
      <c r="F874" s="591"/>
      <c r="G874" s="591"/>
      <c r="H874" s="591"/>
      <c r="I874" s="591"/>
      <c r="J874" s="591"/>
      <c r="K874" s="542"/>
      <c r="O874" s="1134"/>
      <c r="Q874" s="1133"/>
    </row>
    <row r="875" spans="2:17" x14ac:dyDescent="0.3">
      <c r="B875" s="126"/>
      <c r="C875" s="583">
        <v>508</v>
      </c>
      <c r="D875" s="625" t="e">
        <f t="shared" si="32"/>
        <v>#VALUE!</v>
      </c>
      <c r="E875" s="591"/>
      <c r="F875" s="591"/>
      <c r="G875" s="591"/>
      <c r="H875" s="591"/>
      <c r="I875" s="591"/>
      <c r="J875" s="591"/>
      <c r="K875" s="542"/>
      <c r="O875" s="1134"/>
      <c r="Q875" s="1133"/>
    </row>
    <row r="876" spans="2:17" x14ac:dyDescent="0.3">
      <c r="B876" s="126"/>
      <c r="C876" s="583">
        <v>509</v>
      </c>
      <c r="D876" s="625" t="e">
        <f t="shared" si="32"/>
        <v>#VALUE!</v>
      </c>
      <c r="E876" s="591"/>
      <c r="F876" s="591"/>
      <c r="G876" s="591"/>
      <c r="H876" s="591"/>
      <c r="I876" s="591"/>
      <c r="J876" s="591"/>
      <c r="K876" s="542"/>
      <c r="O876" s="1134"/>
      <c r="Q876" s="1133"/>
    </row>
    <row r="877" spans="2:17" x14ac:dyDescent="0.3">
      <c r="B877" s="126"/>
      <c r="C877" s="583">
        <v>510</v>
      </c>
      <c r="D877" s="625" t="e">
        <f t="shared" si="32"/>
        <v>#VALUE!</v>
      </c>
      <c r="E877" s="591"/>
      <c r="F877" s="591"/>
      <c r="G877" s="591"/>
      <c r="H877" s="591"/>
      <c r="I877" s="591"/>
      <c r="J877" s="591"/>
      <c r="K877" s="542"/>
      <c r="O877" s="1134"/>
      <c r="Q877" s="1133"/>
    </row>
    <row r="878" spans="2:17" x14ac:dyDescent="0.3">
      <c r="B878" s="126"/>
      <c r="C878" s="583">
        <v>511</v>
      </c>
      <c r="D878" s="625" t="e">
        <f t="shared" si="32"/>
        <v>#VALUE!</v>
      </c>
      <c r="E878" s="591"/>
      <c r="F878" s="591"/>
      <c r="G878" s="591"/>
      <c r="H878" s="591"/>
      <c r="I878" s="591"/>
      <c r="J878" s="591"/>
      <c r="K878" s="542"/>
      <c r="O878" s="1134"/>
      <c r="Q878" s="1133"/>
    </row>
    <row r="879" spans="2:17" x14ac:dyDescent="0.3">
      <c r="B879" s="126"/>
      <c r="C879" s="583">
        <v>512</v>
      </c>
      <c r="D879" s="625" t="e">
        <f t="shared" ref="D879:D942" si="33">$C$346*C879</f>
        <v>#VALUE!</v>
      </c>
      <c r="E879" s="591"/>
      <c r="F879" s="591"/>
      <c r="G879" s="591"/>
      <c r="H879" s="591"/>
      <c r="I879" s="591"/>
      <c r="J879" s="591"/>
      <c r="K879" s="542"/>
      <c r="O879" s="1134"/>
      <c r="Q879" s="1133"/>
    </row>
    <row r="880" spans="2:17" x14ac:dyDescent="0.3">
      <c r="B880" s="126"/>
      <c r="C880" s="583">
        <v>513</v>
      </c>
      <c r="D880" s="625" t="e">
        <f t="shared" si="33"/>
        <v>#VALUE!</v>
      </c>
      <c r="E880" s="591"/>
      <c r="F880" s="591"/>
      <c r="G880" s="591"/>
      <c r="H880" s="591"/>
      <c r="I880" s="591"/>
      <c r="J880" s="591"/>
      <c r="K880" s="542"/>
      <c r="O880" s="1134"/>
      <c r="Q880" s="1133"/>
    </row>
    <row r="881" spans="2:17" x14ac:dyDescent="0.3">
      <c r="B881" s="126"/>
      <c r="C881" s="583">
        <v>514</v>
      </c>
      <c r="D881" s="625" t="e">
        <f t="shared" si="33"/>
        <v>#VALUE!</v>
      </c>
      <c r="E881" s="591"/>
      <c r="F881" s="591"/>
      <c r="G881" s="591"/>
      <c r="H881" s="591"/>
      <c r="I881" s="591"/>
      <c r="J881" s="591"/>
      <c r="K881" s="542"/>
      <c r="O881" s="1134"/>
      <c r="Q881" s="1133"/>
    </row>
    <row r="882" spans="2:17" x14ac:dyDescent="0.3">
      <c r="B882" s="126"/>
      <c r="C882" s="583">
        <v>515</v>
      </c>
      <c r="D882" s="625" t="e">
        <f t="shared" si="33"/>
        <v>#VALUE!</v>
      </c>
      <c r="E882" s="591"/>
      <c r="F882" s="591"/>
      <c r="G882" s="591"/>
      <c r="H882" s="591"/>
      <c r="I882" s="591"/>
      <c r="J882" s="591"/>
      <c r="K882" s="542"/>
      <c r="O882" s="1134"/>
      <c r="Q882" s="1133"/>
    </row>
    <row r="883" spans="2:17" x14ac:dyDescent="0.3">
      <c r="B883" s="126"/>
      <c r="C883" s="583">
        <v>516</v>
      </c>
      <c r="D883" s="625" t="e">
        <f t="shared" si="33"/>
        <v>#VALUE!</v>
      </c>
      <c r="E883" s="591"/>
      <c r="F883" s="591"/>
      <c r="G883" s="591"/>
      <c r="H883" s="591"/>
      <c r="I883" s="591"/>
      <c r="J883" s="591"/>
      <c r="K883" s="542"/>
      <c r="O883" s="1134"/>
      <c r="Q883" s="1133"/>
    </row>
    <row r="884" spans="2:17" x14ac:dyDescent="0.3">
      <c r="B884" s="126"/>
      <c r="C884" s="583">
        <v>517</v>
      </c>
      <c r="D884" s="625" t="e">
        <f t="shared" si="33"/>
        <v>#VALUE!</v>
      </c>
      <c r="E884" s="591"/>
      <c r="F884" s="591"/>
      <c r="G884" s="591"/>
      <c r="H884" s="591"/>
      <c r="I884" s="591"/>
      <c r="J884" s="591"/>
      <c r="K884" s="542"/>
      <c r="O884" s="1134"/>
      <c r="Q884" s="1133"/>
    </row>
    <row r="885" spans="2:17" x14ac:dyDescent="0.3">
      <c r="B885" s="126"/>
      <c r="C885" s="583">
        <v>518</v>
      </c>
      <c r="D885" s="625" t="e">
        <f t="shared" si="33"/>
        <v>#VALUE!</v>
      </c>
      <c r="E885" s="591"/>
      <c r="F885" s="591"/>
      <c r="G885" s="591"/>
      <c r="H885" s="591"/>
      <c r="I885" s="591"/>
      <c r="J885" s="591"/>
      <c r="K885" s="542"/>
      <c r="O885" s="1134"/>
      <c r="Q885" s="1133"/>
    </row>
    <row r="886" spans="2:17" x14ac:dyDescent="0.3">
      <c r="B886" s="126"/>
      <c r="C886" s="583">
        <v>519</v>
      </c>
      <c r="D886" s="625" t="e">
        <f t="shared" si="33"/>
        <v>#VALUE!</v>
      </c>
      <c r="E886" s="591"/>
      <c r="F886" s="591"/>
      <c r="G886" s="591"/>
      <c r="H886" s="591"/>
      <c r="I886" s="591"/>
      <c r="J886" s="591"/>
      <c r="K886" s="542"/>
      <c r="O886" s="1134"/>
      <c r="Q886" s="1133"/>
    </row>
    <row r="887" spans="2:17" x14ac:dyDescent="0.3">
      <c r="B887" s="126"/>
      <c r="C887" s="583">
        <v>520</v>
      </c>
      <c r="D887" s="625" t="e">
        <f t="shared" si="33"/>
        <v>#VALUE!</v>
      </c>
      <c r="E887" s="591"/>
      <c r="F887" s="591"/>
      <c r="G887" s="591"/>
      <c r="H887" s="591"/>
      <c r="I887" s="591"/>
      <c r="J887" s="591"/>
      <c r="K887" s="542"/>
      <c r="O887" s="1134"/>
      <c r="Q887" s="1133"/>
    </row>
    <row r="888" spans="2:17" x14ac:dyDescent="0.3">
      <c r="B888" s="126"/>
      <c r="C888" s="583">
        <v>521</v>
      </c>
      <c r="D888" s="625" t="e">
        <f t="shared" si="33"/>
        <v>#VALUE!</v>
      </c>
      <c r="E888" s="591"/>
      <c r="F888" s="591"/>
      <c r="G888" s="591"/>
      <c r="H888" s="591"/>
      <c r="I888" s="591"/>
      <c r="J888" s="591"/>
      <c r="K888" s="542"/>
      <c r="O888" s="1134"/>
      <c r="Q888" s="1133"/>
    </row>
    <row r="889" spans="2:17" x14ac:dyDescent="0.3">
      <c r="B889" s="126"/>
      <c r="C889" s="583">
        <v>522</v>
      </c>
      <c r="D889" s="625" t="e">
        <f t="shared" si="33"/>
        <v>#VALUE!</v>
      </c>
      <c r="E889" s="591"/>
      <c r="F889" s="591"/>
      <c r="G889" s="591"/>
      <c r="H889" s="591"/>
      <c r="I889" s="591"/>
      <c r="J889" s="591"/>
      <c r="K889" s="542"/>
      <c r="O889" s="1134"/>
      <c r="Q889" s="1133"/>
    </row>
    <row r="890" spans="2:17" x14ac:dyDescent="0.3">
      <c r="B890" s="126"/>
      <c r="C890" s="583">
        <v>523</v>
      </c>
      <c r="D890" s="625" t="e">
        <f t="shared" si="33"/>
        <v>#VALUE!</v>
      </c>
      <c r="E890" s="591"/>
      <c r="F890" s="591"/>
      <c r="G890" s="591"/>
      <c r="H890" s="591"/>
      <c r="I890" s="591"/>
      <c r="J890" s="591"/>
      <c r="K890" s="542"/>
      <c r="O890" s="1134"/>
      <c r="Q890" s="1133"/>
    </row>
    <row r="891" spans="2:17" x14ac:dyDescent="0.3">
      <c r="B891" s="126"/>
      <c r="C891" s="583">
        <v>524</v>
      </c>
      <c r="D891" s="625" t="e">
        <f t="shared" si="33"/>
        <v>#VALUE!</v>
      </c>
      <c r="E891" s="591"/>
      <c r="F891" s="591"/>
      <c r="G891" s="591"/>
      <c r="H891" s="591"/>
      <c r="I891" s="591"/>
      <c r="J891" s="591"/>
      <c r="K891" s="542"/>
      <c r="O891" s="1134"/>
      <c r="Q891" s="1133"/>
    </row>
    <row r="892" spans="2:17" x14ac:dyDescent="0.3">
      <c r="B892" s="126"/>
      <c r="C892" s="583">
        <v>525</v>
      </c>
      <c r="D892" s="625" t="e">
        <f t="shared" si="33"/>
        <v>#VALUE!</v>
      </c>
      <c r="E892" s="591"/>
      <c r="F892" s="591"/>
      <c r="G892" s="591"/>
      <c r="H892" s="591"/>
      <c r="I892" s="591"/>
      <c r="J892" s="591"/>
      <c r="K892" s="542"/>
      <c r="O892" s="1134"/>
      <c r="Q892" s="1133"/>
    </row>
    <row r="893" spans="2:17" x14ac:dyDescent="0.3">
      <c r="B893" s="126"/>
      <c r="C893" s="583">
        <v>526</v>
      </c>
      <c r="D893" s="625" t="e">
        <f t="shared" si="33"/>
        <v>#VALUE!</v>
      </c>
      <c r="E893" s="591"/>
      <c r="F893" s="591"/>
      <c r="G893" s="591"/>
      <c r="H893" s="591"/>
      <c r="I893" s="591"/>
      <c r="J893" s="591"/>
      <c r="K893" s="542"/>
      <c r="O893" s="1134"/>
      <c r="Q893" s="1133"/>
    </row>
    <row r="894" spans="2:17" x14ac:dyDescent="0.3">
      <c r="B894" s="126"/>
      <c r="C894" s="583">
        <v>527</v>
      </c>
      <c r="D894" s="625" t="e">
        <f t="shared" si="33"/>
        <v>#VALUE!</v>
      </c>
      <c r="E894" s="591"/>
      <c r="F894" s="591"/>
      <c r="G894" s="591"/>
      <c r="H894" s="591"/>
      <c r="I894" s="591"/>
      <c r="J894" s="591"/>
      <c r="K894" s="542"/>
      <c r="O894" s="1134"/>
      <c r="Q894" s="1133"/>
    </row>
    <row r="895" spans="2:17" x14ac:dyDescent="0.3">
      <c r="B895" s="126"/>
      <c r="C895" s="583">
        <v>528</v>
      </c>
      <c r="D895" s="625" t="e">
        <f t="shared" si="33"/>
        <v>#VALUE!</v>
      </c>
      <c r="E895" s="591"/>
      <c r="F895" s="591"/>
      <c r="G895" s="591"/>
      <c r="H895" s="591"/>
      <c r="I895" s="591"/>
      <c r="J895" s="591"/>
      <c r="K895" s="542"/>
      <c r="O895" s="1134"/>
      <c r="Q895" s="1133"/>
    </row>
    <row r="896" spans="2:17" x14ac:dyDescent="0.3">
      <c r="B896" s="126"/>
      <c r="C896" s="583">
        <v>529</v>
      </c>
      <c r="D896" s="625" t="e">
        <f t="shared" si="33"/>
        <v>#VALUE!</v>
      </c>
      <c r="E896" s="591"/>
      <c r="F896" s="591"/>
      <c r="G896" s="591"/>
      <c r="H896" s="591"/>
      <c r="I896" s="591"/>
      <c r="J896" s="591"/>
      <c r="K896" s="542"/>
      <c r="O896" s="1134"/>
      <c r="Q896" s="1133"/>
    </row>
    <row r="897" spans="2:17" x14ac:dyDescent="0.3">
      <c r="B897" s="126"/>
      <c r="C897" s="583">
        <v>530</v>
      </c>
      <c r="D897" s="625" t="e">
        <f t="shared" si="33"/>
        <v>#VALUE!</v>
      </c>
      <c r="E897" s="591"/>
      <c r="F897" s="591"/>
      <c r="G897" s="591"/>
      <c r="H897" s="591"/>
      <c r="I897" s="591"/>
      <c r="J897" s="591"/>
      <c r="K897" s="542"/>
      <c r="O897" s="1134"/>
      <c r="Q897" s="1133"/>
    </row>
    <row r="898" spans="2:17" x14ac:dyDescent="0.3">
      <c r="B898" s="126"/>
      <c r="C898" s="583">
        <v>531</v>
      </c>
      <c r="D898" s="625" t="e">
        <f t="shared" si="33"/>
        <v>#VALUE!</v>
      </c>
      <c r="E898" s="591"/>
      <c r="F898" s="591"/>
      <c r="G898" s="591"/>
      <c r="H898" s="591"/>
      <c r="I898" s="591"/>
      <c r="J898" s="591"/>
      <c r="K898" s="542"/>
      <c r="O898" s="1134"/>
      <c r="Q898" s="1133"/>
    </row>
    <row r="899" spans="2:17" x14ac:dyDescent="0.3">
      <c r="B899" s="126"/>
      <c r="C899" s="583">
        <v>532</v>
      </c>
      <c r="D899" s="625" t="e">
        <f t="shared" si="33"/>
        <v>#VALUE!</v>
      </c>
      <c r="E899" s="591"/>
      <c r="F899" s="591"/>
      <c r="G899" s="591"/>
      <c r="H899" s="591"/>
      <c r="I899" s="591"/>
      <c r="J899" s="591"/>
      <c r="K899" s="542"/>
      <c r="O899" s="1134"/>
      <c r="Q899" s="1133"/>
    </row>
    <row r="900" spans="2:17" x14ac:dyDescent="0.3">
      <c r="B900" s="126"/>
      <c r="C900" s="583">
        <v>533</v>
      </c>
      <c r="D900" s="625" t="e">
        <f t="shared" si="33"/>
        <v>#VALUE!</v>
      </c>
      <c r="E900" s="591"/>
      <c r="F900" s="591"/>
      <c r="G900" s="591"/>
      <c r="H900" s="591"/>
      <c r="I900" s="591"/>
      <c r="J900" s="591"/>
      <c r="K900" s="542"/>
      <c r="O900" s="1134"/>
      <c r="Q900" s="1133"/>
    </row>
    <row r="901" spans="2:17" x14ac:dyDescent="0.3">
      <c r="B901" s="126"/>
      <c r="C901" s="583">
        <v>534</v>
      </c>
      <c r="D901" s="625" t="e">
        <f t="shared" si="33"/>
        <v>#VALUE!</v>
      </c>
      <c r="E901" s="591"/>
      <c r="F901" s="591"/>
      <c r="G901" s="591"/>
      <c r="H901" s="591"/>
      <c r="I901" s="591"/>
      <c r="J901" s="591"/>
      <c r="K901" s="542"/>
      <c r="O901" s="1134"/>
      <c r="Q901" s="1133"/>
    </row>
    <row r="902" spans="2:17" x14ac:dyDescent="0.3">
      <c r="B902" s="126"/>
      <c r="C902" s="583">
        <v>535</v>
      </c>
      <c r="D902" s="625" t="e">
        <f t="shared" si="33"/>
        <v>#VALUE!</v>
      </c>
      <c r="E902" s="591"/>
      <c r="F902" s="591"/>
      <c r="G902" s="591"/>
      <c r="H902" s="591"/>
      <c r="I902" s="591"/>
      <c r="J902" s="591"/>
      <c r="K902" s="542"/>
      <c r="O902" s="1134"/>
      <c r="Q902" s="1133"/>
    </row>
    <row r="903" spans="2:17" x14ac:dyDescent="0.3">
      <c r="B903" s="126"/>
      <c r="C903" s="583">
        <v>536</v>
      </c>
      <c r="D903" s="625" t="e">
        <f t="shared" si="33"/>
        <v>#VALUE!</v>
      </c>
      <c r="E903" s="591"/>
      <c r="F903" s="591"/>
      <c r="G903" s="591"/>
      <c r="H903" s="591"/>
      <c r="I903" s="591"/>
      <c r="J903" s="591"/>
      <c r="K903" s="542"/>
      <c r="O903" s="1134"/>
      <c r="Q903" s="1133"/>
    </row>
    <row r="904" spans="2:17" x14ac:dyDescent="0.3">
      <c r="B904" s="126"/>
      <c r="C904" s="583">
        <v>537</v>
      </c>
      <c r="D904" s="625" t="e">
        <f t="shared" si="33"/>
        <v>#VALUE!</v>
      </c>
      <c r="E904" s="591"/>
      <c r="F904" s="591"/>
      <c r="G904" s="591"/>
      <c r="H904" s="591"/>
      <c r="I904" s="591"/>
      <c r="J904" s="591"/>
      <c r="K904" s="542"/>
      <c r="O904" s="1134"/>
      <c r="Q904" s="1133"/>
    </row>
    <row r="905" spans="2:17" x14ac:dyDescent="0.3">
      <c r="B905" s="126"/>
      <c r="C905" s="583">
        <v>538</v>
      </c>
      <c r="D905" s="625" t="e">
        <f t="shared" si="33"/>
        <v>#VALUE!</v>
      </c>
      <c r="E905" s="591"/>
      <c r="F905" s="591"/>
      <c r="G905" s="591"/>
      <c r="H905" s="591"/>
      <c r="I905" s="591"/>
      <c r="J905" s="591"/>
      <c r="K905" s="542"/>
      <c r="O905" s="1134"/>
      <c r="Q905" s="1133"/>
    </row>
    <row r="906" spans="2:17" x14ac:dyDescent="0.3">
      <c r="B906" s="126"/>
      <c r="C906" s="583">
        <v>539</v>
      </c>
      <c r="D906" s="625" t="e">
        <f t="shared" si="33"/>
        <v>#VALUE!</v>
      </c>
      <c r="E906" s="591"/>
      <c r="F906" s="591"/>
      <c r="G906" s="591"/>
      <c r="H906" s="591"/>
      <c r="I906" s="591"/>
      <c r="J906" s="591"/>
      <c r="K906" s="542"/>
      <c r="O906" s="1134"/>
      <c r="Q906" s="1133"/>
    </row>
    <row r="907" spans="2:17" x14ac:dyDescent="0.3">
      <c r="B907" s="126"/>
      <c r="C907" s="583">
        <v>540</v>
      </c>
      <c r="D907" s="625" t="e">
        <f t="shared" si="33"/>
        <v>#VALUE!</v>
      </c>
      <c r="E907" s="591"/>
      <c r="F907" s="591"/>
      <c r="G907" s="591"/>
      <c r="H907" s="591"/>
      <c r="I907" s="591"/>
      <c r="J907" s="591"/>
      <c r="K907" s="542"/>
      <c r="O907" s="1134"/>
      <c r="Q907" s="1133"/>
    </row>
    <row r="908" spans="2:17" x14ac:dyDescent="0.3">
      <c r="B908" s="126"/>
      <c r="C908" s="583">
        <v>541</v>
      </c>
      <c r="D908" s="625" t="e">
        <f t="shared" si="33"/>
        <v>#VALUE!</v>
      </c>
      <c r="E908" s="591"/>
      <c r="F908" s="591"/>
      <c r="G908" s="591"/>
      <c r="H908" s="591"/>
      <c r="I908" s="591"/>
      <c r="J908" s="591"/>
      <c r="K908" s="542"/>
      <c r="O908" s="1134"/>
      <c r="Q908" s="1133"/>
    </row>
    <row r="909" spans="2:17" x14ac:dyDescent="0.3">
      <c r="B909" s="126"/>
      <c r="C909" s="583">
        <v>542</v>
      </c>
      <c r="D909" s="625" t="e">
        <f t="shared" si="33"/>
        <v>#VALUE!</v>
      </c>
      <c r="E909" s="591"/>
      <c r="F909" s="591"/>
      <c r="G909" s="591"/>
      <c r="H909" s="591"/>
      <c r="I909" s="591"/>
      <c r="J909" s="591"/>
      <c r="K909" s="542"/>
      <c r="O909" s="1134"/>
      <c r="Q909" s="1133"/>
    </row>
    <row r="910" spans="2:17" x14ac:dyDescent="0.3">
      <c r="B910" s="126"/>
      <c r="C910" s="583">
        <v>543</v>
      </c>
      <c r="D910" s="625" t="e">
        <f t="shared" si="33"/>
        <v>#VALUE!</v>
      </c>
      <c r="E910" s="591"/>
      <c r="F910" s="591"/>
      <c r="G910" s="591"/>
      <c r="H910" s="591"/>
      <c r="I910" s="591"/>
      <c r="J910" s="591"/>
      <c r="K910" s="542"/>
      <c r="O910" s="1134"/>
      <c r="Q910" s="1133"/>
    </row>
    <row r="911" spans="2:17" x14ac:dyDescent="0.3">
      <c r="B911" s="126"/>
      <c r="C911" s="583">
        <v>544</v>
      </c>
      <c r="D911" s="625" t="e">
        <f t="shared" si="33"/>
        <v>#VALUE!</v>
      </c>
      <c r="E911" s="591"/>
      <c r="F911" s="591"/>
      <c r="G911" s="591"/>
      <c r="H911" s="591"/>
      <c r="I911" s="591"/>
      <c r="J911" s="591"/>
      <c r="K911" s="542"/>
      <c r="O911" s="1134"/>
      <c r="Q911" s="1133"/>
    </row>
    <row r="912" spans="2:17" x14ac:dyDescent="0.3">
      <c r="B912" s="126"/>
      <c r="C912" s="583">
        <v>545</v>
      </c>
      <c r="D912" s="625" t="e">
        <f t="shared" si="33"/>
        <v>#VALUE!</v>
      </c>
      <c r="E912" s="591"/>
      <c r="F912" s="591"/>
      <c r="G912" s="591"/>
      <c r="H912" s="591"/>
      <c r="I912" s="591"/>
      <c r="J912" s="591"/>
      <c r="K912" s="542"/>
      <c r="O912" s="1134"/>
      <c r="Q912" s="1133"/>
    </row>
    <row r="913" spans="2:17" x14ac:dyDescent="0.3">
      <c r="B913" s="126"/>
      <c r="C913" s="583">
        <v>546</v>
      </c>
      <c r="D913" s="625" t="e">
        <f t="shared" si="33"/>
        <v>#VALUE!</v>
      </c>
      <c r="E913" s="591"/>
      <c r="F913" s="591"/>
      <c r="G913" s="591"/>
      <c r="H913" s="591"/>
      <c r="I913" s="591"/>
      <c r="J913" s="591"/>
      <c r="K913" s="542"/>
      <c r="O913" s="1134"/>
      <c r="Q913" s="1133"/>
    </row>
    <row r="914" spans="2:17" x14ac:dyDescent="0.3">
      <c r="B914" s="126"/>
      <c r="C914" s="583">
        <v>547</v>
      </c>
      <c r="D914" s="625" t="e">
        <f t="shared" si="33"/>
        <v>#VALUE!</v>
      </c>
      <c r="E914" s="591"/>
      <c r="F914" s="591"/>
      <c r="G914" s="591"/>
      <c r="H914" s="591"/>
      <c r="I914" s="591"/>
      <c r="J914" s="591"/>
      <c r="K914" s="542"/>
      <c r="O914" s="1134"/>
      <c r="Q914" s="1133"/>
    </row>
    <row r="915" spans="2:17" x14ac:dyDescent="0.3">
      <c r="B915" s="126"/>
      <c r="C915" s="583">
        <v>548</v>
      </c>
      <c r="D915" s="625" t="e">
        <f t="shared" si="33"/>
        <v>#VALUE!</v>
      </c>
      <c r="E915" s="591"/>
      <c r="F915" s="591"/>
      <c r="G915" s="591"/>
      <c r="H915" s="591"/>
      <c r="I915" s="591"/>
      <c r="J915" s="591"/>
      <c r="K915" s="542"/>
      <c r="O915" s="1134"/>
      <c r="Q915" s="1133"/>
    </row>
    <row r="916" spans="2:17" x14ac:dyDescent="0.3">
      <c r="B916" s="126"/>
      <c r="C916" s="583">
        <v>549</v>
      </c>
      <c r="D916" s="625" t="e">
        <f t="shared" si="33"/>
        <v>#VALUE!</v>
      </c>
      <c r="E916" s="591"/>
      <c r="F916" s="591"/>
      <c r="G916" s="591"/>
      <c r="H916" s="591"/>
      <c r="I916" s="591"/>
      <c r="J916" s="591"/>
      <c r="K916" s="542"/>
      <c r="O916" s="1134"/>
      <c r="Q916" s="1133"/>
    </row>
    <row r="917" spans="2:17" x14ac:dyDescent="0.3">
      <c r="B917" s="126"/>
      <c r="C917" s="583">
        <v>550</v>
      </c>
      <c r="D917" s="625" t="e">
        <f t="shared" si="33"/>
        <v>#VALUE!</v>
      </c>
      <c r="E917" s="591"/>
      <c r="F917" s="591"/>
      <c r="G917" s="591"/>
      <c r="H917" s="591"/>
      <c r="I917" s="591"/>
      <c r="J917" s="591"/>
      <c r="K917" s="542"/>
      <c r="O917" s="1134"/>
      <c r="Q917" s="1133"/>
    </row>
    <row r="918" spans="2:17" x14ac:dyDescent="0.3">
      <c r="B918" s="126"/>
      <c r="C918" s="583">
        <v>551</v>
      </c>
      <c r="D918" s="625" t="e">
        <f t="shared" si="33"/>
        <v>#VALUE!</v>
      </c>
      <c r="E918" s="591"/>
      <c r="F918" s="591"/>
      <c r="G918" s="591"/>
      <c r="H918" s="591"/>
      <c r="I918" s="591"/>
      <c r="J918" s="591"/>
      <c r="K918" s="542"/>
      <c r="O918" s="1134"/>
      <c r="Q918" s="1133"/>
    </row>
    <row r="919" spans="2:17" x14ac:dyDescent="0.3">
      <c r="B919" s="126"/>
      <c r="C919" s="583">
        <v>552</v>
      </c>
      <c r="D919" s="625" t="e">
        <f t="shared" si="33"/>
        <v>#VALUE!</v>
      </c>
      <c r="E919" s="591"/>
      <c r="F919" s="591"/>
      <c r="G919" s="591"/>
      <c r="H919" s="591"/>
      <c r="I919" s="591"/>
      <c r="J919" s="591"/>
      <c r="K919" s="542"/>
      <c r="O919" s="1134"/>
      <c r="Q919" s="1133"/>
    </row>
    <row r="920" spans="2:17" x14ac:dyDescent="0.3">
      <c r="B920" s="126"/>
      <c r="C920" s="583">
        <v>553</v>
      </c>
      <c r="D920" s="625" t="e">
        <f t="shared" si="33"/>
        <v>#VALUE!</v>
      </c>
      <c r="E920" s="591"/>
      <c r="F920" s="591"/>
      <c r="G920" s="591"/>
      <c r="H920" s="591"/>
      <c r="I920" s="591"/>
      <c r="J920" s="591"/>
      <c r="K920" s="542"/>
      <c r="O920" s="1134"/>
      <c r="Q920" s="1133"/>
    </row>
    <row r="921" spans="2:17" x14ac:dyDescent="0.3">
      <c r="B921" s="126"/>
      <c r="C921" s="583">
        <v>554</v>
      </c>
      <c r="D921" s="625" t="e">
        <f t="shared" si="33"/>
        <v>#VALUE!</v>
      </c>
      <c r="E921" s="591"/>
      <c r="F921" s="591"/>
      <c r="G921" s="591"/>
      <c r="H921" s="591"/>
      <c r="I921" s="591"/>
      <c r="J921" s="591"/>
      <c r="K921" s="542"/>
      <c r="O921" s="1134"/>
      <c r="Q921" s="1133"/>
    </row>
    <row r="922" spans="2:17" x14ac:dyDescent="0.3">
      <c r="B922" s="126"/>
      <c r="C922" s="583">
        <v>555</v>
      </c>
      <c r="D922" s="625" t="e">
        <f t="shared" si="33"/>
        <v>#VALUE!</v>
      </c>
      <c r="E922" s="591"/>
      <c r="F922" s="591"/>
      <c r="G922" s="591"/>
      <c r="H922" s="591"/>
      <c r="I922" s="591"/>
      <c r="J922" s="591"/>
      <c r="K922" s="542"/>
      <c r="O922" s="1134"/>
      <c r="Q922" s="1133"/>
    </row>
    <row r="923" spans="2:17" x14ac:dyDescent="0.3">
      <c r="B923" s="126"/>
      <c r="C923" s="583">
        <v>556</v>
      </c>
      <c r="D923" s="625" t="e">
        <f t="shared" si="33"/>
        <v>#VALUE!</v>
      </c>
      <c r="E923" s="591"/>
      <c r="F923" s="591"/>
      <c r="G923" s="591"/>
      <c r="H923" s="591"/>
      <c r="I923" s="591"/>
      <c r="J923" s="591"/>
      <c r="K923" s="542"/>
      <c r="O923" s="1134"/>
      <c r="Q923" s="1133"/>
    </row>
    <row r="924" spans="2:17" x14ac:dyDescent="0.3">
      <c r="B924" s="126"/>
      <c r="C924" s="583">
        <v>557</v>
      </c>
      <c r="D924" s="625" t="e">
        <f t="shared" si="33"/>
        <v>#VALUE!</v>
      </c>
      <c r="E924" s="591"/>
      <c r="F924" s="591"/>
      <c r="G924" s="591"/>
      <c r="H924" s="591"/>
      <c r="I924" s="591"/>
      <c r="J924" s="591"/>
      <c r="K924" s="542"/>
      <c r="O924" s="1134"/>
      <c r="Q924" s="1133"/>
    </row>
    <row r="925" spans="2:17" x14ac:dyDescent="0.3">
      <c r="B925" s="126"/>
      <c r="C925" s="583">
        <v>558</v>
      </c>
      <c r="D925" s="625" t="e">
        <f t="shared" si="33"/>
        <v>#VALUE!</v>
      </c>
      <c r="E925" s="591"/>
      <c r="F925" s="591"/>
      <c r="G925" s="591"/>
      <c r="H925" s="591"/>
      <c r="I925" s="591"/>
      <c r="J925" s="591"/>
      <c r="K925" s="542"/>
      <c r="O925" s="1134"/>
      <c r="Q925" s="1133"/>
    </row>
    <row r="926" spans="2:17" x14ac:dyDescent="0.3">
      <c r="B926" s="126"/>
      <c r="C926" s="583">
        <v>559</v>
      </c>
      <c r="D926" s="625" t="e">
        <f t="shared" si="33"/>
        <v>#VALUE!</v>
      </c>
      <c r="E926" s="591"/>
      <c r="F926" s="591"/>
      <c r="G926" s="591"/>
      <c r="H926" s="591"/>
      <c r="I926" s="591"/>
      <c r="J926" s="591"/>
      <c r="K926" s="542"/>
      <c r="O926" s="1134"/>
      <c r="Q926" s="1133"/>
    </row>
    <row r="927" spans="2:17" x14ac:dyDescent="0.3">
      <c r="B927" s="126"/>
      <c r="C927" s="583">
        <v>560</v>
      </c>
      <c r="D927" s="625" t="e">
        <f t="shared" si="33"/>
        <v>#VALUE!</v>
      </c>
      <c r="E927" s="591"/>
      <c r="F927" s="591"/>
      <c r="G927" s="591"/>
      <c r="H927" s="591"/>
      <c r="I927" s="591"/>
      <c r="J927" s="591"/>
      <c r="K927" s="542"/>
      <c r="O927" s="1134"/>
      <c r="Q927" s="1133"/>
    </row>
    <row r="928" spans="2:17" x14ac:dyDescent="0.3">
      <c r="B928" s="126"/>
      <c r="C928" s="583">
        <v>561</v>
      </c>
      <c r="D928" s="625" t="e">
        <f t="shared" si="33"/>
        <v>#VALUE!</v>
      </c>
      <c r="E928" s="591"/>
      <c r="F928" s="591"/>
      <c r="G928" s="591"/>
      <c r="H928" s="591"/>
      <c r="I928" s="591"/>
      <c r="J928" s="591"/>
      <c r="K928" s="542"/>
      <c r="O928" s="1134"/>
      <c r="Q928" s="1133"/>
    </row>
    <row r="929" spans="2:17" x14ac:dyDescent="0.3">
      <c r="B929" s="126"/>
      <c r="C929" s="583">
        <v>562</v>
      </c>
      <c r="D929" s="625" t="e">
        <f t="shared" si="33"/>
        <v>#VALUE!</v>
      </c>
      <c r="E929" s="591"/>
      <c r="F929" s="591"/>
      <c r="G929" s="591"/>
      <c r="H929" s="591"/>
      <c r="I929" s="591"/>
      <c r="J929" s="591"/>
      <c r="K929" s="542"/>
      <c r="O929" s="1134"/>
      <c r="Q929" s="1133"/>
    </row>
    <row r="930" spans="2:17" x14ac:dyDescent="0.3">
      <c r="B930" s="126"/>
      <c r="C930" s="583">
        <v>563</v>
      </c>
      <c r="D930" s="625" t="e">
        <f t="shared" si="33"/>
        <v>#VALUE!</v>
      </c>
      <c r="E930" s="591"/>
      <c r="F930" s="591"/>
      <c r="G930" s="591"/>
      <c r="H930" s="591"/>
      <c r="I930" s="591"/>
      <c r="J930" s="591"/>
      <c r="K930" s="542"/>
      <c r="O930" s="1134"/>
      <c r="Q930" s="1133"/>
    </row>
    <row r="931" spans="2:17" x14ac:dyDescent="0.3">
      <c r="B931" s="126"/>
      <c r="C931" s="583">
        <v>564</v>
      </c>
      <c r="D931" s="625" t="e">
        <f t="shared" si="33"/>
        <v>#VALUE!</v>
      </c>
      <c r="E931" s="591"/>
      <c r="F931" s="591"/>
      <c r="G931" s="591"/>
      <c r="H931" s="591"/>
      <c r="I931" s="591"/>
      <c r="J931" s="591"/>
      <c r="K931" s="542"/>
      <c r="O931" s="1134"/>
      <c r="Q931" s="1133"/>
    </row>
    <row r="932" spans="2:17" x14ac:dyDescent="0.3">
      <c r="B932" s="126"/>
      <c r="C932" s="583">
        <v>565</v>
      </c>
      <c r="D932" s="625" t="e">
        <f t="shared" si="33"/>
        <v>#VALUE!</v>
      </c>
      <c r="E932" s="591"/>
      <c r="F932" s="591"/>
      <c r="G932" s="591"/>
      <c r="H932" s="591"/>
      <c r="I932" s="591"/>
      <c r="J932" s="591"/>
      <c r="K932" s="542"/>
      <c r="O932" s="1134"/>
      <c r="Q932" s="1133"/>
    </row>
    <row r="933" spans="2:17" x14ac:dyDescent="0.3">
      <c r="B933" s="126"/>
      <c r="C933" s="583">
        <v>566</v>
      </c>
      <c r="D933" s="625" t="e">
        <f t="shared" si="33"/>
        <v>#VALUE!</v>
      </c>
      <c r="E933" s="591"/>
      <c r="F933" s="591"/>
      <c r="G933" s="591"/>
      <c r="H933" s="591"/>
      <c r="I933" s="591"/>
      <c r="J933" s="591"/>
      <c r="K933" s="542"/>
      <c r="O933" s="1134"/>
      <c r="Q933" s="1133"/>
    </row>
    <row r="934" spans="2:17" x14ac:dyDescent="0.3">
      <c r="B934" s="126"/>
      <c r="C934" s="583">
        <v>567</v>
      </c>
      <c r="D934" s="625" t="e">
        <f t="shared" si="33"/>
        <v>#VALUE!</v>
      </c>
      <c r="E934" s="591"/>
      <c r="F934" s="591"/>
      <c r="G934" s="591"/>
      <c r="H934" s="591"/>
      <c r="I934" s="591"/>
      <c r="J934" s="591"/>
      <c r="K934" s="542"/>
      <c r="O934" s="1134"/>
      <c r="Q934" s="1133"/>
    </row>
    <row r="935" spans="2:17" x14ac:dyDescent="0.3">
      <c r="B935" s="126"/>
      <c r="C935" s="583">
        <v>568</v>
      </c>
      <c r="D935" s="625" t="e">
        <f t="shared" si="33"/>
        <v>#VALUE!</v>
      </c>
      <c r="E935" s="591"/>
      <c r="F935" s="591"/>
      <c r="G935" s="591"/>
      <c r="H935" s="591"/>
      <c r="I935" s="591"/>
      <c r="J935" s="591"/>
      <c r="K935" s="542"/>
      <c r="O935" s="1134"/>
      <c r="Q935" s="1133"/>
    </row>
    <row r="936" spans="2:17" x14ac:dyDescent="0.3">
      <c r="B936" s="126"/>
      <c r="C936" s="583">
        <v>569</v>
      </c>
      <c r="D936" s="625" t="e">
        <f t="shared" si="33"/>
        <v>#VALUE!</v>
      </c>
      <c r="E936" s="591"/>
      <c r="F936" s="591"/>
      <c r="G936" s="591"/>
      <c r="H936" s="591"/>
      <c r="I936" s="591"/>
      <c r="J936" s="591"/>
      <c r="K936" s="542"/>
      <c r="O936" s="1134"/>
      <c r="Q936" s="1133"/>
    </row>
    <row r="937" spans="2:17" x14ac:dyDescent="0.3">
      <c r="B937" s="126"/>
      <c r="C937" s="583">
        <v>570</v>
      </c>
      <c r="D937" s="625" t="e">
        <f t="shared" si="33"/>
        <v>#VALUE!</v>
      </c>
      <c r="E937" s="591"/>
      <c r="F937" s="591"/>
      <c r="G937" s="591"/>
      <c r="H937" s="591"/>
      <c r="I937" s="591"/>
      <c r="J937" s="591"/>
      <c r="K937" s="542"/>
      <c r="O937" s="1134"/>
      <c r="Q937" s="1133"/>
    </row>
    <row r="938" spans="2:17" x14ac:dyDescent="0.3">
      <c r="B938" s="126"/>
      <c r="C938" s="583">
        <v>571</v>
      </c>
      <c r="D938" s="625" t="e">
        <f t="shared" si="33"/>
        <v>#VALUE!</v>
      </c>
      <c r="E938" s="591"/>
      <c r="F938" s="591"/>
      <c r="G938" s="591"/>
      <c r="H938" s="591"/>
      <c r="I938" s="591"/>
      <c r="J938" s="591"/>
      <c r="K938" s="542"/>
      <c r="O938" s="1134"/>
      <c r="Q938" s="1133"/>
    </row>
    <row r="939" spans="2:17" x14ac:dyDescent="0.3">
      <c r="B939" s="126"/>
      <c r="C939" s="583">
        <v>572</v>
      </c>
      <c r="D939" s="625" t="e">
        <f t="shared" si="33"/>
        <v>#VALUE!</v>
      </c>
      <c r="E939" s="591"/>
      <c r="F939" s="591"/>
      <c r="G939" s="591"/>
      <c r="H939" s="591"/>
      <c r="I939" s="591"/>
      <c r="J939" s="591"/>
      <c r="K939" s="542"/>
      <c r="O939" s="1134"/>
      <c r="Q939" s="1133"/>
    </row>
    <row r="940" spans="2:17" x14ac:dyDescent="0.3">
      <c r="B940" s="126"/>
      <c r="C940" s="583">
        <v>573</v>
      </c>
      <c r="D940" s="625" t="e">
        <f t="shared" si="33"/>
        <v>#VALUE!</v>
      </c>
      <c r="E940" s="591"/>
      <c r="F940" s="591"/>
      <c r="G940" s="591"/>
      <c r="H940" s="591"/>
      <c r="I940" s="591"/>
      <c r="J940" s="591"/>
      <c r="K940" s="542"/>
      <c r="O940" s="1134"/>
      <c r="Q940" s="1133"/>
    </row>
    <row r="941" spans="2:17" x14ac:dyDescent="0.3">
      <c r="B941" s="126"/>
      <c r="C941" s="583">
        <v>574</v>
      </c>
      <c r="D941" s="625" t="e">
        <f t="shared" si="33"/>
        <v>#VALUE!</v>
      </c>
      <c r="E941" s="591"/>
      <c r="F941" s="591"/>
      <c r="G941" s="591"/>
      <c r="H941" s="591"/>
      <c r="I941" s="591"/>
      <c r="J941" s="591"/>
      <c r="K941" s="542"/>
      <c r="O941" s="1134"/>
      <c r="Q941" s="1133"/>
    </row>
    <row r="942" spans="2:17" x14ac:dyDescent="0.3">
      <c r="B942" s="126"/>
      <c r="C942" s="583">
        <v>575</v>
      </c>
      <c r="D942" s="625" t="e">
        <f t="shared" si="33"/>
        <v>#VALUE!</v>
      </c>
      <c r="E942" s="591"/>
      <c r="F942" s="591"/>
      <c r="G942" s="591"/>
      <c r="H942" s="591"/>
      <c r="I942" s="591"/>
      <c r="J942" s="591"/>
      <c r="K942" s="542"/>
      <c r="O942" s="1134"/>
      <c r="Q942" s="1133"/>
    </row>
    <row r="943" spans="2:17" x14ac:dyDescent="0.3">
      <c r="B943" s="126"/>
      <c r="C943" s="583">
        <v>576</v>
      </c>
      <c r="D943" s="625" t="e">
        <f t="shared" ref="D943:D1006" si="34">$C$346*C943</f>
        <v>#VALUE!</v>
      </c>
      <c r="E943" s="591"/>
      <c r="F943" s="591"/>
      <c r="G943" s="591"/>
      <c r="H943" s="591"/>
      <c r="I943" s="591"/>
      <c r="J943" s="591"/>
      <c r="K943" s="542"/>
      <c r="O943" s="1134"/>
      <c r="Q943" s="1133"/>
    </row>
    <row r="944" spans="2:17" x14ac:dyDescent="0.3">
      <c r="B944" s="126"/>
      <c r="C944" s="583">
        <v>577</v>
      </c>
      <c r="D944" s="625" t="e">
        <f t="shared" si="34"/>
        <v>#VALUE!</v>
      </c>
      <c r="E944" s="591"/>
      <c r="F944" s="591"/>
      <c r="G944" s="591"/>
      <c r="H944" s="591"/>
      <c r="I944" s="591"/>
      <c r="J944" s="591"/>
      <c r="K944" s="542"/>
      <c r="O944" s="1134"/>
      <c r="Q944" s="1133"/>
    </row>
    <row r="945" spans="2:17" x14ac:dyDescent="0.3">
      <c r="B945" s="126"/>
      <c r="C945" s="583">
        <v>578</v>
      </c>
      <c r="D945" s="625" t="e">
        <f t="shared" si="34"/>
        <v>#VALUE!</v>
      </c>
      <c r="E945" s="591"/>
      <c r="F945" s="591"/>
      <c r="G945" s="591"/>
      <c r="H945" s="591"/>
      <c r="I945" s="591"/>
      <c r="J945" s="591"/>
      <c r="K945" s="542"/>
      <c r="O945" s="1134"/>
      <c r="Q945" s="1133"/>
    </row>
    <row r="946" spans="2:17" x14ac:dyDescent="0.3">
      <c r="B946" s="126"/>
      <c r="C946" s="583">
        <v>579</v>
      </c>
      <c r="D946" s="625" t="e">
        <f t="shared" si="34"/>
        <v>#VALUE!</v>
      </c>
      <c r="E946" s="591"/>
      <c r="F946" s="591"/>
      <c r="G946" s="591"/>
      <c r="H946" s="591"/>
      <c r="I946" s="591"/>
      <c r="J946" s="591"/>
      <c r="K946" s="542"/>
      <c r="O946" s="1134"/>
      <c r="Q946" s="1133"/>
    </row>
    <row r="947" spans="2:17" x14ac:dyDescent="0.3">
      <c r="B947" s="126"/>
      <c r="C947" s="583">
        <v>580</v>
      </c>
      <c r="D947" s="625" t="e">
        <f t="shared" si="34"/>
        <v>#VALUE!</v>
      </c>
      <c r="E947" s="591"/>
      <c r="F947" s="591"/>
      <c r="G947" s="591"/>
      <c r="H947" s="591"/>
      <c r="I947" s="591"/>
      <c r="J947" s="591"/>
      <c r="K947" s="542"/>
      <c r="O947" s="1134"/>
      <c r="Q947" s="1133"/>
    </row>
    <row r="948" spans="2:17" x14ac:dyDescent="0.3">
      <c r="B948" s="126"/>
      <c r="C948" s="583">
        <v>581</v>
      </c>
      <c r="D948" s="625" t="e">
        <f t="shared" si="34"/>
        <v>#VALUE!</v>
      </c>
      <c r="E948" s="591"/>
      <c r="F948" s="591"/>
      <c r="G948" s="591"/>
      <c r="H948" s="591"/>
      <c r="I948" s="591"/>
      <c r="J948" s="591"/>
      <c r="K948" s="542"/>
      <c r="O948" s="1134"/>
      <c r="Q948" s="1133"/>
    </row>
    <row r="949" spans="2:17" x14ac:dyDescent="0.3">
      <c r="B949" s="126"/>
      <c r="C949" s="583">
        <v>582</v>
      </c>
      <c r="D949" s="625" t="e">
        <f t="shared" si="34"/>
        <v>#VALUE!</v>
      </c>
      <c r="E949" s="591"/>
      <c r="F949" s="591"/>
      <c r="G949" s="591"/>
      <c r="H949" s="591"/>
      <c r="I949" s="591"/>
      <c r="J949" s="591"/>
      <c r="K949" s="542"/>
      <c r="O949" s="1134"/>
      <c r="Q949" s="1133"/>
    </row>
    <row r="950" spans="2:17" x14ac:dyDescent="0.3">
      <c r="B950" s="126"/>
      <c r="C950" s="583">
        <v>583</v>
      </c>
      <c r="D950" s="625" t="e">
        <f t="shared" si="34"/>
        <v>#VALUE!</v>
      </c>
      <c r="E950" s="591"/>
      <c r="F950" s="591"/>
      <c r="G950" s="591"/>
      <c r="H950" s="591"/>
      <c r="I950" s="591"/>
      <c r="J950" s="591"/>
      <c r="K950" s="542"/>
      <c r="O950" s="1134"/>
      <c r="Q950" s="1133"/>
    </row>
    <row r="951" spans="2:17" x14ac:dyDescent="0.3">
      <c r="B951" s="126"/>
      <c r="C951" s="583">
        <v>584</v>
      </c>
      <c r="D951" s="625" t="e">
        <f t="shared" si="34"/>
        <v>#VALUE!</v>
      </c>
      <c r="E951" s="591"/>
      <c r="F951" s="591"/>
      <c r="G951" s="591"/>
      <c r="H951" s="591"/>
      <c r="I951" s="591"/>
      <c r="J951" s="591"/>
      <c r="K951" s="542"/>
      <c r="O951" s="1134"/>
      <c r="Q951" s="1133"/>
    </row>
    <row r="952" spans="2:17" x14ac:dyDescent="0.3">
      <c r="B952" s="126"/>
      <c r="C952" s="583">
        <v>585</v>
      </c>
      <c r="D952" s="625" t="e">
        <f t="shared" si="34"/>
        <v>#VALUE!</v>
      </c>
      <c r="E952" s="591"/>
      <c r="F952" s="591"/>
      <c r="G952" s="591"/>
      <c r="H952" s="591"/>
      <c r="I952" s="591"/>
      <c r="J952" s="591"/>
      <c r="K952" s="542"/>
      <c r="O952" s="1134"/>
      <c r="Q952" s="1133"/>
    </row>
    <row r="953" spans="2:17" x14ac:dyDescent="0.3">
      <c r="B953" s="126"/>
      <c r="C953" s="583">
        <v>586</v>
      </c>
      <c r="D953" s="625" t="e">
        <f t="shared" si="34"/>
        <v>#VALUE!</v>
      </c>
      <c r="E953" s="591"/>
      <c r="F953" s="591"/>
      <c r="G953" s="591"/>
      <c r="H953" s="591"/>
      <c r="I953" s="591"/>
      <c r="J953" s="591"/>
      <c r="K953" s="542"/>
      <c r="O953" s="1134"/>
      <c r="Q953" s="1133"/>
    </row>
    <row r="954" spans="2:17" x14ac:dyDescent="0.3">
      <c r="B954" s="126"/>
      <c r="C954" s="583">
        <v>587</v>
      </c>
      <c r="D954" s="625" t="e">
        <f t="shared" si="34"/>
        <v>#VALUE!</v>
      </c>
      <c r="E954" s="591"/>
      <c r="F954" s="591"/>
      <c r="G954" s="591"/>
      <c r="H954" s="591"/>
      <c r="I954" s="591"/>
      <c r="J954" s="591"/>
      <c r="K954" s="542"/>
      <c r="O954" s="1134"/>
      <c r="Q954" s="1133"/>
    </row>
    <row r="955" spans="2:17" x14ac:dyDescent="0.3">
      <c r="B955" s="126"/>
      <c r="C955" s="583">
        <v>588</v>
      </c>
      <c r="D955" s="625" t="e">
        <f t="shared" si="34"/>
        <v>#VALUE!</v>
      </c>
      <c r="E955" s="591"/>
      <c r="F955" s="591"/>
      <c r="G955" s="591"/>
      <c r="H955" s="591"/>
      <c r="I955" s="591"/>
      <c r="J955" s="591"/>
      <c r="K955" s="542"/>
      <c r="O955" s="1134"/>
      <c r="Q955" s="1133"/>
    </row>
    <row r="956" spans="2:17" x14ac:dyDescent="0.3">
      <c r="B956" s="126"/>
      <c r="C956" s="583">
        <v>589</v>
      </c>
      <c r="D956" s="625" t="e">
        <f t="shared" si="34"/>
        <v>#VALUE!</v>
      </c>
      <c r="E956" s="591"/>
      <c r="F956" s="591"/>
      <c r="G956" s="591"/>
      <c r="H956" s="591"/>
      <c r="I956" s="591"/>
      <c r="J956" s="591"/>
      <c r="K956" s="542"/>
      <c r="O956" s="1134"/>
      <c r="Q956" s="1133"/>
    </row>
    <row r="957" spans="2:17" x14ac:dyDescent="0.3">
      <c r="B957" s="126"/>
      <c r="C957" s="583">
        <v>590</v>
      </c>
      <c r="D957" s="625" t="e">
        <f t="shared" si="34"/>
        <v>#VALUE!</v>
      </c>
      <c r="E957" s="591"/>
      <c r="F957" s="591"/>
      <c r="G957" s="591"/>
      <c r="H957" s="591"/>
      <c r="I957" s="591"/>
      <c r="J957" s="591"/>
      <c r="K957" s="542"/>
      <c r="O957" s="1134"/>
      <c r="Q957" s="1133"/>
    </row>
    <row r="958" spans="2:17" x14ac:dyDescent="0.3">
      <c r="B958" s="126"/>
      <c r="C958" s="583">
        <v>591</v>
      </c>
      <c r="D958" s="625" t="e">
        <f t="shared" si="34"/>
        <v>#VALUE!</v>
      </c>
      <c r="E958" s="591"/>
      <c r="F958" s="591"/>
      <c r="G958" s="591"/>
      <c r="H958" s="591"/>
      <c r="I958" s="591"/>
      <c r="J958" s="591"/>
      <c r="K958" s="542"/>
      <c r="O958" s="1134"/>
      <c r="Q958" s="1133"/>
    </row>
    <row r="959" spans="2:17" x14ac:dyDescent="0.3">
      <c r="B959" s="126"/>
      <c r="C959" s="583">
        <v>592</v>
      </c>
      <c r="D959" s="625" t="e">
        <f t="shared" si="34"/>
        <v>#VALUE!</v>
      </c>
      <c r="E959" s="591"/>
      <c r="F959" s="591"/>
      <c r="G959" s="591"/>
      <c r="H959" s="591"/>
      <c r="I959" s="591"/>
      <c r="J959" s="591"/>
      <c r="K959" s="542"/>
      <c r="O959" s="1134"/>
      <c r="Q959" s="1133"/>
    </row>
    <row r="960" spans="2:17" x14ac:dyDescent="0.3">
      <c r="B960" s="126"/>
      <c r="C960" s="583">
        <v>593</v>
      </c>
      <c r="D960" s="625" t="e">
        <f t="shared" si="34"/>
        <v>#VALUE!</v>
      </c>
      <c r="E960" s="591"/>
      <c r="F960" s="591"/>
      <c r="G960" s="591"/>
      <c r="H960" s="591"/>
      <c r="I960" s="591"/>
      <c r="J960" s="591"/>
      <c r="K960" s="542"/>
      <c r="O960" s="1134"/>
      <c r="Q960" s="1133"/>
    </row>
    <row r="961" spans="2:17" x14ac:dyDescent="0.3">
      <c r="B961" s="126"/>
      <c r="C961" s="583">
        <v>594</v>
      </c>
      <c r="D961" s="625" t="e">
        <f t="shared" si="34"/>
        <v>#VALUE!</v>
      </c>
      <c r="E961" s="591"/>
      <c r="F961" s="591"/>
      <c r="G961" s="591"/>
      <c r="H961" s="591"/>
      <c r="I961" s="591"/>
      <c r="J961" s="591"/>
      <c r="K961" s="542"/>
      <c r="O961" s="1134"/>
      <c r="Q961" s="1133"/>
    </row>
    <row r="962" spans="2:17" x14ac:dyDescent="0.3">
      <c r="B962" s="126"/>
      <c r="C962" s="583">
        <v>595</v>
      </c>
      <c r="D962" s="625" t="e">
        <f t="shared" si="34"/>
        <v>#VALUE!</v>
      </c>
      <c r="E962" s="591"/>
      <c r="F962" s="591"/>
      <c r="G962" s="591"/>
      <c r="H962" s="591"/>
      <c r="I962" s="591"/>
      <c r="J962" s="591"/>
      <c r="K962" s="542"/>
      <c r="O962" s="1134"/>
      <c r="Q962" s="1133"/>
    </row>
    <row r="963" spans="2:17" x14ac:dyDescent="0.3">
      <c r="B963" s="126"/>
      <c r="C963" s="583">
        <v>596</v>
      </c>
      <c r="D963" s="625" t="e">
        <f t="shared" si="34"/>
        <v>#VALUE!</v>
      </c>
      <c r="E963" s="591"/>
      <c r="F963" s="591"/>
      <c r="G963" s="591"/>
      <c r="H963" s="591"/>
      <c r="I963" s="591"/>
      <c r="J963" s="591"/>
      <c r="K963" s="542"/>
      <c r="O963" s="1134"/>
      <c r="Q963" s="1133"/>
    </row>
    <row r="964" spans="2:17" x14ac:dyDescent="0.3">
      <c r="B964" s="126"/>
      <c r="C964" s="583">
        <v>597</v>
      </c>
      <c r="D964" s="625" t="e">
        <f t="shared" si="34"/>
        <v>#VALUE!</v>
      </c>
      <c r="E964" s="591"/>
      <c r="F964" s="591"/>
      <c r="G964" s="591"/>
      <c r="H964" s="591"/>
      <c r="I964" s="591"/>
      <c r="J964" s="591"/>
      <c r="K964" s="542"/>
      <c r="O964" s="1134"/>
      <c r="Q964" s="1133"/>
    </row>
    <row r="965" spans="2:17" x14ac:dyDescent="0.3">
      <c r="B965" s="126"/>
      <c r="C965" s="583">
        <v>598</v>
      </c>
      <c r="D965" s="625" t="e">
        <f t="shared" si="34"/>
        <v>#VALUE!</v>
      </c>
      <c r="E965" s="591"/>
      <c r="F965" s="591"/>
      <c r="G965" s="591"/>
      <c r="H965" s="591"/>
      <c r="I965" s="591"/>
      <c r="J965" s="591"/>
      <c r="K965" s="542"/>
      <c r="O965" s="1134"/>
      <c r="Q965" s="1133"/>
    </row>
    <row r="966" spans="2:17" x14ac:dyDescent="0.3">
      <c r="B966" s="126"/>
      <c r="C966" s="583">
        <v>599</v>
      </c>
      <c r="D966" s="625" t="e">
        <f t="shared" si="34"/>
        <v>#VALUE!</v>
      </c>
      <c r="E966" s="591"/>
      <c r="F966" s="591"/>
      <c r="G966" s="591"/>
      <c r="H966" s="591"/>
      <c r="I966" s="591"/>
      <c r="J966" s="591"/>
      <c r="K966" s="542"/>
      <c r="O966" s="1134"/>
      <c r="Q966" s="1133"/>
    </row>
    <row r="967" spans="2:17" x14ac:dyDescent="0.3">
      <c r="B967" s="126"/>
      <c r="C967" s="583">
        <v>600</v>
      </c>
      <c r="D967" s="625" t="e">
        <f t="shared" si="34"/>
        <v>#VALUE!</v>
      </c>
      <c r="E967" s="591"/>
      <c r="F967" s="591"/>
      <c r="G967" s="591"/>
      <c r="H967" s="591"/>
      <c r="I967" s="591"/>
      <c r="J967" s="591"/>
      <c r="K967" s="542"/>
      <c r="O967" s="1134"/>
      <c r="Q967" s="1133"/>
    </row>
    <row r="968" spans="2:17" x14ac:dyDescent="0.3">
      <c r="B968" s="126"/>
      <c r="C968" s="583">
        <v>601</v>
      </c>
      <c r="D968" s="625" t="e">
        <f t="shared" si="34"/>
        <v>#VALUE!</v>
      </c>
      <c r="E968" s="591"/>
      <c r="F968" s="591"/>
      <c r="G968" s="591"/>
      <c r="H968" s="591"/>
      <c r="I968" s="591"/>
      <c r="J968" s="591"/>
      <c r="K968" s="542"/>
      <c r="O968" s="1134"/>
      <c r="Q968" s="1133"/>
    </row>
    <row r="969" spans="2:17" x14ac:dyDescent="0.3">
      <c r="B969" s="126"/>
      <c r="C969" s="583">
        <v>602</v>
      </c>
      <c r="D969" s="625" t="e">
        <f t="shared" si="34"/>
        <v>#VALUE!</v>
      </c>
      <c r="E969" s="591"/>
      <c r="F969" s="591"/>
      <c r="G969" s="591"/>
      <c r="H969" s="591"/>
      <c r="I969" s="591"/>
      <c r="J969" s="591"/>
      <c r="K969" s="542"/>
      <c r="O969" s="1134"/>
      <c r="Q969" s="1133"/>
    </row>
    <row r="970" spans="2:17" x14ac:dyDescent="0.3">
      <c r="B970" s="126"/>
      <c r="C970" s="583">
        <v>603</v>
      </c>
      <c r="D970" s="625" t="e">
        <f t="shared" si="34"/>
        <v>#VALUE!</v>
      </c>
      <c r="E970" s="591"/>
      <c r="F970" s="591"/>
      <c r="G970" s="591"/>
      <c r="H970" s="591"/>
      <c r="I970" s="591"/>
      <c r="J970" s="591"/>
      <c r="K970" s="542"/>
      <c r="O970" s="1134"/>
      <c r="Q970" s="1133"/>
    </row>
    <row r="971" spans="2:17" x14ac:dyDescent="0.3">
      <c r="B971" s="126"/>
      <c r="C971" s="583">
        <v>604</v>
      </c>
      <c r="D971" s="625" t="e">
        <f t="shared" si="34"/>
        <v>#VALUE!</v>
      </c>
      <c r="E971" s="591"/>
      <c r="F971" s="591"/>
      <c r="G971" s="591"/>
      <c r="H971" s="591"/>
      <c r="I971" s="591"/>
      <c r="J971" s="591"/>
      <c r="K971" s="542"/>
      <c r="O971" s="1134"/>
      <c r="Q971" s="1133"/>
    </row>
    <row r="972" spans="2:17" x14ac:dyDescent="0.3">
      <c r="B972" s="126"/>
      <c r="C972" s="583">
        <v>605</v>
      </c>
      <c r="D972" s="625" t="e">
        <f t="shared" si="34"/>
        <v>#VALUE!</v>
      </c>
      <c r="E972" s="591"/>
      <c r="F972" s="591"/>
      <c r="G972" s="591"/>
      <c r="H972" s="591"/>
      <c r="I972" s="591"/>
      <c r="J972" s="591"/>
      <c r="K972" s="542"/>
      <c r="O972" s="1134"/>
      <c r="Q972" s="1133"/>
    </row>
    <row r="973" spans="2:17" x14ac:dyDescent="0.3">
      <c r="B973" s="126"/>
      <c r="C973" s="583">
        <v>606</v>
      </c>
      <c r="D973" s="625" t="e">
        <f t="shared" si="34"/>
        <v>#VALUE!</v>
      </c>
      <c r="E973" s="591"/>
      <c r="F973" s="591"/>
      <c r="G973" s="591"/>
      <c r="H973" s="591"/>
      <c r="I973" s="591"/>
      <c r="J973" s="591"/>
      <c r="K973" s="542"/>
      <c r="O973" s="1134"/>
      <c r="Q973" s="1133"/>
    </row>
    <row r="974" spans="2:17" x14ac:dyDescent="0.3">
      <c r="B974" s="126"/>
      <c r="C974" s="583">
        <v>607</v>
      </c>
      <c r="D974" s="625" t="e">
        <f t="shared" si="34"/>
        <v>#VALUE!</v>
      </c>
      <c r="E974" s="591"/>
      <c r="F974" s="591"/>
      <c r="G974" s="591"/>
      <c r="H974" s="591"/>
      <c r="I974" s="591"/>
      <c r="J974" s="591"/>
      <c r="K974" s="542"/>
      <c r="O974" s="1134"/>
      <c r="Q974" s="1133"/>
    </row>
    <row r="975" spans="2:17" x14ac:dyDescent="0.3">
      <c r="B975" s="126"/>
      <c r="C975" s="583">
        <v>608</v>
      </c>
      <c r="D975" s="625" t="e">
        <f t="shared" si="34"/>
        <v>#VALUE!</v>
      </c>
      <c r="E975" s="591"/>
      <c r="F975" s="591"/>
      <c r="G975" s="591"/>
      <c r="H975" s="591"/>
      <c r="I975" s="591"/>
      <c r="J975" s="591"/>
      <c r="K975" s="542"/>
      <c r="O975" s="1134"/>
      <c r="Q975" s="1133"/>
    </row>
    <row r="976" spans="2:17" x14ac:dyDescent="0.3">
      <c r="B976" s="126"/>
      <c r="C976" s="583">
        <v>609</v>
      </c>
      <c r="D976" s="625" t="e">
        <f t="shared" si="34"/>
        <v>#VALUE!</v>
      </c>
      <c r="E976" s="591"/>
      <c r="F976" s="591"/>
      <c r="G976" s="591"/>
      <c r="H976" s="591"/>
      <c r="I976" s="591"/>
      <c r="J976" s="591"/>
      <c r="K976" s="542"/>
      <c r="O976" s="1134"/>
      <c r="Q976" s="1133"/>
    </row>
    <row r="977" spans="2:17" x14ac:dyDescent="0.3">
      <c r="B977" s="126"/>
      <c r="C977" s="583">
        <v>610</v>
      </c>
      <c r="D977" s="625" t="e">
        <f t="shared" si="34"/>
        <v>#VALUE!</v>
      </c>
      <c r="E977" s="591"/>
      <c r="F977" s="591"/>
      <c r="G977" s="591"/>
      <c r="H977" s="591"/>
      <c r="I977" s="591"/>
      <c r="J977" s="591"/>
      <c r="K977" s="542"/>
      <c r="O977" s="1134"/>
      <c r="Q977" s="1133"/>
    </row>
    <row r="978" spans="2:17" x14ac:dyDescent="0.3">
      <c r="B978" s="126"/>
      <c r="C978" s="583">
        <v>611</v>
      </c>
      <c r="D978" s="625" t="e">
        <f t="shared" si="34"/>
        <v>#VALUE!</v>
      </c>
      <c r="E978" s="591"/>
      <c r="F978" s="591"/>
      <c r="G978" s="591"/>
      <c r="H978" s="591"/>
      <c r="I978" s="591"/>
      <c r="J978" s="591"/>
      <c r="K978" s="542"/>
      <c r="O978" s="1134"/>
      <c r="Q978" s="1133"/>
    </row>
    <row r="979" spans="2:17" x14ac:dyDescent="0.3">
      <c r="B979" s="126"/>
      <c r="C979" s="583">
        <v>612</v>
      </c>
      <c r="D979" s="625" t="e">
        <f t="shared" si="34"/>
        <v>#VALUE!</v>
      </c>
      <c r="E979" s="591"/>
      <c r="F979" s="591"/>
      <c r="G979" s="591"/>
      <c r="H979" s="591"/>
      <c r="I979" s="591"/>
      <c r="J979" s="591"/>
      <c r="K979" s="542"/>
      <c r="O979" s="1134"/>
      <c r="Q979" s="1133"/>
    </row>
    <row r="980" spans="2:17" x14ac:dyDescent="0.3">
      <c r="B980" s="126"/>
      <c r="C980" s="583">
        <v>613</v>
      </c>
      <c r="D980" s="625" t="e">
        <f t="shared" si="34"/>
        <v>#VALUE!</v>
      </c>
      <c r="E980" s="591"/>
      <c r="F980" s="591"/>
      <c r="G980" s="591"/>
      <c r="H980" s="591"/>
      <c r="I980" s="591"/>
      <c r="J980" s="591"/>
      <c r="K980" s="542"/>
      <c r="O980" s="1134"/>
      <c r="Q980" s="1133"/>
    </row>
    <row r="981" spans="2:17" x14ac:dyDescent="0.3">
      <c r="B981" s="126"/>
      <c r="C981" s="583">
        <v>614</v>
      </c>
      <c r="D981" s="625" t="e">
        <f t="shared" si="34"/>
        <v>#VALUE!</v>
      </c>
      <c r="E981" s="591"/>
      <c r="F981" s="591"/>
      <c r="G981" s="591"/>
      <c r="H981" s="591"/>
      <c r="I981" s="591"/>
      <c r="J981" s="591"/>
      <c r="K981" s="542"/>
      <c r="O981" s="1134"/>
      <c r="Q981" s="1133"/>
    </row>
    <row r="982" spans="2:17" x14ac:dyDescent="0.3">
      <c r="B982" s="126"/>
      <c r="C982" s="583">
        <v>615</v>
      </c>
      <c r="D982" s="625" t="e">
        <f t="shared" si="34"/>
        <v>#VALUE!</v>
      </c>
      <c r="E982" s="591"/>
      <c r="F982" s="591"/>
      <c r="G982" s="591"/>
      <c r="H982" s="591"/>
      <c r="I982" s="591"/>
      <c r="J982" s="591"/>
      <c r="K982" s="542"/>
      <c r="O982" s="1134"/>
      <c r="Q982" s="1133"/>
    </row>
    <row r="983" spans="2:17" x14ac:dyDescent="0.3">
      <c r="B983" s="126"/>
      <c r="C983" s="583">
        <v>616</v>
      </c>
      <c r="D983" s="625" t="e">
        <f t="shared" si="34"/>
        <v>#VALUE!</v>
      </c>
      <c r="E983" s="591"/>
      <c r="F983" s="591"/>
      <c r="G983" s="591"/>
      <c r="H983" s="591"/>
      <c r="I983" s="591"/>
      <c r="J983" s="591"/>
      <c r="K983" s="542"/>
      <c r="O983" s="1134"/>
      <c r="Q983" s="1133"/>
    </row>
    <row r="984" spans="2:17" x14ac:dyDescent="0.3">
      <c r="B984" s="126"/>
      <c r="C984" s="583">
        <v>617</v>
      </c>
      <c r="D984" s="625" t="e">
        <f t="shared" si="34"/>
        <v>#VALUE!</v>
      </c>
      <c r="E984" s="591"/>
      <c r="F984" s="591"/>
      <c r="G984" s="591"/>
      <c r="H984" s="591"/>
      <c r="I984" s="591"/>
      <c r="J984" s="591"/>
      <c r="K984" s="542"/>
      <c r="O984" s="1134"/>
      <c r="Q984" s="1133"/>
    </row>
    <row r="985" spans="2:17" x14ac:dyDescent="0.3">
      <c r="B985" s="126"/>
      <c r="C985" s="583">
        <v>618</v>
      </c>
      <c r="D985" s="625" t="e">
        <f t="shared" si="34"/>
        <v>#VALUE!</v>
      </c>
      <c r="E985" s="591"/>
      <c r="F985" s="591"/>
      <c r="G985" s="591"/>
      <c r="H985" s="591"/>
      <c r="I985" s="591"/>
      <c r="J985" s="591"/>
      <c r="K985" s="542"/>
      <c r="O985" s="1134"/>
      <c r="Q985" s="1133"/>
    </row>
    <row r="986" spans="2:17" x14ac:dyDescent="0.3">
      <c r="B986" s="126"/>
      <c r="C986" s="583">
        <v>619</v>
      </c>
      <c r="D986" s="625" t="e">
        <f t="shared" si="34"/>
        <v>#VALUE!</v>
      </c>
      <c r="E986" s="591"/>
      <c r="F986" s="591"/>
      <c r="G986" s="591"/>
      <c r="H986" s="591"/>
      <c r="I986" s="591"/>
      <c r="J986" s="591"/>
      <c r="K986" s="542"/>
      <c r="O986" s="1134"/>
      <c r="Q986" s="1133"/>
    </row>
    <row r="987" spans="2:17" x14ac:dyDescent="0.3">
      <c r="B987" s="126"/>
      <c r="C987" s="583">
        <v>620</v>
      </c>
      <c r="D987" s="625" t="e">
        <f t="shared" si="34"/>
        <v>#VALUE!</v>
      </c>
      <c r="E987" s="591"/>
      <c r="F987" s="591"/>
      <c r="G987" s="591"/>
      <c r="H987" s="591"/>
      <c r="I987" s="591"/>
      <c r="J987" s="591"/>
      <c r="K987" s="542"/>
      <c r="O987" s="1134"/>
      <c r="Q987" s="1133"/>
    </row>
    <row r="988" spans="2:17" x14ac:dyDescent="0.3">
      <c r="B988" s="126"/>
      <c r="C988" s="583">
        <v>621</v>
      </c>
      <c r="D988" s="625" t="e">
        <f t="shared" si="34"/>
        <v>#VALUE!</v>
      </c>
      <c r="E988" s="591"/>
      <c r="F988" s="591"/>
      <c r="G988" s="591"/>
      <c r="H988" s="591"/>
      <c r="I988" s="591"/>
      <c r="J988" s="591"/>
      <c r="K988" s="542"/>
      <c r="O988" s="1134"/>
      <c r="Q988" s="1133"/>
    </row>
    <row r="989" spans="2:17" x14ac:dyDescent="0.3">
      <c r="B989" s="126"/>
      <c r="C989" s="583">
        <v>622</v>
      </c>
      <c r="D989" s="625" t="e">
        <f t="shared" si="34"/>
        <v>#VALUE!</v>
      </c>
      <c r="E989" s="591"/>
      <c r="F989" s="591"/>
      <c r="G989" s="591"/>
      <c r="H989" s="591"/>
      <c r="I989" s="591"/>
      <c r="J989" s="591"/>
      <c r="K989" s="542"/>
      <c r="O989" s="1134"/>
      <c r="Q989" s="1133"/>
    </row>
    <row r="990" spans="2:17" x14ac:dyDescent="0.3">
      <c r="B990" s="126"/>
      <c r="C990" s="583">
        <v>623</v>
      </c>
      <c r="D990" s="625" t="e">
        <f t="shared" si="34"/>
        <v>#VALUE!</v>
      </c>
      <c r="E990" s="591"/>
      <c r="F990" s="591"/>
      <c r="G990" s="591"/>
      <c r="H990" s="591"/>
      <c r="I990" s="591"/>
      <c r="J990" s="591"/>
      <c r="K990" s="542"/>
      <c r="O990" s="1134"/>
      <c r="Q990" s="1133"/>
    </row>
    <row r="991" spans="2:17" x14ac:dyDescent="0.3">
      <c r="B991" s="126"/>
      <c r="C991" s="583">
        <v>624</v>
      </c>
      <c r="D991" s="625" t="e">
        <f t="shared" si="34"/>
        <v>#VALUE!</v>
      </c>
      <c r="E991" s="591"/>
      <c r="F991" s="591"/>
      <c r="G991" s="591"/>
      <c r="H991" s="591"/>
      <c r="I991" s="591"/>
      <c r="J991" s="591"/>
      <c r="K991" s="542"/>
      <c r="O991" s="1134"/>
      <c r="Q991" s="1133"/>
    </row>
    <row r="992" spans="2:17" x14ac:dyDescent="0.3">
      <c r="B992" s="126"/>
      <c r="C992" s="583">
        <v>625</v>
      </c>
      <c r="D992" s="625" t="e">
        <f t="shared" si="34"/>
        <v>#VALUE!</v>
      </c>
      <c r="E992" s="591"/>
      <c r="F992" s="591"/>
      <c r="G992" s="591"/>
      <c r="H992" s="591"/>
      <c r="I992" s="591"/>
      <c r="J992" s="591"/>
      <c r="K992" s="542"/>
      <c r="O992" s="1134"/>
      <c r="Q992" s="1133"/>
    </row>
    <row r="993" spans="2:17" x14ac:dyDescent="0.3">
      <c r="B993" s="126"/>
      <c r="C993" s="583">
        <v>626</v>
      </c>
      <c r="D993" s="625" t="e">
        <f t="shared" si="34"/>
        <v>#VALUE!</v>
      </c>
      <c r="E993" s="591"/>
      <c r="F993" s="591"/>
      <c r="G993" s="591"/>
      <c r="H993" s="591"/>
      <c r="I993" s="591"/>
      <c r="J993" s="591"/>
      <c r="K993" s="542"/>
      <c r="O993" s="1134"/>
      <c r="Q993" s="1133"/>
    </row>
    <row r="994" spans="2:17" x14ac:dyDescent="0.3">
      <c r="B994" s="126"/>
      <c r="C994" s="583">
        <v>627</v>
      </c>
      <c r="D994" s="625" t="e">
        <f t="shared" si="34"/>
        <v>#VALUE!</v>
      </c>
      <c r="E994" s="591"/>
      <c r="F994" s="591"/>
      <c r="G994" s="591"/>
      <c r="H994" s="591"/>
      <c r="I994" s="591"/>
      <c r="J994" s="591"/>
      <c r="K994" s="542"/>
      <c r="O994" s="1134"/>
      <c r="Q994" s="1133"/>
    </row>
    <row r="995" spans="2:17" x14ac:dyDescent="0.3">
      <c r="B995" s="126"/>
      <c r="C995" s="583">
        <v>628</v>
      </c>
      <c r="D995" s="625" t="e">
        <f t="shared" si="34"/>
        <v>#VALUE!</v>
      </c>
      <c r="E995" s="591"/>
      <c r="F995" s="591"/>
      <c r="G995" s="591"/>
      <c r="H995" s="591"/>
      <c r="I995" s="591"/>
      <c r="J995" s="591"/>
      <c r="K995" s="542"/>
      <c r="O995" s="1134"/>
      <c r="Q995" s="1133"/>
    </row>
    <row r="996" spans="2:17" x14ac:dyDescent="0.3">
      <c r="B996" s="126"/>
      <c r="C996" s="583">
        <v>629</v>
      </c>
      <c r="D996" s="625" t="e">
        <f t="shared" si="34"/>
        <v>#VALUE!</v>
      </c>
      <c r="E996" s="591"/>
      <c r="F996" s="591"/>
      <c r="G996" s="591"/>
      <c r="H996" s="591"/>
      <c r="I996" s="591"/>
      <c r="J996" s="591"/>
      <c r="K996" s="542"/>
      <c r="O996" s="1134"/>
      <c r="Q996" s="1133"/>
    </row>
    <row r="997" spans="2:17" x14ac:dyDescent="0.3">
      <c r="B997" s="126"/>
      <c r="C997" s="583">
        <v>630</v>
      </c>
      <c r="D997" s="625" t="e">
        <f t="shared" si="34"/>
        <v>#VALUE!</v>
      </c>
      <c r="E997" s="591"/>
      <c r="F997" s="591"/>
      <c r="G997" s="591"/>
      <c r="H997" s="591"/>
      <c r="I997" s="591"/>
      <c r="J997" s="591"/>
      <c r="K997" s="542"/>
      <c r="O997" s="1134"/>
      <c r="Q997" s="1133"/>
    </row>
    <row r="998" spans="2:17" x14ac:dyDescent="0.3">
      <c r="B998" s="126"/>
      <c r="C998" s="583">
        <v>631</v>
      </c>
      <c r="D998" s="625" t="e">
        <f t="shared" si="34"/>
        <v>#VALUE!</v>
      </c>
      <c r="E998" s="591"/>
      <c r="F998" s="591"/>
      <c r="G998" s="591"/>
      <c r="H998" s="591"/>
      <c r="I998" s="591"/>
      <c r="J998" s="591"/>
      <c r="K998" s="542"/>
      <c r="O998" s="1134"/>
      <c r="Q998" s="1133"/>
    </row>
    <row r="999" spans="2:17" x14ac:dyDescent="0.3">
      <c r="B999" s="126"/>
      <c r="C999" s="583">
        <v>632</v>
      </c>
      <c r="D999" s="625" t="e">
        <f t="shared" si="34"/>
        <v>#VALUE!</v>
      </c>
      <c r="E999" s="591"/>
      <c r="F999" s="591"/>
      <c r="G999" s="591"/>
      <c r="H999" s="591"/>
      <c r="I999" s="591"/>
      <c r="J999" s="591"/>
      <c r="K999" s="542"/>
      <c r="O999" s="1134"/>
      <c r="Q999" s="1133"/>
    </row>
    <row r="1000" spans="2:17" x14ac:dyDescent="0.3">
      <c r="B1000" s="126"/>
      <c r="C1000" s="583">
        <v>633</v>
      </c>
      <c r="D1000" s="625" t="e">
        <f t="shared" si="34"/>
        <v>#VALUE!</v>
      </c>
      <c r="E1000" s="591"/>
      <c r="F1000" s="591"/>
      <c r="G1000" s="591"/>
      <c r="H1000" s="591"/>
      <c r="I1000" s="591"/>
      <c r="J1000" s="591"/>
      <c r="K1000" s="542"/>
      <c r="O1000" s="1134"/>
      <c r="Q1000" s="1133"/>
    </row>
    <row r="1001" spans="2:17" x14ac:dyDescent="0.3">
      <c r="B1001" s="126"/>
      <c r="C1001" s="583">
        <v>634</v>
      </c>
      <c r="D1001" s="625" t="e">
        <f t="shared" si="34"/>
        <v>#VALUE!</v>
      </c>
      <c r="E1001" s="591"/>
      <c r="F1001" s="591"/>
      <c r="G1001" s="591"/>
      <c r="H1001" s="591"/>
      <c r="I1001" s="591"/>
      <c r="J1001" s="591"/>
      <c r="K1001" s="542"/>
      <c r="O1001" s="1134"/>
      <c r="Q1001" s="1133"/>
    </row>
    <row r="1002" spans="2:17" x14ac:dyDescent="0.3">
      <c r="B1002" s="126"/>
      <c r="C1002" s="583">
        <v>635</v>
      </c>
      <c r="D1002" s="625" t="e">
        <f t="shared" si="34"/>
        <v>#VALUE!</v>
      </c>
      <c r="E1002" s="591"/>
      <c r="F1002" s="591"/>
      <c r="G1002" s="591"/>
      <c r="H1002" s="591"/>
      <c r="I1002" s="591"/>
      <c r="J1002" s="591"/>
      <c r="K1002" s="542"/>
      <c r="O1002" s="1134"/>
      <c r="Q1002" s="1133"/>
    </row>
    <row r="1003" spans="2:17" x14ac:dyDescent="0.3">
      <c r="B1003" s="126"/>
      <c r="C1003" s="583">
        <v>636</v>
      </c>
      <c r="D1003" s="625" t="e">
        <f t="shared" si="34"/>
        <v>#VALUE!</v>
      </c>
      <c r="E1003" s="591"/>
      <c r="F1003" s="591"/>
      <c r="G1003" s="591"/>
      <c r="H1003" s="591"/>
      <c r="I1003" s="591"/>
      <c r="J1003" s="591"/>
      <c r="K1003" s="542"/>
      <c r="O1003" s="1134"/>
      <c r="Q1003" s="1133"/>
    </row>
    <row r="1004" spans="2:17" x14ac:dyDescent="0.3">
      <c r="B1004" s="126"/>
      <c r="C1004" s="583">
        <v>637</v>
      </c>
      <c r="D1004" s="625" t="e">
        <f t="shared" si="34"/>
        <v>#VALUE!</v>
      </c>
      <c r="E1004" s="591"/>
      <c r="F1004" s="591"/>
      <c r="G1004" s="591"/>
      <c r="H1004" s="591"/>
      <c r="I1004" s="591"/>
      <c r="J1004" s="591"/>
      <c r="K1004" s="542"/>
      <c r="O1004" s="1134"/>
      <c r="Q1004" s="1133"/>
    </row>
    <row r="1005" spans="2:17" x14ac:dyDescent="0.3">
      <c r="B1005" s="126"/>
      <c r="C1005" s="583">
        <v>638</v>
      </c>
      <c r="D1005" s="625" t="e">
        <f t="shared" si="34"/>
        <v>#VALUE!</v>
      </c>
      <c r="E1005" s="591"/>
      <c r="F1005" s="591"/>
      <c r="G1005" s="591"/>
      <c r="H1005" s="591"/>
      <c r="I1005" s="591"/>
      <c r="J1005" s="591"/>
      <c r="K1005" s="542"/>
      <c r="O1005" s="1134"/>
      <c r="Q1005" s="1133"/>
    </row>
    <row r="1006" spans="2:17" x14ac:dyDescent="0.3">
      <c r="B1006" s="126"/>
      <c r="C1006" s="583">
        <v>639</v>
      </c>
      <c r="D1006" s="625" t="e">
        <f t="shared" si="34"/>
        <v>#VALUE!</v>
      </c>
      <c r="E1006" s="591"/>
      <c r="F1006" s="591"/>
      <c r="G1006" s="591"/>
      <c r="H1006" s="591"/>
      <c r="I1006" s="591"/>
      <c r="J1006" s="591"/>
      <c r="K1006" s="542"/>
      <c r="O1006" s="1134"/>
      <c r="Q1006" s="1133"/>
    </row>
    <row r="1007" spans="2:17" x14ac:dyDescent="0.3">
      <c r="B1007" s="126"/>
      <c r="C1007" s="583">
        <v>640</v>
      </c>
      <c r="D1007" s="625" t="e">
        <f t="shared" ref="D1007:D1070" si="35">$C$346*C1007</f>
        <v>#VALUE!</v>
      </c>
      <c r="E1007" s="591"/>
      <c r="F1007" s="591"/>
      <c r="G1007" s="591"/>
      <c r="H1007" s="591"/>
      <c r="I1007" s="591"/>
      <c r="J1007" s="591"/>
      <c r="K1007" s="542"/>
      <c r="O1007" s="1134"/>
      <c r="Q1007" s="1133"/>
    </row>
    <row r="1008" spans="2:17" x14ac:dyDescent="0.3">
      <c r="B1008" s="126"/>
      <c r="C1008" s="583">
        <v>641</v>
      </c>
      <c r="D1008" s="625" t="e">
        <f t="shared" si="35"/>
        <v>#VALUE!</v>
      </c>
      <c r="E1008" s="591"/>
      <c r="F1008" s="591"/>
      <c r="G1008" s="591"/>
      <c r="H1008" s="591"/>
      <c r="I1008" s="591"/>
      <c r="J1008" s="591"/>
      <c r="K1008" s="542"/>
      <c r="O1008" s="1134"/>
      <c r="Q1008" s="1133"/>
    </row>
    <row r="1009" spans="2:17" x14ac:dyDescent="0.3">
      <c r="B1009" s="126"/>
      <c r="C1009" s="583">
        <v>642</v>
      </c>
      <c r="D1009" s="625" t="e">
        <f t="shared" si="35"/>
        <v>#VALUE!</v>
      </c>
      <c r="E1009" s="591"/>
      <c r="F1009" s="591"/>
      <c r="G1009" s="591"/>
      <c r="H1009" s="591"/>
      <c r="I1009" s="591"/>
      <c r="J1009" s="591"/>
      <c r="K1009" s="542"/>
      <c r="O1009" s="1134"/>
      <c r="Q1009" s="1133"/>
    </row>
    <row r="1010" spans="2:17" x14ac:dyDescent="0.3">
      <c r="B1010" s="126"/>
      <c r="C1010" s="583">
        <v>643</v>
      </c>
      <c r="D1010" s="625" t="e">
        <f t="shared" si="35"/>
        <v>#VALUE!</v>
      </c>
      <c r="E1010" s="591"/>
      <c r="F1010" s="591"/>
      <c r="G1010" s="591"/>
      <c r="H1010" s="591"/>
      <c r="I1010" s="591"/>
      <c r="J1010" s="591"/>
      <c r="K1010" s="542"/>
      <c r="O1010" s="1134"/>
      <c r="Q1010" s="1133"/>
    </row>
    <row r="1011" spans="2:17" x14ac:dyDescent="0.3">
      <c r="B1011" s="126"/>
      <c r="C1011" s="583">
        <v>644</v>
      </c>
      <c r="D1011" s="625" t="e">
        <f t="shared" si="35"/>
        <v>#VALUE!</v>
      </c>
      <c r="E1011" s="591"/>
      <c r="F1011" s="591"/>
      <c r="G1011" s="591"/>
      <c r="H1011" s="591"/>
      <c r="I1011" s="591"/>
      <c r="J1011" s="591"/>
      <c r="K1011" s="542"/>
      <c r="O1011" s="1134"/>
      <c r="Q1011" s="1133"/>
    </row>
    <row r="1012" spans="2:17" x14ac:dyDescent="0.3">
      <c r="B1012" s="126"/>
      <c r="C1012" s="583">
        <v>645</v>
      </c>
      <c r="D1012" s="625" t="e">
        <f t="shared" si="35"/>
        <v>#VALUE!</v>
      </c>
      <c r="E1012" s="591"/>
      <c r="F1012" s="591"/>
      <c r="G1012" s="591"/>
      <c r="H1012" s="591"/>
      <c r="I1012" s="591"/>
      <c r="J1012" s="591"/>
      <c r="K1012" s="542"/>
      <c r="O1012" s="1134"/>
      <c r="Q1012" s="1133"/>
    </row>
    <row r="1013" spans="2:17" x14ac:dyDescent="0.3">
      <c r="B1013" s="126"/>
      <c r="C1013" s="583">
        <v>646</v>
      </c>
      <c r="D1013" s="625" t="e">
        <f t="shared" si="35"/>
        <v>#VALUE!</v>
      </c>
      <c r="E1013" s="591"/>
      <c r="F1013" s="591"/>
      <c r="G1013" s="591"/>
      <c r="H1013" s="591"/>
      <c r="I1013" s="591"/>
      <c r="J1013" s="591"/>
      <c r="K1013" s="542"/>
      <c r="O1013" s="1134"/>
      <c r="Q1013" s="1133"/>
    </row>
    <row r="1014" spans="2:17" x14ac:dyDescent="0.3">
      <c r="B1014" s="126"/>
      <c r="C1014" s="583">
        <v>647</v>
      </c>
      <c r="D1014" s="625" t="e">
        <f t="shared" si="35"/>
        <v>#VALUE!</v>
      </c>
      <c r="E1014" s="591"/>
      <c r="F1014" s="591"/>
      <c r="G1014" s="591"/>
      <c r="H1014" s="591"/>
      <c r="I1014" s="591"/>
      <c r="J1014" s="591"/>
      <c r="K1014" s="542"/>
      <c r="O1014" s="1134"/>
      <c r="Q1014" s="1133"/>
    </row>
    <row r="1015" spans="2:17" x14ac:dyDescent="0.3">
      <c r="B1015" s="126"/>
      <c r="C1015" s="583">
        <v>648</v>
      </c>
      <c r="D1015" s="625" t="e">
        <f t="shared" si="35"/>
        <v>#VALUE!</v>
      </c>
      <c r="E1015" s="591"/>
      <c r="F1015" s="591"/>
      <c r="G1015" s="591"/>
      <c r="H1015" s="591"/>
      <c r="I1015" s="591"/>
      <c r="J1015" s="591"/>
      <c r="K1015" s="542"/>
      <c r="O1015" s="1134"/>
      <c r="Q1015" s="1133"/>
    </row>
    <row r="1016" spans="2:17" x14ac:dyDescent="0.3">
      <c r="B1016" s="126"/>
      <c r="C1016" s="583">
        <v>649</v>
      </c>
      <c r="D1016" s="625" t="e">
        <f t="shared" si="35"/>
        <v>#VALUE!</v>
      </c>
      <c r="E1016" s="591"/>
      <c r="F1016" s="591"/>
      <c r="G1016" s="591"/>
      <c r="H1016" s="591"/>
      <c r="I1016" s="591"/>
      <c r="J1016" s="591"/>
      <c r="K1016" s="542"/>
      <c r="O1016" s="1134"/>
      <c r="Q1016" s="1133"/>
    </row>
    <row r="1017" spans="2:17" x14ac:dyDescent="0.3">
      <c r="B1017" s="126"/>
      <c r="C1017" s="583">
        <v>650</v>
      </c>
      <c r="D1017" s="625" t="e">
        <f t="shared" si="35"/>
        <v>#VALUE!</v>
      </c>
      <c r="E1017" s="591"/>
      <c r="F1017" s="591"/>
      <c r="G1017" s="591"/>
      <c r="H1017" s="591"/>
      <c r="I1017" s="591"/>
      <c r="J1017" s="591"/>
      <c r="K1017" s="542"/>
      <c r="O1017" s="1134"/>
      <c r="Q1017" s="1133"/>
    </row>
    <row r="1018" spans="2:17" x14ac:dyDescent="0.3">
      <c r="B1018" s="126"/>
      <c r="C1018" s="583">
        <v>651</v>
      </c>
      <c r="D1018" s="625" t="e">
        <f t="shared" si="35"/>
        <v>#VALUE!</v>
      </c>
      <c r="E1018" s="591"/>
      <c r="F1018" s="591"/>
      <c r="G1018" s="591"/>
      <c r="H1018" s="591"/>
      <c r="I1018" s="591"/>
      <c r="J1018" s="591"/>
      <c r="K1018" s="542"/>
      <c r="O1018" s="1134"/>
      <c r="Q1018" s="1133"/>
    </row>
    <row r="1019" spans="2:17" x14ac:dyDescent="0.3">
      <c r="B1019" s="126"/>
      <c r="C1019" s="583">
        <v>652</v>
      </c>
      <c r="D1019" s="625" t="e">
        <f t="shared" si="35"/>
        <v>#VALUE!</v>
      </c>
      <c r="E1019" s="591"/>
      <c r="F1019" s="591"/>
      <c r="G1019" s="591"/>
      <c r="H1019" s="591"/>
      <c r="I1019" s="591"/>
      <c r="J1019" s="591"/>
      <c r="K1019" s="542"/>
      <c r="O1019" s="1134"/>
      <c r="Q1019" s="1133"/>
    </row>
    <row r="1020" spans="2:17" x14ac:dyDescent="0.3">
      <c r="B1020" s="126"/>
      <c r="C1020" s="583">
        <v>653</v>
      </c>
      <c r="D1020" s="625" t="e">
        <f t="shared" si="35"/>
        <v>#VALUE!</v>
      </c>
      <c r="E1020" s="591"/>
      <c r="F1020" s="591"/>
      <c r="G1020" s="591"/>
      <c r="H1020" s="591"/>
      <c r="I1020" s="591"/>
      <c r="J1020" s="591"/>
      <c r="K1020" s="542"/>
      <c r="O1020" s="1134"/>
      <c r="Q1020" s="1133"/>
    </row>
    <row r="1021" spans="2:17" x14ac:dyDescent="0.3">
      <c r="B1021" s="126"/>
      <c r="C1021" s="583">
        <v>654</v>
      </c>
      <c r="D1021" s="625" t="e">
        <f t="shared" si="35"/>
        <v>#VALUE!</v>
      </c>
      <c r="E1021" s="591"/>
      <c r="F1021" s="591"/>
      <c r="G1021" s="591"/>
      <c r="H1021" s="591"/>
      <c r="I1021" s="591"/>
      <c r="J1021" s="591"/>
      <c r="K1021" s="542"/>
      <c r="O1021" s="1134"/>
      <c r="Q1021" s="1133"/>
    </row>
    <row r="1022" spans="2:17" x14ac:dyDescent="0.3">
      <c r="B1022" s="126"/>
      <c r="C1022" s="583">
        <v>655</v>
      </c>
      <c r="D1022" s="625" t="e">
        <f t="shared" si="35"/>
        <v>#VALUE!</v>
      </c>
      <c r="E1022" s="591"/>
      <c r="F1022" s="591"/>
      <c r="G1022" s="591"/>
      <c r="H1022" s="591"/>
      <c r="I1022" s="591"/>
      <c r="J1022" s="591"/>
      <c r="K1022" s="542"/>
      <c r="O1022" s="1134"/>
      <c r="Q1022" s="1133"/>
    </row>
    <row r="1023" spans="2:17" x14ac:dyDescent="0.3">
      <c r="B1023" s="126"/>
      <c r="C1023" s="583">
        <v>656</v>
      </c>
      <c r="D1023" s="625" t="e">
        <f t="shared" si="35"/>
        <v>#VALUE!</v>
      </c>
      <c r="E1023" s="591"/>
      <c r="F1023" s="591"/>
      <c r="G1023" s="591"/>
      <c r="H1023" s="591"/>
      <c r="I1023" s="591"/>
      <c r="J1023" s="591"/>
      <c r="K1023" s="542"/>
      <c r="O1023" s="1134"/>
      <c r="Q1023" s="1133"/>
    </row>
    <row r="1024" spans="2:17" x14ac:dyDescent="0.3">
      <c r="B1024" s="126"/>
      <c r="C1024" s="583">
        <v>657</v>
      </c>
      <c r="D1024" s="625" t="e">
        <f t="shared" si="35"/>
        <v>#VALUE!</v>
      </c>
      <c r="E1024" s="591"/>
      <c r="F1024" s="591"/>
      <c r="G1024" s="591"/>
      <c r="H1024" s="591"/>
      <c r="I1024" s="591"/>
      <c r="J1024" s="591"/>
      <c r="K1024" s="542"/>
      <c r="O1024" s="1134"/>
      <c r="Q1024" s="1133"/>
    </row>
    <row r="1025" spans="2:17" x14ac:dyDescent="0.3">
      <c r="B1025" s="126"/>
      <c r="C1025" s="583">
        <v>658</v>
      </c>
      <c r="D1025" s="625" t="e">
        <f t="shared" si="35"/>
        <v>#VALUE!</v>
      </c>
      <c r="E1025" s="591"/>
      <c r="F1025" s="591"/>
      <c r="G1025" s="591"/>
      <c r="H1025" s="591"/>
      <c r="I1025" s="591"/>
      <c r="J1025" s="591"/>
      <c r="K1025" s="542"/>
      <c r="O1025" s="1134"/>
      <c r="Q1025" s="1133"/>
    </row>
    <row r="1026" spans="2:17" x14ac:dyDescent="0.3">
      <c r="B1026" s="126"/>
      <c r="C1026" s="583">
        <v>659</v>
      </c>
      <c r="D1026" s="625" t="e">
        <f t="shared" si="35"/>
        <v>#VALUE!</v>
      </c>
      <c r="E1026" s="591"/>
      <c r="F1026" s="591"/>
      <c r="G1026" s="591"/>
      <c r="H1026" s="591"/>
      <c r="I1026" s="591"/>
      <c r="J1026" s="591"/>
      <c r="K1026" s="542"/>
      <c r="O1026" s="1134"/>
      <c r="Q1026" s="1133"/>
    </row>
    <row r="1027" spans="2:17" x14ac:dyDescent="0.3">
      <c r="B1027" s="126"/>
      <c r="C1027" s="583">
        <v>660</v>
      </c>
      <c r="D1027" s="625" t="e">
        <f t="shared" si="35"/>
        <v>#VALUE!</v>
      </c>
      <c r="E1027" s="591"/>
      <c r="F1027" s="591"/>
      <c r="G1027" s="591"/>
      <c r="H1027" s="591"/>
      <c r="I1027" s="591"/>
      <c r="J1027" s="591"/>
      <c r="K1027" s="542"/>
      <c r="O1027" s="1134"/>
      <c r="Q1027" s="1133"/>
    </row>
    <row r="1028" spans="2:17" x14ac:dyDescent="0.3">
      <c r="B1028" s="126"/>
      <c r="C1028" s="583">
        <v>661</v>
      </c>
      <c r="D1028" s="625" t="e">
        <f t="shared" si="35"/>
        <v>#VALUE!</v>
      </c>
      <c r="E1028" s="591"/>
      <c r="F1028" s="591"/>
      <c r="G1028" s="591"/>
      <c r="H1028" s="591"/>
      <c r="I1028" s="591"/>
      <c r="J1028" s="591"/>
      <c r="K1028" s="542"/>
      <c r="O1028" s="1134"/>
      <c r="Q1028" s="1133"/>
    </row>
    <row r="1029" spans="2:17" x14ac:dyDescent="0.3">
      <c r="B1029" s="126"/>
      <c r="C1029" s="583">
        <v>662</v>
      </c>
      <c r="D1029" s="625" t="e">
        <f t="shared" si="35"/>
        <v>#VALUE!</v>
      </c>
      <c r="E1029" s="591"/>
      <c r="F1029" s="591"/>
      <c r="G1029" s="591"/>
      <c r="H1029" s="591"/>
      <c r="I1029" s="591"/>
      <c r="J1029" s="591"/>
      <c r="K1029" s="542"/>
      <c r="O1029" s="1134"/>
      <c r="Q1029" s="1133"/>
    </row>
    <row r="1030" spans="2:17" x14ac:dyDescent="0.3">
      <c r="B1030" s="126"/>
      <c r="C1030" s="583">
        <v>663</v>
      </c>
      <c r="D1030" s="625" t="e">
        <f t="shared" si="35"/>
        <v>#VALUE!</v>
      </c>
      <c r="E1030" s="591"/>
      <c r="F1030" s="591"/>
      <c r="G1030" s="591"/>
      <c r="H1030" s="591"/>
      <c r="I1030" s="591"/>
      <c r="J1030" s="591"/>
      <c r="K1030" s="542"/>
      <c r="O1030" s="1134"/>
      <c r="Q1030" s="1133"/>
    </row>
    <row r="1031" spans="2:17" x14ac:dyDescent="0.3">
      <c r="B1031" s="126"/>
      <c r="C1031" s="583">
        <v>664</v>
      </c>
      <c r="D1031" s="625" t="e">
        <f t="shared" si="35"/>
        <v>#VALUE!</v>
      </c>
      <c r="E1031" s="591"/>
      <c r="F1031" s="591"/>
      <c r="G1031" s="591"/>
      <c r="H1031" s="591"/>
      <c r="I1031" s="591"/>
      <c r="J1031" s="591"/>
      <c r="K1031" s="542"/>
      <c r="O1031" s="1134"/>
      <c r="Q1031" s="1133"/>
    </row>
    <row r="1032" spans="2:17" x14ac:dyDescent="0.3">
      <c r="B1032" s="126"/>
      <c r="C1032" s="583">
        <v>665</v>
      </c>
      <c r="D1032" s="625" t="e">
        <f t="shared" si="35"/>
        <v>#VALUE!</v>
      </c>
      <c r="E1032" s="591"/>
      <c r="F1032" s="591"/>
      <c r="G1032" s="591"/>
      <c r="H1032" s="591"/>
      <c r="I1032" s="591"/>
      <c r="J1032" s="591"/>
      <c r="K1032" s="542"/>
      <c r="O1032" s="1134"/>
      <c r="Q1032" s="1133"/>
    </row>
    <row r="1033" spans="2:17" x14ac:dyDescent="0.3">
      <c r="B1033" s="126"/>
      <c r="C1033" s="583">
        <v>666</v>
      </c>
      <c r="D1033" s="625" t="e">
        <f t="shared" si="35"/>
        <v>#VALUE!</v>
      </c>
      <c r="E1033" s="591"/>
      <c r="F1033" s="591"/>
      <c r="G1033" s="591"/>
      <c r="H1033" s="591"/>
      <c r="I1033" s="591"/>
      <c r="J1033" s="591"/>
      <c r="K1033" s="542"/>
      <c r="O1033" s="1134"/>
      <c r="Q1033" s="1133"/>
    </row>
    <row r="1034" spans="2:17" x14ac:dyDescent="0.3">
      <c r="B1034" s="126"/>
      <c r="C1034" s="583">
        <v>667</v>
      </c>
      <c r="D1034" s="625" t="e">
        <f t="shared" si="35"/>
        <v>#VALUE!</v>
      </c>
      <c r="E1034" s="591"/>
      <c r="F1034" s="591"/>
      <c r="G1034" s="591"/>
      <c r="H1034" s="591"/>
      <c r="I1034" s="591"/>
      <c r="J1034" s="591"/>
      <c r="K1034" s="542"/>
      <c r="O1034" s="1134"/>
      <c r="Q1034" s="1133"/>
    </row>
    <row r="1035" spans="2:17" x14ac:dyDescent="0.3">
      <c r="B1035" s="126"/>
      <c r="C1035" s="583">
        <v>668</v>
      </c>
      <c r="D1035" s="625" t="e">
        <f t="shared" si="35"/>
        <v>#VALUE!</v>
      </c>
      <c r="E1035" s="591"/>
      <c r="F1035" s="591"/>
      <c r="G1035" s="591"/>
      <c r="H1035" s="591"/>
      <c r="I1035" s="591"/>
      <c r="J1035" s="591"/>
      <c r="K1035" s="542"/>
      <c r="O1035" s="1134"/>
      <c r="Q1035" s="1133"/>
    </row>
    <row r="1036" spans="2:17" x14ac:dyDescent="0.3">
      <c r="B1036" s="126"/>
      <c r="C1036" s="583">
        <v>669</v>
      </c>
      <c r="D1036" s="625" t="e">
        <f t="shared" si="35"/>
        <v>#VALUE!</v>
      </c>
      <c r="E1036" s="591"/>
      <c r="F1036" s="591"/>
      <c r="G1036" s="591"/>
      <c r="H1036" s="591"/>
      <c r="I1036" s="591"/>
      <c r="J1036" s="591"/>
      <c r="K1036" s="542"/>
      <c r="O1036" s="1134"/>
      <c r="Q1036" s="1133"/>
    </row>
    <row r="1037" spans="2:17" x14ac:dyDescent="0.3">
      <c r="B1037" s="126"/>
      <c r="C1037" s="583">
        <v>670</v>
      </c>
      <c r="D1037" s="625" t="e">
        <f t="shared" si="35"/>
        <v>#VALUE!</v>
      </c>
      <c r="E1037" s="591"/>
      <c r="F1037" s="591"/>
      <c r="G1037" s="591"/>
      <c r="H1037" s="591"/>
      <c r="I1037" s="591"/>
      <c r="J1037" s="591"/>
      <c r="K1037" s="542"/>
      <c r="O1037" s="1134"/>
      <c r="Q1037" s="1133"/>
    </row>
    <row r="1038" spans="2:17" x14ac:dyDescent="0.3">
      <c r="B1038" s="126"/>
      <c r="C1038" s="583">
        <v>671</v>
      </c>
      <c r="D1038" s="625" t="e">
        <f t="shared" si="35"/>
        <v>#VALUE!</v>
      </c>
      <c r="E1038" s="591"/>
      <c r="F1038" s="591"/>
      <c r="G1038" s="591"/>
      <c r="H1038" s="591"/>
      <c r="I1038" s="591"/>
      <c r="J1038" s="591"/>
      <c r="K1038" s="542"/>
      <c r="O1038" s="1134"/>
      <c r="Q1038" s="1133"/>
    </row>
    <row r="1039" spans="2:17" x14ac:dyDescent="0.3">
      <c r="B1039" s="126"/>
      <c r="C1039" s="583">
        <v>672</v>
      </c>
      <c r="D1039" s="625" t="e">
        <f t="shared" si="35"/>
        <v>#VALUE!</v>
      </c>
      <c r="E1039" s="591"/>
      <c r="F1039" s="591"/>
      <c r="G1039" s="591"/>
      <c r="H1039" s="591"/>
      <c r="I1039" s="591"/>
      <c r="J1039" s="591"/>
      <c r="K1039" s="542"/>
      <c r="O1039" s="1134"/>
      <c r="Q1039" s="1133"/>
    </row>
    <row r="1040" spans="2:17" x14ac:dyDescent="0.3">
      <c r="B1040" s="126"/>
      <c r="C1040" s="583">
        <v>673</v>
      </c>
      <c r="D1040" s="625" t="e">
        <f t="shared" si="35"/>
        <v>#VALUE!</v>
      </c>
      <c r="E1040" s="591"/>
      <c r="F1040" s="591"/>
      <c r="G1040" s="591"/>
      <c r="H1040" s="591"/>
      <c r="I1040" s="591"/>
      <c r="J1040" s="591"/>
      <c r="K1040" s="542"/>
      <c r="O1040" s="1134"/>
      <c r="Q1040" s="1133"/>
    </row>
    <row r="1041" spans="2:17" x14ac:dyDescent="0.3">
      <c r="B1041" s="126"/>
      <c r="C1041" s="583">
        <v>674</v>
      </c>
      <c r="D1041" s="625" t="e">
        <f t="shared" si="35"/>
        <v>#VALUE!</v>
      </c>
      <c r="E1041" s="591"/>
      <c r="F1041" s="591"/>
      <c r="G1041" s="591"/>
      <c r="H1041" s="591"/>
      <c r="I1041" s="591"/>
      <c r="J1041" s="591"/>
      <c r="K1041" s="542"/>
      <c r="O1041" s="1134"/>
      <c r="Q1041" s="1133"/>
    </row>
    <row r="1042" spans="2:17" x14ac:dyDescent="0.3">
      <c r="B1042" s="126"/>
      <c r="C1042" s="583">
        <v>675</v>
      </c>
      <c r="D1042" s="625" t="e">
        <f t="shared" si="35"/>
        <v>#VALUE!</v>
      </c>
      <c r="E1042" s="591"/>
      <c r="F1042" s="591"/>
      <c r="G1042" s="591"/>
      <c r="H1042" s="591"/>
      <c r="I1042" s="591"/>
      <c r="J1042" s="591"/>
      <c r="K1042" s="542"/>
      <c r="O1042" s="1134"/>
      <c r="Q1042" s="1133"/>
    </row>
    <row r="1043" spans="2:17" x14ac:dyDescent="0.3">
      <c r="B1043" s="126"/>
      <c r="C1043" s="583">
        <v>676</v>
      </c>
      <c r="D1043" s="625" t="e">
        <f t="shared" si="35"/>
        <v>#VALUE!</v>
      </c>
      <c r="E1043" s="591"/>
      <c r="F1043" s="591"/>
      <c r="G1043" s="591"/>
      <c r="H1043" s="591"/>
      <c r="I1043" s="591"/>
      <c r="J1043" s="591"/>
      <c r="K1043" s="542"/>
      <c r="O1043" s="1134"/>
      <c r="Q1043" s="1133"/>
    </row>
    <row r="1044" spans="2:17" x14ac:dyDescent="0.3">
      <c r="B1044" s="126"/>
      <c r="C1044" s="583">
        <v>677</v>
      </c>
      <c r="D1044" s="625" t="e">
        <f t="shared" si="35"/>
        <v>#VALUE!</v>
      </c>
      <c r="E1044" s="591"/>
      <c r="F1044" s="591"/>
      <c r="G1044" s="591"/>
      <c r="H1044" s="591"/>
      <c r="I1044" s="591"/>
      <c r="J1044" s="591"/>
      <c r="K1044" s="542"/>
      <c r="O1044" s="1134"/>
      <c r="Q1044" s="1133"/>
    </row>
    <row r="1045" spans="2:17" x14ac:dyDescent="0.3">
      <c r="B1045" s="126"/>
      <c r="C1045" s="583">
        <v>678</v>
      </c>
      <c r="D1045" s="625" t="e">
        <f t="shared" si="35"/>
        <v>#VALUE!</v>
      </c>
      <c r="E1045" s="591"/>
      <c r="F1045" s="591"/>
      <c r="G1045" s="591"/>
      <c r="H1045" s="591"/>
      <c r="I1045" s="591"/>
      <c r="J1045" s="591"/>
      <c r="K1045" s="542"/>
      <c r="O1045" s="1134"/>
      <c r="Q1045" s="1133"/>
    </row>
    <row r="1046" spans="2:17" x14ac:dyDescent="0.3">
      <c r="B1046" s="126"/>
      <c r="C1046" s="583">
        <v>679</v>
      </c>
      <c r="D1046" s="625" t="e">
        <f t="shared" si="35"/>
        <v>#VALUE!</v>
      </c>
      <c r="E1046" s="591"/>
      <c r="F1046" s="591"/>
      <c r="G1046" s="591"/>
      <c r="H1046" s="591"/>
      <c r="I1046" s="591"/>
      <c r="J1046" s="591"/>
      <c r="K1046" s="542"/>
      <c r="O1046" s="1134"/>
      <c r="Q1046" s="1133"/>
    </row>
    <row r="1047" spans="2:17" x14ac:dyDescent="0.3">
      <c r="B1047" s="126"/>
      <c r="C1047" s="583">
        <v>680</v>
      </c>
      <c r="D1047" s="625" t="e">
        <f t="shared" si="35"/>
        <v>#VALUE!</v>
      </c>
      <c r="E1047" s="591"/>
      <c r="F1047" s="591"/>
      <c r="G1047" s="591"/>
      <c r="H1047" s="591"/>
      <c r="I1047" s="591"/>
      <c r="J1047" s="591"/>
      <c r="K1047" s="542"/>
      <c r="O1047" s="1134"/>
      <c r="Q1047" s="1133"/>
    </row>
    <row r="1048" spans="2:17" x14ac:dyDescent="0.3">
      <c r="B1048" s="126"/>
      <c r="C1048" s="583">
        <v>681</v>
      </c>
      <c r="D1048" s="625" t="e">
        <f t="shared" si="35"/>
        <v>#VALUE!</v>
      </c>
      <c r="E1048" s="591"/>
      <c r="F1048" s="591"/>
      <c r="G1048" s="591"/>
      <c r="H1048" s="591"/>
      <c r="I1048" s="591"/>
      <c r="J1048" s="591"/>
      <c r="K1048" s="542"/>
      <c r="O1048" s="1134"/>
      <c r="Q1048" s="1133"/>
    </row>
    <row r="1049" spans="2:17" x14ac:dyDescent="0.3">
      <c r="B1049" s="126"/>
      <c r="C1049" s="583">
        <v>682</v>
      </c>
      <c r="D1049" s="625" t="e">
        <f t="shared" si="35"/>
        <v>#VALUE!</v>
      </c>
      <c r="E1049" s="591"/>
      <c r="F1049" s="591"/>
      <c r="G1049" s="591"/>
      <c r="H1049" s="591"/>
      <c r="I1049" s="591"/>
      <c r="J1049" s="591"/>
      <c r="K1049" s="542"/>
      <c r="O1049" s="1134"/>
      <c r="Q1049" s="1133"/>
    </row>
    <row r="1050" spans="2:17" x14ac:dyDescent="0.3">
      <c r="B1050" s="126"/>
      <c r="C1050" s="583">
        <v>683</v>
      </c>
      <c r="D1050" s="625" t="e">
        <f t="shared" si="35"/>
        <v>#VALUE!</v>
      </c>
      <c r="E1050" s="591"/>
      <c r="F1050" s="591"/>
      <c r="G1050" s="591"/>
      <c r="H1050" s="591"/>
      <c r="I1050" s="591"/>
      <c r="J1050" s="591"/>
      <c r="K1050" s="542"/>
      <c r="O1050" s="1134"/>
      <c r="Q1050" s="1133"/>
    </row>
    <row r="1051" spans="2:17" x14ac:dyDescent="0.3">
      <c r="B1051" s="126"/>
      <c r="C1051" s="583">
        <v>684</v>
      </c>
      <c r="D1051" s="625" t="e">
        <f t="shared" si="35"/>
        <v>#VALUE!</v>
      </c>
      <c r="E1051" s="591"/>
      <c r="F1051" s="591"/>
      <c r="G1051" s="591"/>
      <c r="H1051" s="591"/>
      <c r="I1051" s="591"/>
      <c r="J1051" s="591"/>
      <c r="K1051" s="542"/>
      <c r="O1051" s="1134"/>
      <c r="Q1051" s="1133"/>
    </row>
    <row r="1052" spans="2:17" x14ac:dyDescent="0.3">
      <c r="B1052" s="126"/>
      <c r="C1052" s="583">
        <v>685</v>
      </c>
      <c r="D1052" s="625" t="e">
        <f t="shared" si="35"/>
        <v>#VALUE!</v>
      </c>
      <c r="E1052" s="591"/>
      <c r="F1052" s="591"/>
      <c r="G1052" s="591"/>
      <c r="H1052" s="591"/>
      <c r="I1052" s="591"/>
      <c r="J1052" s="591"/>
      <c r="K1052" s="542"/>
      <c r="O1052" s="1134"/>
      <c r="Q1052" s="1133"/>
    </row>
    <row r="1053" spans="2:17" x14ac:dyDescent="0.3">
      <c r="B1053" s="126"/>
      <c r="C1053" s="583">
        <v>686</v>
      </c>
      <c r="D1053" s="625" t="e">
        <f t="shared" si="35"/>
        <v>#VALUE!</v>
      </c>
      <c r="E1053" s="591"/>
      <c r="F1053" s="591"/>
      <c r="G1053" s="591"/>
      <c r="H1053" s="591"/>
      <c r="I1053" s="591"/>
      <c r="J1053" s="591"/>
      <c r="K1053" s="542"/>
      <c r="O1053" s="1134"/>
      <c r="Q1053" s="1133"/>
    </row>
    <row r="1054" spans="2:17" x14ac:dyDescent="0.3">
      <c r="B1054" s="126"/>
      <c r="C1054" s="583">
        <v>687</v>
      </c>
      <c r="D1054" s="625" t="e">
        <f t="shared" si="35"/>
        <v>#VALUE!</v>
      </c>
      <c r="E1054" s="591"/>
      <c r="F1054" s="591"/>
      <c r="G1054" s="591"/>
      <c r="H1054" s="591"/>
      <c r="I1054" s="591"/>
      <c r="J1054" s="591"/>
      <c r="K1054" s="542"/>
      <c r="O1054" s="1134"/>
      <c r="Q1054" s="1133"/>
    </row>
    <row r="1055" spans="2:17" x14ac:dyDescent="0.3">
      <c r="B1055" s="126"/>
      <c r="C1055" s="583">
        <v>688</v>
      </c>
      <c r="D1055" s="625" t="e">
        <f t="shared" si="35"/>
        <v>#VALUE!</v>
      </c>
      <c r="E1055" s="591"/>
      <c r="F1055" s="591"/>
      <c r="G1055" s="591"/>
      <c r="H1055" s="591"/>
      <c r="I1055" s="591"/>
      <c r="J1055" s="591"/>
      <c r="K1055" s="542"/>
      <c r="O1055" s="1134"/>
      <c r="Q1055" s="1133"/>
    </row>
    <row r="1056" spans="2:17" x14ac:dyDescent="0.3">
      <c r="B1056" s="126"/>
      <c r="C1056" s="583">
        <v>689</v>
      </c>
      <c r="D1056" s="625" t="e">
        <f t="shared" si="35"/>
        <v>#VALUE!</v>
      </c>
      <c r="E1056" s="591"/>
      <c r="F1056" s="591"/>
      <c r="G1056" s="591"/>
      <c r="H1056" s="591"/>
      <c r="I1056" s="591"/>
      <c r="J1056" s="591"/>
      <c r="K1056" s="542"/>
      <c r="O1056" s="1134"/>
      <c r="Q1056" s="1133"/>
    </row>
    <row r="1057" spans="2:17" x14ac:dyDescent="0.3">
      <c r="B1057" s="126"/>
      <c r="C1057" s="583">
        <v>690</v>
      </c>
      <c r="D1057" s="625" t="e">
        <f t="shared" si="35"/>
        <v>#VALUE!</v>
      </c>
      <c r="E1057" s="591"/>
      <c r="F1057" s="591"/>
      <c r="G1057" s="591"/>
      <c r="H1057" s="591"/>
      <c r="I1057" s="591"/>
      <c r="J1057" s="591"/>
      <c r="K1057" s="542"/>
      <c r="O1057" s="1134"/>
      <c r="Q1057" s="1133"/>
    </row>
    <row r="1058" spans="2:17" x14ac:dyDescent="0.3">
      <c r="B1058" s="126"/>
      <c r="C1058" s="583">
        <v>691</v>
      </c>
      <c r="D1058" s="625" t="e">
        <f t="shared" si="35"/>
        <v>#VALUE!</v>
      </c>
      <c r="E1058" s="591"/>
      <c r="F1058" s="591"/>
      <c r="G1058" s="591"/>
      <c r="H1058" s="591"/>
      <c r="I1058" s="591"/>
      <c r="J1058" s="591"/>
      <c r="K1058" s="542"/>
      <c r="O1058" s="1134"/>
      <c r="Q1058" s="1133"/>
    </row>
    <row r="1059" spans="2:17" x14ac:dyDescent="0.3">
      <c r="B1059" s="126"/>
      <c r="C1059" s="583">
        <v>692</v>
      </c>
      <c r="D1059" s="625" t="e">
        <f t="shared" si="35"/>
        <v>#VALUE!</v>
      </c>
      <c r="E1059" s="591"/>
      <c r="F1059" s="591"/>
      <c r="G1059" s="591"/>
      <c r="H1059" s="591"/>
      <c r="I1059" s="591"/>
      <c r="J1059" s="591"/>
      <c r="K1059" s="542"/>
      <c r="O1059" s="1134"/>
      <c r="Q1059" s="1133"/>
    </row>
    <row r="1060" spans="2:17" x14ac:dyDescent="0.3">
      <c r="B1060" s="126"/>
      <c r="C1060" s="583">
        <v>693</v>
      </c>
      <c r="D1060" s="625" t="e">
        <f t="shared" si="35"/>
        <v>#VALUE!</v>
      </c>
      <c r="E1060" s="591"/>
      <c r="F1060" s="591"/>
      <c r="G1060" s="591"/>
      <c r="H1060" s="591"/>
      <c r="I1060" s="591"/>
      <c r="J1060" s="591"/>
      <c r="K1060" s="542"/>
      <c r="O1060" s="1134"/>
      <c r="Q1060" s="1133"/>
    </row>
    <row r="1061" spans="2:17" x14ac:dyDescent="0.3">
      <c r="B1061" s="126"/>
      <c r="C1061" s="583">
        <v>694</v>
      </c>
      <c r="D1061" s="625" t="e">
        <f t="shared" si="35"/>
        <v>#VALUE!</v>
      </c>
      <c r="E1061" s="591"/>
      <c r="F1061" s="591"/>
      <c r="G1061" s="591"/>
      <c r="H1061" s="591"/>
      <c r="I1061" s="591"/>
      <c r="J1061" s="591"/>
      <c r="K1061" s="542"/>
      <c r="O1061" s="1134"/>
      <c r="Q1061" s="1133"/>
    </row>
    <row r="1062" spans="2:17" x14ac:dyDescent="0.3">
      <c r="B1062" s="126"/>
      <c r="C1062" s="583">
        <v>695</v>
      </c>
      <c r="D1062" s="625" t="e">
        <f t="shared" si="35"/>
        <v>#VALUE!</v>
      </c>
      <c r="E1062" s="591"/>
      <c r="F1062" s="591"/>
      <c r="G1062" s="591"/>
      <c r="H1062" s="591"/>
      <c r="I1062" s="591"/>
      <c r="J1062" s="591"/>
      <c r="K1062" s="542"/>
      <c r="O1062" s="1134"/>
      <c r="Q1062" s="1133"/>
    </row>
    <row r="1063" spans="2:17" x14ac:dyDescent="0.3">
      <c r="B1063" s="126"/>
      <c r="C1063" s="583">
        <v>696</v>
      </c>
      <c r="D1063" s="625" t="e">
        <f t="shared" si="35"/>
        <v>#VALUE!</v>
      </c>
      <c r="E1063" s="591"/>
      <c r="F1063" s="591"/>
      <c r="G1063" s="591"/>
      <c r="H1063" s="591"/>
      <c r="I1063" s="591"/>
      <c r="J1063" s="591"/>
      <c r="K1063" s="542"/>
      <c r="O1063" s="1134"/>
      <c r="Q1063" s="1133"/>
    </row>
    <row r="1064" spans="2:17" x14ac:dyDescent="0.3">
      <c r="B1064" s="126"/>
      <c r="C1064" s="583">
        <v>697</v>
      </c>
      <c r="D1064" s="625" t="e">
        <f t="shared" si="35"/>
        <v>#VALUE!</v>
      </c>
      <c r="E1064" s="591"/>
      <c r="F1064" s="591"/>
      <c r="G1064" s="591"/>
      <c r="H1064" s="591"/>
      <c r="I1064" s="591"/>
      <c r="J1064" s="591"/>
      <c r="K1064" s="542"/>
      <c r="O1064" s="1134"/>
      <c r="Q1064" s="1133"/>
    </row>
    <row r="1065" spans="2:17" x14ac:dyDescent="0.3">
      <c r="B1065" s="126"/>
      <c r="C1065" s="583">
        <v>698</v>
      </c>
      <c r="D1065" s="625" t="e">
        <f t="shared" si="35"/>
        <v>#VALUE!</v>
      </c>
      <c r="E1065" s="591"/>
      <c r="F1065" s="591"/>
      <c r="G1065" s="591"/>
      <c r="H1065" s="591"/>
      <c r="I1065" s="591"/>
      <c r="J1065" s="591"/>
      <c r="K1065" s="542"/>
      <c r="O1065" s="1134"/>
      <c r="Q1065" s="1133"/>
    </row>
    <row r="1066" spans="2:17" x14ac:dyDescent="0.3">
      <c r="B1066" s="126"/>
      <c r="C1066" s="583">
        <v>699</v>
      </c>
      <c r="D1066" s="625" t="e">
        <f t="shared" si="35"/>
        <v>#VALUE!</v>
      </c>
      <c r="E1066" s="591"/>
      <c r="F1066" s="591"/>
      <c r="G1066" s="591"/>
      <c r="H1066" s="591"/>
      <c r="I1066" s="591"/>
      <c r="J1066" s="591"/>
      <c r="K1066" s="542"/>
      <c r="O1066" s="1134"/>
      <c r="Q1066" s="1133"/>
    </row>
    <row r="1067" spans="2:17" x14ac:dyDescent="0.3">
      <c r="B1067" s="126"/>
      <c r="C1067" s="583">
        <v>700</v>
      </c>
      <c r="D1067" s="625" t="e">
        <f t="shared" si="35"/>
        <v>#VALUE!</v>
      </c>
      <c r="E1067" s="591"/>
      <c r="F1067" s="591"/>
      <c r="G1067" s="591"/>
      <c r="H1067" s="591"/>
      <c r="I1067" s="591"/>
      <c r="J1067" s="591"/>
      <c r="K1067" s="542"/>
      <c r="O1067" s="1134"/>
      <c r="Q1067" s="1133"/>
    </row>
    <row r="1068" spans="2:17" x14ac:dyDescent="0.3">
      <c r="B1068" s="126"/>
      <c r="C1068" s="583">
        <v>701</v>
      </c>
      <c r="D1068" s="625" t="e">
        <f t="shared" si="35"/>
        <v>#VALUE!</v>
      </c>
      <c r="E1068" s="591"/>
      <c r="F1068" s="591"/>
      <c r="G1068" s="591"/>
      <c r="H1068" s="591"/>
      <c r="I1068" s="591"/>
      <c r="J1068" s="591"/>
      <c r="K1068" s="542"/>
      <c r="O1068" s="1134"/>
      <c r="Q1068" s="1133"/>
    </row>
    <row r="1069" spans="2:17" x14ac:dyDescent="0.3">
      <c r="B1069" s="126"/>
      <c r="C1069" s="583">
        <v>702</v>
      </c>
      <c r="D1069" s="625" t="e">
        <f t="shared" si="35"/>
        <v>#VALUE!</v>
      </c>
      <c r="E1069" s="591"/>
      <c r="F1069" s="591"/>
      <c r="G1069" s="591"/>
      <c r="H1069" s="591"/>
      <c r="I1069" s="591"/>
      <c r="J1069" s="591"/>
      <c r="K1069" s="542"/>
      <c r="O1069" s="1134"/>
      <c r="Q1069" s="1133"/>
    </row>
    <row r="1070" spans="2:17" x14ac:dyDescent="0.3">
      <c r="B1070" s="126"/>
      <c r="C1070" s="583">
        <v>703</v>
      </c>
      <c r="D1070" s="625" t="e">
        <f t="shared" si="35"/>
        <v>#VALUE!</v>
      </c>
      <c r="E1070" s="591"/>
      <c r="F1070" s="591"/>
      <c r="G1070" s="591"/>
      <c r="H1070" s="591"/>
      <c r="I1070" s="591"/>
      <c r="J1070" s="591"/>
      <c r="K1070" s="542"/>
      <c r="O1070" s="1134"/>
      <c r="Q1070" s="1133"/>
    </row>
    <row r="1071" spans="2:17" x14ac:dyDescent="0.3">
      <c r="B1071" s="126"/>
      <c r="C1071" s="583">
        <v>704</v>
      </c>
      <c r="D1071" s="625" t="e">
        <f t="shared" ref="D1071:D1134" si="36">$C$346*C1071</f>
        <v>#VALUE!</v>
      </c>
      <c r="E1071" s="591"/>
      <c r="F1071" s="591"/>
      <c r="G1071" s="591"/>
      <c r="H1071" s="591"/>
      <c r="I1071" s="591"/>
      <c r="J1071" s="591"/>
      <c r="K1071" s="542"/>
      <c r="O1071" s="1134"/>
      <c r="Q1071" s="1133"/>
    </row>
    <row r="1072" spans="2:17" x14ac:dyDescent="0.3">
      <c r="B1072" s="126"/>
      <c r="C1072" s="583">
        <v>705</v>
      </c>
      <c r="D1072" s="625" t="e">
        <f t="shared" si="36"/>
        <v>#VALUE!</v>
      </c>
      <c r="E1072" s="591"/>
      <c r="F1072" s="591"/>
      <c r="G1072" s="591"/>
      <c r="H1072" s="591"/>
      <c r="I1072" s="591"/>
      <c r="J1072" s="591"/>
      <c r="K1072" s="542"/>
      <c r="O1072" s="1134"/>
      <c r="Q1072" s="1133"/>
    </row>
    <row r="1073" spans="2:17" x14ac:dyDescent="0.3">
      <c r="B1073" s="126"/>
      <c r="C1073" s="583">
        <v>706</v>
      </c>
      <c r="D1073" s="625" t="e">
        <f t="shared" si="36"/>
        <v>#VALUE!</v>
      </c>
      <c r="E1073" s="591"/>
      <c r="F1073" s="591"/>
      <c r="G1073" s="591"/>
      <c r="H1073" s="591"/>
      <c r="I1073" s="591"/>
      <c r="J1073" s="591"/>
      <c r="K1073" s="542"/>
      <c r="O1073" s="1134"/>
      <c r="Q1073" s="1133"/>
    </row>
    <row r="1074" spans="2:17" x14ac:dyDescent="0.3">
      <c r="B1074" s="126"/>
      <c r="C1074" s="583">
        <v>707</v>
      </c>
      <c r="D1074" s="625" t="e">
        <f t="shared" si="36"/>
        <v>#VALUE!</v>
      </c>
      <c r="E1074" s="591"/>
      <c r="F1074" s="591"/>
      <c r="G1074" s="591"/>
      <c r="H1074" s="591"/>
      <c r="I1074" s="591"/>
      <c r="J1074" s="591"/>
      <c r="K1074" s="542"/>
      <c r="O1074" s="1134"/>
      <c r="Q1074" s="1133"/>
    </row>
    <row r="1075" spans="2:17" x14ac:dyDescent="0.3">
      <c r="B1075" s="126"/>
      <c r="C1075" s="583">
        <v>708</v>
      </c>
      <c r="D1075" s="625" t="e">
        <f t="shared" si="36"/>
        <v>#VALUE!</v>
      </c>
      <c r="E1075" s="591"/>
      <c r="F1075" s="591"/>
      <c r="G1075" s="591"/>
      <c r="H1075" s="591"/>
      <c r="I1075" s="591"/>
      <c r="J1075" s="591"/>
      <c r="K1075" s="542"/>
      <c r="O1075" s="1134"/>
      <c r="Q1075" s="1133"/>
    </row>
    <row r="1076" spans="2:17" x14ac:dyDescent="0.3">
      <c r="B1076" s="126"/>
      <c r="C1076" s="583">
        <v>709</v>
      </c>
      <c r="D1076" s="625" t="e">
        <f t="shared" si="36"/>
        <v>#VALUE!</v>
      </c>
      <c r="E1076" s="591"/>
      <c r="F1076" s="591"/>
      <c r="G1076" s="591"/>
      <c r="H1076" s="591"/>
      <c r="I1076" s="591"/>
      <c r="J1076" s="591"/>
      <c r="K1076" s="542"/>
      <c r="O1076" s="1134"/>
      <c r="Q1076" s="1133"/>
    </row>
    <row r="1077" spans="2:17" x14ac:dyDescent="0.3">
      <c r="B1077" s="126"/>
      <c r="C1077" s="583">
        <v>710</v>
      </c>
      <c r="D1077" s="625" t="e">
        <f t="shared" si="36"/>
        <v>#VALUE!</v>
      </c>
      <c r="E1077" s="591"/>
      <c r="F1077" s="591"/>
      <c r="G1077" s="591"/>
      <c r="H1077" s="591"/>
      <c r="I1077" s="591"/>
      <c r="J1077" s="591"/>
      <c r="K1077" s="542"/>
      <c r="O1077" s="1134"/>
      <c r="Q1077" s="1133"/>
    </row>
    <row r="1078" spans="2:17" x14ac:dyDescent="0.3">
      <c r="B1078" s="126"/>
      <c r="C1078" s="583">
        <v>711</v>
      </c>
      <c r="D1078" s="625" t="e">
        <f t="shared" si="36"/>
        <v>#VALUE!</v>
      </c>
      <c r="E1078" s="591"/>
      <c r="F1078" s="591"/>
      <c r="G1078" s="591"/>
      <c r="H1078" s="591"/>
      <c r="I1078" s="591"/>
      <c r="J1078" s="591"/>
      <c r="K1078" s="542"/>
      <c r="O1078" s="1134"/>
      <c r="Q1078" s="1133"/>
    </row>
    <row r="1079" spans="2:17" x14ac:dyDescent="0.3">
      <c r="B1079" s="126"/>
      <c r="C1079" s="583">
        <v>712</v>
      </c>
      <c r="D1079" s="625" t="e">
        <f t="shared" si="36"/>
        <v>#VALUE!</v>
      </c>
      <c r="E1079" s="591"/>
      <c r="F1079" s="591"/>
      <c r="G1079" s="591"/>
      <c r="H1079" s="591"/>
      <c r="I1079" s="591"/>
      <c r="J1079" s="591"/>
      <c r="K1079" s="542"/>
      <c r="O1079" s="1134"/>
      <c r="Q1079" s="1133"/>
    </row>
    <row r="1080" spans="2:17" x14ac:dyDescent="0.3">
      <c r="B1080" s="126"/>
      <c r="C1080" s="583">
        <v>713</v>
      </c>
      <c r="D1080" s="625" t="e">
        <f t="shared" si="36"/>
        <v>#VALUE!</v>
      </c>
      <c r="E1080" s="591"/>
      <c r="F1080" s="591"/>
      <c r="G1080" s="591"/>
      <c r="H1080" s="591"/>
      <c r="I1080" s="591"/>
      <c r="J1080" s="591"/>
      <c r="K1080" s="542"/>
      <c r="O1080" s="1134"/>
      <c r="Q1080" s="1133"/>
    </row>
    <row r="1081" spans="2:17" x14ac:dyDescent="0.3">
      <c r="B1081" s="126"/>
      <c r="C1081" s="583">
        <v>714</v>
      </c>
      <c r="D1081" s="625" t="e">
        <f t="shared" si="36"/>
        <v>#VALUE!</v>
      </c>
      <c r="E1081" s="591"/>
      <c r="F1081" s="591"/>
      <c r="G1081" s="591"/>
      <c r="H1081" s="591"/>
      <c r="I1081" s="591"/>
      <c r="J1081" s="591"/>
      <c r="K1081" s="542"/>
      <c r="O1081" s="1134"/>
      <c r="Q1081" s="1133"/>
    </row>
    <row r="1082" spans="2:17" x14ac:dyDescent="0.3">
      <c r="B1082" s="126"/>
      <c r="C1082" s="583">
        <v>715</v>
      </c>
      <c r="D1082" s="625" t="e">
        <f t="shared" si="36"/>
        <v>#VALUE!</v>
      </c>
      <c r="E1082" s="591"/>
      <c r="F1082" s="591"/>
      <c r="G1082" s="591"/>
      <c r="H1082" s="591"/>
      <c r="I1082" s="591"/>
      <c r="J1082" s="591"/>
      <c r="K1082" s="542"/>
      <c r="O1082" s="1134"/>
      <c r="Q1082" s="1133"/>
    </row>
    <row r="1083" spans="2:17" x14ac:dyDescent="0.3">
      <c r="B1083" s="126"/>
      <c r="C1083" s="583">
        <v>716</v>
      </c>
      <c r="D1083" s="625" t="e">
        <f t="shared" si="36"/>
        <v>#VALUE!</v>
      </c>
      <c r="E1083" s="591"/>
      <c r="F1083" s="591"/>
      <c r="G1083" s="591"/>
      <c r="H1083" s="591"/>
      <c r="I1083" s="591"/>
      <c r="J1083" s="591"/>
      <c r="K1083" s="542"/>
      <c r="O1083" s="1134"/>
      <c r="Q1083" s="1133"/>
    </row>
    <row r="1084" spans="2:17" x14ac:dyDescent="0.3">
      <c r="B1084" s="126"/>
      <c r="C1084" s="583">
        <v>717</v>
      </c>
      <c r="D1084" s="625" t="e">
        <f t="shared" si="36"/>
        <v>#VALUE!</v>
      </c>
      <c r="E1084" s="591"/>
      <c r="F1084" s="591"/>
      <c r="G1084" s="591"/>
      <c r="H1084" s="591"/>
      <c r="I1084" s="591"/>
      <c r="J1084" s="591"/>
      <c r="K1084" s="542"/>
      <c r="O1084" s="1134"/>
      <c r="Q1084" s="1133"/>
    </row>
    <row r="1085" spans="2:17" x14ac:dyDescent="0.3">
      <c r="B1085" s="126"/>
      <c r="C1085" s="583">
        <v>718</v>
      </c>
      <c r="D1085" s="625" t="e">
        <f t="shared" si="36"/>
        <v>#VALUE!</v>
      </c>
      <c r="E1085" s="591"/>
      <c r="F1085" s="591"/>
      <c r="G1085" s="591"/>
      <c r="H1085" s="591"/>
      <c r="I1085" s="591"/>
      <c r="J1085" s="591"/>
      <c r="K1085" s="542"/>
      <c r="O1085" s="1134"/>
      <c r="Q1085" s="1133"/>
    </row>
    <row r="1086" spans="2:17" x14ac:dyDescent="0.3">
      <c r="B1086" s="126"/>
      <c r="C1086" s="583">
        <v>719</v>
      </c>
      <c r="D1086" s="625" t="e">
        <f t="shared" si="36"/>
        <v>#VALUE!</v>
      </c>
      <c r="E1086" s="591"/>
      <c r="F1086" s="591"/>
      <c r="G1086" s="591"/>
      <c r="H1086" s="591"/>
      <c r="I1086" s="591"/>
      <c r="J1086" s="591"/>
      <c r="K1086" s="542"/>
      <c r="O1086" s="1134"/>
      <c r="Q1086" s="1133"/>
    </row>
    <row r="1087" spans="2:17" x14ac:dyDescent="0.3">
      <c r="B1087" s="126"/>
      <c r="C1087" s="583">
        <v>720</v>
      </c>
      <c r="D1087" s="625" t="e">
        <f t="shared" si="36"/>
        <v>#VALUE!</v>
      </c>
      <c r="E1087" s="591"/>
      <c r="F1087" s="591"/>
      <c r="G1087" s="591"/>
      <c r="H1087" s="591"/>
      <c r="I1087" s="591"/>
      <c r="J1087" s="591"/>
      <c r="K1087" s="542"/>
      <c r="O1087" s="1134"/>
      <c r="Q1087" s="1133"/>
    </row>
    <row r="1088" spans="2:17" x14ac:dyDescent="0.3">
      <c r="B1088" s="126"/>
      <c r="C1088" s="583">
        <v>721</v>
      </c>
      <c r="D1088" s="625" t="e">
        <f t="shared" si="36"/>
        <v>#VALUE!</v>
      </c>
      <c r="E1088" s="591"/>
      <c r="F1088" s="591"/>
      <c r="G1088" s="591"/>
      <c r="H1088" s="591"/>
      <c r="I1088" s="591"/>
      <c r="J1088" s="591"/>
      <c r="K1088" s="542"/>
      <c r="O1088" s="1134"/>
      <c r="Q1088" s="1133"/>
    </row>
    <row r="1089" spans="2:17" x14ac:dyDescent="0.3">
      <c r="B1089" s="126"/>
      <c r="C1089" s="583">
        <v>722</v>
      </c>
      <c r="D1089" s="625" t="e">
        <f t="shared" si="36"/>
        <v>#VALUE!</v>
      </c>
      <c r="E1089" s="591"/>
      <c r="F1089" s="591"/>
      <c r="G1089" s="591"/>
      <c r="H1089" s="591"/>
      <c r="I1089" s="591"/>
      <c r="J1089" s="591"/>
      <c r="K1089" s="542"/>
      <c r="O1089" s="1134"/>
      <c r="Q1089" s="1133"/>
    </row>
    <row r="1090" spans="2:17" x14ac:dyDescent="0.3">
      <c r="B1090" s="126"/>
      <c r="C1090" s="583">
        <v>723</v>
      </c>
      <c r="D1090" s="625" t="e">
        <f t="shared" si="36"/>
        <v>#VALUE!</v>
      </c>
      <c r="E1090" s="591"/>
      <c r="F1090" s="591"/>
      <c r="G1090" s="591"/>
      <c r="H1090" s="591"/>
      <c r="I1090" s="591"/>
      <c r="J1090" s="591"/>
      <c r="K1090" s="542"/>
      <c r="O1090" s="1134"/>
      <c r="Q1090" s="1133"/>
    </row>
    <row r="1091" spans="2:17" x14ac:dyDescent="0.3">
      <c r="B1091" s="126"/>
      <c r="C1091" s="583">
        <v>724</v>
      </c>
      <c r="D1091" s="625" t="e">
        <f t="shared" si="36"/>
        <v>#VALUE!</v>
      </c>
      <c r="E1091" s="591"/>
      <c r="F1091" s="591"/>
      <c r="G1091" s="591"/>
      <c r="H1091" s="591"/>
      <c r="I1091" s="591"/>
      <c r="J1091" s="591"/>
      <c r="K1091" s="542"/>
      <c r="O1091" s="1134"/>
      <c r="Q1091" s="1133"/>
    </row>
    <row r="1092" spans="2:17" x14ac:dyDescent="0.3">
      <c r="B1092" s="126"/>
      <c r="C1092" s="583">
        <v>725</v>
      </c>
      <c r="D1092" s="625" t="e">
        <f t="shared" si="36"/>
        <v>#VALUE!</v>
      </c>
      <c r="E1092" s="591"/>
      <c r="F1092" s="591"/>
      <c r="G1092" s="591"/>
      <c r="H1092" s="591"/>
      <c r="I1092" s="591"/>
      <c r="J1092" s="591"/>
      <c r="K1092" s="542"/>
      <c r="O1092" s="1134"/>
      <c r="Q1092" s="1133"/>
    </row>
    <row r="1093" spans="2:17" x14ac:dyDescent="0.3">
      <c r="B1093" s="126"/>
      <c r="C1093" s="583">
        <v>726</v>
      </c>
      <c r="D1093" s="625" t="e">
        <f t="shared" si="36"/>
        <v>#VALUE!</v>
      </c>
      <c r="E1093" s="591"/>
      <c r="F1093" s="591"/>
      <c r="G1093" s="591"/>
      <c r="H1093" s="591"/>
      <c r="I1093" s="591"/>
      <c r="J1093" s="591"/>
      <c r="K1093" s="542"/>
      <c r="O1093" s="1134"/>
      <c r="Q1093" s="1133"/>
    </row>
    <row r="1094" spans="2:17" x14ac:dyDescent="0.3">
      <c r="B1094" s="126"/>
      <c r="C1094" s="583">
        <v>727</v>
      </c>
      <c r="D1094" s="625" t="e">
        <f t="shared" si="36"/>
        <v>#VALUE!</v>
      </c>
      <c r="E1094" s="591"/>
      <c r="F1094" s="591"/>
      <c r="G1094" s="591"/>
      <c r="H1094" s="591"/>
      <c r="I1094" s="591"/>
      <c r="J1094" s="591"/>
      <c r="K1094" s="542"/>
      <c r="O1094" s="1134"/>
      <c r="Q1094" s="1133"/>
    </row>
    <row r="1095" spans="2:17" x14ac:dyDescent="0.3">
      <c r="B1095" s="126"/>
      <c r="C1095" s="583">
        <v>728</v>
      </c>
      <c r="D1095" s="625" t="e">
        <f t="shared" si="36"/>
        <v>#VALUE!</v>
      </c>
      <c r="E1095" s="591"/>
      <c r="F1095" s="591"/>
      <c r="G1095" s="591"/>
      <c r="H1095" s="591"/>
      <c r="I1095" s="591"/>
      <c r="J1095" s="591"/>
      <c r="K1095" s="542"/>
      <c r="O1095" s="1134"/>
      <c r="Q1095" s="1133"/>
    </row>
    <row r="1096" spans="2:17" x14ac:dyDescent="0.3">
      <c r="B1096" s="126"/>
      <c r="C1096" s="583">
        <v>729</v>
      </c>
      <c r="D1096" s="625" t="e">
        <f t="shared" si="36"/>
        <v>#VALUE!</v>
      </c>
      <c r="E1096" s="591"/>
      <c r="F1096" s="591"/>
      <c r="G1096" s="591"/>
      <c r="H1096" s="591"/>
      <c r="I1096" s="591"/>
      <c r="J1096" s="591"/>
      <c r="K1096" s="542"/>
      <c r="O1096" s="1134"/>
      <c r="Q1096" s="1133"/>
    </row>
    <row r="1097" spans="2:17" x14ac:dyDescent="0.3">
      <c r="B1097" s="126"/>
      <c r="C1097" s="583">
        <v>730</v>
      </c>
      <c r="D1097" s="625" t="e">
        <f t="shared" si="36"/>
        <v>#VALUE!</v>
      </c>
      <c r="E1097" s="591"/>
      <c r="F1097" s="591"/>
      <c r="G1097" s="591"/>
      <c r="H1097" s="591"/>
      <c r="I1097" s="591"/>
      <c r="J1097" s="591"/>
      <c r="K1097" s="542"/>
      <c r="O1097" s="1134"/>
      <c r="Q1097" s="1133"/>
    </row>
    <row r="1098" spans="2:17" x14ac:dyDescent="0.3">
      <c r="B1098" s="126"/>
      <c r="C1098" s="583">
        <v>731</v>
      </c>
      <c r="D1098" s="625" t="e">
        <f t="shared" si="36"/>
        <v>#VALUE!</v>
      </c>
      <c r="E1098" s="591"/>
      <c r="F1098" s="591"/>
      <c r="G1098" s="591"/>
      <c r="H1098" s="591"/>
      <c r="I1098" s="591"/>
      <c r="J1098" s="591"/>
      <c r="K1098" s="542"/>
      <c r="O1098" s="1134"/>
      <c r="Q1098" s="1133"/>
    </row>
    <row r="1099" spans="2:17" x14ac:dyDescent="0.3">
      <c r="B1099" s="126"/>
      <c r="C1099" s="583">
        <v>732</v>
      </c>
      <c r="D1099" s="625" t="e">
        <f t="shared" si="36"/>
        <v>#VALUE!</v>
      </c>
      <c r="E1099" s="591"/>
      <c r="F1099" s="591"/>
      <c r="G1099" s="591"/>
      <c r="H1099" s="591"/>
      <c r="I1099" s="591"/>
      <c r="J1099" s="591"/>
      <c r="K1099" s="542"/>
      <c r="O1099" s="1134"/>
      <c r="Q1099" s="1133"/>
    </row>
    <row r="1100" spans="2:17" x14ac:dyDescent="0.3">
      <c r="B1100" s="126"/>
      <c r="C1100" s="583">
        <v>733</v>
      </c>
      <c r="D1100" s="625" t="e">
        <f t="shared" si="36"/>
        <v>#VALUE!</v>
      </c>
      <c r="E1100" s="591"/>
      <c r="F1100" s="591"/>
      <c r="G1100" s="591"/>
      <c r="H1100" s="591"/>
      <c r="I1100" s="591"/>
      <c r="J1100" s="591"/>
      <c r="K1100" s="542"/>
      <c r="O1100" s="1134"/>
      <c r="Q1100" s="1133"/>
    </row>
    <row r="1101" spans="2:17" x14ac:dyDescent="0.3">
      <c r="B1101" s="126"/>
      <c r="C1101" s="583">
        <v>734</v>
      </c>
      <c r="D1101" s="625" t="e">
        <f t="shared" si="36"/>
        <v>#VALUE!</v>
      </c>
      <c r="E1101" s="591"/>
      <c r="F1101" s="591"/>
      <c r="G1101" s="591"/>
      <c r="H1101" s="591"/>
      <c r="I1101" s="591"/>
      <c r="J1101" s="591"/>
      <c r="K1101" s="542"/>
      <c r="O1101" s="1134"/>
      <c r="Q1101" s="1133"/>
    </row>
    <row r="1102" spans="2:17" x14ac:dyDescent="0.3">
      <c r="B1102" s="126"/>
      <c r="C1102" s="583">
        <v>735</v>
      </c>
      <c r="D1102" s="625" t="e">
        <f t="shared" si="36"/>
        <v>#VALUE!</v>
      </c>
      <c r="E1102" s="591"/>
      <c r="F1102" s="591"/>
      <c r="G1102" s="591"/>
      <c r="H1102" s="591"/>
      <c r="I1102" s="591"/>
      <c r="J1102" s="591"/>
      <c r="K1102" s="542"/>
      <c r="O1102" s="1134"/>
      <c r="Q1102" s="1133"/>
    </row>
    <row r="1103" spans="2:17" x14ac:dyDescent="0.3">
      <c r="B1103" s="126"/>
      <c r="C1103" s="583">
        <v>736</v>
      </c>
      <c r="D1103" s="625" t="e">
        <f t="shared" si="36"/>
        <v>#VALUE!</v>
      </c>
      <c r="E1103" s="591"/>
      <c r="F1103" s="591"/>
      <c r="G1103" s="591"/>
      <c r="H1103" s="591"/>
      <c r="I1103" s="591"/>
      <c r="J1103" s="591"/>
      <c r="K1103" s="542"/>
      <c r="O1103" s="1134"/>
      <c r="Q1103" s="1133"/>
    </row>
    <row r="1104" spans="2:17" x14ac:dyDescent="0.3">
      <c r="B1104" s="126"/>
      <c r="C1104" s="583">
        <v>737</v>
      </c>
      <c r="D1104" s="625" t="e">
        <f t="shared" si="36"/>
        <v>#VALUE!</v>
      </c>
      <c r="E1104" s="591"/>
      <c r="F1104" s="591"/>
      <c r="G1104" s="591"/>
      <c r="H1104" s="591"/>
      <c r="I1104" s="591"/>
      <c r="J1104" s="591"/>
      <c r="K1104" s="542"/>
      <c r="O1104" s="1134"/>
      <c r="Q1104" s="1133"/>
    </row>
    <row r="1105" spans="2:17" x14ac:dyDescent="0.3">
      <c r="B1105" s="126"/>
      <c r="C1105" s="583">
        <v>738</v>
      </c>
      <c r="D1105" s="625" t="e">
        <f t="shared" si="36"/>
        <v>#VALUE!</v>
      </c>
      <c r="E1105" s="591"/>
      <c r="F1105" s="591"/>
      <c r="G1105" s="591"/>
      <c r="H1105" s="591"/>
      <c r="I1105" s="591"/>
      <c r="J1105" s="591"/>
      <c r="K1105" s="542"/>
      <c r="O1105" s="1134"/>
      <c r="Q1105" s="1133"/>
    </row>
    <row r="1106" spans="2:17" x14ac:dyDescent="0.3">
      <c r="B1106" s="126"/>
      <c r="C1106" s="583">
        <v>739</v>
      </c>
      <c r="D1106" s="625" t="e">
        <f t="shared" si="36"/>
        <v>#VALUE!</v>
      </c>
      <c r="E1106" s="591"/>
      <c r="F1106" s="591"/>
      <c r="G1106" s="591"/>
      <c r="H1106" s="591"/>
      <c r="I1106" s="591"/>
      <c r="J1106" s="591"/>
      <c r="K1106" s="542"/>
      <c r="O1106" s="1134"/>
      <c r="Q1106" s="1133"/>
    </row>
    <row r="1107" spans="2:17" x14ac:dyDescent="0.3">
      <c r="B1107" s="126"/>
      <c r="C1107" s="583">
        <v>740</v>
      </c>
      <c r="D1107" s="625" t="e">
        <f t="shared" si="36"/>
        <v>#VALUE!</v>
      </c>
      <c r="E1107" s="591"/>
      <c r="F1107" s="591"/>
      <c r="G1107" s="591"/>
      <c r="H1107" s="591"/>
      <c r="I1107" s="591"/>
      <c r="J1107" s="591"/>
      <c r="K1107" s="542"/>
      <c r="O1107" s="1134"/>
      <c r="Q1107" s="1133"/>
    </row>
    <row r="1108" spans="2:17" x14ac:dyDescent="0.3">
      <c r="B1108" s="126"/>
      <c r="C1108" s="583">
        <v>741</v>
      </c>
      <c r="D1108" s="625" t="e">
        <f t="shared" si="36"/>
        <v>#VALUE!</v>
      </c>
      <c r="E1108" s="591"/>
      <c r="F1108" s="591"/>
      <c r="G1108" s="591"/>
      <c r="H1108" s="591"/>
      <c r="I1108" s="591"/>
      <c r="J1108" s="591"/>
      <c r="K1108" s="542"/>
      <c r="O1108" s="1134"/>
      <c r="Q1108" s="1133"/>
    </row>
    <row r="1109" spans="2:17" x14ac:dyDescent="0.3">
      <c r="B1109" s="126"/>
      <c r="C1109" s="583">
        <v>742</v>
      </c>
      <c r="D1109" s="625" t="e">
        <f t="shared" si="36"/>
        <v>#VALUE!</v>
      </c>
      <c r="E1109" s="591"/>
      <c r="F1109" s="591"/>
      <c r="G1109" s="591"/>
      <c r="H1109" s="591"/>
      <c r="I1109" s="591"/>
      <c r="J1109" s="591"/>
      <c r="K1109" s="542"/>
      <c r="O1109" s="1134"/>
      <c r="Q1109" s="1133"/>
    </row>
    <row r="1110" spans="2:17" x14ac:dyDescent="0.3">
      <c r="B1110" s="126"/>
      <c r="C1110" s="583">
        <v>743</v>
      </c>
      <c r="D1110" s="625" t="e">
        <f t="shared" si="36"/>
        <v>#VALUE!</v>
      </c>
      <c r="E1110" s="591"/>
      <c r="F1110" s="591"/>
      <c r="G1110" s="591"/>
      <c r="H1110" s="591"/>
      <c r="I1110" s="591"/>
      <c r="J1110" s="591"/>
      <c r="K1110" s="542"/>
      <c r="O1110" s="1134"/>
      <c r="Q1110" s="1133"/>
    </row>
    <row r="1111" spans="2:17" x14ac:dyDescent="0.3">
      <c r="B1111" s="126"/>
      <c r="C1111" s="583">
        <v>744</v>
      </c>
      <c r="D1111" s="625" t="e">
        <f t="shared" si="36"/>
        <v>#VALUE!</v>
      </c>
      <c r="E1111" s="591"/>
      <c r="F1111" s="591"/>
      <c r="G1111" s="591"/>
      <c r="H1111" s="591"/>
      <c r="I1111" s="591"/>
      <c r="J1111" s="591"/>
      <c r="K1111" s="542"/>
      <c r="O1111" s="1134"/>
      <c r="Q1111" s="1133"/>
    </row>
    <row r="1112" spans="2:17" x14ac:dyDescent="0.3">
      <c r="B1112" s="126"/>
      <c r="C1112" s="583">
        <v>745</v>
      </c>
      <c r="D1112" s="625" t="e">
        <f t="shared" si="36"/>
        <v>#VALUE!</v>
      </c>
      <c r="E1112" s="591"/>
      <c r="F1112" s="591"/>
      <c r="G1112" s="591"/>
      <c r="H1112" s="591"/>
      <c r="I1112" s="591"/>
      <c r="J1112" s="591"/>
      <c r="K1112" s="542"/>
      <c r="O1112" s="1134"/>
      <c r="Q1112" s="1133"/>
    </row>
    <row r="1113" spans="2:17" x14ac:dyDescent="0.3">
      <c r="B1113" s="126"/>
      <c r="C1113" s="583">
        <v>746</v>
      </c>
      <c r="D1113" s="625" t="e">
        <f t="shared" si="36"/>
        <v>#VALUE!</v>
      </c>
      <c r="E1113" s="591"/>
      <c r="F1113" s="591"/>
      <c r="G1113" s="591"/>
      <c r="H1113" s="591"/>
      <c r="I1113" s="591"/>
      <c r="J1113" s="591"/>
      <c r="K1113" s="542"/>
      <c r="O1113" s="1134"/>
      <c r="Q1113" s="1133"/>
    </row>
    <row r="1114" spans="2:17" x14ac:dyDescent="0.3">
      <c r="B1114" s="126"/>
      <c r="C1114" s="583">
        <v>747</v>
      </c>
      <c r="D1114" s="625" t="e">
        <f t="shared" si="36"/>
        <v>#VALUE!</v>
      </c>
      <c r="E1114" s="591"/>
      <c r="F1114" s="591"/>
      <c r="G1114" s="591"/>
      <c r="H1114" s="591"/>
      <c r="I1114" s="591"/>
      <c r="J1114" s="591"/>
      <c r="K1114" s="542"/>
      <c r="O1114" s="1134"/>
      <c r="Q1114" s="1133"/>
    </row>
    <row r="1115" spans="2:17" x14ac:dyDescent="0.3">
      <c r="B1115" s="126"/>
      <c r="C1115" s="583">
        <v>748</v>
      </c>
      <c r="D1115" s="625" t="e">
        <f t="shared" si="36"/>
        <v>#VALUE!</v>
      </c>
      <c r="E1115" s="591"/>
      <c r="F1115" s="591"/>
      <c r="G1115" s="591"/>
      <c r="H1115" s="591"/>
      <c r="I1115" s="591"/>
      <c r="J1115" s="591"/>
      <c r="K1115" s="542"/>
      <c r="O1115" s="1134"/>
      <c r="Q1115" s="1133"/>
    </row>
    <row r="1116" spans="2:17" x14ac:dyDescent="0.3">
      <c r="B1116" s="126"/>
      <c r="C1116" s="583">
        <v>749</v>
      </c>
      <c r="D1116" s="625" t="e">
        <f t="shared" si="36"/>
        <v>#VALUE!</v>
      </c>
      <c r="E1116" s="591"/>
      <c r="F1116" s="591"/>
      <c r="G1116" s="591"/>
      <c r="H1116" s="591"/>
      <c r="I1116" s="591"/>
      <c r="J1116" s="591"/>
      <c r="K1116" s="542"/>
      <c r="O1116" s="1134"/>
      <c r="Q1116" s="1133"/>
    </row>
    <row r="1117" spans="2:17" x14ac:dyDescent="0.3">
      <c r="B1117" s="126"/>
      <c r="C1117" s="583">
        <v>750</v>
      </c>
      <c r="D1117" s="625" t="e">
        <f t="shared" si="36"/>
        <v>#VALUE!</v>
      </c>
      <c r="E1117" s="591"/>
      <c r="F1117" s="591"/>
      <c r="G1117" s="591"/>
      <c r="H1117" s="591"/>
      <c r="I1117" s="591"/>
      <c r="J1117" s="591"/>
      <c r="K1117" s="542"/>
      <c r="O1117" s="1134"/>
      <c r="Q1117" s="1133"/>
    </row>
    <row r="1118" spans="2:17" x14ac:dyDescent="0.3">
      <c r="B1118" s="126"/>
      <c r="C1118" s="583">
        <v>751</v>
      </c>
      <c r="D1118" s="625" t="e">
        <f t="shared" si="36"/>
        <v>#VALUE!</v>
      </c>
      <c r="E1118" s="591"/>
      <c r="F1118" s="591"/>
      <c r="G1118" s="591"/>
      <c r="H1118" s="591"/>
      <c r="I1118" s="591"/>
      <c r="J1118" s="591"/>
      <c r="K1118" s="542"/>
      <c r="O1118" s="1134"/>
      <c r="Q1118" s="1133"/>
    </row>
    <row r="1119" spans="2:17" x14ac:dyDescent="0.3">
      <c r="B1119" s="126"/>
      <c r="C1119" s="583">
        <v>752</v>
      </c>
      <c r="D1119" s="625" t="e">
        <f t="shared" si="36"/>
        <v>#VALUE!</v>
      </c>
      <c r="E1119" s="591"/>
      <c r="F1119" s="591"/>
      <c r="G1119" s="591"/>
      <c r="H1119" s="591"/>
      <c r="I1119" s="591"/>
      <c r="J1119" s="591"/>
      <c r="K1119" s="542"/>
      <c r="O1119" s="1134"/>
      <c r="Q1119" s="1133"/>
    </row>
    <row r="1120" spans="2:17" x14ac:dyDescent="0.3">
      <c r="B1120" s="126"/>
      <c r="C1120" s="583">
        <v>753</v>
      </c>
      <c r="D1120" s="625" t="e">
        <f t="shared" si="36"/>
        <v>#VALUE!</v>
      </c>
      <c r="E1120" s="591"/>
      <c r="F1120" s="591"/>
      <c r="G1120" s="591"/>
      <c r="H1120" s="591"/>
      <c r="I1120" s="591"/>
      <c r="J1120" s="591"/>
      <c r="K1120" s="542"/>
      <c r="O1120" s="1134"/>
      <c r="Q1120" s="1133"/>
    </row>
    <row r="1121" spans="2:17" x14ac:dyDescent="0.3">
      <c r="B1121" s="126"/>
      <c r="C1121" s="583">
        <v>754</v>
      </c>
      <c r="D1121" s="625" t="e">
        <f t="shared" si="36"/>
        <v>#VALUE!</v>
      </c>
      <c r="E1121" s="591"/>
      <c r="F1121" s="591"/>
      <c r="G1121" s="591"/>
      <c r="H1121" s="591"/>
      <c r="I1121" s="591"/>
      <c r="J1121" s="591"/>
      <c r="K1121" s="542"/>
      <c r="O1121" s="1134"/>
      <c r="Q1121" s="1133"/>
    </row>
    <row r="1122" spans="2:17" x14ac:dyDescent="0.3">
      <c r="B1122" s="126"/>
      <c r="C1122" s="583">
        <v>755</v>
      </c>
      <c r="D1122" s="625" t="e">
        <f t="shared" si="36"/>
        <v>#VALUE!</v>
      </c>
      <c r="E1122" s="591"/>
      <c r="F1122" s="591"/>
      <c r="G1122" s="591"/>
      <c r="H1122" s="591"/>
      <c r="I1122" s="591"/>
      <c r="J1122" s="591"/>
      <c r="K1122" s="542"/>
      <c r="O1122" s="1134"/>
      <c r="Q1122" s="1133"/>
    </row>
    <row r="1123" spans="2:17" x14ac:dyDescent="0.3">
      <c r="B1123" s="126"/>
      <c r="C1123" s="583">
        <v>756</v>
      </c>
      <c r="D1123" s="625" t="e">
        <f t="shared" si="36"/>
        <v>#VALUE!</v>
      </c>
      <c r="E1123" s="591"/>
      <c r="F1123" s="591"/>
      <c r="G1123" s="591"/>
      <c r="H1123" s="591"/>
      <c r="I1123" s="591"/>
      <c r="J1123" s="591"/>
      <c r="K1123" s="542"/>
      <c r="O1123" s="1134"/>
      <c r="Q1123" s="1133"/>
    </row>
    <row r="1124" spans="2:17" x14ac:dyDescent="0.3">
      <c r="B1124" s="126"/>
      <c r="C1124" s="583">
        <v>757</v>
      </c>
      <c r="D1124" s="625" t="e">
        <f t="shared" si="36"/>
        <v>#VALUE!</v>
      </c>
      <c r="E1124" s="591"/>
      <c r="F1124" s="591"/>
      <c r="G1124" s="591"/>
      <c r="H1124" s="591"/>
      <c r="I1124" s="591"/>
      <c r="J1124" s="591"/>
      <c r="K1124" s="542"/>
      <c r="O1124" s="1134"/>
      <c r="Q1124" s="1133"/>
    </row>
    <row r="1125" spans="2:17" x14ac:dyDescent="0.3">
      <c r="B1125" s="126"/>
      <c r="C1125" s="583">
        <v>758</v>
      </c>
      <c r="D1125" s="625" t="e">
        <f t="shared" si="36"/>
        <v>#VALUE!</v>
      </c>
      <c r="E1125" s="591"/>
      <c r="F1125" s="591"/>
      <c r="G1125" s="591"/>
      <c r="H1125" s="591"/>
      <c r="I1125" s="591"/>
      <c r="J1125" s="591"/>
      <c r="K1125" s="542"/>
      <c r="O1125" s="1134"/>
      <c r="Q1125" s="1133"/>
    </row>
    <row r="1126" spans="2:17" x14ac:dyDescent="0.3">
      <c r="B1126" s="126"/>
      <c r="C1126" s="583">
        <v>759</v>
      </c>
      <c r="D1126" s="625" t="e">
        <f t="shared" si="36"/>
        <v>#VALUE!</v>
      </c>
      <c r="E1126" s="591"/>
      <c r="F1126" s="591"/>
      <c r="G1126" s="591"/>
      <c r="H1126" s="591"/>
      <c r="I1126" s="591"/>
      <c r="J1126" s="591"/>
      <c r="K1126" s="542"/>
      <c r="O1126" s="1134"/>
      <c r="Q1126" s="1133"/>
    </row>
    <row r="1127" spans="2:17" x14ac:dyDescent="0.3">
      <c r="B1127" s="126"/>
      <c r="C1127" s="583">
        <v>760</v>
      </c>
      <c r="D1127" s="625" t="e">
        <f t="shared" si="36"/>
        <v>#VALUE!</v>
      </c>
      <c r="E1127" s="591"/>
      <c r="F1127" s="591"/>
      <c r="G1127" s="591"/>
      <c r="H1127" s="591"/>
      <c r="I1127" s="591"/>
      <c r="J1127" s="591"/>
      <c r="K1127" s="542"/>
      <c r="O1127" s="1134"/>
      <c r="Q1127" s="1133"/>
    </row>
    <row r="1128" spans="2:17" x14ac:dyDescent="0.3">
      <c r="B1128" s="126"/>
      <c r="C1128" s="583">
        <v>761</v>
      </c>
      <c r="D1128" s="625" t="e">
        <f t="shared" si="36"/>
        <v>#VALUE!</v>
      </c>
      <c r="E1128" s="591"/>
      <c r="F1128" s="591"/>
      <c r="G1128" s="591"/>
      <c r="H1128" s="591"/>
      <c r="I1128" s="591"/>
      <c r="J1128" s="591"/>
      <c r="K1128" s="542"/>
      <c r="O1128" s="1134"/>
      <c r="Q1128" s="1133"/>
    </row>
    <row r="1129" spans="2:17" x14ac:dyDescent="0.3">
      <c r="B1129" s="126"/>
      <c r="C1129" s="583">
        <v>762</v>
      </c>
      <c r="D1129" s="625" t="e">
        <f t="shared" si="36"/>
        <v>#VALUE!</v>
      </c>
      <c r="E1129" s="591"/>
      <c r="F1129" s="591"/>
      <c r="G1129" s="591"/>
      <c r="H1129" s="591"/>
      <c r="I1129" s="591"/>
      <c r="J1129" s="591"/>
      <c r="K1129" s="542"/>
      <c r="O1129" s="1134"/>
      <c r="Q1129" s="1133"/>
    </row>
    <row r="1130" spans="2:17" x14ac:dyDescent="0.3">
      <c r="B1130" s="126"/>
      <c r="C1130" s="583">
        <v>763</v>
      </c>
      <c r="D1130" s="625" t="e">
        <f t="shared" si="36"/>
        <v>#VALUE!</v>
      </c>
      <c r="E1130" s="591"/>
      <c r="F1130" s="591"/>
      <c r="G1130" s="591"/>
      <c r="H1130" s="591"/>
      <c r="I1130" s="591"/>
      <c r="J1130" s="591"/>
      <c r="K1130" s="542"/>
      <c r="O1130" s="1134"/>
      <c r="Q1130" s="1133"/>
    </row>
    <row r="1131" spans="2:17" x14ac:dyDescent="0.3">
      <c r="B1131" s="126"/>
      <c r="C1131" s="583">
        <v>764</v>
      </c>
      <c r="D1131" s="625" t="e">
        <f t="shared" si="36"/>
        <v>#VALUE!</v>
      </c>
      <c r="E1131" s="591"/>
      <c r="F1131" s="591"/>
      <c r="G1131" s="591"/>
      <c r="H1131" s="591"/>
      <c r="I1131" s="591"/>
      <c r="J1131" s="591"/>
      <c r="K1131" s="542"/>
      <c r="O1131" s="1134"/>
      <c r="Q1131" s="1133"/>
    </row>
    <row r="1132" spans="2:17" x14ac:dyDescent="0.3">
      <c r="B1132" s="126"/>
      <c r="C1132" s="583">
        <v>765</v>
      </c>
      <c r="D1132" s="625" t="e">
        <f t="shared" si="36"/>
        <v>#VALUE!</v>
      </c>
      <c r="E1132" s="591"/>
      <c r="F1132" s="591"/>
      <c r="G1132" s="591"/>
      <c r="H1132" s="591"/>
      <c r="I1132" s="591"/>
      <c r="J1132" s="591"/>
      <c r="K1132" s="542"/>
      <c r="O1132" s="1134"/>
      <c r="Q1132" s="1133"/>
    </row>
    <row r="1133" spans="2:17" x14ac:dyDescent="0.3">
      <c r="B1133" s="126"/>
      <c r="C1133" s="583">
        <v>766</v>
      </c>
      <c r="D1133" s="625" t="e">
        <f t="shared" si="36"/>
        <v>#VALUE!</v>
      </c>
      <c r="E1133" s="591"/>
      <c r="F1133" s="591"/>
      <c r="G1133" s="591"/>
      <c r="H1133" s="591"/>
      <c r="I1133" s="591"/>
      <c r="J1133" s="591"/>
      <c r="K1133" s="542"/>
      <c r="O1133" s="1134"/>
      <c r="Q1133" s="1133"/>
    </row>
    <row r="1134" spans="2:17" x14ac:dyDescent="0.3">
      <c r="B1134" s="126"/>
      <c r="C1134" s="583">
        <v>767</v>
      </c>
      <c r="D1134" s="625" t="e">
        <f t="shared" si="36"/>
        <v>#VALUE!</v>
      </c>
      <c r="E1134" s="591"/>
      <c r="F1134" s="591"/>
      <c r="G1134" s="591"/>
      <c r="H1134" s="591"/>
      <c r="I1134" s="591"/>
      <c r="J1134" s="591"/>
      <c r="K1134" s="542"/>
      <c r="O1134" s="1134"/>
      <c r="Q1134" s="1133"/>
    </row>
    <row r="1135" spans="2:17" x14ac:dyDescent="0.3">
      <c r="B1135" s="126"/>
      <c r="C1135" s="583">
        <v>768</v>
      </c>
      <c r="D1135" s="625" t="e">
        <f t="shared" ref="D1135:D1198" si="37">$C$346*C1135</f>
        <v>#VALUE!</v>
      </c>
      <c r="E1135" s="591"/>
      <c r="F1135" s="591"/>
      <c r="G1135" s="591"/>
      <c r="H1135" s="591"/>
      <c r="I1135" s="591"/>
      <c r="J1135" s="591"/>
      <c r="K1135" s="542"/>
      <c r="O1135" s="1134"/>
      <c r="Q1135" s="1133"/>
    </row>
    <row r="1136" spans="2:17" x14ac:dyDescent="0.3">
      <c r="B1136" s="126"/>
      <c r="C1136" s="583">
        <v>769</v>
      </c>
      <c r="D1136" s="625" t="e">
        <f t="shared" si="37"/>
        <v>#VALUE!</v>
      </c>
      <c r="E1136" s="591"/>
      <c r="F1136" s="591"/>
      <c r="G1136" s="591"/>
      <c r="H1136" s="591"/>
      <c r="I1136" s="591"/>
      <c r="J1136" s="591"/>
      <c r="K1136" s="542"/>
      <c r="O1136" s="1134"/>
      <c r="Q1136" s="1133"/>
    </row>
    <row r="1137" spans="2:17" x14ac:dyDescent="0.3">
      <c r="B1137" s="126"/>
      <c r="C1137" s="583">
        <v>770</v>
      </c>
      <c r="D1137" s="625" t="e">
        <f t="shared" si="37"/>
        <v>#VALUE!</v>
      </c>
      <c r="E1137" s="591"/>
      <c r="F1137" s="591"/>
      <c r="G1137" s="591"/>
      <c r="H1137" s="591"/>
      <c r="I1137" s="591"/>
      <c r="J1137" s="591"/>
      <c r="K1137" s="542"/>
      <c r="O1137" s="1134"/>
      <c r="Q1137" s="1133"/>
    </row>
    <row r="1138" spans="2:17" x14ac:dyDescent="0.3">
      <c r="B1138" s="126"/>
      <c r="C1138" s="583">
        <v>771</v>
      </c>
      <c r="D1138" s="625" t="e">
        <f t="shared" si="37"/>
        <v>#VALUE!</v>
      </c>
      <c r="E1138" s="591"/>
      <c r="F1138" s="591"/>
      <c r="G1138" s="591"/>
      <c r="H1138" s="591"/>
      <c r="I1138" s="591"/>
      <c r="J1138" s="591"/>
      <c r="K1138" s="542"/>
      <c r="O1138" s="1134"/>
      <c r="Q1138" s="1133"/>
    </row>
    <row r="1139" spans="2:17" x14ac:dyDescent="0.3">
      <c r="B1139" s="126"/>
      <c r="C1139" s="583">
        <v>772</v>
      </c>
      <c r="D1139" s="625" t="e">
        <f t="shared" si="37"/>
        <v>#VALUE!</v>
      </c>
      <c r="E1139" s="591"/>
      <c r="F1139" s="591"/>
      <c r="G1139" s="591"/>
      <c r="H1139" s="591"/>
      <c r="I1139" s="591"/>
      <c r="J1139" s="591"/>
      <c r="K1139" s="542"/>
      <c r="O1139" s="1134"/>
      <c r="Q1139" s="1133"/>
    </row>
    <row r="1140" spans="2:17" x14ac:dyDescent="0.3">
      <c r="B1140" s="126"/>
      <c r="C1140" s="583">
        <v>773</v>
      </c>
      <c r="D1140" s="625" t="e">
        <f t="shared" si="37"/>
        <v>#VALUE!</v>
      </c>
      <c r="E1140" s="591"/>
      <c r="F1140" s="591"/>
      <c r="G1140" s="591"/>
      <c r="H1140" s="591"/>
      <c r="I1140" s="591"/>
      <c r="J1140" s="591"/>
      <c r="K1140" s="542"/>
      <c r="O1140" s="1134"/>
      <c r="Q1140" s="1133"/>
    </row>
    <row r="1141" spans="2:17" x14ac:dyDescent="0.3">
      <c r="B1141" s="126"/>
      <c r="C1141" s="583">
        <v>774</v>
      </c>
      <c r="D1141" s="625" t="e">
        <f t="shared" si="37"/>
        <v>#VALUE!</v>
      </c>
      <c r="E1141" s="591"/>
      <c r="F1141" s="591"/>
      <c r="G1141" s="591"/>
      <c r="H1141" s="591"/>
      <c r="I1141" s="591"/>
      <c r="J1141" s="591"/>
      <c r="K1141" s="542"/>
      <c r="O1141" s="1134"/>
      <c r="Q1141" s="1133"/>
    </row>
    <row r="1142" spans="2:17" x14ac:dyDescent="0.3">
      <c r="B1142" s="126"/>
      <c r="C1142" s="583">
        <v>775</v>
      </c>
      <c r="D1142" s="625" t="e">
        <f t="shared" si="37"/>
        <v>#VALUE!</v>
      </c>
      <c r="E1142" s="591"/>
      <c r="F1142" s="591"/>
      <c r="G1142" s="591"/>
      <c r="H1142" s="591"/>
      <c r="I1142" s="591"/>
      <c r="J1142" s="591"/>
      <c r="K1142" s="542"/>
      <c r="O1142" s="1134"/>
      <c r="Q1142" s="1133"/>
    </row>
    <row r="1143" spans="2:17" x14ac:dyDescent="0.3">
      <c r="B1143" s="126"/>
      <c r="C1143" s="583">
        <v>776</v>
      </c>
      <c r="D1143" s="625" t="e">
        <f t="shared" si="37"/>
        <v>#VALUE!</v>
      </c>
      <c r="E1143" s="591"/>
      <c r="F1143" s="591"/>
      <c r="G1143" s="591"/>
      <c r="H1143" s="591"/>
      <c r="I1143" s="591"/>
      <c r="J1143" s="591"/>
      <c r="K1143" s="542"/>
      <c r="O1143" s="1134"/>
      <c r="Q1143" s="1133"/>
    </row>
    <row r="1144" spans="2:17" x14ac:dyDescent="0.3">
      <c r="B1144" s="126"/>
      <c r="C1144" s="583">
        <v>777</v>
      </c>
      <c r="D1144" s="625" t="e">
        <f t="shared" si="37"/>
        <v>#VALUE!</v>
      </c>
      <c r="E1144" s="591"/>
      <c r="F1144" s="591"/>
      <c r="G1144" s="591"/>
      <c r="H1144" s="591"/>
      <c r="I1144" s="591"/>
      <c r="J1144" s="591"/>
      <c r="K1144" s="542"/>
      <c r="O1144" s="1134"/>
      <c r="Q1144" s="1133"/>
    </row>
    <row r="1145" spans="2:17" x14ac:dyDescent="0.3">
      <c r="B1145" s="126"/>
      <c r="C1145" s="583">
        <v>778</v>
      </c>
      <c r="D1145" s="625" t="e">
        <f t="shared" si="37"/>
        <v>#VALUE!</v>
      </c>
      <c r="E1145" s="591"/>
      <c r="F1145" s="591"/>
      <c r="G1145" s="591"/>
      <c r="H1145" s="591"/>
      <c r="I1145" s="591"/>
      <c r="J1145" s="591"/>
      <c r="K1145" s="542"/>
      <c r="O1145" s="1134"/>
      <c r="Q1145" s="1133"/>
    </row>
    <row r="1146" spans="2:17" x14ac:dyDescent="0.3">
      <c r="B1146" s="126"/>
      <c r="C1146" s="583">
        <v>779</v>
      </c>
      <c r="D1146" s="625" t="e">
        <f t="shared" si="37"/>
        <v>#VALUE!</v>
      </c>
      <c r="E1146" s="591"/>
      <c r="F1146" s="591"/>
      <c r="G1146" s="591"/>
      <c r="H1146" s="591"/>
      <c r="I1146" s="591"/>
      <c r="J1146" s="591"/>
      <c r="K1146" s="542"/>
      <c r="O1146" s="1134"/>
      <c r="Q1146" s="1133"/>
    </row>
    <row r="1147" spans="2:17" x14ac:dyDescent="0.3">
      <c r="B1147" s="126"/>
      <c r="C1147" s="583">
        <v>780</v>
      </c>
      <c r="D1147" s="625" t="e">
        <f t="shared" si="37"/>
        <v>#VALUE!</v>
      </c>
      <c r="E1147" s="591"/>
      <c r="F1147" s="591"/>
      <c r="G1147" s="591"/>
      <c r="H1147" s="591"/>
      <c r="I1147" s="591"/>
      <c r="J1147" s="591"/>
      <c r="K1147" s="542"/>
      <c r="O1147" s="1134"/>
      <c r="Q1147" s="1133"/>
    </row>
    <row r="1148" spans="2:17" x14ac:dyDescent="0.3">
      <c r="B1148" s="126"/>
      <c r="C1148" s="583">
        <v>781</v>
      </c>
      <c r="D1148" s="625" t="e">
        <f t="shared" si="37"/>
        <v>#VALUE!</v>
      </c>
      <c r="E1148" s="591"/>
      <c r="F1148" s="591"/>
      <c r="G1148" s="591"/>
      <c r="H1148" s="591"/>
      <c r="I1148" s="591"/>
      <c r="J1148" s="591"/>
      <c r="K1148" s="542"/>
      <c r="O1148" s="1134"/>
      <c r="Q1148" s="1133"/>
    </row>
    <row r="1149" spans="2:17" x14ac:dyDescent="0.3">
      <c r="B1149" s="126"/>
      <c r="C1149" s="583">
        <v>782</v>
      </c>
      <c r="D1149" s="625" t="e">
        <f t="shared" si="37"/>
        <v>#VALUE!</v>
      </c>
      <c r="E1149" s="591"/>
      <c r="F1149" s="591"/>
      <c r="G1149" s="591"/>
      <c r="H1149" s="591"/>
      <c r="I1149" s="591"/>
      <c r="J1149" s="591"/>
      <c r="K1149" s="542"/>
      <c r="O1149" s="1134"/>
      <c r="Q1149" s="1133"/>
    </row>
    <row r="1150" spans="2:17" x14ac:dyDescent="0.3">
      <c r="B1150" s="126"/>
      <c r="C1150" s="583">
        <v>783</v>
      </c>
      <c r="D1150" s="625" t="e">
        <f t="shared" si="37"/>
        <v>#VALUE!</v>
      </c>
      <c r="E1150" s="591"/>
      <c r="F1150" s="591"/>
      <c r="G1150" s="591"/>
      <c r="H1150" s="591"/>
      <c r="I1150" s="591"/>
      <c r="J1150" s="591"/>
      <c r="K1150" s="542"/>
      <c r="O1150" s="1134"/>
      <c r="Q1150" s="1133"/>
    </row>
    <row r="1151" spans="2:17" x14ac:dyDescent="0.3">
      <c r="B1151" s="126"/>
      <c r="C1151" s="583">
        <v>784</v>
      </c>
      <c r="D1151" s="625" t="e">
        <f t="shared" si="37"/>
        <v>#VALUE!</v>
      </c>
      <c r="E1151" s="591"/>
      <c r="F1151" s="591"/>
      <c r="G1151" s="591"/>
      <c r="H1151" s="591"/>
      <c r="I1151" s="591"/>
      <c r="J1151" s="591"/>
      <c r="K1151" s="542"/>
      <c r="O1151" s="1134"/>
      <c r="Q1151" s="1133"/>
    </row>
    <row r="1152" spans="2:17" x14ac:dyDescent="0.3">
      <c r="B1152" s="126"/>
      <c r="C1152" s="583">
        <v>785</v>
      </c>
      <c r="D1152" s="625" t="e">
        <f t="shared" si="37"/>
        <v>#VALUE!</v>
      </c>
      <c r="E1152" s="591"/>
      <c r="F1152" s="591"/>
      <c r="G1152" s="591"/>
      <c r="H1152" s="591"/>
      <c r="I1152" s="591"/>
      <c r="J1152" s="591"/>
      <c r="K1152" s="542"/>
      <c r="O1152" s="1134"/>
      <c r="Q1152" s="1133"/>
    </row>
    <row r="1153" spans="2:17" x14ac:dyDescent="0.3">
      <c r="B1153" s="126"/>
      <c r="C1153" s="583">
        <v>786</v>
      </c>
      <c r="D1153" s="625" t="e">
        <f t="shared" si="37"/>
        <v>#VALUE!</v>
      </c>
      <c r="E1153" s="591"/>
      <c r="F1153" s="591"/>
      <c r="G1153" s="591"/>
      <c r="H1153" s="591"/>
      <c r="I1153" s="591"/>
      <c r="J1153" s="591"/>
      <c r="K1153" s="542"/>
      <c r="O1153" s="1134"/>
      <c r="Q1153" s="1133"/>
    </row>
    <row r="1154" spans="2:17" x14ac:dyDescent="0.3">
      <c r="B1154" s="126"/>
      <c r="C1154" s="583">
        <v>787</v>
      </c>
      <c r="D1154" s="625" t="e">
        <f t="shared" si="37"/>
        <v>#VALUE!</v>
      </c>
      <c r="E1154" s="591"/>
      <c r="F1154" s="591"/>
      <c r="G1154" s="591"/>
      <c r="H1154" s="591"/>
      <c r="I1154" s="591"/>
      <c r="J1154" s="591"/>
      <c r="K1154" s="542"/>
      <c r="O1154" s="1134"/>
      <c r="Q1154" s="1133"/>
    </row>
    <row r="1155" spans="2:17" x14ac:dyDescent="0.3">
      <c r="B1155" s="126"/>
      <c r="C1155" s="583">
        <v>788</v>
      </c>
      <c r="D1155" s="625" t="e">
        <f t="shared" si="37"/>
        <v>#VALUE!</v>
      </c>
      <c r="E1155" s="591"/>
      <c r="F1155" s="591"/>
      <c r="G1155" s="591"/>
      <c r="H1155" s="591"/>
      <c r="I1155" s="591"/>
      <c r="J1155" s="591"/>
      <c r="K1155" s="542"/>
      <c r="O1155" s="1134"/>
      <c r="Q1155" s="1133"/>
    </row>
    <row r="1156" spans="2:17" x14ac:dyDescent="0.3">
      <c r="B1156" s="126"/>
      <c r="C1156" s="583">
        <v>789</v>
      </c>
      <c r="D1156" s="625" t="e">
        <f t="shared" si="37"/>
        <v>#VALUE!</v>
      </c>
      <c r="E1156" s="591"/>
      <c r="F1156" s="591"/>
      <c r="G1156" s="591"/>
      <c r="H1156" s="591"/>
      <c r="I1156" s="591"/>
      <c r="J1156" s="591"/>
      <c r="K1156" s="542"/>
      <c r="O1156" s="1134"/>
      <c r="Q1156" s="1133"/>
    </row>
    <row r="1157" spans="2:17" x14ac:dyDescent="0.3">
      <c r="B1157" s="126"/>
      <c r="C1157" s="583">
        <v>790</v>
      </c>
      <c r="D1157" s="625" t="e">
        <f t="shared" si="37"/>
        <v>#VALUE!</v>
      </c>
      <c r="E1157" s="591"/>
      <c r="F1157" s="591"/>
      <c r="G1157" s="591"/>
      <c r="H1157" s="591"/>
      <c r="I1157" s="591"/>
      <c r="J1157" s="591"/>
      <c r="K1157" s="542"/>
      <c r="O1157" s="1134"/>
      <c r="Q1157" s="1133"/>
    </row>
    <row r="1158" spans="2:17" x14ac:dyDescent="0.3">
      <c r="B1158" s="126"/>
      <c r="C1158" s="583">
        <v>791</v>
      </c>
      <c r="D1158" s="625" t="e">
        <f t="shared" si="37"/>
        <v>#VALUE!</v>
      </c>
      <c r="E1158" s="591"/>
      <c r="F1158" s="591"/>
      <c r="G1158" s="591"/>
      <c r="H1158" s="591"/>
      <c r="I1158" s="591"/>
      <c r="J1158" s="591"/>
      <c r="K1158" s="542"/>
      <c r="O1158" s="1134"/>
      <c r="Q1158" s="1133"/>
    </row>
    <row r="1159" spans="2:17" x14ac:dyDescent="0.3">
      <c r="B1159" s="126"/>
      <c r="C1159" s="583">
        <v>792</v>
      </c>
      <c r="D1159" s="625" t="e">
        <f t="shared" si="37"/>
        <v>#VALUE!</v>
      </c>
      <c r="E1159" s="591"/>
      <c r="F1159" s="591"/>
      <c r="G1159" s="591"/>
      <c r="H1159" s="591"/>
      <c r="I1159" s="591"/>
      <c r="J1159" s="591"/>
      <c r="K1159" s="542"/>
      <c r="O1159" s="1134"/>
      <c r="Q1159" s="1133"/>
    </row>
    <row r="1160" spans="2:17" x14ac:dyDescent="0.3">
      <c r="B1160" s="126"/>
      <c r="C1160" s="583">
        <v>793</v>
      </c>
      <c r="D1160" s="625" t="e">
        <f t="shared" si="37"/>
        <v>#VALUE!</v>
      </c>
      <c r="E1160" s="591"/>
      <c r="F1160" s="591"/>
      <c r="G1160" s="591"/>
      <c r="H1160" s="591"/>
      <c r="I1160" s="591"/>
      <c r="J1160" s="591"/>
      <c r="K1160" s="542"/>
      <c r="O1160" s="1134"/>
      <c r="Q1160" s="1133"/>
    </row>
    <row r="1161" spans="2:17" x14ac:dyDescent="0.3">
      <c r="B1161" s="126"/>
      <c r="C1161" s="583">
        <v>794</v>
      </c>
      <c r="D1161" s="625" t="e">
        <f t="shared" si="37"/>
        <v>#VALUE!</v>
      </c>
      <c r="E1161" s="591"/>
      <c r="F1161" s="591"/>
      <c r="G1161" s="591"/>
      <c r="H1161" s="591"/>
      <c r="I1161" s="591"/>
      <c r="J1161" s="591"/>
      <c r="K1161" s="542"/>
      <c r="O1161" s="1134"/>
      <c r="Q1161" s="1133"/>
    </row>
    <row r="1162" spans="2:17" x14ac:dyDescent="0.3">
      <c r="B1162" s="126"/>
      <c r="C1162" s="583">
        <v>795</v>
      </c>
      <c r="D1162" s="625" t="e">
        <f t="shared" si="37"/>
        <v>#VALUE!</v>
      </c>
      <c r="E1162" s="591"/>
      <c r="F1162" s="591"/>
      <c r="G1162" s="591"/>
      <c r="H1162" s="591"/>
      <c r="I1162" s="591"/>
      <c r="J1162" s="591"/>
      <c r="K1162" s="542"/>
      <c r="O1162" s="1134"/>
      <c r="Q1162" s="1133"/>
    </row>
    <row r="1163" spans="2:17" x14ac:dyDescent="0.3">
      <c r="B1163" s="126"/>
      <c r="C1163" s="583">
        <v>796</v>
      </c>
      <c r="D1163" s="625" t="e">
        <f t="shared" si="37"/>
        <v>#VALUE!</v>
      </c>
      <c r="E1163" s="591"/>
      <c r="F1163" s="591"/>
      <c r="G1163" s="591"/>
      <c r="H1163" s="591"/>
      <c r="I1163" s="591"/>
      <c r="J1163" s="591"/>
      <c r="K1163" s="542"/>
      <c r="O1163" s="1134"/>
      <c r="Q1163" s="1133"/>
    </row>
    <row r="1164" spans="2:17" x14ac:dyDescent="0.3">
      <c r="B1164" s="126"/>
      <c r="C1164" s="583">
        <v>797</v>
      </c>
      <c r="D1164" s="625" t="e">
        <f t="shared" si="37"/>
        <v>#VALUE!</v>
      </c>
      <c r="E1164" s="591"/>
      <c r="F1164" s="591"/>
      <c r="G1164" s="591"/>
      <c r="H1164" s="591"/>
      <c r="I1164" s="591"/>
      <c r="J1164" s="591"/>
      <c r="K1164" s="542"/>
      <c r="O1164" s="1134"/>
      <c r="Q1164" s="1133"/>
    </row>
    <row r="1165" spans="2:17" x14ac:dyDescent="0.3">
      <c r="B1165" s="126"/>
      <c r="C1165" s="583">
        <v>798</v>
      </c>
      <c r="D1165" s="625" t="e">
        <f t="shared" si="37"/>
        <v>#VALUE!</v>
      </c>
      <c r="E1165" s="591"/>
      <c r="F1165" s="591"/>
      <c r="G1165" s="591"/>
      <c r="H1165" s="591"/>
      <c r="I1165" s="591"/>
      <c r="J1165" s="591"/>
      <c r="K1165" s="542"/>
      <c r="O1165" s="1134"/>
      <c r="Q1165" s="1133"/>
    </row>
    <row r="1166" spans="2:17" x14ac:dyDescent="0.3">
      <c r="B1166" s="126"/>
      <c r="C1166" s="583">
        <v>799</v>
      </c>
      <c r="D1166" s="625" t="e">
        <f t="shared" si="37"/>
        <v>#VALUE!</v>
      </c>
      <c r="E1166" s="591"/>
      <c r="F1166" s="591"/>
      <c r="G1166" s="591"/>
      <c r="H1166" s="591"/>
      <c r="I1166" s="591"/>
      <c r="J1166" s="591"/>
      <c r="K1166" s="542"/>
      <c r="O1166" s="1134"/>
      <c r="Q1166" s="1133"/>
    </row>
    <row r="1167" spans="2:17" x14ac:dyDescent="0.3">
      <c r="B1167" s="126"/>
      <c r="C1167" s="583">
        <v>800</v>
      </c>
      <c r="D1167" s="625" t="e">
        <f t="shared" si="37"/>
        <v>#VALUE!</v>
      </c>
      <c r="E1167" s="591"/>
      <c r="F1167" s="591"/>
      <c r="G1167" s="591"/>
      <c r="H1167" s="591"/>
      <c r="I1167" s="591"/>
      <c r="J1167" s="591"/>
      <c r="K1167" s="542"/>
      <c r="O1167" s="1134"/>
      <c r="Q1167" s="1133"/>
    </row>
    <row r="1168" spans="2:17" x14ac:dyDescent="0.3">
      <c r="B1168" s="126"/>
      <c r="C1168" s="583">
        <v>801</v>
      </c>
      <c r="D1168" s="625" t="e">
        <f t="shared" si="37"/>
        <v>#VALUE!</v>
      </c>
      <c r="E1168" s="591"/>
      <c r="F1168" s="591"/>
      <c r="G1168" s="591"/>
      <c r="H1168" s="591"/>
      <c r="I1168" s="591"/>
      <c r="J1168" s="591"/>
      <c r="K1168" s="542"/>
      <c r="O1168" s="1134"/>
      <c r="Q1168" s="1133"/>
    </row>
    <row r="1169" spans="2:17" x14ac:dyDescent="0.3">
      <c r="B1169" s="126"/>
      <c r="C1169" s="583">
        <v>802</v>
      </c>
      <c r="D1169" s="625" t="e">
        <f t="shared" si="37"/>
        <v>#VALUE!</v>
      </c>
      <c r="E1169" s="591"/>
      <c r="F1169" s="591"/>
      <c r="G1169" s="591"/>
      <c r="H1169" s="591"/>
      <c r="I1169" s="591"/>
      <c r="J1169" s="591"/>
      <c r="K1169" s="542"/>
      <c r="O1169" s="1134"/>
      <c r="Q1169" s="1133"/>
    </row>
    <row r="1170" spans="2:17" x14ac:dyDescent="0.3">
      <c r="B1170" s="126"/>
      <c r="C1170" s="583">
        <v>803</v>
      </c>
      <c r="D1170" s="625" t="e">
        <f t="shared" si="37"/>
        <v>#VALUE!</v>
      </c>
      <c r="E1170" s="591"/>
      <c r="F1170" s="591"/>
      <c r="G1170" s="591"/>
      <c r="H1170" s="591"/>
      <c r="I1170" s="591"/>
      <c r="J1170" s="591"/>
      <c r="K1170" s="542"/>
      <c r="O1170" s="1134"/>
      <c r="Q1170" s="1133"/>
    </row>
    <row r="1171" spans="2:17" x14ac:dyDescent="0.3">
      <c r="B1171" s="126"/>
      <c r="C1171" s="583">
        <v>804</v>
      </c>
      <c r="D1171" s="625" t="e">
        <f t="shared" si="37"/>
        <v>#VALUE!</v>
      </c>
      <c r="E1171" s="591"/>
      <c r="F1171" s="591"/>
      <c r="G1171" s="591"/>
      <c r="H1171" s="591"/>
      <c r="I1171" s="591"/>
      <c r="J1171" s="591"/>
      <c r="K1171" s="542"/>
      <c r="O1171" s="1134"/>
      <c r="Q1171" s="1133"/>
    </row>
    <row r="1172" spans="2:17" x14ac:dyDescent="0.3">
      <c r="B1172" s="126"/>
      <c r="C1172" s="583">
        <v>805</v>
      </c>
      <c r="D1172" s="625" t="e">
        <f t="shared" si="37"/>
        <v>#VALUE!</v>
      </c>
      <c r="E1172" s="591"/>
      <c r="F1172" s="591"/>
      <c r="G1172" s="591"/>
      <c r="H1172" s="591"/>
      <c r="I1172" s="591"/>
      <c r="J1172" s="591"/>
      <c r="K1172" s="542"/>
      <c r="O1172" s="1134"/>
      <c r="Q1172" s="1133"/>
    </row>
    <row r="1173" spans="2:17" x14ac:dyDescent="0.3">
      <c r="B1173" s="126"/>
      <c r="C1173" s="583">
        <v>806</v>
      </c>
      <c r="D1173" s="625" t="e">
        <f t="shared" si="37"/>
        <v>#VALUE!</v>
      </c>
      <c r="E1173" s="591"/>
      <c r="F1173" s="591"/>
      <c r="G1173" s="591"/>
      <c r="H1173" s="591"/>
      <c r="I1173" s="591"/>
      <c r="J1173" s="591"/>
      <c r="K1173" s="542"/>
      <c r="O1173" s="1134"/>
      <c r="Q1173" s="1133"/>
    </row>
    <row r="1174" spans="2:17" x14ac:dyDescent="0.3">
      <c r="B1174" s="126"/>
      <c r="C1174" s="583">
        <v>807</v>
      </c>
      <c r="D1174" s="625" t="e">
        <f t="shared" si="37"/>
        <v>#VALUE!</v>
      </c>
      <c r="E1174" s="591"/>
      <c r="F1174" s="591"/>
      <c r="G1174" s="591"/>
      <c r="H1174" s="591"/>
      <c r="I1174" s="591"/>
      <c r="J1174" s="591"/>
      <c r="K1174" s="542"/>
      <c r="O1174" s="1134"/>
      <c r="Q1174" s="1133"/>
    </row>
    <row r="1175" spans="2:17" x14ac:dyDescent="0.3">
      <c r="B1175" s="126"/>
      <c r="C1175" s="583">
        <v>808</v>
      </c>
      <c r="D1175" s="625" t="e">
        <f t="shared" si="37"/>
        <v>#VALUE!</v>
      </c>
      <c r="E1175" s="591"/>
      <c r="F1175" s="591"/>
      <c r="G1175" s="591"/>
      <c r="H1175" s="591"/>
      <c r="I1175" s="591"/>
      <c r="J1175" s="591"/>
      <c r="K1175" s="542"/>
      <c r="O1175" s="1134"/>
      <c r="Q1175" s="1133"/>
    </row>
    <row r="1176" spans="2:17" x14ac:dyDescent="0.3">
      <c r="B1176" s="126"/>
      <c r="C1176" s="583">
        <v>809</v>
      </c>
      <c r="D1176" s="625" t="e">
        <f t="shared" si="37"/>
        <v>#VALUE!</v>
      </c>
      <c r="E1176" s="591"/>
      <c r="F1176" s="591"/>
      <c r="G1176" s="591"/>
      <c r="H1176" s="591"/>
      <c r="I1176" s="591"/>
      <c r="J1176" s="591"/>
      <c r="K1176" s="542"/>
      <c r="O1176" s="1134"/>
      <c r="Q1176" s="1133"/>
    </row>
    <row r="1177" spans="2:17" x14ac:dyDescent="0.3">
      <c r="B1177" s="126"/>
      <c r="C1177" s="583">
        <v>810</v>
      </c>
      <c r="D1177" s="625" t="e">
        <f t="shared" si="37"/>
        <v>#VALUE!</v>
      </c>
      <c r="E1177" s="591"/>
      <c r="F1177" s="591"/>
      <c r="G1177" s="591"/>
      <c r="H1177" s="591"/>
      <c r="I1177" s="591"/>
      <c r="J1177" s="591"/>
      <c r="K1177" s="542"/>
      <c r="O1177" s="1134"/>
      <c r="Q1177" s="1133"/>
    </row>
    <row r="1178" spans="2:17" x14ac:dyDescent="0.3">
      <c r="B1178" s="126"/>
      <c r="C1178" s="583">
        <v>811</v>
      </c>
      <c r="D1178" s="625" t="e">
        <f t="shared" si="37"/>
        <v>#VALUE!</v>
      </c>
      <c r="E1178" s="591"/>
      <c r="F1178" s="591"/>
      <c r="G1178" s="591"/>
      <c r="H1178" s="591"/>
      <c r="I1178" s="591"/>
      <c r="J1178" s="591"/>
      <c r="K1178" s="542"/>
      <c r="O1178" s="1134"/>
      <c r="Q1178" s="1133"/>
    </row>
    <row r="1179" spans="2:17" x14ac:dyDescent="0.3">
      <c r="B1179" s="126"/>
      <c r="C1179" s="583">
        <v>812</v>
      </c>
      <c r="D1179" s="625" t="e">
        <f t="shared" si="37"/>
        <v>#VALUE!</v>
      </c>
      <c r="E1179" s="591"/>
      <c r="F1179" s="591"/>
      <c r="G1179" s="591"/>
      <c r="H1179" s="591"/>
      <c r="I1179" s="591"/>
      <c r="J1179" s="591"/>
      <c r="K1179" s="542"/>
      <c r="O1179" s="1134"/>
      <c r="Q1179" s="1133"/>
    </row>
    <row r="1180" spans="2:17" x14ac:dyDescent="0.3">
      <c r="B1180" s="126"/>
      <c r="C1180" s="583">
        <v>813</v>
      </c>
      <c r="D1180" s="625" t="e">
        <f t="shared" si="37"/>
        <v>#VALUE!</v>
      </c>
      <c r="E1180" s="591"/>
      <c r="F1180" s="591"/>
      <c r="G1180" s="591"/>
      <c r="H1180" s="591"/>
      <c r="I1180" s="591"/>
      <c r="J1180" s="591"/>
      <c r="K1180" s="542"/>
      <c r="O1180" s="1134"/>
      <c r="Q1180" s="1133"/>
    </row>
    <row r="1181" spans="2:17" x14ac:dyDescent="0.3">
      <c r="B1181" s="126"/>
      <c r="C1181" s="583">
        <v>814</v>
      </c>
      <c r="D1181" s="625" t="e">
        <f t="shared" si="37"/>
        <v>#VALUE!</v>
      </c>
      <c r="E1181" s="591"/>
      <c r="F1181" s="591"/>
      <c r="G1181" s="591"/>
      <c r="H1181" s="591"/>
      <c r="I1181" s="591"/>
      <c r="J1181" s="591"/>
      <c r="K1181" s="542"/>
      <c r="O1181" s="1134"/>
      <c r="Q1181" s="1133"/>
    </row>
    <row r="1182" spans="2:17" x14ac:dyDescent="0.3">
      <c r="B1182" s="126"/>
      <c r="C1182" s="583">
        <v>815</v>
      </c>
      <c r="D1182" s="625" t="e">
        <f t="shared" si="37"/>
        <v>#VALUE!</v>
      </c>
      <c r="E1182" s="591"/>
      <c r="F1182" s="591"/>
      <c r="G1182" s="591"/>
      <c r="H1182" s="591"/>
      <c r="I1182" s="591"/>
      <c r="J1182" s="591"/>
      <c r="K1182" s="542"/>
      <c r="O1182" s="1134"/>
      <c r="Q1182" s="1133"/>
    </row>
    <row r="1183" spans="2:17" x14ac:dyDescent="0.3">
      <c r="B1183" s="126"/>
      <c r="C1183" s="583">
        <v>816</v>
      </c>
      <c r="D1183" s="625" t="e">
        <f t="shared" si="37"/>
        <v>#VALUE!</v>
      </c>
      <c r="E1183" s="591"/>
      <c r="F1183" s="591"/>
      <c r="G1183" s="591"/>
      <c r="H1183" s="591"/>
      <c r="I1183" s="591"/>
      <c r="J1183" s="591"/>
      <c r="K1183" s="542"/>
      <c r="O1183" s="1134"/>
      <c r="Q1183" s="1133"/>
    </row>
    <row r="1184" spans="2:17" x14ac:dyDescent="0.3">
      <c r="B1184" s="126"/>
      <c r="C1184" s="583">
        <v>817</v>
      </c>
      <c r="D1184" s="625" t="e">
        <f t="shared" si="37"/>
        <v>#VALUE!</v>
      </c>
      <c r="E1184" s="591"/>
      <c r="F1184" s="591"/>
      <c r="G1184" s="591"/>
      <c r="H1184" s="591"/>
      <c r="I1184" s="591"/>
      <c r="J1184" s="591"/>
      <c r="K1184" s="542"/>
      <c r="O1184" s="1134"/>
      <c r="Q1184" s="1133"/>
    </row>
    <row r="1185" spans="2:17" x14ac:dyDescent="0.3">
      <c r="B1185" s="126"/>
      <c r="C1185" s="583">
        <v>818</v>
      </c>
      <c r="D1185" s="625" t="e">
        <f t="shared" si="37"/>
        <v>#VALUE!</v>
      </c>
      <c r="E1185" s="591"/>
      <c r="F1185" s="591"/>
      <c r="G1185" s="591"/>
      <c r="H1185" s="591"/>
      <c r="I1185" s="591"/>
      <c r="J1185" s="591"/>
      <c r="K1185" s="542"/>
      <c r="O1185" s="1134"/>
      <c r="Q1185" s="1133"/>
    </row>
    <row r="1186" spans="2:17" x14ac:dyDescent="0.3">
      <c r="B1186" s="126"/>
      <c r="C1186" s="583">
        <v>819</v>
      </c>
      <c r="D1186" s="625" t="e">
        <f t="shared" si="37"/>
        <v>#VALUE!</v>
      </c>
      <c r="E1186" s="591"/>
      <c r="F1186" s="591"/>
      <c r="G1186" s="591"/>
      <c r="H1186" s="591"/>
      <c r="I1186" s="591"/>
      <c r="J1186" s="591"/>
      <c r="K1186" s="542"/>
      <c r="O1186" s="1134"/>
      <c r="Q1186" s="1133"/>
    </row>
    <row r="1187" spans="2:17" x14ac:dyDescent="0.3">
      <c r="B1187" s="126"/>
      <c r="C1187" s="583">
        <v>820</v>
      </c>
      <c r="D1187" s="625" t="e">
        <f t="shared" si="37"/>
        <v>#VALUE!</v>
      </c>
      <c r="E1187" s="591"/>
      <c r="F1187" s="591"/>
      <c r="G1187" s="591"/>
      <c r="H1187" s="591"/>
      <c r="I1187" s="591"/>
      <c r="J1187" s="591"/>
      <c r="K1187" s="542"/>
      <c r="O1187" s="1134"/>
      <c r="Q1187" s="1133"/>
    </row>
    <row r="1188" spans="2:17" x14ac:dyDescent="0.3">
      <c r="B1188" s="126"/>
      <c r="C1188" s="583">
        <v>821</v>
      </c>
      <c r="D1188" s="625" t="e">
        <f t="shared" si="37"/>
        <v>#VALUE!</v>
      </c>
      <c r="E1188" s="591"/>
      <c r="F1188" s="591"/>
      <c r="G1188" s="591"/>
      <c r="H1188" s="591"/>
      <c r="I1188" s="591"/>
      <c r="J1188" s="591"/>
      <c r="K1188" s="542"/>
      <c r="O1188" s="1134"/>
      <c r="Q1188" s="1133"/>
    </row>
    <row r="1189" spans="2:17" x14ac:dyDescent="0.3">
      <c r="B1189" s="126"/>
      <c r="C1189" s="583">
        <v>822</v>
      </c>
      <c r="D1189" s="625" t="e">
        <f t="shared" si="37"/>
        <v>#VALUE!</v>
      </c>
      <c r="E1189" s="591"/>
      <c r="F1189" s="591"/>
      <c r="G1189" s="591"/>
      <c r="H1189" s="591"/>
      <c r="I1189" s="591"/>
      <c r="J1189" s="591"/>
      <c r="K1189" s="542"/>
      <c r="O1189" s="1134"/>
      <c r="Q1189" s="1133"/>
    </row>
    <row r="1190" spans="2:17" x14ac:dyDescent="0.3">
      <c r="B1190" s="126"/>
      <c r="C1190" s="583">
        <v>823</v>
      </c>
      <c r="D1190" s="625" t="e">
        <f t="shared" si="37"/>
        <v>#VALUE!</v>
      </c>
      <c r="E1190" s="591"/>
      <c r="F1190" s="591"/>
      <c r="G1190" s="591"/>
      <c r="H1190" s="591"/>
      <c r="I1190" s="591"/>
      <c r="J1190" s="591"/>
      <c r="K1190" s="542"/>
      <c r="O1190" s="1134"/>
      <c r="Q1190" s="1133"/>
    </row>
    <row r="1191" spans="2:17" x14ac:dyDescent="0.3">
      <c r="B1191" s="126"/>
      <c r="C1191" s="583">
        <v>824</v>
      </c>
      <c r="D1191" s="625" t="e">
        <f t="shared" si="37"/>
        <v>#VALUE!</v>
      </c>
      <c r="E1191" s="591"/>
      <c r="F1191" s="591"/>
      <c r="G1191" s="591"/>
      <c r="H1191" s="591"/>
      <c r="I1191" s="591"/>
      <c r="J1191" s="591"/>
      <c r="K1191" s="542"/>
      <c r="O1191" s="1134"/>
      <c r="Q1191" s="1133"/>
    </row>
    <row r="1192" spans="2:17" x14ac:dyDescent="0.3">
      <c r="B1192" s="126"/>
      <c r="C1192" s="583">
        <v>825</v>
      </c>
      <c r="D1192" s="625" t="e">
        <f t="shared" si="37"/>
        <v>#VALUE!</v>
      </c>
      <c r="E1192" s="591"/>
      <c r="F1192" s="591"/>
      <c r="G1192" s="591"/>
      <c r="H1192" s="591"/>
      <c r="I1192" s="591"/>
      <c r="J1192" s="591"/>
      <c r="K1192" s="542"/>
      <c r="O1192" s="1134"/>
      <c r="Q1192" s="1133"/>
    </row>
    <row r="1193" spans="2:17" x14ac:dyDescent="0.3">
      <c r="B1193" s="126"/>
      <c r="C1193" s="583">
        <v>826</v>
      </c>
      <c r="D1193" s="625" t="e">
        <f t="shared" si="37"/>
        <v>#VALUE!</v>
      </c>
      <c r="E1193" s="591"/>
      <c r="F1193" s="591"/>
      <c r="G1193" s="591"/>
      <c r="H1193" s="591"/>
      <c r="I1193" s="591"/>
      <c r="J1193" s="591"/>
      <c r="K1193" s="542"/>
      <c r="O1193" s="1134"/>
      <c r="Q1193" s="1133"/>
    </row>
    <row r="1194" spans="2:17" x14ac:dyDescent="0.3">
      <c r="B1194" s="126"/>
      <c r="C1194" s="583">
        <v>827</v>
      </c>
      <c r="D1194" s="625" t="e">
        <f t="shared" si="37"/>
        <v>#VALUE!</v>
      </c>
      <c r="E1194" s="591"/>
      <c r="F1194" s="591"/>
      <c r="G1194" s="591"/>
      <c r="H1194" s="591"/>
      <c r="I1194" s="591"/>
      <c r="J1194" s="591"/>
      <c r="K1194" s="542"/>
      <c r="O1194" s="1134"/>
      <c r="Q1194" s="1133"/>
    </row>
    <row r="1195" spans="2:17" x14ac:dyDescent="0.3">
      <c r="B1195" s="126"/>
      <c r="C1195" s="583">
        <v>828</v>
      </c>
      <c r="D1195" s="625" t="e">
        <f t="shared" si="37"/>
        <v>#VALUE!</v>
      </c>
      <c r="E1195" s="591"/>
      <c r="F1195" s="591"/>
      <c r="G1195" s="591"/>
      <c r="H1195" s="591"/>
      <c r="I1195" s="591"/>
      <c r="J1195" s="591"/>
      <c r="K1195" s="542"/>
      <c r="O1195" s="1134"/>
      <c r="Q1195" s="1133"/>
    </row>
    <row r="1196" spans="2:17" x14ac:dyDescent="0.3">
      <c r="B1196" s="126"/>
      <c r="C1196" s="583">
        <v>829</v>
      </c>
      <c r="D1196" s="625" t="e">
        <f t="shared" si="37"/>
        <v>#VALUE!</v>
      </c>
      <c r="E1196" s="591"/>
      <c r="F1196" s="591"/>
      <c r="G1196" s="591"/>
      <c r="H1196" s="591"/>
      <c r="I1196" s="591"/>
      <c r="J1196" s="591"/>
      <c r="K1196" s="542"/>
      <c r="O1196" s="1134"/>
      <c r="Q1196" s="1133"/>
    </row>
    <row r="1197" spans="2:17" x14ac:dyDescent="0.3">
      <c r="B1197" s="126"/>
      <c r="C1197" s="583">
        <v>830</v>
      </c>
      <c r="D1197" s="625" t="e">
        <f t="shared" si="37"/>
        <v>#VALUE!</v>
      </c>
      <c r="E1197" s="591"/>
      <c r="F1197" s="591"/>
      <c r="G1197" s="591"/>
      <c r="H1197" s="591"/>
      <c r="I1197" s="591"/>
      <c r="J1197" s="591"/>
      <c r="K1197" s="542"/>
      <c r="O1197" s="1134"/>
      <c r="Q1197" s="1133"/>
    </row>
    <row r="1198" spans="2:17" x14ac:dyDescent="0.3">
      <c r="B1198" s="126"/>
      <c r="C1198" s="583">
        <v>831</v>
      </c>
      <c r="D1198" s="625" t="e">
        <f t="shared" si="37"/>
        <v>#VALUE!</v>
      </c>
      <c r="E1198" s="591"/>
      <c r="F1198" s="591"/>
      <c r="G1198" s="591"/>
      <c r="H1198" s="591"/>
      <c r="I1198" s="591"/>
      <c r="J1198" s="591"/>
      <c r="K1198" s="542"/>
      <c r="O1198" s="1134"/>
      <c r="Q1198" s="1133"/>
    </row>
    <row r="1199" spans="2:17" x14ac:dyDescent="0.3">
      <c r="B1199" s="126"/>
      <c r="C1199" s="583">
        <v>832</v>
      </c>
      <c r="D1199" s="625" t="e">
        <f t="shared" ref="D1199:D1262" si="38">$C$346*C1199</f>
        <v>#VALUE!</v>
      </c>
      <c r="E1199" s="591"/>
      <c r="F1199" s="591"/>
      <c r="G1199" s="591"/>
      <c r="H1199" s="591"/>
      <c r="I1199" s="591"/>
      <c r="J1199" s="591"/>
      <c r="K1199" s="542"/>
      <c r="O1199" s="1134"/>
      <c r="Q1199" s="1133"/>
    </row>
    <row r="1200" spans="2:17" x14ac:dyDescent="0.3">
      <c r="B1200" s="126"/>
      <c r="C1200" s="583">
        <v>833</v>
      </c>
      <c r="D1200" s="625" t="e">
        <f t="shared" si="38"/>
        <v>#VALUE!</v>
      </c>
      <c r="E1200" s="591"/>
      <c r="F1200" s="591"/>
      <c r="G1200" s="591"/>
      <c r="H1200" s="591"/>
      <c r="I1200" s="591"/>
      <c r="J1200" s="591"/>
      <c r="K1200" s="542"/>
      <c r="O1200" s="1134"/>
      <c r="Q1200" s="1133"/>
    </row>
    <row r="1201" spans="2:17" x14ac:dyDescent="0.3">
      <c r="B1201" s="126"/>
      <c r="C1201" s="583">
        <v>834</v>
      </c>
      <c r="D1201" s="625" t="e">
        <f t="shared" si="38"/>
        <v>#VALUE!</v>
      </c>
      <c r="E1201" s="591"/>
      <c r="F1201" s="591"/>
      <c r="G1201" s="591"/>
      <c r="H1201" s="591"/>
      <c r="I1201" s="591"/>
      <c r="J1201" s="591"/>
      <c r="K1201" s="542"/>
      <c r="O1201" s="1134"/>
      <c r="Q1201" s="1133"/>
    </row>
    <row r="1202" spans="2:17" x14ac:dyDescent="0.3">
      <c r="B1202" s="126"/>
      <c r="C1202" s="583">
        <v>835</v>
      </c>
      <c r="D1202" s="625" t="e">
        <f t="shared" si="38"/>
        <v>#VALUE!</v>
      </c>
      <c r="E1202" s="591"/>
      <c r="F1202" s="591"/>
      <c r="G1202" s="591"/>
      <c r="H1202" s="591"/>
      <c r="I1202" s="591"/>
      <c r="J1202" s="591"/>
      <c r="K1202" s="542"/>
      <c r="O1202" s="1134"/>
      <c r="Q1202" s="1133"/>
    </row>
    <row r="1203" spans="2:17" x14ac:dyDescent="0.3">
      <c r="B1203" s="126"/>
      <c r="C1203" s="583">
        <v>836</v>
      </c>
      <c r="D1203" s="625" t="e">
        <f t="shared" si="38"/>
        <v>#VALUE!</v>
      </c>
      <c r="E1203" s="591"/>
      <c r="F1203" s="591"/>
      <c r="G1203" s="591"/>
      <c r="H1203" s="591"/>
      <c r="I1203" s="591"/>
      <c r="J1203" s="591"/>
      <c r="K1203" s="542"/>
      <c r="O1203" s="1134"/>
      <c r="Q1203" s="1133"/>
    </row>
    <row r="1204" spans="2:17" x14ac:dyDescent="0.3">
      <c r="B1204" s="126"/>
      <c r="C1204" s="583">
        <v>837</v>
      </c>
      <c r="D1204" s="625" t="e">
        <f t="shared" si="38"/>
        <v>#VALUE!</v>
      </c>
      <c r="E1204" s="591"/>
      <c r="F1204" s="591"/>
      <c r="G1204" s="591"/>
      <c r="H1204" s="591"/>
      <c r="I1204" s="591"/>
      <c r="J1204" s="591"/>
      <c r="K1204" s="542"/>
      <c r="O1204" s="1134"/>
      <c r="Q1204" s="1133"/>
    </row>
    <row r="1205" spans="2:17" x14ac:dyDescent="0.3">
      <c r="B1205" s="126"/>
      <c r="C1205" s="583">
        <v>838</v>
      </c>
      <c r="D1205" s="625" t="e">
        <f t="shared" si="38"/>
        <v>#VALUE!</v>
      </c>
      <c r="E1205" s="591"/>
      <c r="F1205" s="591"/>
      <c r="G1205" s="591"/>
      <c r="H1205" s="591"/>
      <c r="I1205" s="591"/>
      <c r="J1205" s="591"/>
      <c r="K1205" s="542"/>
      <c r="O1205" s="1134"/>
      <c r="Q1205" s="1133"/>
    </row>
    <row r="1206" spans="2:17" x14ac:dyDescent="0.3">
      <c r="B1206" s="126"/>
      <c r="C1206" s="583">
        <v>839</v>
      </c>
      <c r="D1206" s="625" t="e">
        <f t="shared" si="38"/>
        <v>#VALUE!</v>
      </c>
      <c r="E1206" s="591"/>
      <c r="F1206" s="591"/>
      <c r="G1206" s="591"/>
      <c r="H1206" s="591"/>
      <c r="I1206" s="591"/>
      <c r="J1206" s="591"/>
      <c r="K1206" s="542"/>
      <c r="O1206" s="1134"/>
      <c r="Q1206" s="1133"/>
    </row>
    <row r="1207" spans="2:17" x14ac:dyDescent="0.3">
      <c r="B1207" s="126"/>
      <c r="C1207" s="583">
        <v>840</v>
      </c>
      <c r="D1207" s="625" t="e">
        <f t="shared" si="38"/>
        <v>#VALUE!</v>
      </c>
      <c r="E1207" s="591"/>
      <c r="F1207" s="591"/>
      <c r="G1207" s="591"/>
      <c r="H1207" s="591"/>
      <c r="I1207" s="591"/>
      <c r="J1207" s="591"/>
      <c r="K1207" s="542"/>
      <c r="O1207" s="1134"/>
      <c r="Q1207" s="1133"/>
    </row>
    <row r="1208" spans="2:17" x14ac:dyDescent="0.3">
      <c r="B1208" s="126"/>
      <c r="C1208" s="583">
        <v>841</v>
      </c>
      <c r="D1208" s="625" t="e">
        <f t="shared" si="38"/>
        <v>#VALUE!</v>
      </c>
      <c r="E1208" s="591"/>
      <c r="F1208" s="591"/>
      <c r="G1208" s="591"/>
      <c r="H1208" s="591"/>
      <c r="I1208" s="591"/>
      <c r="J1208" s="591"/>
      <c r="K1208" s="542"/>
      <c r="O1208" s="1134"/>
      <c r="Q1208" s="1133"/>
    </row>
    <row r="1209" spans="2:17" x14ac:dyDescent="0.3">
      <c r="B1209" s="126"/>
      <c r="C1209" s="583">
        <v>842</v>
      </c>
      <c r="D1209" s="625" t="e">
        <f t="shared" si="38"/>
        <v>#VALUE!</v>
      </c>
      <c r="E1209" s="591"/>
      <c r="F1209" s="591"/>
      <c r="G1209" s="591"/>
      <c r="H1209" s="591"/>
      <c r="I1209" s="591"/>
      <c r="J1209" s="591"/>
      <c r="K1209" s="542"/>
      <c r="O1209" s="1134"/>
      <c r="Q1209" s="1133"/>
    </row>
    <row r="1210" spans="2:17" x14ac:dyDescent="0.3">
      <c r="B1210" s="126"/>
      <c r="C1210" s="583">
        <v>843</v>
      </c>
      <c r="D1210" s="625" t="e">
        <f t="shared" si="38"/>
        <v>#VALUE!</v>
      </c>
      <c r="E1210" s="591"/>
      <c r="F1210" s="591"/>
      <c r="G1210" s="591"/>
      <c r="H1210" s="591"/>
      <c r="I1210" s="591"/>
      <c r="J1210" s="591"/>
      <c r="K1210" s="542"/>
      <c r="O1210" s="1134"/>
      <c r="Q1210" s="1133"/>
    </row>
    <row r="1211" spans="2:17" x14ac:dyDescent="0.3">
      <c r="B1211" s="126"/>
      <c r="C1211" s="583">
        <v>844</v>
      </c>
      <c r="D1211" s="625" t="e">
        <f t="shared" si="38"/>
        <v>#VALUE!</v>
      </c>
      <c r="E1211" s="591"/>
      <c r="F1211" s="591"/>
      <c r="G1211" s="591"/>
      <c r="H1211" s="591"/>
      <c r="I1211" s="591"/>
      <c r="J1211" s="591"/>
      <c r="K1211" s="542"/>
      <c r="O1211" s="1134"/>
      <c r="Q1211" s="1133"/>
    </row>
    <row r="1212" spans="2:17" x14ac:dyDescent="0.3">
      <c r="B1212" s="126"/>
      <c r="C1212" s="583">
        <v>845</v>
      </c>
      <c r="D1212" s="625" t="e">
        <f t="shared" si="38"/>
        <v>#VALUE!</v>
      </c>
      <c r="E1212" s="591"/>
      <c r="F1212" s="591"/>
      <c r="G1212" s="591"/>
      <c r="H1212" s="591"/>
      <c r="I1212" s="591"/>
      <c r="J1212" s="591"/>
      <c r="K1212" s="542"/>
      <c r="O1212" s="1134"/>
      <c r="Q1212" s="1133"/>
    </row>
    <row r="1213" spans="2:17" x14ac:dyDescent="0.3">
      <c r="B1213" s="126"/>
      <c r="C1213" s="583">
        <v>846</v>
      </c>
      <c r="D1213" s="625" t="e">
        <f t="shared" si="38"/>
        <v>#VALUE!</v>
      </c>
      <c r="E1213" s="591"/>
      <c r="F1213" s="591"/>
      <c r="G1213" s="591"/>
      <c r="H1213" s="591"/>
      <c r="I1213" s="591"/>
      <c r="J1213" s="591"/>
      <c r="K1213" s="542"/>
      <c r="O1213" s="1134"/>
      <c r="Q1213" s="1133"/>
    </row>
    <row r="1214" spans="2:17" x14ac:dyDescent="0.3">
      <c r="B1214" s="126"/>
      <c r="C1214" s="583">
        <v>847</v>
      </c>
      <c r="D1214" s="625" t="e">
        <f t="shared" si="38"/>
        <v>#VALUE!</v>
      </c>
      <c r="E1214" s="591"/>
      <c r="F1214" s="591"/>
      <c r="G1214" s="591"/>
      <c r="H1214" s="591"/>
      <c r="I1214" s="591"/>
      <c r="J1214" s="591"/>
      <c r="K1214" s="542"/>
      <c r="O1214" s="1134"/>
      <c r="Q1214" s="1133"/>
    </row>
    <row r="1215" spans="2:17" x14ac:dyDescent="0.3">
      <c r="B1215" s="126"/>
      <c r="C1215" s="583">
        <v>848</v>
      </c>
      <c r="D1215" s="625" t="e">
        <f t="shared" si="38"/>
        <v>#VALUE!</v>
      </c>
      <c r="E1215" s="591"/>
      <c r="F1215" s="591"/>
      <c r="G1215" s="591"/>
      <c r="H1215" s="591"/>
      <c r="I1215" s="591"/>
      <c r="J1215" s="591"/>
      <c r="K1215" s="542"/>
      <c r="O1215" s="1134"/>
      <c r="Q1215" s="1133"/>
    </row>
    <row r="1216" spans="2:17" x14ac:dyDescent="0.3">
      <c r="B1216" s="126"/>
      <c r="C1216" s="583">
        <v>849</v>
      </c>
      <c r="D1216" s="625" t="e">
        <f t="shared" si="38"/>
        <v>#VALUE!</v>
      </c>
      <c r="E1216" s="591"/>
      <c r="F1216" s="591"/>
      <c r="G1216" s="591"/>
      <c r="H1216" s="591"/>
      <c r="I1216" s="591"/>
      <c r="J1216" s="591"/>
      <c r="K1216" s="542"/>
      <c r="O1216" s="1134"/>
      <c r="Q1216" s="1133"/>
    </row>
    <row r="1217" spans="2:17" x14ac:dyDescent="0.3">
      <c r="B1217" s="126"/>
      <c r="C1217" s="583">
        <v>850</v>
      </c>
      <c r="D1217" s="625" t="e">
        <f t="shared" si="38"/>
        <v>#VALUE!</v>
      </c>
      <c r="E1217" s="591"/>
      <c r="F1217" s="591"/>
      <c r="G1217" s="591"/>
      <c r="H1217" s="591"/>
      <c r="I1217" s="591"/>
      <c r="J1217" s="591"/>
      <c r="K1217" s="542"/>
      <c r="O1217" s="1134"/>
      <c r="Q1217" s="1133"/>
    </row>
    <row r="1218" spans="2:17" x14ac:dyDescent="0.3">
      <c r="B1218" s="126"/>
      <c r="C1218" s="583">
        <v>851</v>
      </c>
      <c r="D1218" s="625" t="e">
        <f t="shared" si="38"/>
        <v>#VALUE!</v>
      </c>
      <c r="E1218" s="591"/>
      <c r="F1218" s="591"/>
      <c r="G1218" s="591"/>
      <c r="H1218" s="591"/>
      <c r="I1218" s="591"/>
      <c r="J1218" s="591"/>
      <c r="K1218" s="542"/>
      <c r="O1218" s="1134"/>
      <c r="Q1218" s="1133"/>
    </row>
    <row r="1219" spans="2:17" x14ac:dyDescent="0.3">
      <c r="B1219" s="126"/>
      <c r="C1219" s="583">
        <v>852</v>
      </c>
      <c r="D1219" s="625" t="e">
        <f t="shared" si="38"/>
        <v>#VALUE!</v>
      </c>
      <c r="E1219" s="591"/>
      <c r="F1219" s="591"/>
      <c r="G1219" s="591"/>
      <c r="H1219" s="591"/>
      <c r="I1219" s="591"/>
      <c r="J1219" s="591"/>
      <c r="K1219" s="542"/>
      <c r="O1219" s="1134"/>
      <c r="Q1219" s="1133"/>
    </row>
    <row r="1220" spans="2:17" x14ac:dyDescent="0.3">
      <c r="B1220" s="126"/>
      <c r="C1220" s="583">
        <v>853</v>
      </c>
      <c r="D1220" s="625" t="e">
        <f t="shared" si="38"/>
        <v>#VALUE!</v>
      </c>
      <c r="E1220" s="591"/>
      <c r="F1220" s="591"/>
      <c r="G1220" s="591"/>
      <c r="H1220" s="591"/>
      <c r="I1220" s="591"/>
      <c r="J1220" s="591"/>
      <c r="K1220" s="542"/>
      <c r="O1220" s="1134"/>
      <c r="Q1220" s="1133"/>
    </row>
    <row r="1221" spans="2:17" x14ac:dyDescent="0.3">
      <c r="B1221" s="126"/>
      <c r="C1221" s="583">
        <v>854</v>
      </c>
      <c r="D1221" s="625" t="e">
        <f t="shared" si="38"/>
        <v>#VALUE!</v>
      </c>
      <c r="E1221" s="591"/>
      <c r="F1221" s="591"/>
      <c r="G1221" s="591"/>
      <c r="H1221" s="591"/>
      <c r="I1221" s="591"/>
      <c r="J1221" s="591"/>
      <c r="K1221" s="542"/>
      <c r="O1221" s="1134"/>
      <c r="Q1221" s="1133"/>
    </row>
    <row r="1222" spans="2:17" x14ac:dyDescent="0.3">
      <c r="B1222" s="126"/>
      <c r="C1222" s="583">
        <v>855</v>
      </c>
      <c r="D1222" s="625" t="e">
        <f t="shared" si="38"/>
        <v>#VALUE!</v>
      </c>
      <c r="E1222" s="591"/>
      <c r="F1222" s="591"/>
      <c r="G1222" s="591"/>
      <c r="H1222" s="591"/>
      <c r="I1222" s="591"/>
      <c r="J1222" s="591"/>
      <c r="K1222" s="542"/>
      <c r="O1222" s="1134"/>
      <c r="Q1222" s="1133"/>
    </row>
    <row r="1223" spans="2:17" x14ac:dyDescent="0.3">
      <c r="B1223" s="126"/>
      <c r="C1223" s="583">
        <v>856</v>
      </c>
      <c r="D1223" s="625" t="e">
        <f t="shared" si="38"/>
        <v>#VALUE!</v>
      </c>
      <c r="E1223" s="591"/>
      <c r="F1223" s="591"/>
      <c r="G1223" s="591"/>
      <c r="H1223" s="591"/>
      <c r="I1223" s="591"/>
      <c r="J1223" s="591"/>
      <c r="K1223" s="542"/>
      <c r="O1223" s="1134"/>
      <c r="Q1223" s="1133"/>
    </row>
    <row r="1224" spans="2:17" x14ac:dyDescent="0.3">
      <c r="B1224" s="126"/>
      <c r="C1224" s="583">
        <v>857</v>
      </c>
      <c r="D1224" s="625" t="e">
        <f t="shared" si="38"/>
        <v>#VALUE!</v>
      </c>
      <c r="E1224" s="591"/>
      <c r="F1224" s="591"/>
      <c r="G1224" s="591"/>
      <c r="H1224" s="591"/>
      <c r="I1224" s="591"/>
      <c r="J1224" s="591"/>
      <c r="K1224" s="542"/>
      <c r="O1224" s="1134"/>
      <c r="Q1224" s="1133"/>
    </row>
    <row r="1225" spans="2:17" x14ac:dyDescent="0.3">
      <c r="B1225" s="126"/>
      <c r="C1225" s="583">
        <v>858</v>
      </c>
      <c r="D1225" s="625" t="e">
        <f t="shared" si="38"/>
        <v>#VALUE!</v>
      </c>
      <c r="E1225" s="591"/>
      <c r="F1225" s="591"/>
      <c r="G1225" s="591"/>
      <c r="H1225" s="591"/>
      <c r="I1225" s="591"/>
      <c r="J1225" s="591"/>
      <c r="K1225" s="542"/>
      <c r="O1225" s="1134"/>
      <c r="Q1225" s="1133"/>
    </row>
    <row r="1226" spans="2:17" x14ac:dyDescent="0.3">
      <c r="B1226" s="126"/>
      <c r="C1226" s="583">
        <v>859</v>
      </c>
      <c r="D1226" s="625" t="e">
        <f t="shared" si="38"/>
        <v>#VALUE!</v>
      </c>
      <c r="E1226" s="591"/>
      <c r="F1226" s="591"/>
      <c r="G1226" s="591"/>
      <c r="H1226" s="591"/>
      <c r="I1226" s="591"/>
      <c r="J1226" s="591"/>
      <c r="K1226" s="542"/>
      <c r="O1226" s="1134"/>
      <c r="Q1226" s="1133"/>
    </row>
    <row r="1227" spans="2:17" x14ac:dyDescent="0.3">
      <c r="B1227" s="126"/>
      <c r="C1227" s="583">
        <v>860</v>
      </c>
      <c r="D1227" s="625" t="e">
        <f t="shared" si="38"/>
        <v>#VALUE!</v>
      </c>
      <c r="E1227" s="591"/>
      <c r="F1227" s="591"/>
      <c r="G1227" s="591"/>
      <c r="H1227" s="591"/>
      <c r="I1227" s="591"/>
      <c r="J1227" s="591"/>
      <c r="K1227" s="542"/>
      <c r="O1227" s="1134"/>
      <c r="Q1227" s="1133"/>
    </row>
    <row r="1228" spans="2:17" x14ac:dyDescent="0.3">
      <c r="B1228" s="126"/>
      <c r="C1228" s="583">
        <v>861</v>
      </c>
      <c r="D1228" s="625" t="e">
        <f t="shared" si="38"/>
        <v>#VALUE!</v>
      </c>
      <c r="E1228" s="591"/>
      <c r="F1228" s="591"/>
      <c r="G1228" s="591"/>
      <c r="H1228" s="591"/>
      <c r="I1228" s="591"/>
      <c r="J1228" s="591"/>
      <c r="K1228" s="542"/>
      <c r="O1228" s="1134"/>
      <c r="Q1228" s="1133"/>
    </row>
    <row r="1229" spans="2:17" x14ac:dyDescent="0.3">
      <c r="B1229" s="126"/>
      <c r="C1229" s="583">
        <v>862</v>
      </c>
      <c r="D1229" s="625" t="e">
        <f t="shared" si="38"/>
        <v>#VALUE!</v>
      </c>
      <c r="E1229" s="591"/>
      <c r="F1229" s="591"/>
      <c r="G1229" s="591"/>
      <c r="H1229" s="591"/>
      <c r="I1229" s="591"/>
      <c r="J1229" s="591"/>
      <c r="K1229" s="542"/>
      <c r="O1229" s="1134"/>
      <c r="Q1229" s="1133"/>
    </row>
    <row r="1230" spans="2:17" x14ac:dyDescent="0.3">
      <c r="B1230" s="126"/>
      <c r="C1230" s="583">
        <v>863</v>
      </c>
      <c r="D1230" s="625" t="e">
        <f t="shared" si="38"/>
        <v>#VALUE!</v>
      </c>
      <c r="E1230" s="591"/>
      <c r="F1230" s="591"/>
      <c r="G1230" s="591"/>
      <c r="H1230" s="591"/>
      <c r="I1230" s="591"/>
      <c r="J1230" s="591"/>
      <c r="K1230" s="542"/>
      <c r="O1230" s="1134"/>
      <c r="Q1230" s="1133"/>
    </row>
    <row r="1231" spans="2:17" x14ac:dyDescent="0.3">
      <c r="B1231" s="126"/>
      <c r="C1231" s="583">
        <v>864</v>
      </c>
      <c r="D1231" s="625" t="e">
        <f t="shared" si="38"/>
        <v>#VALUE!</v>
      </c>
      <c r="E1231" s="591"/>
      <c r="F1231" s="591"/>
      <c r="G1231" s="591"/>
      <c r="H1231" s="591"/>
      <c r="I1231" s="591"/>
      <c r="J1231" s="591"/>
      <c r="K1231" s="542"/>
      <c r="O1231" s="1134"/>
      <c r="Q1231" s="1133"/>
    </row>
    <row r="1232" spans="2:17" x14ac:dyDescent="0.3">
      <c r="B1232" s="126"/>
      <c r="C1232" s="583">
        <v>865</v>
      </c>
      <c r="D1232" s="625" t="e">
        <f t="shared" si="38"/>
        <v>#VALUE!</v>
      </c>
      <c r="E1232" s="591"/>
      <c r="F1232" s="591"/>
      <c r="G1232" s="591"/>
      <c r="H1232" s="591"/>
      <c r="I1232" s="591"/>
      <c r="J1232" s="591"/>
      <c r="K1232" s="542"/>
      <c r="O1232" s="1134"/>
      <c r="Q1232" s="1133"/>
    </row>
    <row r="1233" spans="2:17" x14ac:dyDescent="0.3">
      <c r="B1233" s="126"/>
      <c r="C1233" s="583">
        <v>866</v>
      </c>
      <c r="D1233" s="625" t="e">
        <f t="shared" si="38"/>
        <v>#VALUE!</v>
      </c>
      <c r="E1233" s="591"/>
      <c r="F1233" s="591"/>
      <c r="G1233" s="591"/>
      <c r="H1233" s="591"/>
      <c r="I1233" s="591"/>
      <c r="J1233" s="591"/>
      <c r="K1233" s="542"/>
      <c r="O1233" s="1134"/>
      <c r="Q1233" s="1133"/>
    </row>
    <row r="1234" spans="2:17" x14ac:dyDescent="0.3">
      <c r="B1234" s="126"/>
      <c r="C1234" s="583">
        <v>867</v>
      </c>
      <c r="D1234" s="625" t="e">
        <f t="shared" si="38"/>
        <v>#VALUE!</v>
      </c>
      <c r="E1234" s="591"/>
      <c r="F1234" s="591"/>
      <c r="G1234" s="591"/>
      <c r="H1234" s="591"/>
      <c r="I1234" s="591"/>
      <c r="J1234" s="591"/>
      <c r="K1234" s="542"/>
      <c r="O1234" s="1134"/>
      <c r="Q1234" s="1133"/>
    </row>
    <row r="1235" spans="2:17" x14ac:dyDescent="0.3">
      <c r="B1235" s="126"/>
      <c r="C1235" s="583">
        <v>868</v>
      </c>
      <c r="D1235" s="625" t="e">
        <f t="shared" si="38"/>
        <v>#VALUE!</v>
      </c>
      <c r="E1235" s="591"/>
      <c r="F1235" s="591"/>
      <c r="G1235" s="591"/>
      <c r="H1235" s="591"/>
      <c r="I1235" s="591"/>
      <c r="J1235" s="591"/>
      <c r="K1235" s="542"/>
      <c r="O1235" s="1134"/>
      <c r="Q1235" s="1133"/>
    </row>
    <row r="1236" spans="2:17" x14ac:dyDescent="0.3">
      <c r="B1236" s="126"/>
      <c r="C1236" s="583">
        <v>869</v>
      </c>
      <c r="D1236" s="625" t="e">
        <f t="shared" si="38"/>
        <v>#VALUE!</v>
      </c>
      <c r="E1236" s="591"/>
      <c r="F1236" s="591"/>
      <c r="G1236" s="591"/>
      <c r="H1236" s="591"/>
      <c r="I1236" s="591"/>
      <c r="J1236" s="591"/>
      <c r="K1236" s="542"/>
      <c r="O1236" s="1134"/>
      <c r="Q1236" s="1133"/>
    </row>
    <row r="1237" spans="2:17" x14ac:dyDescent="0.3">
      <c r="B1237" s="126"/>
      <c r="C1237" s="583">
        <v>870</v>
      </c>
      <c r="D1237" s="625" t="e">
        <f t="shared" si="38"/>
        <v>#VALUE!</v>
      </c>
      <c r="E1237" s="591"/>
      <c r="F1237" s="591"/>
      <c r="G1237" s="591"/>
      <c r="H1237" s="591"/>
      <c r="I1237" s="591"/>
      <c r="J1237" s="591"/>
      <c r="K1237" s="542"/>
      <c r="O1237" s="1134"/>
      <c r="Q1237" s="1133"/>
    </row>
    <row r="1238" spans="2:17" x14ac:dyDescent="0.3">
      <c r="B1238" s="126"/>
      <c r="C1238" s="583">
        <v>871</v>
      </c>
      <c r="D1238" s="625" t="e">
        <f t="shared" si="38"/>
        <v>#VALUE!</v>
      </c>
      <c r="E1238" s="591"/>
      <c r="F1238" s="591"/>
      <c r="G1238" s="591"/>
      <c r="H1238" s="591"/>
      <c r="I1238" s="591"/>
      <c r="J1238" s="591"/>
      <c r="K1238" s="542"/>
      <c r="O1238" s="1134"/>
      <c r="Q1238" s="1133"/>
    </row>
    <row r="1239" spans="2:17" x14ac:dyDescent="0.3">
      <c r="B1239" s="126"/>
      <c r="C1239" s="583">
        <v>872</v>
      </c>
      <c r="D1239" s="625" t="e">
        <f t="shared" si="38"/>
        <v>#VALUE!</v>
      </c>
      <c r="E1239" s="591"/>
      <c r="F1239" s="591"/>
      <c r="G1239" s="591"/>
      <c r="H1239" s="591"/>
      <c r="I1239" s="591"/>
      <c r="J1239" s="591"/>
      <c r="K1239" s="542"/>
      <c r="O1239" s="1134"/>
      <c r="Q1239" s="1133"/>
    </row>
    <row r="1240" spans="2:17" x14ac:dyDescent="0.3">
      <c r="B1240" s="126"/>
      <c r="C1240" s="583">
        <v>873</v>
      </c>
      <c r="D1240" s="625" t="e">
        <f t="shared" si="38"/>
        <v>#VALUE!</v>
      </c>
      <c r="E1240" s="591"/>
      <c r="F1240" s="591"/>
      <c r="G1240" s="591"/>
      <c r="H1240" s="591"/>
      <c r="I1240" s="591"/>
      <c r="J1240" s="591"/>
      <c r="K1240" s="542"/>
      <c r="O1240" s="1134"/>
      <c r="Q1240" s="1133"/>
    </row>
    <row r="1241" spans="2:17" x14ac:dyDescent="0.3">
      <c r="B1241" s="126"/>
      <c r="C1241" s="583">
        <v>874</v>
      </c>
      <c r="D1241" s="625" t="e">
        <f t="shared" si="38"/>
        <v>#VALUE!</v>
      </c>
      <c r="E1241" s="591"/>
      <c r="F1241" s="591"/>
      <c r="G1241" s="591"/>
      <c r="H1241" s="591"/>
      <c r="I1241" s="591"/>
      <c r="J1241" s="591"/>
      <c r="K1241" s="542"/>
      <c r="O1241" s="1134"/>
      <c r="Q1241" s="1133"/>
    </row>
    <row r="1242" spans="2:17" x14ac:dyDescent="0.3">
      <c r="B1242" s="126"/>
      <c r="C1242" s="583">
        <v>875</v>
      </c>
      <c r="D1242" s="625" t="e">
        <f t="shared" si="38"/>
        <v>#VALUE!</v>
      </c>
      <c r="E1242" s="591"/>
      <c r="F1242" s="591"/>
      <c r="G1242" s="591"/>
      <c r="H1242" s="591"/>
      <c r="I1242" s="591"/>
      <c r="J1242" s="591"/>
      <c r="K1242" s="542"/>
      <c r="O1242" s="1134"/>
      <c r="Q1242" s="1133"/>
    </row>
    <row r="1243" spans="2:17" x14ac:dyDescent="0.3">
      <c r="B1243" s="126"/>
      <c r="C1243" s="583">
        <v>876</v>
      </c>
      <c r="D1243" s="625" t="e">
        <f t="shared" si="38"/>
        <v>#VALUE!</v>
      </c>
      <c r="E1243" s="591"/>
      <c r="F1243" s="591"/>
      <c r="G1243" s="591"/>
      <c r="H1243" s="591"/>
      <c r="I1243" s="591"/>
      <c r="J1243" s="591"/>
      <c r="K1243" s="542"/>
      <c r="O1243" s="1134"/>
      <c r="Q1243" s="1133"/>
    </row>
    <row r="1244" spans="2:17" x14ac:dyDescent="0.3">
      <c r="B1244" s="126"/>
      <c r="C1244" s="583">
        <v>877</v>
      </c>
      <c r="D1244" s="625" t="e">
        <f t="shared" si="38"/>
        <v>#VALUE!</v>
      </c>
      <c r="E1244" s="591"/>
      <c r="F1244" s="591"/>
      <c r="G1244" s="591"/>
      <c r="H1244" s="591"/>
      <c r="I1244" s="591"/>
      <c r="J1244" s="591"/>
      <c r="K1244" s="542"/>
      <c r="O1244" s="1134"/>
      <c r="Q1244" s="1133"/>
    </row>
    <row r="1245" spans="2:17" x14ac:dyDescent="0.3">
      <c r="B1245" s="126"/>
      <c r="C1245" s="583">
        <v>878</v>
      </c>
      <c r="D1245" s="625" t="e">
        <f t="shared" si="38"/>
        <v>#VALUE!</v>
      </c>
      <c r="E1245" s="591"/>
      <c r="F1245" s="591"/>
      <c r="G1245" s="591"/>
      <c r="H1245" s="591"/>
      <c r="I1245" s="591"/>
      <c r="J1245" s="591"/>
      <c r="K1245" s="542"/>
      <c r="O1245" s="1134"/>
      <c r="Q1245" s="1133"/>
    </row>
    <row r="1246" spans="2:17" x14ac:dyDescent="0.3">
      <c r="B1246" s="126"/>
      <c r="C1246" s="583">
        <v>879</v>
      </c>
      <c r="D1246" s="625" t="e">
        <f t="shared" si="38"/>
        <v>#VALUE!</v>
      </c>
      <c r="E1246" s="591"/>
      <c r="F1246" s="591"/>
      <c r="G1246" s="591"/>
      <c r="H1246" s="591"/>
      <c r="I1246" s="591"/>
      <c r="J1246" s="591"/>
      <c r="K1246" s="542"/>
      <c r="O1246" s="1134"/>
      <c r="Q1246" s="1133"/>
    </row>
    <row r="1247" spans="2:17" x14ac:dyDescent="0.3">
      <c r="B1247" s="126"/>
      <c r="C1247" s="583">
        <v>880</v>
      </c>
      <c r="D1247" s="625" t="e">
        <f t="shared" si="38"/>
        <v>#VALUE!</v>
      </c>
      <c r="E1247" s="591"/>
      <c r="F1247" s="591"/>
      <c r="G1247" s="591"/>
      <c r="H1247" s="591"/>
      <c r="I1247" s="591"/>
      <c r="J1247" s="591"/>
      <c r="K1247" s="542"/>
      <c r="O1247" s="1134"/>
      <c r="Q1247" s="1133"/>
    </row>
    <row r="1248" spans="2:17" x14ac:dyDescent="0.3">
      <c r="B1248" s="126"/>
      <c r="C1248" s="583">
        <v>881</v>
      </c>
      <c r="D1248" s="625" t="e">
        <f t="shared" si="38"/>
        <v>#VALUE!</v>
      </c>
      <c r="E1248" s="591"/>
      <c r="F1248" s="591"/>
      <c r="G1248" s="591"/>
      <c r="H1248" s="591"/>
      <c r="I1248" s="591"/>
      <c r="J1248" s="591"/>
      <c r="K1248" s="542"/>
      <c r="O1248" s="1134"/>
      <c r="Q1248" s="1133"/>
    </row>
    <row r="1249" spans="2:17" x14ac:dyDescent="0.3">
      <c r="B1249" s="126"/>
      <c r="C1249" s="583">
        <v>882</v>
      </c>
      <c r="D1249" s="625" t="e">
        <f t="shared" si="38"/>
        <v>#VALUE!</v>
      </c>
      <c r="E1249" s="591"/>
      <c r="F1249" s="591"/>
      <c r="G1249" s="591"/>
      <c r="H1249" s="591"/>
      <c r="I1249" s="591"/>
      <c r="J1249" s="591"/>
      <c r="K1249" s="542"/>
      <c r="O1249" s="1134"/>
      <c r="Q1249" s="1133"/>
    </row>
    <row r="1250" spans="2:17" x14ac:dyDescent="0.3">
      <c r="B1250" s="126"/>
      <c r="C1250" s="583">
        <v>883</v>
      </c>
      <c r="D1250" s="625" t="e">
        <f t="shared" si="38"/>
        <v>#VALUE!</v>
      </c>
      <c r="E1250" s="591"/>
      <c r="F1250" s="591"/>
      <c r="G1250" s="591"/>
      <c r="H1250" s="591"/>
      <c r="I1250" s="591"/>
      <c r="J1250" s="591"/>
      <c r="K1250" s="542"/>
      <c r="O1250" s="1134"/>
      <c r="Q1250" s="1133"/>
    </row>
    <row r="1251" spans="2:17" x14ac:dyDescent="0.3">
      <c r="B1251" s="126"/>
      <c r="C1251" s="583">
        <v>884</v>
      </c>
      <c r="D1251" s="625" t="e">
        <f t="shared" si="38"/>
        <v>#VALUE!</v>
      </c>
      <c r="E1251" s="591"/>
      <c r="F1251" s="591"/>
      <c r="G1251" s="591"/>
      <c r="H1251" s="591"/>
      <c r="I1251" s="591"/>
      <c r="J1251" s="591"/>
      <c r="K1251" s="542"/>
      <c r="O1251" s="1134"/>
      <c r="Q1251" s="1133"/>
    </row>
    <row r="1252" spans="2:17" x14ac:dyDescent="0.3">
      <c r="B1252" s="126"/>
      <c r="C1252" s="583">
        <v>885</v>
      </c>
      <c r="D1252" s="625" t="e">
        <f t="shared" si="38"/>
        <v>#VALUE!</v>
      </c>
      <c r="E1252" s="591"/>
      <c r="F1252" s="591"/>
      <c r="G1252" s="591"/>
      <c r="H1252" s="591"/>
      <c r="I1252" s="591"/>
      <c r="J1252" s="591"/>
      <c r="K1252" s="542"/>
      <c r="O1252" s="1134"/>
      <c r="Q1252" s="1133"/>
    </row>
    <row r="1253" spans="2:17" x14ac:dyDescent="0.3">
      <c r="B1253" s="126"/>
      <c r="C1253" s="583">
        <v>886</v>
      </c>
      <c r="D1253" s="625" t="e">
        <f t="shared" si="38"/>
        <v>#VALUE!</v>
      </c>
      <c r="E1253" s="591"/>
      <c r="F1253" s="591"/>
      <c r="G1253" s="591"/>
      <c r="H1253" s="591"/>
      <c r="I1253" s="591"/>
      <c r="J1253" s="591"/>
      <c r="K1253" s="542"/>
      <c r="O1253" s="1134"/>
      <c r="Q1253" s="1133"/>
    </row>
    <row r="1254" spans="2:17" x14ac:dyDescent="0.3">
      <c r="B1254" s="126"/>
      <c r="C1254" s="583">
        <v>887</v>
      </c>
      <c r="D1254" s="625" t="e">
        <f t="shared" si="38"/>
        <v>#VALUE!</v>
      </c>
      <c r="E1254" s="591"/>
      <c r="F1254" s="591"/>
      <c r="G1254" s="591"/>
      <c r="H1254" s="591"/>
      <c r="I1254" s="591"/>
      <c r="J1254" s="591"/>
      <c r="K1254" s="542"/>
      <c r="O1254" s="1134"/>
      <c r="Q1254" s="1133"/>
    </row>
    <row r="1255" spans="2:17" x14ac:dyDescent="0.3">
      <c r="B1255" s="126"/>
      <c r="C1255" s="583">
        <v>888</v>
      </c>
      <c r="D1255" s="625" t="e">
        <f t="shared" si="38"/>
        <v>#VALUE!</v>
      </c>
      <c r="E1255" s="591"/>
      <c r="F1255" s="591"/>
      <c r="G1255" s="591"/>
      <c r="H1255" s="591"/>
      <c r="I1255" s="591"/>
      <c r="J1255" s="591"/>
      <c r="K1255" s="542"/>
      <c r="O1255" s="1134"/>
      <c r="Q1255" s="1133"/>
    </row>
    <row r="1256" spans="2:17" x14ac:dyDescent="0.3">
      <c r="B1256" s="126"/>
      <c r="C1256" s="583">
        <v>889</v>
      </c>
      <c r="D1256" s="625" t="e">
        <f t="shared" si="38"/>
        <v>#VALUE!</v>
      </c>
      <c r="E1256" s="591"/>
      <c r="F1256" s="591"/>
      <c r="G1256" s="591"/>
      <c r="H1256" s="591"/>
      <c r="I1256" s="591"/>
      <c r="J1256" s="591"/>
      <c r="K1256" s="542"/>
      <c r="O1256" s="1134"/>
      <c r="Q1256" s="1133"/>
    </row>
    <row r="1257" spans="2:17" x14ac:dyDescent="0.3">
      <c r="B1257" s="126"/>
      <c r="C1257" s="583">
        <v>890</v>
      </c>
      <c r="D1257" s="625" t="e">
        <f t="shared" si="38"/>
        <v>#VALUE!</v>
      </c>
      <c r="E1257" s="591"/>
      <c r="F1257" s="591"/>
      <c r="G1257" s="591"/>
      <c r="H1257" s="591"/>
      <c r="I1257" s="591"/>
      <c r="J1257" s="591"/>
      <c r="K1257" s="542"/>
      <c r="O1257" s="1134"/>
      <c r="Q1257" s="1133"/>
    </row>
    <row r="1258" spans="2:17" x14ac:dyDescent="0.3">
      <c r="B1258" s="126"/>
      <c r="C1258" s="583">
        <v>891</v>
      </c>
      <c r="D1258" s="625" t="e">
        <f t="shared" si="38"/>
        <v>#VALUE!</v>
      </c>
      <c r="E1258" s="591"/>
      <c r="F1258" s="591"/>
      <c r="G1258" s="591"/>
      <c r="H1258" s="591"/>
      <c r="I1258" s="591"/>
      <c r="J1258" s="591"/>
      <c r="K1258" s="542"/>
      <c r="O1258" s="1134"/>
      <c r="Q1258" s="1133"/>
    </row>
    <row r="1259" spans="2:17" x14ac:dyDescent="0.3">
      <c r="B1259" s="126"/>
      <c r="C1259" s="583">
        <v>892</v>
      </c>
      <c r="D1259" s="625" t="e">
        <f t="shared" si="38"/>
        <v>#VALUE!</v>
      </c>
      <c r="E1259" s="591"/>
      <c r="F1259" s="591"/>
      <c r="G1259" s="591"/>
      <c r="H1259" s="591"/>
      <c r="I1259" s="591"/>
      <c r="J1259" s="591"/>
      <c r="K1259" s="542"/>
      <c r="O1259" s="1134"/>
      <c r="Q1259" s="1133"/>
    </row>
    <row r="1260" spans="2:17" x14ac:dyDescent="0.3">
      <c r="B1260" s="126"/>
      <c r="C1260" s="583">
        <v>893</v>
      </c>
      <c r="D1260" s="625" t="e">
        <f t="shared" si="38"/>
        <v>#VALUE!</v>
      </c>
      <c r="E1260" s="591"/>
      <c r="F1260" s="591"/>
      <c r="G1260" s="591"/>
      <c r="H1260" s="591"/>
      <c r="I1260" s="591"/>
      <c r="J1260" s="591"/>
      <c r="K1260" s="542"/>
      <c r="O1260" s="1134"/>
      <c r="Q1260" s="1133"/>
    </row>
    <row r="1261" spans="2:17" x14ac:dyDescent="0.3">
      <c r="B1261" s="126"/>
      <c r="C1261" s="583">
        <v>894</v>
      </c>
      <c r="D1261" s="625" t="e">
        <f t="shared" si="38"/>
        <v>#VALUE!</v>
      </c>
      <c r="E1261" s="591"/>
      <c r="F1261" s="591"/>
      <c r="G1261" s="591"/>
      <c r="H1261" s="591"/>
      <c r="I1261" s="591"/>
      <c r="J1261" s="591"/>
      <c r="K1261" s="542"/>
      <c r="O1261" s="1134"/>
      <c r="Q1261" s="1133"/>
    </row>
    <row r="1262" spans="2:17" x14ac:dyDescent="0.3">
      <c r="B1262" s="126"/>
      <c r="C1262" s="583">
        <v>895</v>
      </c>
      <c r="D1262" s="625" t="e">
        <f t="shared" si="38"/>
        <v>#VALUE!</v>
      </c>
      <c r="E1262" s="591"/>
      <c r="F1262" s="591"/>
      <c r="G1262" s="591"/>
      <c r="H1262" s="591"/>
      <c r="I1262" s="591"/>
      <c r="J1262" s="591"/>
      <c r="K1262" s="542"/>
      <c r="O1262" s="1134"/>
      <c r="Q1262" s="1133"/>
    </row>
    <row r="1263" spans="2:17" x14ac:dyDescent="0.3">
      <c r="B1263" s="126"/>
      <c r="C1263" s="583">
        <v>896</v>
      </c>
      <c r="D1263" s="625" t="e">
        <f t="shared" ref="D1263:D1326" si="39">$C$346*C1263</f>
        <v>#VALUE!</v>
      </c>
      <c r="E1263" s="591"/>
      <c r="F1263" s="591"/>
      <c r="G1263" s="591"/>
      <c r="H1263" s="591"/>
      <c r="I1263" s="591"/>
      <c r="J1263" s="591"/>
      <c r="K1263" s="542"/>
      <c r="O1263" s="1134"/>
      <c r="Q1263" s="1133"/>
    </row>
    <row r="1264" spans="2:17" x14ac:dyDescent="0.3">
      <c r="B1264" s="126"/>
      <c r="C1264" s="583">
        <v>897</v>
      </c>
      <c r="D1264" s="625" t="e">
        <f t="shared" si="39"/>
        <v>#VALUE!</v>
      </c>
      <c r="E1264" s="591"/>
      <c r="F1264" s="591"/>
      <c r="G1264" s="591"/>
      <c r="H1264" s="591"/>
      <c r="I1264" s="591"/>
      <c r="J1264" s="591"/>
      <c r="K1264" s="542"/>
      <c r="O1264" s="1134"/>
      <c r="Q1264" s="1133"/>
    </row>
    <row r="1265" spans="2:17" x14ac:dyDescent="0.3">
      <c r="B1265" s="126"/>
      <c r="C1265" s="583">
        <v>898</v>
      </c>
      <c r="D1265" s="625" t="e">
        <f t="shared" si="39"/>
        <v>#VALUE!</v>
      </c>
      <c r="E1265" s="591"/>
      <c r="F1265" s="591"/>
      <c r="G1265" s="591"/>
      <c r="H1265" s="591"/>
      <c r="I1265" s="591"/>
      <c r="J1265" s="591"/>
      <c r="K1265" s="542"/>
      <c r="O1265" s="1134"/>
      <c r="Q1265" s="1133"/>
    </row>
    <row r="1266" spans="2:17" x14ac:dyDescent="0.3">
      <c r="B1266" s="126"/>
      <c r="C1266" s="583">
        <v>899</v>
      </c>
      <c r="D1266" s="625" t="e">
        <f t="shared" si="39"/>
        <v>#VALUE!</v>
      </c>
      <c r="E1266" s="591"/>
      <c r="F1266" s="591"/>
      <c r="G1266" s="591"/>
      <c r="H1266" s="591"/>
      <c r="I1266" s="591"/>
      <c r="J1266" s="591"/>
      <c r="K1266" s="542"/>
      <c r="O1266" s="1134"/>
      <c r="Q1266" s="1133"/>
    </row>
    <row r="1267" spans="2:17" x14ac:dyDescent="0.3">
      <c r="B1267" s="126"/>
      <c r="C1267" s="583">
        <v>900</v>
      </c>
      <c r="D1267" s="625" t="e">
        <f t="shared" si="39"/>
        <v>#VALUE!</v>
      </c>
      <c r="E1267" s="591"/>
      <c r="F1267" s="591"/>
      <c r="G1267" s="591"/>
      <c r="H1267" s="591"/>
      <c r="I1267" s="591"/>
      <c r="J1267" s="591"/>
      <c r="K1267" s="542"/>
      <c r="O1267" s="1134"/>
      <c r="Q1267" s="1133"/>
    </row>
    <row r="1268" spans="2:17" x14ac:dyDescent="0.3">
      <c r="B1268" s="126"/>
      <c r="C1268" s="583">
        <v>901</v>
      </c>
      <c r="D1268" s="625" t="e">
        <f t="shared" si="39"/>
        <v>#VALUE!</v>
      </c>
      <c r="E1268" s="591"/>
      <c r="F1268" s="591"/>
      <c r="G1268" s="591"/>
      <c r="H1268" s="591"/>
      <c r="I1268" s="591"/>
      <c r="J1268" s="591"/>
      <c r="K1268" s="542"/>
      <c r="O1268" s="1134"/>
      <c r="Q1268" s="1133"/>
    </row>
    <row r="1269" spans="2:17" x14ac:dyDescent="0.3">
      <c r="B1269" s="126"/>
      <c r="C1269" s="583">
        <v>902</v>
      </c>
      <c r="D1269" s="625" t="e">
        <f t="shared" si="39"/>
        <v>#VALUE!</v>
      </c>
      <c r="E1269" s="591"/>
      <c r="F1269" s="591"/>
      <c r="G1269" s="591"/>
      <c r="H1269" s="591"/>
      <c r="I1269" s="591"/>
      <c r="J1269" s="591"/>
      <c r="K1269" s="542"/>
      <c r="O1269" s="1134"/>
      <c r="Q1269" s="1133"/>
    </row>
    <row r="1270" spans="2:17" x14ac:dyDescent="0.3">
      <c r="B1270" s="126"/>
      <c r="C1270" s="583">
        <v>903</v>
      </c>
      <c r="D1270" s="625" t="e">
        <f t="shared" si="39"/>
        <v>#VALUE!</v>
      </c>
      <c r="E1270" s="591"/>
      <c r="F1270" s="591"/>
      <c r="G1270" s="591"/>
      <c r="H1270" s="591"/>
      <c r="I1270" s="591"/>
      <c r="J1270" s="591"/>
      <c r="K1270" s="542"/>
      <c r="O1270" s="1134"/>
      <c r="Q1270" s="1133"/>
    </row>
    <row r="1271" spans="2:17" x14ac:dyDescent="0.3">
      <c r="B1271" s="126"/>
      <c r="C1271" s="583">
        <v>904</v>
      </c>
      <c r="D1271" s="625" t="e">
        <f t="shared" si="39"/>
        <v>#VALUE!</v>
      </c>
      <c r="E1271" s="591"/>
      <c r="F1271" s="591"/>
      <c r="G1271" s="591"/>
      <c r="H1271" s="591"/>
      <c r="I1271" s="591"/>
      <c r="J1271" s="591"/>
      <c r="K1271" s="542"/>
      <c r="O1271" s="1134"/>
      <c r="Q1271" s="1133"/>
    </row>
    <row r="1272" spans="2:17" x14ac:dyDescent="0.3">
      <c r="B1272" s="126"/>
      <c r="C1272" s="583">
        <v>905</v>
      </c>
      <c r="D1272" s="625" t="e">
        <f t="shared" si="39"/>
        <v>#VALUE!</v>
      </c>
      <c r="E1272" s="591"/>
      <c r="F1272" s="591"/>
      <c r="G1272" s="591"/>
      <c r="H1272" s="591"/>
      <c r="I1272" s="591"/>
      <c r="J1272" s="591"/>
      <c r="K1272" s="542"/>
      <c r="O1272" s="1134"/>
      <c r="Q1272" s="1133"/>
    </row>
    <row r="1273" spans="2:17" x14ac:dyDescent="0.3">
      <c r="B1273" s="126"/>
      <c r="C1273" s="583">
        <v>906</v>
      </c>
      <c r="D1273" s="625" t="e">
        <f t="shared" si="39"/>
        <v>#VALUE!</v>
      </c>
      <c r="E1273" s="591"/>
      <c r="F1273" s="591"/>
      <c r="G1273" s="591"/>
      <c r="H1273" s="591"/>
      <c r="I1273" s="591"/>
      <c r="J1273" s="591"/>
      <c r="K1273" s="542"/>
      <c r="O1273" s="1134"/>
      <c r="Q1273" s="1133"/>
    </row>
    <row r="1274" spans="2:17" x14ac:dyDescent="0.3">
      <c r="B1274" s="126"/>
      <c r="C1274" s="583">
        <v>907</v>
      </c>
      <c r="D1274" s="625" t="e">
        <f t="shared" si="39"/>
        <v>#VALUE!</v>
      </c>
      <c r="E1274" s="591"/>
      <c r="F1274" s="591"/>
      <c r="G1274" s="591"/>
      <c r="H1274" s="591"/>
      <c r="I1274" s="591"/>
      <c r="J1274" s="591"/>
      <c r="K1274" s="542"/>
      <c r="O1274" s="1134"/>
      <c r="Q1274" s="1133"/>
    </row>
    <row r="1275" spans="2:17" x14ac:dyDescent="0.3">
      <c r="B1275" s="126"/>
      <c r="C1275" s="583">
        <v>908</v>
      </c>
      <c r="D1275" s="625" t="e">
        <f t="shared" si="39"/>
        <v>#VALUE!</v>
      </c>
      <c r="E1275" s="591"/>
      <c r="F1275" s="591"/>
      <c r="G1275" s="591"/>
      <c r="H1275" s="591"/>
      <c r="I1275" s="591"/>
      <c r="J1275" s="591"/>
      <c r="K1275" s="542"/>
      <c r="O1275" s="1134"/>
      <c r="Q1275" s="1133"/>
    </row>
    <row r="1276" spans="2:17" x14ac:dyDescent="0.3">
      <c r="B1276" s="126"/>
      <c r="C1276" s="583">
        <v>909</v>
      </c>
      <c r="D1276" s="625" t="e">
        <f t="shared" si="39"/>
        <v>#VALUE!</v>
      </c>
      <c r="E1276" s="591"/>
      <c r="F1276" s="591"/>
      <c r="G1276" s="591"/>
      <c r="H1276" s="591"/>
      <c r="I1276" s="591"/>
      <c r="J1276" s="591"/>
      <c r="K1276" s="542"/>
      <c r="O1276" s="1134"/>
      <c r="Q1276" s="1133"/>
    </row>
    <row r="1277" spans="2:17" x14ac:dyDescent="0.3">
      <c r="B1277" s="126"/>
      <c r="C1277" s="583">
        <v>910</v>
      </c>
      <c r="D1277" s="625" t="e">
        <f t="shared" si="39"/>
        <v>#VALUE!</v>
      </c>
      <c r="E1277" s="591"/>
      <c r="F1277" s="591"/>
      <c r="G1277" s="591"/>
      <c r="H1277" s="591"/>
      <c r="I1277" s="591"/>
      <c r="J1277" s="591"/>
      <c r="K1277" s="542"/>
      <c r="O1277" s="1134"/>
      <c r="Q1277" s="1133"/>
    </row>
    <row r="1278" spans="2:17" x14ac:dyDescent="0.3">
      <c r="B1278" s="126"/>
      <c r="C1278" s="583">
        <v>911</v>
      </c>
      <c r="D1278" s="625" t="e">
        <f t="shared" si="39"/>
        <v>#VALUE!</v>
      </c>
      <c r="E1278" s="591"/>
      <c r="F1278" s="591"/>
      <c r="G1278" s="591"/>
      <c r="H1278" s="591"/>
      <c r="I1278" s="591"/>
      <c r="J1278" s="591"/>
      <c r="K1278" s="542"/>
      <c r="O1278" s="1134"/>
      <c r="Q1278" s="1133"/>
    </row>
    <row r="1279" spans="2:17" x14ac:dyDescent="0.3">
      <c r="B1279" s="126"/>
      <c r="C1279" s="583">
        <v>912</v>
      </c>
      <c r="D1279" s="625" t="e">
        <f t="shared" si="39"/>
        <v>#VALUE!</v>
      </c>
      <c r="E1279" s="591"/>
      <c r="F1279" s="591"/>
      <c r="G1279" s="591"/>
      <c r="H1279" s="591"/>
      <c r="I1279" s="591"/>
      <c r="J1279" s="591"/>
      <c r="K1279" s="542"/>
      <c r="O1279" s="1134"/>
      <c r="Q1279" s="1133"/>
    </row>
    <row r="1280" spans="2:17" x14ac:dyDescent="0.3">
      <c r="B1280" s="126"/>
      <c r="C1280" s="583">
        <v>913</v>
      </c>
      <c r="D1280" s="625" t="e">
        <f t="shared" si="39"/>
        <v>#VALUE!</v>
      </c>
      <c r="E1280" s="591"/>
      <c r="F1280" s="591"/>
      <c r="G1280" s="591"/>
      <c r="H1280" s="591"/>
      <c r="I1280" s="591"/>
      <c r="J1280" s="591"/>
      <c r="K1280" s="542"/>
      <c r="O1280" s="1134"/>
      <c r="Q1280" s="1133"/>
    </row>
    <row r="1281" spans="2:17" x14ac:dyDescent="0.3">
      <c r="B1281" s="126"/>
      <c r="C1281" s="583">
        <v>914</v>
      </c>
      <c r="D1281" s="625" t="e">
        <f t="shared" si="39"/>
        <v>#VALUE!</v>
      </c>
      <c r="E1281" s="591"/>
      <c r="F1281" s="591"/>
      <c r="G1281" s="591"/>
      <c r="H1281" s="591"/>
      <c r="I1281" s="591"/>
      <c r="J1281" s="591"/>
      <c r="K1281" s="542"/>
      <c r="O1281" s="1134"/>
      <c r="Q1281" s="1133"/>
    </row>
    <row r="1282" spans="2:17" x14ac:dyDescent="0.3">
      <c r="B1282" s="126"/>
      <c r="C1282" s="583">
        <v>915</v>
      </c>
      <c r="D1282" s="625" t="e">
        <f t="shared" si="39"/>
        <v>#VALUE!</v>
      </c>
      <c r="E1282" s="591"/>
      <c r="F1282" s="591"/>
      <c r="G1282" s="591"/>
      <c r="H1282" s="591"/>
      <c r="I1282" s="591"/>
      <c r="J1282" s="591"/>
      <c r="K1282" s="542"/>
      <c r="O1282" s="1134"/>
      <c r="Q1282" s="1133"/>
    </row>
    <row r="1283" spans="2:17" x14ac:dyDescent="0.3">
      <c r="B1283" s="126"/>
      <c r="C1283" s="583">
        <v>916</v>
      </c>
      <c r="D1283" s="625" t="e">
        <f t="shared" si="39"/>
        <v>#VALUE!</v>
      </c>
      <c r="E1283" s="591"/>
      <c r="F1283" s="591"/>
      <c r="G1283" s="591"/>
      <c r="H1283" s="591"/>
      <c r="I1283" s="591"/>
      <c r="J1283" s="591"/>
      <c r="K1283" s="542"/>
      <c r="O1283" s="1134"/>
      <c r="Q1283" s="1133"/>
    </row>
    <row r="1284" spans="2:17" x14ac:dyDescent="0.3">
      <c r="B1284" s="126"/>
      <c r="C1284" s="583">
        <v>917</v>
      </c>
      <c r="D1284" s="625" t="e">
        <f t="shared" si="39"/>
        <v>#VALUE!</v>
      </c>
      <c r="E1284" s="591"/>
      <c r="F1284" s="591"/>
      <c r="G1284" s="591"/>
      <c r="H1284" s="591"/>
      <c r="I1284" s="591"/>
      <c r="J1284" s="591"/>
      <c r="K1284" s="542"/>
      <c r="O1284" s="1134"/>
      <c r="Q1284" s="1133"/>
    </row>
    <row r="1285" spans="2:17" x14ac:dyDescent="0.3">
      <c r="B1285" s="126"/>
      <c r="C1285" s="583">
        <v>918</v>
      </c>
      <c r="D1285" s="625" t="e">
        <f t="shared" si="39"/>
        <v>#VALUE!</v>
      </c>
      <c r="E1285" s="591"/>
      <c r="F1285" s="591"/>
      <c r="G1285" s="591"/>
      <c r="H1285" s="591"/>
      <c r="I1285" s="591"/>
      <c r="J1285" s="591"/>
      <c r="K1285" s="542"/>
      <c r="O1285" s="1134"/>
      <c r="Q1285" s="1133"/>
    </row>
    <row r="1286" spans="2:17" x14ac:dyDescent="0.3">
      <c r="B1286" s="126"/>
      <c r="C1286" s="583">
        <v>919</v>
      </c>
      <c r="D1286" s="625" t="e">
        <f t="shared" si="39"/>
        <v>#VALUE!</v>
      </c>
      <c r="E1286" s="591"/>
      <c r="F1286" s="591"/>
      <c r="G1286" s="591"/>
      <c r="H1286" s="591"/>
      <c r="I1286" s="591"/>
      <c r="J1286" s="591"/>
      <c r="K1286" s="542"/>
      <c r="O1286" s="1134"/>
      <c r="Q1286" s="1133"/>
    </row>
    <row r="1287" spans="2:17" x14ac:dyDescent="0.3">
      <c r="B1287" s="126"/>
      <c r="C1287" s="583">
        <v>920</v>
      </c>
      <c r="D1287" s="625" t="e">
        <f t="shared" si="39"/>
        <v>#VALUE!</v>
      </c>
      <c r="E1287" s="591"/>
      <c r="F1287" s="591"/>
      <c r="G1287" s="591"/>
      <c r="H1287" s="591"/>
      <c r="I1287" s="591"/>
      <c r="J1287" s="591"/>
      <c r="K1287" s="542"/>
      <c r="O1287" s="1134"/>
      <c r="Q1287" s="1133"/>
    </row>
    <row r="1288" spans="2:17" x14ac:dyDescent="0.3">
      <c r="B1288" s="126"/>
      <c r="C1288" s="583">
        <v>921</v>
      </c>
      <c r="D1288" s="625" t="e">
        <f t="shared" si="39"/>
        <v>#VALUE!</v>
      </c>
      <c r="E1288" s="591"/>
      <c r="F1288" s="591"/>
      <c r="G1288" s="591"/>
      <c r="H1288" s="591"/>
      <c r="I1288" s="591"/>
      <c r="J1288" s="591"/>
      <c r="K1288" s="542"/>
      <c r="O1288" s="1134"/>
      <c r="Q1288" s="1133"/>
    </row>
    <row r="1289" spans="2:17" x14ac:dyDescent="0.3">
      <c r="B1289" s="126"/>
      <c r="C1289" s="583">
        <v>922</v>
      </c>
      <c r="D1289" s="625" t="e">
        <f t="shared" si="39"/>
        <v>#VALUE!</v>
      </c>
      <c r="E1289" s="591"/>
      <c r="F1289" s="591"/>
      <c r="G1289" s="591"/>
      <c r="H1289" s="591"/>
      <c r="I1289" s="591"/>
      <c r="J1289" s="591"/>
      <c r="K1289" s="542"/>
      <c r="O1289" s="1134"/>
      <c r="Q1289" s="1133"/>
    </row>
    <row r="1290" spans="2:17" x14ac:dyDescent="0.3">
      <c r="B1290" s="126"/>
      <c r="C1290" s="583">
        <v>923</v>
      </c>
      <c r="D1290" s="625" t="e">
        <f t="shared" si="39"/>
        <v>#VALUE!</v>
      </c>
      <c r="E1290" s="591"/>
      <c r="F1290" s="591"/>
      <c r="G1290" s="591"/>
      <c r="H1290" s="591"/>
      <c r="I1290" s="591"/>
      <c r="J1290" s="591"/>
      <c r="K1290" s="542"/>
      <c r="O1290" s="1134"/>
      <c r="Q1290" s="1133"/>
    </row>
    <row r="1291" spans="2:17" x14ac:dyDescent="0.3">
      <c r="B1291" s="126"/>
      <c r="C1291" s="583">
        <v>924</v>
      </c>
      <c r="D1291" s="625" t="e">
        <f t="shared" si="39"/>
        <v>#VALUE!</v>
      </c>
      <c r="E1291" s="591"/>
      <c r="F1291" s="591"/>
      <c r="G1291" s="591"/>
      <c r="H1291" s="591"/>
      <c r="I1291" s="591"/>
      <c r="J1291" s="591"/>
      <c r="K1291" s="542"/>
      <c r="O1291" s="1134"/>
      <c r="Q1291" s="1133"/>
    </row>
    <row r="1292" spans="2:17" x14ac:dyDescent="0.3">
      <c r="B1292" s="126"/>
      <c r="C1292" s="583">
        <v>925</v>
      </c>
      <c r="D1292" s="625" t="e">
        <f t="shared" si="39"/>
        <v>#VALUE!</v>
      </c>
      <c r="E1292" s="591"/>
      <c r="F1292" s="591"/>
      <c r="G1292" s="591"/>
      <c r="H1292" s="591"/>
      <c r="I1292" s="591"/>
      <c r="J1292" s="591"/>
      <c r="K1292" s="542"/>
      <c r="O1292" s="1134"/>
      <c r="Q1292" s="1133"/>
    </row>
    <row r="1293" spans="2:17" x14ac:dyDescent="0.3">
      <c r="B1293" s="126"/>
      <c r="C1293" s="583">
        <v>926</v>
      </c>
      <c r="D1293" s="625" t="e">
        <f t="shared" si="39"/>
        <v>#VALUE!</v>
      </c>
      <c r="E1293" s="591"/>
      <c r="F1293" s="591"/>
      <c r="G1293" s="591"/>
      <c r="H1293" s="591"/>
      <c r="I1293" s="591"/>
      <c r="J1293" s="591"/>
      <c r="K1293" s="542"/>
      <c r="O1293" s="1134"/>
      <c r="Q1293" s="1133"/>
    </row>
    <row r="1294" spans="2:17" x14ac:dyDescent="0.3">
      <c r="B1294" s="126"/>
      <c r="C1294" s="583">
        <v>927</v>
      </c>
      <c r="D1294" s="625" t="e">
        <f t="shared" si="39"/>
        <v>#VALUE!</v>
      </c>
      <c r="E1294" s="591"/>
      <c r="F1294" s="591"/>
      <c r="G1294" s="591"/>
      <c r="H1294" s="591"/>
      <c r="I1294" s="591"/>
      <c r="J1294" s="591"/>
      <c r="K1294" s="542"/>
      <c r="O1294" s="1134"/>
      <c r="Q1294" s="1133"/>
    </row>
    <row r="1295" spans="2:17" x14ac:dyDescent="0.3">
      <c r="B1295" s="126"/>
      <c r="C1295" s="583">
        <v>928</v>
      </c>
      <c r="D1295" s="625" t="e">
        <f t="shared" si="39"/>
        <v>#VALUE!</v>
      </c>
      <c r="E1295" s="591"/>
      <c r="F1295" s="591"/>
      <c r="G1295" s="591"/>
      <c r="H1295" s="591"/>
      <c r="I1295" s="591"/>
      <c r="J1295" s="591"/>
      <c r="K1295" s="542"/>
      <c r="O1295" s="1134"/>
      <c r="Q1295" s="1133"/>
    </row>
    <row r="1296" spans="2:17" x14ac:dyDescent="0.3">
      <c r="B1296" s="126"/>
      <c r="C1296" s="583">
        <v>929</v>
      </c>
      <c r="D1296" s="625" t="e">
        <f t="shared" si="39"/>
        <v>#VALUE!</v>
      </c>
      <c r="E1296" s="591"/>
      <c r="F1296" s="591"/>
      <c r="G1296" s="591"/>
      <c r="H1296" s="591"/>
      <c r="I1296" s="591"/>
      <c r="J1296" s="591"/>
      <c r="K1296" s="542"/>
      <c r="O1296" s="1134"/>
      <c r="Q1296" s="1133"/>
    </row>
    <row r="1297" spans="2:17" x14ac:dyDescent="0.3">
      <c r="B1297" s="126"/>
      <c r="C1297" s="583">
        <v>930</v>
      </c>
      <c r="D1297" s="625" t="e">
        <f t="shared" si="39"/>
        <v>#VALUE!</v>
      </c>
      <c r="E1297" s="591"/>
      <c r="F1297" s="591"/>
      <c r="G1297" s="591"/>
      <c r="H1297" s="591"/>
      <c r="I1297" s="591"/>
      <c r="J1297" s="591"/>
      <c r="K1297" s="542"/>
      <c r="O1297" s="1134"/>
      <c r="Q1297" s="1133"/>
    </row>
    <row r="1298" spans="2:17" x14ac:dyDescent="0.3">
      <c r="B1298" s="126"/>
      <c r="C1298" s="583">
        <v>931</v>
      </c>
      <c r="D1298" s="625" t="e">
        <f t="shared" si="39"/>
        <v>#VALUE!</v>
      </c>
      <c r="E1298" s="591"/>
      <c r="F1298" s="591"/>
      <c r="G1298" s="591"/>
      <c r="H1298" s="591"/>
      <c r="I1298" s="591"/>
      <c r="J1298" s="591"/>
      <c r="K1298" s="542"/>
      <c r="O1298" s="1134"/>
      <c r="Q1298" s="1133"/>
    </row>
    <row r="1299" spans="2:17" x14ac:dyDescent="0.3">
      <c r="B1299" s="126"/>
      <c r="C1299" s="583">
        <v>932</v>
      </c>
      <c r="D1299" s="625" t="e">
        <f t="shared" si="39"/>
        <v>#VALUE!</v>
      </c>
      <c r="E1299" s="591"/>
      <c r="F1299" s="591"/>
      <c r="G1299" s="591"/>
      <c r="H1299" s="591"/>
      <c r="I1299" s="591"/>
      <c r="J1299" s="591"/>
      <c r="K1299" s="542"/>
      <c r="O1299" s="1134"/>
      <c r="Q1299" s="1133"/>
    </row>
    <row r="1300" spans="2:17" x14ac:dyDescent="0.3">
      <c r="B1300" s="126"/>
      <c r="C1300" s="583">
        <v>933</v>
      </c>
      <c r="D1300" s="625" t="e">
        <f t="shared" si="39"/>
        <v>#VALUE!</v>
      </c>
      <c r="E1300" s="591"/>
      <c r="F1300" s="591"/>
      <c r="G1300" s="591"/>
      <c r="H1300" s="591"/>
      <c r="I1300" s="591"/>
      <c r="J1300" s="591"/>
      <c r="K1300" s="542"/>
      <c r="O1300" s="1134"/>
      <c r="Q1300" s="1133"/>
    </row>
    <row r="1301" spans="2:17" x14ac:dyDescent="0.3">
      <c r="B1301" s="126"/>
      <c r="C1301" s="583">
        <v>934</v>
      </c>
      <c r="D1301" s="625" t="e">
        <f t="shared" si="39"/>
        <v>#VALUE!</v>
      </c>
      <c r="E1301" s="591"/>
      <c r="F1301" s="591"/>
      <c r="G1301" s="591"/>
      <c r="H1301" s="591"/>
      <c r="I1301" s="591"/>
      <c r="J1301" s="591"/>
      <c r="K1301" s="542"/>
      <c r="O1301" s="1134"/>
      <c r="Q1301" s="1133"/>
    </row>
    <row r="1302" spans="2:17" x14ac:dyDescent="0.3">
      <c r="B1302" s="126"/>
      <c r="C1302" s="583">
        <v>935</v>
      </c>
      <c r="D1302" s="625" t="e">
        <f t="shared" si="39"/>
        <v>#VALUE!</v>
      </c>
      <c r="E1302" s="591"/>
      <c r="F1302" s="591"/>
      <c r="G1302" s="591"/>
      <c r="H1302" s="591"/>
      <c r="I1302" s="591"/>
      <c r="J1302" s="591"/>
      <c r="K1302" s="542"/>
      <c r="O1302" s="1134"/>
      <c r="Q1302" s="1133"/>
    </row>
    <row r="1303" spans="2:17" x14ac:dyDescent="0.3">
      <c r="B1303" s="126"/>
      <c r="C1303" s="583">
        <v>936</v>
      </c>
      <c r="D1303" s="625" t="e">
        <f t="shared" si="39"/>
        <v>#VALUE!</v>
      </c>
      <c r="E1303" s="591"/>
      <c r="F1303" s="591"/>
      <c r="G1303" s="591"/>
      <c r="H1303" s="591"/>
      <c r="I1303" s="591"/>
      <c r="J1303" s="591"/>
      <c r="K1303" s="542"/>
      <c r="O1303" s="1134"/>
      <c r="Q1303" s="1133"/>
    </row>
    <row r="1304" spans="2:17" x14ac:dyDescent="0.3">
      <c r="B1304" s="126"/>
      <c r="C1304" s="583">
        <v>937</v>
      </c>
      <c r="D1304" s="625" t="e">
        <f t="shared" si="39"/>
        <v>#VALUE!</v>
      </c>
      <c r="E1304" s="591"/>
      <c r="F1304" s="591"/>
      <c r="G1304" s="591"/>
      <c r="H1304" s="591"/>
      <c r="I1304" s="591"/>
      <c r="J1304" s="591"/>
      <c r="K1304" s="542"/>
      <c r="O1304" s="1134"/>
      <c r="Q1304" s="1133"/>
    </row>
    <row r="1305" spans="2:17" x14ac:dyDescent="0.3">
      <c r="B1305" s="126"/>
      <c r="C1305" s="583">
        <v>938</v>
      </c>
      <c r="D1305" s="625" t="e">
        <f t="shared" si="39"/>
        <v>#VALUE!</v>
      </c>
      <c r="E1305" s="591"/>
      <c r="F1305" s="591"/>
      <c r="G1305" s="591"/>
      <c r="H1305" s="591"/>
      <c r="I1305" s="591"/>
      <c r="J1305" s="591"/>
      <c r="K1305" s="542"/>
      <c r="O1305" s="1134"/>
      <c r="Q1305" s="1133"/>
    </row>
    <row r="1306" spans="2:17" x14ac:dyDescent="0.3">
      <c r="B1306" s="126"/>
      <c r="C1306" s="583">
        <v>939</v>
      </c>
      <c r="D1306" s="625" t="e">
        <f t="shared" si="39"/>
        <v>#VALUE!</v>
      </c>
      <c r="E1306" s="591"/>
      <c r="F1306" s="591"/>
      <c r="G1306" s="591"/>
      <c r="H1306" s="591"/>
      <c r="I1306" s="591"/>
      <c r="J1306" s="591"/>
      <c r="K1306" s="542"/>
      <c r="O1306" s="1134"/>
      <c r="Q1306" s="1133"/>
    </row>
    <row r="1307" spans="2:17" x14ac:dyDescent="0.3">
      <c r="B1307" s="126"/>
      <c r="C1307" s="583">
        <v>940</v>
      </c>
      <c r="D1307" s="625" t="e">
        <f t="shared" si="39"/>
        <v>#VALUE!</v>
      </c>
      <c r="E1307" s="591"/>
      <c r="F1307" s="591"/>
      <c r="G1307" s="591"/>
      <c r="H1307" s="591"/>
      <c r="I1307" s="591"/>
      <c r="J1307" s="591"/>
      <c r="K1307" s="542"/>
      <c r="O1307" s="1134"/>
      <c r="Q1307" s="1133"/>
    </row>
    <row r="1308" spans="2:17" x14ac:dyDescent="0.3">
      <c r="B1308" s="126"/>
      <c r="C1308" s="583">
        <v>941</v>
      </c>
      <c r="D1308" s="625" t="e">
        <f t="shared" si="39"/>
        <v>#VALUE!</v>
      </c>
      <c r="E1308" s="591"/>
      <c r="F1308" s="591"/>
      <c r="G1308" s="591"/>
      <c r="H1308" s="591"/>
      <c r="I1308" s="591"/>
      <c r="J1308" s="591"/>
      <c r="K1308" s="542"/>
      <c r="O1308" s="1134"/>
      <c r="Q1308" s="1133"/>
    </row>
    <row r="1309" spans="2:17" x14ac:dyDescent="0.3">
      <c r="B1309" s="126"/>
      <c r="C1309" s="583">
        <v>942</v>
      </c>
      <c r="D1309" s="625" t="e">
        <f t="shared" si="39"/>
        <v>#VALUE!</v>
      </c>
      <c r="E1309" s="591"/>
      <c r="F1309" s="591"/>
      <c r="G1309" s="591"/>
      <c r="H1309" s="591"/>
      <c r="I1309" s="591"/>
      <c r="J1309" s="591"/>
      <c r="K1309" s="542"/>
      <c r="O1309" s="1134"/>
      <c r="Q1309" s="1133"/>
    </row>
    <row r="1310" spans="2:17" x14ac:dyDescent="0.3">
      <c r="B1310" s="126"/>
      <c r="C1310" s="583">
        <v>943</v>
      </c>
      <c r="D1310" s="625" t="e">
        <f t="shared" si="39"/>
        <v>#VALUE!</v>
      </c>
      <c r="E1310" s="591"/>
      <c r="F1310" s="591"/>
      <c r="G1310" s="591"/>
      <c r="H1310" s="591"/>
      <c r="I1310" s="591"/>
      <c r="J1310" s="591"/>
      <c r="K1310" s="542"/>
      <c r="O1310" s="1134"/>
      <c r="Q1310" s="1133"/>
    </row>
    <row r="1311" spans="2:17" x14ac:dyDescent="0.3">
      <c r="B1311" s="126"/>
      <c r="C1311" s="583">
        <v>944</v>
      </c>
      <c r="D1311" s="625" t="e">
        <f t="shared" si="39"/>
        <v>#VALUE!</v>
      </c>
      <c r="E1311" s="591"/>
      <c r="F1311" s="591"/>
      <c r="G1311" s="591"/>
      <c r="H1311" s="591"/>
      <c r="I1311" s="591"/>
      <c r="J1311" s="591"/>
      <c r="K1311" s="542"/>
      <c r="O1311" s="1134"/>
      <c r="Q1311" s="1133"/>
    </row>
    <row r="1312" spans="2:17" x14ac:dyDescent="0.3">
      <c r="B1312" s="126"/>
      <c r="C1312" s="583">
        <v>945</v>
      </c>
      <c r="D1312" s="625" t="e">
        <f t="shared" si="39"/>
        <v>#VALUE!</v>
      </c>
      <c r="E1312" s="591"/>
      <c r="F1312" s="591"/>
      <c r="G1312" s="591"/>
      <c r="H1312" s="591"/>
      <c r="I1312" s="591"/>
      <c r="J1312" s="591"/>
      <c r="K1312" s="542"/>
      <c r="O1312" s="1134"/>
      <c r="Q1312" s="1133"/>
    </row>
    <row r="1313" spans="2:17" x14ac:dyDescent="0.3">
      <c r="B1313" s="126"/>
      <c r="C1313" s="583">
        <v>946</v>
      </c>
      <c r="D1313" s="625" t="e">
        <f t="shared" si="39"/>
        <v>#VALUE!</v>
      </c>
      <c r="E1313" s="591"/>
      <c r="F1313" s="591"/>
      <c r="G1313" s="591"/>
      <c r="H1313" s="591"/>
      <c r="I1313" s="591"/>
      <c r="J1313" s="591"/>
      <c r="K1313" s="542"/>
      <c r="O1313" s="1134"/>
      <c r="Q1313" s="1133"/>
    </row>
    <row r="1314" spans="2:17" x14ac:dyDescent="0.3">
      <c r="B1314" s="126"/>
      <c r="C1314" s="583">
        <v>947</v>
      </c>
      <c r="D1314" s="625" t="e">
        <f t="shared" si="39"/>
        <v>#VALUE!</v>
      </c>
      <c r="E1314" s="591"/>
      <c r="F1314" s="591"/>
      <c r="G1314" s="591"/>
      <c r="H1314" s="591"/>
      <c r="I1314" s="591"/>
      <c r="J1314" s="591"/>
      <c r="K1314" s="542"/>
      <c r="O1314" s="1134"/>
      <c r="Q1314" s="1133"/>
    </row>
    <row r="1315" spans="2:17" x14ac:dyDescent="0.3">
      <c r="B1315" s="126"/>
      <c r="C1315" s="583">
        <v>948</v>
      </c>
      <c r="D1315" s="625" t="e">
        <f t="shared" si="39"/>
        <v>#VALUE!</v>
      </c>
      <c r="E1315" s="591"/>
      <c r="F1315" s="591"/>
      <c r="G1315" s="591"/>
      <c r="H1315" s="591"/>
      <c r="I1315" s="591"/>
      <c r="J1315" s="591"/>
      <c r="K1315" s="542"/>
      <c r="O1315" s="1134"/>
      <c r="Q1315" s="1133"/>
    </row>
    <row r="1316" spans="2:17" x14ac:dyDescent="0.3">
      <c r="B1316" s="126"/>
      <c r="C1316" s="583">
        <v>949</v>
      </c>
      <c r="D1316" s="625" t="e">
        <f t="shared" si="39"/>
        <v>#VALUE!</v>
      </c>
      <c r="E1316" s="591"/>
      <c r="F1316" s="591"/>
      <c r="G1316" s="591"/>
      <c r="H1316" s="591"/>
      <c r="I1316" s="591"/>
      <c r="J1316" s="591"/>
      <c r="K1316" s="542"/>
      <c r="O1316" s="1134"/>
      <c r="Q1316" s="1133"/>
    </row>
    <row r="1317" spans="2:17" x14ac:dyDescent="0.3">
      <c r="B1317" s="126"/>
      <c r="C1317" s="583">
        <v>950</v>
      </c>
      <c r="D1317" s="625" t="e">
        <f t="shared" si="39"/>
        <v>#VALUE!</v>
      </c>
      <c r="E1317" s="591"/>
      <c r="F1317" s="591"/>
      <c r="G1317" s="591"/>
      <c r="H1317" s="591"/>
      <c r="I1317" s="591"/>
      <c r="J1317" s="591"/>
      <c r="K1317" s="542"/>
      <c r="O1317" s="1134"/>
      <c r="Q1317" s="1133"/>
    </row>
    <row r="1318" spans="2:17" x14ac:dyDescent="0.3">
      <c r="B1318" s="126"/>
      <c r="C1318" s="583">
        <v>951</v>
      </c>
      <c r="D1318" s="625" t="e">
        <f t="shared" si="39"/>
        <v>#VALUE!</v>
      </c>
      <c r="E1318" s="591"/>
      <c r="F1318" s="591"/>
      <c r="G1318" s="591"/>
      <c r="H1318" s="591"/>
      <c r="I1318" s="591"/>
      <c r="J1318" s="591"/>
      <c r="K1318" s="542"/>
      <c r="O1318" s="1134"/>
      <c r="Q1318" s="1133"/>
    </row>
    <row r="1319" spans="2:17" x14ac:dyDescent="0.3">
      <c r="B1319" s="126"/>
      <c r="C1319" s="583">
        <v>952</v>
      </c>
      <c r="D1319" s="625" t="e">
        <f t="shared" si="39"/>
        <v>#VALUE!</v>
      </c>
      <c r="E1319" s="591"/>
      <c r="F1319" s="591"/>
      <c r="G1319" s="591"/>
      <c r="H1319" s="591"/>
      <c r="I1319" s="591"/>
      <c r="J1319" s="591"/>
      <c r="K1319" s="542"/>
      <c r="O1319" s="1134"/>
      <c r="Q1319" s="1133"/>
    </row>
    <row r="1320" spans="2:17" x14ac:dyDescent="0.3">
      <c r="B1320" s="126"/>
      <c r="C1320" s="583">
        <v>953</v>
      </c>
      <c r="D1320" s="625" t="e">
        <f t="shared" si="39"/>
        <v>#VALUE!</v>
      </c>
      <c r="E1320" s="591"/>
      <c r="F1320" s="591"/>
      <c r="G1320" s="591"/>
      <c r="H1320" s="591"/>
      <c r="I1320" s="591"/>
      <c r="J1320" s="591"/>
      <c r="K1320" s="542"/>
      <c r="O1320" s="1134"/>
      <c r="Q1320" s="1133"/>
    </row>
    <row r="1321" spans="2:17" x14ac:dyDescent="0.3">
      <c r="B1321" s="126"/>
      <c r="C1321" s="583">
        <v>954</v>
      </c>
      <c r="D1321" s="625" t="e">
        <f t="shared" si="39"/>
        <v>#VALUE!</v>
      </c>
      <c r="E1321" s="591"/>
      <c r="F1321" s="591"/>
      <c r="G1321" s="591"/>
      <c r="H1321" s="591"/>
      <c r="I1321" s="591"/>
      <c r="J1321" s="591"/>
      <c r="K1321" s="542"/>
      <c r="O1321" s="1134"/>
      <c r="Q1321" s="1133"/>
    </row>
    <row r="1322" spans="2:17" x14ac:dyDescent="0.3">
      <c r="B1322" s="126"/>
      <c r="C1322" s="583">
        <v>955</v>
      </c>
      <c r="D1322" s="625" t="e">
        <f t="shared" si="39"/>
        <v>#VALUE!</v>
      </c>
      <c r="E1322" s="591"/>
      <c r="F1322" s="591"/>
      <c r="G1322" s="591"/>
      <c r="H1322" s="591"/>
      <c r="I1322" s="591"/>
      <c r="J1322" s="591"/>
      <c r="K1322" s="542"/>
      <c r="O1322" s="1134"/>
      <c r="Q1322" s="1133"/>
    </row>
    <row r="1323" spans="2:17" x14ac:dyDescent="0.3">
      <c r="B1323" s="126"/>
      <c r="C1323" s="583">
        <v>956</v>
      </c>
      <c r="D1323" s="625" t="e">
        <f t="shared" si="39"/>
        <v>#VALUE!</v>
      </c>
      <c r="E1323" s="591"/>
      <c r="F1323" s="591"/>
      <c r="G1323" s="591"/>
      <c r="H1323" s="591"/>
      <c r="I1323" s="591"/>
      <c r="J1323" s="591"/>
      <c r="K1323" s="542"/>
      <c r="O1323" s="1134"/>
      <c r="Q1323" s="1133"/>
    </row>
    <row r="1324" spans="2:17" x14ac:dyDescent="0.3">
      <c r="B1324" s="126"/>
      <c r="C1324" s="583">
        <v>957</v>
      </c>
      <c r="D1324" s="625" t="e">
        <f t="shared" si="39"/>
        <v>#VALUE!</v>
      </c>
      <c r="E1324" s="591"/>
      <c r="F1324" s="591"/>
      <c r="G1324" s="591"/>
      <c r="H1324" s="591"/>
      <c r="I1324" s="591"/>
      <c r="J1324" s="591"/>
      <c r="K1324" s="542"/>
      <c r="O1324" s="1134"/>
      <c r="Q1324" s="1133"/>
    </row>
    <row r="1325" spans="2:17" x14ac:dyDescent="0.3">
      <c r="B1325" s="126"/>
      <c r="C1325" s="583">
        <v>958</v>
      </c>
      <c r="D1325" s="625" t="e">
        <f t="shared" si="39"/>
        <v>#VALUE!</v>
      </c>
      <c r="E1325" s="591"/>
      <c r="F1325" s="591"/>
      <c r="G1325" s="591"/>
      <c r="H1325" s="591"/>
      <c r="I1325" s="591"/>
      <c r="J1325" s="591"/>
      <c r="K1325" s="542"/>
      <c r="O1325" s="1134"/>
      <c r="Q1325" s="1133"/>
    </row>
    <row r="1326" spans="2:17" x14ac:dyDescent="0.3">
      <c r="B1326" s="126"/>
      <c r="C1326" s="583">
        <v>959</v>
      </c>
      <c r="D1326" s="625" t="e">
        <f t="shared" si="39"/>
        <v>#VALUE!</v>
      </c>
      <c r="E1326" s="591"/>
      <c r="F1326" s="591"/>
      <c r="G1326" s="591"/>
      <c r="H1326" s="591"/>
      <c r="I1326" s="591"/>
      <c r="J1326" s="591"/>
      <c r="K1326" s="542"/>
      <c r="O1326" s="1134"/>
      <c r="Q1326" s="1133"/>
    </row>
    <row r="1327" spans="2:17" x14ac:dyDescent="0.3">
      <c r="B1327" s="126"/>
      <c r="C1327" s="583">
        <v>960</v>
      </c>
      <c r="D1327" s="625" t="e">
        <f t="shared" ref="D1327:D1367" si="40">$C$346*C1327</f>
        <v>#VALUE!</v>
      </c>
      <c r="E1327" s="591"/>
      <c r="F1327" s="591"/>
      <c r="G1327" s="591"/>
      <c r="H1327" s="591"/>
      <c r="I1327" s="591"/>
      <c r="J1327" s="591"/>
      <c r="K1327" s="542"/>
      <c r="O1327" s="1134"/>
      <c r="Q1327" s="1133"/>
    </row>
    <row r="1328" spans="2:17" x14ac:dyDescent="0.3">
      <c r="B1328" s="126"/>
      <c r="C1328" s="583">
        <v>961</v>
      </c>
      <c r="D1328" s="625" t="e">
        <f t="shared" si="40"/>
        <v>#VALUE!</v>
      </c>
      <c r="E1328" s="591"/>
      <c r="F1328" s="591"/>
      <c r="G1328" s="591"/>
      <c r="H1328" s="591"/>
      <c r="I1328" s="591"/>
      <c r="J1328" s="591"/>
      <c r="K1328" s="542"/>
      <c r="O1328" s="1134"/>
      <c r="Q1328" s="1133"/>
    </row>
    <row r="1329" spans="2:17" x14ac:dyDescent="0.3">
      <c r="B1329" s="126"/>
      <c r="C1329" s="583">
        <v>962</v>
      </c>
      <c r="D1329" s="625" t="e">
        <f t="shared" si="40"/>
        <v>#VALUE!</v>
      </c>
      <c r="E1329" s="591"/>
      <c r="F1329" s="591"/>
      <c r="G1329" s="591"/>
      <c r="H1329" s="591"/>
      <c r="I1329" s="591"/>
      <c r="J1329" s="591"/>
      <c r="K1329" s="542"/>
      <c r="O1329" s="1134"/>
      <c r="Q1329" s="1133"/>
    </row>
    <row r="1330" spans="2:17" x14ac:dyDescent="0.3">
      <c r="B1330" s="126"/>
      <c r="C1330" s="583">
        <v>963</v>
      </c>
      <c r="D1330" s="625" t="e">
        <f t="shared" si="40"/>
        <v>#VALUE!</v>
      </c>
      <c r="E1330" s="591"/>
      <c r="F1330" s="591"/>
      <c r="G1330" s="591"/>
      <c r="H1330" s="591"/>
      <c r="I1330" s="591"/>
      <c r="J1330" s="591"/>
      <c r="K1330" s="542"/>
      <c r="O1330" s="1134"/>
      <c r="Q1330" s="1133"/>
    </row>
    <row r="1331" spans="2:17" x14ac:dyDescent="0.3">
      <c r="B1331" s="126"/>
      <c r="C1331" s="583">
        <v>964</v>
      </c>
      <c r="D1331" s="625" t="e">
        <f t="shared" si="40"/>
        <v>#VALUE!</v>
      </c>
      <c r="E1331" s="591"/>
      <c r="F1331" s="591"/>
      <c r="G1331" s="591"/>
      <c r="H1331" s="591"/>
      <c r="I1331" s="591"/>
      <c r="J1331" s="591"/>
      <c r="K1331" s="542"/>
      <c r="O1331" s="1134"/>
      <c r="Q1331" s="1133"/>
    </row>
    <row r="1332" spans="2:17" x14ac:dyDescent="0.3">
      <c r="B1332" s="126"/>
      <c r="C1332" s="583">
        <v>965</v>
      </c>
      <c r="D1332" s="625" t="e">
        <f t="shared" si="40"/>
        <v>#VALUE!</v>
      </c>
      <c r="E1332" s="591"/>
      <c r="F1332" s="591"/>
      <c r="G1332" s="591"/>
      <c r="H1332" s="591"/>
      <c r="I1332" s="591"/>
      <c r="J1332" s="591"/>
      <c r="K1332" s="542"/>
      <c r="O1332" s="1134"/>
      <c r="Q1332" s="1133"/>
    </row>
    <row r="1333" spans="2:17" x14ac:dyDescent="0.3">
      <c r="B1333" s="126"/>
      <c r="C1333" s="583">
        <v>966</v>
      </c>
      <c r="D1333" s="625" t="e">
        <f t="shared" si="40"/>
        <v>#VALUE!</v>
      </c>
      <c r="E1333" s="591"/>
      <c r="F1333" s="591"/>
      <c r="G1333" s="591"/>
      <c r="H1333" s="591"/>
      <c r="I1333" s="591"/>
      <c r="J1333" s="591"/>
      <c r="K1333" s="542"/>
      <c r="O1333" s="1134"/>
      <c r="Q1333" s="1133"/>
    </row>
    <row r="1334" spans="2:17" x14ac:dyDescent="0.3">
      <c r="B1334" s="126"/>
      <c r="C1334" s="583">
        <v>967</v>
      </c>
      <c r="D1334" s="625" t="e">
        <f t="shared" si="40"/>
        <v>#VALUE!</v>
      </c>
      <c r="E1334" s="591"/>
      <c r="F1334" s="591"/>
      <c r="G1334" s="591"/>
      <c r="H1334" s="591"/>
      <c r="I1334" s="591"/>
      <c r="J1334" s="591"/>
      <c r="K1334" s="542"/>
      <c r="O1334" s="1134"/>
      <c r="Q1334" s="1133"/>
    </row>
    <row r="1335" spans="2:17" x14ac:dyDescent="0.3">
      <c r="B1335" s="126"/>
      <c r="C1335" s="583">
        <v>968</v>
      </c>
      <c r="D1335" s="625" t="e">
        <f t="shared" si="40"/>
        <v>#VALUE!</v>
      </c>
      <c r="E1335" s="591"/>
      <c r="F1335" s="591"/>
      <c r="G1335" s="591"/>
      <c r="H1335" s="591"/>
      <c r="I1335" s="591"/>
      <c r="J1335" s="591"/>
      <c r="K1335" s="542"/>
      <c r="O1335" s="1134"/>
      <c r="Q1335" s="1133"/>
    </row>
    <row r="1336" spans="2:17" x14ac:dyDescent="0.3">
      <c r="B1336" s="126"/>
      <c r="C1336" s="583">
        <v>969</v>
      </c>
      <c r="D1336" s="625" t="e">
        <f t="shared" si="40"/>
        <v>#VALUE!</v>
      </c>
      <c r="E1336" s="591"/>
      <c r="F1336" s="591"/>
      <c r="G1336" s="591"/>
      <c r="H1336" s="591"/>
      <c r="I1336" s="591"/>
      <c r="J1336" s="591"/>
      <c r="K1336" s="542"/>
      <c r="O1336" s="1134"/>
      <c r="Q1336" s="1133"/>
    </row>
    <row r="1337" spans="2:17" x14ac:dyDescent="0.3">
      <c r="B1337" s="126"/>
      <c r="C1337" s="583">
        <v>970</v>
      </c>
      <c r="D1337" s="625" t="e">
        <f t="shared" si="40"/>
        <v>#VALUE!</v>
      </c>
      <c r="E1337" s="591"/>
      <c r="F1337" s="591"/>
      <c r="G1337" s="591"/>
      <c r="H1337" s="591"/>
      <c r="I1337" s="591"/>
      <c r="J1337" s="591"/>
      <c r="K1337" s="542"/>
      <c r="O1337" s="1134"/>
      <c r="Q1337" s="1133"/>
    </row>
    <row r="1338" spans="2:17" x14ac:dyDescent="0.3">
      <c r="B1338" s="126"/>
      <c r="C1338" s="583">
        <v>971</v>
      </c>
      <c r="D1338" s="625" t="e">
        <f t="shared" si="40"/>
        <v>#VALUE!</v>
      </c>
      <c r="E1338" s="591"/>
      <c r="F1338" s="591"/>
      <c r="G1338" s="591"/>
      <c r="H1338" s="591"/>
      <c r="I1338" s="591"/>
      <c r="J1338" s="591"/>
      <c r="K1338" s="542"/>
      <c r="O1338" s="1134"/>
      <c r="Q1338" s="1133"/>
    </row>
    <row r="1339" spans="2:17" x14ac:dyDescent="0.3">
      <c r="B1339" s="126"/>
      <c r="C1339" s="583">
        <v>972</v>
      </c>
      <c r="D1339" s="625" t="e">
        <f t="shared" si="40"/>
        <v>#VALUE!</v>
      </c>
      <c r="E1339" s="591"/>
      <c r="F1339" s="591"/>
      <c r="G1339" s="591"/>
      <c r="H1339" s="591"/>
      <c r="I1339" s="591"/>
      <c r="J1339" s="591"/>
      <c r="K1339" s="542"/>
      <c r="O1339" s="1134"/>
      <c r="Q1339" s="1133"/>
    </row>
    <row r="1340" spans="2:17" x14ac:dyDescent="0.3">
      <c r="B1340" s="126"/>
      <c r="C1340" s="583">
        <v>973</v>
      </c>
      <c r="D1340" s="625" t="e">
        <f t="shared" si="40"/>
        <v>#VALUE!</v>
      </c>
      <c r="E1340" s="591"/>
      <c r="F1340" s="591"/>
      <c r="G1340" s="591"/>
      <c r="H1340" s="591"/>
      <c r="I1340" s="591"/>
      <c r="J1340" s="591"/>
      <c r="K1340" s="542"/>
      <c r="O1340" s="1134"/>
      <c r="Q1340" s="1133"/>
    </row>
    <row r="1341" spans="2:17" x14ac:dyDescent="0.3">
      <c r="B1341" s="126"/>
      <c r="C1341" s="583">
        <v>974</v>
      </c>
      <c r="D1341" s="625" t="e">
        <f t="shared" si="40"/>
        <v>#VALUE!</v>
      </c>
      <c r="E1341" s="591"/>
      <c r="F1341" s="591"/>
      <c r="G1341" s="591"/>
      <c r="H1341" s="591"/>
      <c r="I1341" s="591"/>
      <c r="J1341" s="591"/>
      <c r="K1341" s="542"/>
      <c r="O1341" s="1134"/>
      <c r="Q1341" s="1133"/>
    </row>
    <row r="1342" spans="2:17" x14ac:dyDescent="0.3">
      <c r="B1342" s="126"/>
      <c r="C1342" s="583">
        <v>975</v>
      </c>
      <c r="D1342" s="625" t="e">
        <f t="shared" si="40"/>
        <v>#VALUE!</v>
      </c>
      <c r="E1342" s="591"/>
      <c r="F1342" s="591"/>
      <c r="G1342" s="591"/>
      <c r="H1342" s="591"/>
      <c r="I1342" s="591"/>
      <c r="J1342" s="591"/>
      <c r="K1342" s="542"/>
      <c r="O1342" s="1134"/>
      <c r="Q1342" s="1133"/>
    </row>
    <row r="1343" spans="2:17" x14ac:dyDescent="0.3">
      <c r="B1343" s="126"/>
      <c r="C1343" s="583">
        <v>976</v>
      </c>
      <c r="D1343" s="625" t="e">
        <f t="shared" si="40"/>
        <v>#VALUE!</v>
      </c>
      <c r="E1343" s="591"/>
      <c r="F1343" s="591"/>
      <c r="G1343" s="591"/>
      <c r="H1343" s="591"/>
      <c r="I1343" s="591"/>
      <c r="J1343" s="591"/>
      <c r="K1343" s="542"/>
      <c r="O1343" s="1134"/>
      <c r="Q1343" s="1133"/>
    </row>
    <row r="1344" spans="2:17" x14ac:dyDescent="0.3">
      <c r="B1344" s="126"/>
      <c r="C1344" s="583">
        <v>977</v>
      </c>
      <c r="D1344" s="625" t="e">
        <f t="shared" si="40"/>
        <v>#VALUE!</v>
      </c>
      <c r="E1344" s="591"/>
      <c r="F1344" s="591"/>
      <c r="G1344" s="591"/>
      <c r="H1344" s="591"/>
      <c r="I1344" s="591"/>
      <c r="J1344" s="591"/>
      <c r="K1344" s="542"/>
      <c r="O1344" s="1134"/>
      <c r="Q1344" s="1133"/>
    </row>
    <row r="1345" spans="2:17" x14ac:dyDescent="0.3">
      <c r="B1345" s="126"/>
      <c r="C1345" s="583">
        <v>978</v>
      </c>
      <c r="D1345" s="625" t="e">
        <f t="shared" si="40"/>
        <v>#VALUE!</v>
      </c>
      <c r="E1345" s="591"/>
      <c r="F1345" s="591"/>
      <c r="G1345" s="591"/>
      <c r="H1345" s="591"/>
      <c r="I1345" s="591"/>
      <c r="J1345" s="591"/>
      <c r="K1345" s="542"/>
      <c r="O1345" s="1134"/>
      <c r="Q1345" s="1133"/>
    </row>
    <row r="1346" spans="2:17" x14ac:dyDescent="0.3">
      <c r="B1346" s="126"/>
      <c r="C1346" s="583">
        <v>979</v>
      </c>
      <c r="D1346" s="625" t="e">
        <f t="shared" si="40"/>
        <v>#VALUE!</v>
      </c>
      <c r="E1346" s="591"/>
      <c r="F1346" s="591"/>
      <c r="G1346" s="591"/>
      <c r="H1346" s="591"/>
      <c r="I1346" s="591"/>
      <c r="J1346" s="591"/>
      <c r="K1346" s="542"/>
      <c r="O1346" s="1134"/>
      <c r="Q1346" s="1133"/>
    </row>
    <row r="1347" spans="2:17" x14ac:dyDescent="0.3">
      <c r="B1347" s="126"/>
      <c r="C1347" s="583">
        <v>980</v>
      </c>
      <c r="D1347" s="625" t="e">
        <f t="shared" si="40"/>
        <v>#VALUE!</v>
      </c>
      <c r="E1347" s="591"/>
      <c r="F1347" s="591"/>
      <c r="G1347" s="591"/>
      <c r="H1347" s="591"/>
      <c r="I1347" s="591"/>
      <c r="J1347" s="591"/>
      <c r="K1347" s="542"/>
      <c r="O1347" s="1134"/>
      <c r="Q1347" s="1133"/>
    </row>
    <row r="1348" spans="2:17" x14ac:dyDescent="0.3">
      <c r="B1348" s="126"/>
      <c r="C1348" s="583">
        <v>981</v>
      </c>
      <c r="D1348" s="625" t="e">
        <f t="shared" si="40"/>
        <v>#VALUE!</v>
      </c>
      <c r="E1348" s="591"/>
      <c r="F1348" s="591"/>
      <c r="G1348" s="591"/>
      <c r="H1348" s="591"/>
      <c r="I1348" s="591"/>
      <c r="J1348" s="591"/>
      <c r="K1348" s="542"/>
      <c r="O1348" s="1134"/>
      <c r="Q1348" s="1133"/>
    </row>
    <row r="1349" spans="2:17" x14ac:dyDescent="0.3">
      <c r="B1349" s="126"/>
      <c r="C1349" s="583">
        <v>982</v>
      </c>
      <c r="D1349" s="625" t="e">
        <f t="shared" si="40"/>
        <v>#VALUE!</v>
      </c>
      <c r="E1349" s="591"/>
      <c r="F1349" s="591"/>
      <c r="G1349" s="591"/>
      <c r="H1349" s="591"/>
      <c r="I1349" s="591"/>
      <c r="J1349" s="591"/>
      <c r="K1349" s="542"/>
      <c r="O1349" s="1134"/>
      <c r="Q1349" s="1133"/>
    </row>
    <row r="1350" spans="2:17" x14ac:dyDescent="0.3">
      <c r="B1350" s="126"/>
      <c r="C1350" s="583">
        <v>983</v>
      </c>
      <c r="D1350" s="625" t="e">
        <f t="shared" si="40"/>
        <v>#VALUE!</v>
      </c>
      <c r="E1350" s="591"/>
      <c r="F1350" s="591"/>
      <c r="G1350" s="591"/>
      <c r="H1350" s="591"/>
      <c r="I1350" s="591"/>
      <c r="J1350" s="591"/>
      <c r="K1350" s="542"/>
      <c r="O1350" s="1134"/>
      <c r="Q1350" s="1133"/>
    </row>
    <row r="1351" spans="2:17" x14ac:dyDescent="0.3">
      <c r="B1351" s="126"/>
      <c r="C1351" s="583">
        <v>984</v>
      </c>
      <c r="D1351" s="625" t="e">
        <f t="shared" si="40"/>
        <v>#VALUE!</v>
      </c>
      <c r="E1351" s="591"/>
      <c r="F1351" s="591"/>
      <c r="G1351" s="591"/>
      <c r="H1351" s="591"/>
      <c r="I1351" s="591"/>
      <c r="J1351" s="591"/>
      <c r="K1351" s="542"/>
      <c r="O1351" s="1134"/>
      <c r="Q1351" s="1133"/>
    </row>
    <row r="1352" spans="2:17" x14ac:dyDescent="0.3">
      <c r="B1352" s="126"/>
      <c r="C1352" s="583">
        <v>985</v>
      </c>
      <c r="D1352" s="625" t="e">
        <f t="shared" si="40"/>
        <v>#VALUE!</v>
      </c>
      <c r="E1352" s="591"/>
      <c r="F1352" s="591"/>
      <c r="G1352" s="591"/>
      <c r="H1352" s="591"/>
      <c r="I1352" s="591"/>
      <c r="J1352" s="591"/>
      <c r="K1352" s="542"/>
      <c r="O1352" s="1134"/>
      <c r="Q1352" s="1133"/>
    </row>
    <row r="1353" spans="2:17" x14ac:dyDescent="0.3">
      <c r="B1353" s="126"/>
      <c r="C1353" s="583">
        <v>986</v>
      </c>
      <c r="D1353" s="625" t="e">
        <f t="shared" si="40"/>
        <v>#VALUE!</v>
      </c>
      <c r="E1353" s="591"/>
      <c r="F1353" s="591"/>
      <c r="G1353" s="591"/>
      <c r="H1353" s="591"/>
      <c r="I1353" s="591"/>
      <c r="J1353" s="591"/>
      <c r="K1353" s="542"/>
      <c r="O1353" s="1134"/>
      <c r="Q1353" s="1133"/>
    </row>
    <row r="1354" spans="2:17" x14ac:dyDescent="0.3">
      <c r="B1354" s="126"/>
      <c r="C1354" s="583">
        <v>987</v>
      </c>
      <c r="D1354" s="625" t="e">
        <f t="shared" si="40"/>
        <v>#VALUE!</v>
      </c>
      <c r="E1354" s="591"/>
      <c r="F1354" s="591"/>
      <c r="G1354" s="591"/>
      <c r="H1354" s="591"/>
      <c r="I1354" s="591"/>
      <c r="J1354" s="591"/>
      <c r="K1354" s="542"/>
      <c r="O1354" s="1134"/>
      <c r="Q1354" s="1133"/>
    </row>
    <row r="1355" spans="2:17" x14ac:dyDescent="0.3">
      <c r="B1355" s="126"/>
      <c r="C1355" s="583">
        <v>988</v>
      </c>
      <c r="D1355" s="625" t="e">
        <f t="shared" si="40"/>
        <v>#VALUE!</v>
      </c>
      <c r="E1355" s="591"/>
      <c r="F1355" s="591"/>
      <c r="G1355" s="591"/>
      <c r="H1355" s="591"/>
      <c r="I1355" s="591"/>
      <c r="J1355" s="591"/>
      <c r="K1355" s="542"/>
      <c r="O1355" s="1134"/>
      <c r="Q1355" s="1133"/>
    </row>
    <row r="1356" spans="2:17" x14ac:dyDescent="0.3">
      <c r="B1356" s="126"/>
      <c r="C1356" s="583">
        <v>989</v>
      </c>
      <c r="D1356" s="625" t="e">
        <f t="shared" si="40"/>
        <v>#VALUE!</v>
      </c>
      <c r="E1356" s="591"/>
      <c r="F1356" s="591"/>
      <c r="G1356" s="591"/>
      <c r="H1356" s="591"/>
      <c r="I1356" s="591"/>
      <c r="J1356" s="591"/>
      <c r="K1356" s="542"/>
      <c r="O1356" s="1134"/>
      <c r="Q1356" s="1133"/>
    </row>
    <row r="1357" spans="2:17" x14ac:dyDescent="0.3">
      <c r="B1357" s="126"/>
      <c r="C1357" s="583">
        <v>990</v>
      </c>
      <c r="D1357" s="625" t="e">
        <f t="shared" si="40"/>
        <v>#VALUE!</v>
      </c>
      <c r="E1357" s="591"/>
      <c r="F1357" s="591"/>
      <c r="G1357" s="591"/>
      <c r="H1357" s="591"/>
      <c r="I1357" s="591"/>
      <c r="J1357" s="591"/>
      <c r="K1357" s="542"/>
      <c r="O1357" s="1134"/>
      <c r="Q1357" s="1133"/>
    </row>
    <row r="1358" spans="2:17" x14ac:dyDescent="0.3">
      <c r="B1358" s="126"/>
      <c r="C1358" s="583">
        <v>991</v>
      </c>
      <c r="D1358" s="625" t="e">
        <f t="shared" si="40"/>
        <v>#VALUE!</v>
      </c>
      <c r="E1358" s="591"/>
      <c r="F1358" s="591"/>
      <c r="G1358" s="591"/>
      <c r="H1358" s="591"/>
      <c r="I1358" s="591"/>
      <c r="J1358" s="591"/>
      <c r="K1358" s="542"/>
      <c r="O1358" s="1134"/>
      <c r="Q1358" s="1133"/>
    </row>
    <row r="1359" spans="2:17" x14ac:dyDescent="0.3">
      <c r="B1359" s="126"/>
      <c r="C1359" s="583">
        <v>992</v>
      </c>
      <c r="D1359" s="625" t="e">
        <f t="shared" si="40"/>
        <v>#VALUE!</v>
      </c>
      <c r="E1359" s="591"/>
      <c r="F1359" s="591"/>
      <c r="G1359" s="591"/>
      <c r="H1359" s="591"/>
      <c r="I1359" s="591"/>
      <c r="J1359" s="591"/>
      <c r="K1359" s="542"/>
      <c r="O1359" s="1134"/>
      <c r="Q1359" s="1133"/>
    </row>
    <row r="1360" spans="2:17" x14ac:dyDescent="0.3">
      <c r="B1360" s="126"/>
      <c r="C1360" s="583">
        <v>993</v>
      </c>
      <c r="D1360" s="625" t="e">
        <f t="shared" si="40"/>
        <v>#VALUE!</v>
      </c>
      <c r="E1360" s="591"/>
      <c r="F1360" s="591"/>
      <c r="G1360" s="591"/>
      <c r="H1360" s="591"/>
      <c r="I1360" s="591"/>
      <c r="J1360" s="591"/>
      <c r="K1360" s="542"/>
      <c r="O1360" s="1134"/>
      <c r="Q1360" s="1133"/>
    </row>
    <row r="1361" spans="1:17" x14ac:dyDescent="0.3">
      <c r="B1361" s="126"/>
      <c r="C1361" s="583">
        <v>994</v>
      </c>
      <c r="D1361" s="625" t="e">
        <f t="shared" si="40"/>
        <v>#VALUE!</v>
      </c>
      <c r="E1361" s="591"/>
      <c r="F1361" s="591"/>
      <c r="G1361" s="591"/>
      <c r="H1361" s="591"/>
      <c r="I1361" s="591"/>
      <c r="J1361" s="591"/>
      <c r="K1361" s="542"/>
      <c r="O1361" s="1134"/>
      <c r="Q1361" s="1133"/>
    </row>
    <row r="1362" spans="1:17" x14ac:dyDescent="0.3">
      <c r="B1362" s="126"/>
      <c r="C1362" s="583">
        <v>995</v>
      </c>
      <c r="D1362" s="625" t="e">
        <f t="shared" si="40"/>
        <v>#VALUE!</v>
      </c>
      <c r="E1362" s="591"/>
      <c r="F1362" s="591"/>
      <c r="G1362" s="591"/>
      <c r="H1362" s="591"/>
      <c r="I1362" s="591"/>
      <c r="J1362" s="591"/>
      <c r="K1362" s="542"/>
      <c r="O1362" s="1134"/>
      <c r="Q1362" s="1133"/>
    </row>
    <row r="1363" spans="1:17" x14ac:dyDescent="0.3">
      <c r="B1363" s="126"/>
      <c r="C1363" s="583">
        <v>996</v>
      </c>
      <c r="D1363" s="625" t="e">
        <f t="shared" si="40"/>
        <v>#VALUE!</v>
      </c>
      <c r="E1363" s="591"/>
      <c r="F1363" s="591"/>
      <c r="G1363" s="591"/>
      <c r="H1363" s="591"/>
      <c r="I1363" s="591"/>
      <c r="J1363" s="591"/>
      <c r="K1363" s="542"/>
      <c r="O1363" s="1134"/>
      <c r="Q1363" s="1133"/>
    </row>
    <row r="1364" spans="1:17" x14ac:dyDescent="0.3">
      <c r="B1364" s="126"/>
      <c r="C1364" s="583">
        <v>997</v>
      </c>
      <c r="D1364" s="625" t="e">
        <f t="shared" si="40"/>
        <v>#VALUE!</v>
      </c>
      <c r="E1364" s="591"/>
      <c r="F1364" s="591"/>
      <c r="G1364" s="591"/>
      <c r="H1364" s="591"/>
      <c r="I1364" s="591"/>
      <c r="J1364" s="591"/>
      <c r="K1364" s="542"/>
      <c r="O1364" s="1134"/>
      <c r="Q1364" s="1133"/>
    </row>
    <row r="1365" spans="1:17" x14ac:dyDescent="0.3">
      <c r="B1365" s="126"/>
      <c r="C1365" s="583">
        <v>998</v>
      </c>
      <c r="D1365" s="625" t="e">
        <f t="shared" si="40"/>
        <v>#VALUE!</v>
      </c>
      <c r="E1365" s="591"/>
      <c r="F1365" s="591"/>
      <c r="G1365" s="591"/>
      <c r="H1365" s="591"/>
      <c r="I1365" s="591"/>
      <c r="J1365" s="591"/>
      <c r="K1365" s="542"/>
      <c r="O1365" s="1134"/>
      <c r="Q1365" s="1133"/>
    </row>
    <row r="1366" spans="1:17" x14ac:dyDescent="0.3">
      <c r="B1366" s="126"/>
      <c r="C1366" s="583">
        <v>999</v>
      </c>
      <c r="D1366" s="625" t="e">
        <f t="shared" si="40"/>
        <v>#VALUE!</v>
      </c>
      <c r="E1366" s="591"/>
      <c r="F1366" s="591"/>
      <c r="G1366" s="591"/>
      <c r="H1366" s="591"/>
      <c r="I1366" s="591"/>
      <c r="J1366" s="591"/>
      <c r="K1366" s="542"/>
      <c r="O1366" s="1134"/>
      <c r="Q1366" s="1133"/>
    </row>
    <row r="1367" spans="1:17" ht="17.25" thickBot="1" x14ac:dyDescent="0.35">
      <c r="B1367" s="126"/>
      <c r="C1367" s="592">
        <v>1000</v>
      </c>
      <c r="D1367" s="626" t="e">
        <f t="shared" si="40"/>
        <v>#VALUE!</v>
      </c>
      <c r="E1367" s="594"/>
      <c r="F1367" s="594"/>
      <c r="G1367" s="594"/>
      <c r="H1367" s="594"/>
      <c r="I1367" s="594"/>
      <c r="J1367" s="594"/>
      <c r="K1367" s="547"/>
      <c r="O1367" s="1134"/>
      <c r="Q1367" s="1133"/>
    </row>
    <row r="1368" spans="1:17" x14ac:dyDescent="0.3">
      <c r="B1368" s="126"/>
      <c r="C1368" s="126"/>
      <c r="D1368" s="126"/>
      <c r="E1368" s="591"/>
      <c r="F1368" s="591"/>
      <c r="G1368" s="591"/>
      <c r="H1368" s="591"/>
      <c r="I1368" s="591"/>
      <c r="J1368" s="591"/>
      <c r="K1368" s="122"/>
      <c r="O1368" s="1134"/>
      <c r="Q1368" s="1133"/>
    </row>
    <row r="1369" spans="1:17" ht="17.25" x14ac:dyDescent="0.3">
      <c r="A1369" s="127"/>
      <c r="B1369" s="136"/>
      <c r="C1369" s="137"/>
      <c r="D1369" s="138"/>
      <c r="E1369" s="136"/>
      <c r="F1369" s="284"/>
      <c r="G1369" s="283"/>
      <c r="H1369" s="284"/>
      <c r="I1369" s="139"/>
      <c r="J1369" s="127"/>
      <c r="K1369" s="127"/>
      <c r="L1369" s="140"/>
      <c r="M1369" s="127"/>
      <c r="N1369" s="127"/>
      <c r="O1369" s="127"/>
      <c r="P1369" s="1133"/>
      <c r="Q1369" s="1133"/>
    </row>
  </sheetData>
  <sheetProtection algorithmName="SHA-512" hashValue="FjgYHQz5zCBX1rnNXGZsCbARs1gdKQIHsAkNxG740PW8BUfG2aUnxi8UOdYmF9Fjf0m+AKBmyOGnYDGz7NAm7g==" saltValue="+UxBbiBQi97vxAoCQoTaag==" spinCount="100000" sheet="1" selectLockedCells="1"/>
  <mergeCells count="45">
    <mergeCell ref="G345:K345"/>
    <mergeCell ref="G346:K346"/>
    <mergeCell ref="G349:H349"/>
    <mergeCell ref="G358:H358"/>
    <mergeCell ref="G339:K339"/>
    <mergeCell ref="G340:K340"/>
    <mergeCell ref="G341:K341"/>
    <mergeCell ref="G342:K342"/>
    <mergeCell ref="G343:K343"/>
    <mergeCell ref="G344:K344"/>
    <mergeCell ref="G338:K338"/>
    <mergeCell ref="F222:J222"/>
    <mergeCell ref="F223:J223"/>
    <mergeCell ref="F224:J224"/>
    <mergeCell ref="F225:J225"/>
    <mergeCell ref="F226:J226"/>
    <mergeCell ref="F227:J227"/>
    <mergeCell ref="F228:J228"/>
    <mergeCell ref="C334:K334"/>
    <mergeCell ref="G335:K335"/>
    <mergeCell ref="G336:K336"/>
    <mergeCell ref="G337:K337"/>
    <mergeCell ref="F221:J221"/>
    <mergeCell ref="F210:J210"/>
    <mergeCell ref="F211:J211"/>
    <mergeCell ref="F212:J212"/>
    <mergeCell ref="F213:J213"/>
    <mergeCell ref="F214:J214"/>
    <mergeCell ref="F215:J215"/>
    <mergeCell ref="F216:J216"/>
    <mergeCell ref="F217:J217"/>
    <mergeCell ref="F218:J218"/>
    <mergeCell ref="F219:J219"/>
    <mergeCell ref="F220:J220"/>
    <mergeCell ref="F209:J209"/>
    <mergeCell ref="B2:C2"/>
    <mergeCell ref="D3:E3"/>
    <mergeCell ref="G4:H4"/>
    <mergeCell ref="B12:B13"/>
    <mergeCell ref="C12:C13"/>
    <mergeCell ref="D12:D13"/>
    <mergeCell ref="E12:E13"/>
    <mergeCell ref="B152:F152"/>
    <mergeCell ref="F12:F13"/>
    <mergeCell ref="F208:J208"/>
  </mergeCells>
  <hyperlinks>
    <hyperlink ref="G4" location="Instructions!C33" display="Back to Instructions tab" xr:uid="{276157FD-EE1F-4F31-8598-7B82639E0C69}"/>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CCC87-C14C-417C-9578-ECB0C10A1F70}">
  <sheetPr codeName="Sheet19">
    <tabColor rgb="FF0070C0"/>
  </sheetPr>
  <dimension ref="A1:Q1383"/>
  <sheetViews>
    <sheetView showGridLines="0" zoomScale="80" zoomScaleNormal="80" workbookViewId="0">
      <selection activeCell="E30" sqref="E30"/>
    </sheetView>
  </sheetViews>
  <sheetFormatPr defaultColWidth="9" defaultRowHeight="16.5" x14ac:dyDescent="0.3"/>
  <cols>
    <col min="1" max="1" width="3.625" style="126" customWidth="1"/>
    <col min="2" max="2" width="75.125" style="122" customWidth="1"/>
    <col min="3" max="3" width="37.125" style="123" customWidth="1"/>
    <col min="4" max="4" width="17" style="124" customWidth="1"/>
    <col min="5" max="5" width="10.625" style="122" customWidth="1"/>
    <col min="6" max="6" width="19.125" style="122" customWidth="1"/>
    <col min="7" max="7" width="17.125" style="122" customWidth="1"/>
    <col min="8" max="8" width="12.125" style="122" customWidth="1"/>
    <col min="9" max="9" width="12.125" style="125" customWidth="1"/>
    <col min="10" max="11" width="12.125" style="126" customWidth="1"/>
    <col min="12" max="12" width="11.875" style="122" customWidth="1"/>
    <col min="13" max="14" width="10.5" style="126" customWidth="1"/>
    <col min="15" max="15" width="11.875" style="126" customWidth="1"/>
    <col min="16" max="16" width="10.5" style="126" customWidth="1"/>
    <col min="17" max="18" width="7.875" style="126" bestFit="1" customWidth="1"/>
    <col min="19" max="19" width="5.625" style="126" bestFit="1" customWidth="1"/>
    <col min="20" max="20" width="14.5" style="126" customWidth="1"/>
    <col min="21" max="21" width="15" style="126" customWidth="1"/>
    <col min="22" max="16384" width="9" style="126"/>
  </cols>
  <sheetData>
    <row r="1" spans="2:17" ht="17.25" thickBot="1" x14ac:dyDescent="0.35">
      <c r="Q1" s="1133"/>
    </row>
    <row r="2" spans="2:17" ht="18" thickBot="1" x14ac:dyDescent="0.35">
      <c r="B2" s="1838" t="s">
        <v>228</v>
      </c>
      <c r="C2" s="1839"/>
      <c r="D2" s="231"/>
      <c r="E2" s="231"/>
      <c r="F2" s="130"/>
      <c r="H2" s="125"/>
      <c r="I2" s="126"/>
      <c r="K2" s="122"/>
      <c r="L2" s="126"/>
      <c r="Q2" s="1133"/>
    </row>
    <row r="3" spans="2:17" x14ac:dyDescent="0.3">
      <c r="B3" s="562" t="s">
        <v>229</v>
      </c>
      <c r="C3" s="563" t="str">
        <f>'Version Control'!C3</f>
        <v>Consumer Boiler</v>
      </c>
      <c r="D3" s="1844"/>
      <c r="E3" s="1844"/>
      <c r="F3" s="130"/>
      <c r="G3" s="130"/>
      <c r="Q3" s="1133"/>
    </row>
    <row r="4" spans="2:17" ht="18" x14ac:dyDescent="0.3">
      <c r="B4" s="564" t="s">
        <v>117</v>
      </c>
      <c r="C4" s="565" t="str">
        <f>'Version Control'!C4</f>
        <v>v2.1</v>
      </c>
      <c r="D4" s="566"/>
      <c r="E4" s="171"/>
      <c r="G4" s="1832" t="s">
        <v>124</v>
      </c>
      <c r="H4" s="1832"/>
      <c r="K4" s="122"/>
      <c r="L4" s="126"/>
      <c r="Q4" s="1133"/>
    </row>
    <row r="5" spans="2:17" x14ac:dyDescent="0.3">
      <c r="B5" s="564" t="s">
        <v>118</v>
      </c>
      <c r="C5" s="567">
        <f>'Version Control'!C5</f>
        <v>45407</v>
      </c>
      <c r="D5" s="568"/>
      <c r="E5" s="233"/>
      <c r="F5" s="130"/>
      <c r="H5" s="125"/>
      <c r="I5" s="126"/>
      <c r="K5" s="122"/>
      <c r="L5" s="126"/>
      <c r="Q5" s="1133"/>
    </row>
    <row r="6" spans="2:17" x14ac:dyDescent="0.3">
      <c r="B6" s="569" t="s">
        <v>116</v>
      </c>
      <c r="C6" s="570" t="str">
        <f ca="1">MID(CELL("filename",A1), FIND("]", CELL("filename", A1))+ 1, 255)</f>
        <v>Non-Con, Mod Calculations</v>
      </c>
      <c r="D6" s="571"/>
      <c r="E6" s="171"/>
      <c r="F6" s="130"/>
      <c r="H6" s="125"/>
      <c r="I6" s="126"/>
      <c r="K6" s="122"/>
      <c r="L6" s="126"/>
      <c r="Q6" s="1133"/>
    </row>
    <row r="7" spans="2:17" x14ac:dyDescent="0.3">
      <c r="B7" s="572" t="s">
        <v>115</v>
      </c>
      <c r="C7" s="573" t="str">
        <f ca="1">'Version Control'!C7</f>
        <v>Consumer Boiler - v2.1.xlsx</v>
      </c>
      <c r="D7" s="571"/>
      <c r="E7" s="171"/>
      <c r="F7" s="130"/>
      <c r="H7" s="125"/>
      <c r="I7" s="126"/>
      <c r="K7" s="122"/>
      <c r="L7" s="126"/>
      <c r="Q7" s="1133"/>
    </row>
    <row r="8" spans="2:17" ht="17.25" thickBot="1" x14ac:dyDescent="0.35">
      <c r="B8" s="574" t="s">
        <v>119</v>
      </c>
      <c r="C8" s="575" t="str">
        <f>'Version Control'!C8</f>
        <v>[MM/DD/YYYY]</v>
      </c>
      <c r="D8" s="576"/>
      <c r="E8" s="156"/>
      <c r="F8" s="130"/>
      <c r="H8" s="125"/>
      <c r="I8" s="126"/>
      <c r="K8" s="122"/>
      <c r="L8" s="126"/>
      <c r="Q8" s="1133"/>
    </row>
    <row r="9" spans="2:17" ht="17.25" x14ac:dyDescent="0.35">
      <c r="B9" s="131"/>
      <c r="I9" s="122"/>
      <c r="J9" s="122"/>
      <c r="K9" s="122"/>
      <c r="Q9" s="1133"/>
    </row>
    <row r="10" spans="2:17" ht="18" thickBot="1" x14ac:dyDescent="0.35">
      <c r="E10" s="176"/>
      <c r="H10" s="125"/>
      <c r="J10" s="122"/>
      <c r="K10" s="122"/>
      <c r="Q10" s="1133"/>
    </row>
    <row r="11" spans="2:17" ht="18" thickBot="1" x14ac:dyDescent="0.4">
      <c r="B11" s="487" t="s">
        <v>526</v>
      </c>
      <c r="C11" s="534"/>
      <c r="D11" s="535"/>
      <c r="E11" s="488"/>
      <c r="F11" s="488"/>
      <c r="G11" s="536"/>
      <c r="H11" s="1329"/>
      <c r="I11" s="1329"/>
      <c r="J11" s="1329"/>
      <c r="K11" s="1329"/>
      <c r="L11" s="1329"/>
      <c r="Q11" s="1133"/>
    </row>
    <row r="12" spans="2:17" ht="49.5" customHeight="1" x14ac:dyDescent="0.3">
      <c r="B12" s="1825" t="s">
        <v>71</v>
      </c>
      <c r="C12" s="1827" t="s">
        <v>33</v>
      </c>
      <c r="D12" s="1829" t="s">
        <v>62</v>
      </c>
      <c r="E12" s="1831" t="s">
        <v>529</v>
      </c>
      <c r="F12" s="1831"/>
      <c r="G12" s="1823" t="s">
        <v>136</v>
      </c>
      <c r="H12" s="126"/>
      <c r="I12" s="126"/>
      <c r="J12" s="559"/>
      <c r="L12" s="1134"/>
      <c r="Q12" s="1133"/>
    </row>
    <row r="13" spans="2:17" ht="33" customHeight="1" thickBot="1" x14ac:dyDescent="0.35">
      <c r="B13" s="1840"/>
      <c r="C13" s="1841"/>
      <c r="D13" s="1833"/>
      <c r="E13" s="1194" t="s">
        <v>488</v>
      </c>
      <c r="F13" s="1194" t="s">
        <v>489</v>
      </c>
      <c r="G13" s="1834"/>
      <c r="H13" s="126"/>
      <c r="I13" s="126"/>
      <c r="L13" s="1134"/>
      <c r="Q13" s="1133"/>
    </row>
    <row r="14" spans="2:17" ht="18" thickBot="1" x14ac:dyDescent="0.35">
      <c r="B14" s="847" t="s">
        <v>518</v>
      </c>
      <c r="C14" s="848" t="s">
        <v>175</v>
      </c>
      <c r="D14" s="849" t="str">
        <f>IF('Sys. # &amp; Product Characteristic'!Energy_Source="Electricity","11.1",
IF(AND('Sys. # &amp; Product Characteristic'!Control_Type="Single Stage",'Sys. # &amp; Product Characteristic'!Flue_Gas="Non-Condensing"),"11.2",
IF(AND('Sys. # &amp; Product Characteristic'!Control_Type="Single Stage",'Sys. # &amp; Product Characteristic'!Flue_Gas="Condensing"),"11.3",
IF(AND(OR('Sys. # &amp; Product Characteristic'!Control_Type="Step Modulating",'Sys. # &amp; Product Characteristic'!Control_Type="Two-Stage Modulating"),'Sys. # &amp; Product Characteristic'!Flue_Gas="Non-Condensing"),"11.4",
IF(AND(OR('Sys. # &amp; Product Characteristic'!Control_Type="Step Modulating",'Sys. # &amp; Product Characteristic'!Control_Type="Two-Stage Modulating"),'Sys. # &amp; Product Characteristic'!Flue_Gas="Condensing"),"11.5",
"Unknown")))))</f>
        <v>Unknown</v>
      </c>
      <c r="E14" s="850" t="str">
        <f>"11.4"</f>
        <v>11.4</v>
      </c>
      <c r="F14" s="850" t="str">
        <f>"11.4"</f>
        <v>11.4</v>
      </c>
      <c r="G14" s="851" t="s">
        <v>175</v>
      </c>
      <c r="H14" s="126"/>
      <c r="I14" s="126"/>
      <c r="L14" s="1134"/>
      <c r="Q14" s="1133"/>
    </row>
    <row r="15" spans="2:17" ht="18" thickBot="1" x14ac:dyDescent="0.35">
      <c r="B15" s="804"/>
      <c r="C15" s="781"/>
      <c r="D15" s="781"/>
      <c r="E15" s="782"/>
      <c r="F15" s="782"/>
      <c r="G15" s="805"/>
      <c r="H15" s="126"/>
      <c r="I15" s="126"/>
      <c r="L15" s="1134"/>
      <c r="Q15" s="1133"/>
    </row>
    <row r="16" spans="2:17" ht="17.25" x14ac:dyDescent="0.3">
      <c r="B16" s="820" t="s">
        <v>856</v>
      </c>
      <c r="C16" s="821"/>
      <c r="D16" s="821"/>
      <c r="E16" s="822"/>
      <c r="F16" s="822"/>
      <c r="G16" s="823"/>
      <c r="H16" s="126"/>
      <c r="I16" s="126"/>
      <c r="L16" s="1134"/>
      <c r="Q16" s="1133"/>
    </row>
    <row r="17" spans="2:17" ht="17.25" thickBot="1" x14ac:dyDescent="0.35">
      <c r="B17" s="842" t="s">
        <v>39</v>
      </c>
      <c r="C17" s="843" t="s">
        <v>175</v>
      </c>
      <c r="D17" s="844" t="str">
        <f>IF(OR($D$14="Unknown",D14="11.1"),"11.2",$D$14) &amp; ".1"</f>
        <v>11.2.1</v>
      </c>
      <c r="E17" s="845" t="str">
        <f>IF($D$14&lt;&gt;E$14,"N/A",'Sys. # &amp; Product Characteristic'!M13)</f>
        <v>N/A</v>
      </c>
      <c r="F17" s="845" t="str">
        <f>IF($D$14&lt;&gt;F$14,"N/A",'Sys. # &amp; Product Characteristic'!M13)</f>
        <v>N/A</v>
      </c>
      <c r="G17" s="846" t="s">
        <v>175</v>
      </c>
      <c r="H17" s="126"/>
      <c r="I17" s="126"/>
      <c r="L17" s="1134"/>
      <c r="Q17" s="1133"/>
    </row>
    <row r="18" spans="2:17" ht="17.25" thickBot="1" x14ac:dyDescent="0.35">
      <c r="B18" s="804"/>
      <c r="C18" s="781"/>
      <c r="D18" s="781"/>
      <c r="E18" s="495"/>
      <c r="F18" s="495"/>
      <c r="G18" s="805"/>
      <c r="H18" s="126"/>
      <c r="I18" s="126"/>
      <c r="L18" s="1134"/>
      <c r="Q18" s="1133"/>
    </row>
    <row r="19" spans="2:17" ht="17.25" x14ac:dyDescent="0.3">
      <c r="B19" s="820" t="s">
        <v>411</v>
      </c>
      <c r="C19" s="821"/>
      <c r="D19" s="821"/>
      <c r="E19" s="822"/>
      <c r="F19" s="822"/>
      <c r="G19" s="823"/>
      <c r="H19" s="126"/>
      <c r="I19" s="126"/>
      <c r="L19" s="1134"/>
      <c r="Q19" s="1133"/>
    </row>
    <row r="20" spans="2:17" x14ac:dyDescent="0.3">
      <c r="B20" s="806" t="s">
        <v>671</v>
      </c>
      <c r="C20" s="795" t="s">
        <v>44</v>
      </c>
      <c r="D20" s="796" t="str">
        <f>IF(OR($D$14="Unknown",D14="11.1"),"11.2",$D$14) &amp; ".2"</f>
        <v>11.2.2</v>
      </c>
      <c r="E20" s="120" t="str">
        <f>IF($D$14&lt;&gt;E$14,"N/A",'Drop-Downs and Tables'!$F$188)</f>
        <v>N/A</v>
      </c>
      <c r="F20" s="120" t="str">
        <f>IF($D$14&lt;&gt;F$14,"N/A",'Drop-Downs and Tables'!$F$188)</f>
        <v>N/A</v>
      </c>
      <c r="G20" s="807" t="s">
        <v>175</v>
      </c>
      <c r="H20" s="126"/>
      <c r="I20" s="126"/>
      <c r="L20" s="1134"/>
      <c r="Q20" s="1133"/>
    </row>
    <row r="21" spans="2:17" x14ac:dyDescent="0.3">
      <c r="B21" s="690" t="s">
        <v>671</v>
      </c>
      <c r="C21" s="496" t="s">
        <v>45</v>
      </c>
      <c r="D21" s="628" t="str">
        <f>IF(OR($D$14="Unknown",D14="11.1"),"11.2",$D$14) &amp; ".2"</f>
        <v>11.2.2</v>
      </c>
      <c r="E21" s="120" t="str">
        <f>IF($D$14&lt;&gt;E$14,"N/A",'Drop-Downs and Tables'!$G$188)</f>
        <v>N/A</v>
      </c>
      <c r="F21" s="120" t="str">
        <f>IF($D$14&lt;&gt;F$14,"N/A",'Drop-Downs and Tables'!$G$188)</f>
        <v>N/A</v>
      </c>
      <c r="G21" s="497" t="s">
        <v>175</v>
      </c>
      <c r="H21" s="126"/>
      <c r="I21" s="126"/>
      <c r="L21" s="1134"/>
      <c r="Q21" s="1133"/>
    </row>
    <row r="22" spans="2:17" ht="18" x14ac:dyDescent="0.3">
      <c r="B22" s="689" t="s">
        <v>519</v>
      </c>
      <c r="C22" s="496" t="s">
        <v>485</v>
      </c>
      <c r="D22" s="628" t="str">
        <f>IF(OR($D$14="Unknown",D14="11.1"),"11.2",$D$14) &amp; ".2"</f>
        <v>11.2.2</v>
      </c>
      <c r="E22" s="1190" t="str">
        <f>IF($D$14&lt;&gt;E$14,"N/A",
IF('Max Test'!X.CO2F_SS="",'Max Test'!X.CO2F_CDP,'Max Test'!X.CO2F_SS))</f>
        <v>N/A</v>
      </c>
      <c r="F22" s="1190" t="str">
        <f>IF($D$14&lt;&gt;F$14,"N/A",'Reduced Test'!X.CO2F)</f>
        <v>N/A</v>
      </c>
      <c r="G22" s="132" t="s">
        <v>211</v>
      </c>
      <c r="H22" s="126"/>
      <c r="I22" s="126"/>
      <c r="L22" s="1134"/>
      <c r="Q22" s="1133"/>
    </row>
    <row r="23" spans="2:17" ht="18.75" thickBot="1" x14ac:dyDescent="0.35">
      <c r="B23" s="693" t="s">
        <v>411</v>
      </c>
      <c r="C23" s="840" t="s">
        <v>473</v>
      </c>
      <c r="D23" s="695" t="str">
        <f>IF(OR($D$14="Unknown",D14="11.1"),"11.2",$D$14) &amp; ".2"</f>
        <v>11.2.2</v>
      </c>
      <c r="E23" s="841" t="str">
        <f>IF($D$14&lt;&gt;E$14,"N/A",IFERROR(A_Max+(B_Max/X.CO2F_Max),""))</f>
        <v>N/A</v>
      </c>
      <c r="F23" s="841" t="str">
        <f>IF($D$14&lt;&gt;F$14,"N/A",IFERROR(A_Reduced+(B_Reduced/X.CO2F_Reduced),""))</f>
        <v>N/A</v>
      </c>
      <c r="G23" s="699" t="s">
        <v>175</v>
      </c>
      <c r="H23" s="126"/>
      <c r="I23" s="126"/>
      <c r="L23" s="1134"/>
      <c r="Q23" s="1133"/>
    </row>
    <row r="24" spans="2:17" ht="17.25" thickBot="1" x14ac:dyDescent="0.35">
      <c r="B24" s="804"/>
      <c r="C24" s="784"/>
      <c r="D24" s="781"/>
      <c r="E24" s="499"/>
      <c r="F24" s="499"/>
      <c r="G24" s="805"/>
      <c r="H24" s="126"/>
      <c r="I24" s="126"/>
      <c r="L24" s="1134"/>
      <c r="Q24" s="1133"/>
    </row>
    <row r="25" spans="2:17" ht="17.25" x14ac:dyDescent="0.3">
      <c r="B25" s="820" t="s">
        <v>410</v>
      </c>
      <c r="C25" s="821"/>
      <c r="D25" s="821"/>
      <c r="E25" s="822"/>
      <c r="F25" s="822"/>
      <c r="G25" s="823"/>
      <c r="H25" s="126"/>
      <c r="I25" s="126"/>
      <c r="L25" s="1134"/>
      <c r="Q25" s="1133"/>
    </row>
    <row r="26" spans="2:17" ht="18" x14ac:dyDescent="0.3">
      <c r="B26" s="808" t="s">
        <v>520</v>
      </c>
      <c r="C26" s="795" t="s">
        <v>486</v>
      </c>
      <c r="D26" s="796" t="str">
        <f>IF(OR($D$14="Unknown",D14="11.1"),"11.2",$D$14) &amp; ".3"</f>
        <v>11.2.3</v>
      </c>
      <c r="E26" s="1191" t="str">
        <f>IF($D$14&lt;&gt;E$14,"N/A",
IF('Max Test'!X.CO2S_SS="",'Max Test'!X.CO2S_CDP,'Max Test'!X.CO2S_SS))</f>
        <v>N/A</v>
      </c>
      <c r="F26" s="505" t="str">
        <f>IF($D$14&lt;&gt;F$14,"N/A",'Reduced Test'!X.CO2S)</f>
        <v>N/A</v>
      </c>
      <c r="G26" s="807" t="s">
        <v>211</v>
      </c>
      <c r="H26" s="126"/>
      <c r="I26" s="126"/>
      <c r="L26" s="1134"/>
      <c r="Q26" s="1133"/>
    </row>
    <row r="27" spans="2:17" ht="18.75" thickBot="1" x14ac:dyDescent="0.35">
      <c r="B27" s="693" t="s">
        <v>410</v>
      </c>
      <c r="C27" s="694" t="s">
        <v>474</v>
      </c>
      <c r="D27" s="695" t="str">
        <f>IF(OR($D$14="Unknown",D14="11.1"),"11.2",$D$14) &amp; ".3"</f>
        <v>11.2.3</v>
      </c>
      <c r="E27" s="839" t="str">
        <f>IF($D$14&lt;&gt;E$14,"N/A",IFERROR(A_Max+(B_Max/X.CO2S_Max),""))</f>
        <v>N/A</v>
      </c>
      <c r="F27" s="839" t="str">
        <f>IF($D$14&lt;&gt;F$14,"N/A",IFERROR(A_Reduced+(B_Reduced/X.CO2S_Reduced),""))</f>
        <v>N/A</v>
      </c>
      <c r="G27" s="699" t="s">
        <v>175</v>
      </c>
      <c r="H27" s="126"/>
      <c r="I27" s="126"/>
      <c r="L27" s="1134"/>
      <c r="Q27" s="1133"/>
    </row>
    <row r="28" spans="2:17" ht="17.25" thickBot="1" x14ac:dyDescent="0.35">
      <c r="B28" s="804"/>
      <c r="C28" s="781"/>
      <c r="D28" s="781"/>
      <c r="E28" s="499"/>
      <c r="F28" s="499"/>
      <c r="G28" s="805"/>
      <c r="H28" s="126"/>
      <c r="I28" s="126"/>
      <c r="L28" s="1134"/>
      <c r="Q28" s="1133"/>
    </row>
    <row r="29" spans="2:17" ht="17.25" x14ac:dyDescent="0.3">
      <c r="B29" s="820" t="s">
        <v>850</v>
      </c>
      <c r="C29" s="821"/>
      <c r="D29" s="821"/>
      <c r="E29" s="822"/>
      <c r="F29" s="822"/>
      <c r="G29" s="823"/>
      <c r="H29" s="126"/>
      <c r="I29" s="126"/>
      <c r="L29" s="1134"/>
      <c r="Q29" s="1133"/>
    </row>
    <row r="30" spans="2:17" x14ac:dyDescent="0.3">
      <c r="B30" s="808" t="str">
        <f>IF(AND('General Info &amp; Test Results'!C53="Yes",
OR(NOT(ISERROR(FIND("Fuel Oil",'General Info &amp; Test Results'!C46))),
AND(NOT(ISERROR(FIND("Gas",'General Info &amp; Test Results'!C46))),'General Info &amp; Test Results'!C49="Power"))),
"Use test data to calculate S/F?","NOT REQUIRED FOR THIS TEST")</f>
        <v>NOT REQUIRED FOR THIS TEST</v>
      </c>
      <c r="C30" s="795" t="s">
        <v>175</v>
      </c>
      <c r="D30" s="796" t="str">
        <f>IF(OR($D$14="Unknown",D14="11.1"),"11.2",$D$14) &amp; ".4"</f>
        <v>11.2.4</v>
      </c>
      <c r="E30" s="489"/>
      <c r="F30" s="489"/>
      <c r="G30" s="807" t="s">
        <v>175</v>
      </c>
      <c r="H30" s="126"/>
      <c r="I30" s="126"/>
      <c r="L30" s="1134"/>
      <c r="Q30" s="1133"/>
    </row>
    <row r="31" spans="2:17" ht="17.25" thickBot="1" x14ac:dyDescent="0.35">
      <c r="B31" s="693" t="s">
        <v>412</v>
      </c>
      <c r="C31" s="694" t="s">
        <v>60</v>
      </c>
      <c r="D31" s="695" t="str">
        <f>IF(OR($D$14="Unknown",D14="11.1"),"11.2",$D$14) &amp; ".4"</f>
        <v>11.2.4</v>
      </c>
      <c r="E31" s="838" t="str">
        <f>IF($D$14&lt;&gt;E$14,"N/A",
IF(OR(Heating_Fuel_Used="",'Sys. # &amp; Product Characteristic'!C17="",'Sys. # &amp; Product Characteristic'!Burner_Type=""),"",
IF(AND(Heating_Fuel_Used&lt;&gt;"Electricity",'Sys. # &amp; Product Characteristic'!C16="Yes"),1,
IF(OR(NOT(ISERROR(FIND("Fuel Oil",'Sys. # &amp; Product Characteristic'!Heating_Fuel_Used))),AND(NOT(ISERROR(FIND("Gas",'Sys. # &amp; Product Characteristic'!Heating_Fuel_Used))),'Sys. # &amp; Product Characteristic'!Burner_Type="Power")),
IF(OR('Sys. # &amp; Product Characteristic'!Attached_Barometric_Damper="No",'Sys. # &amp; Product Characteristic'!Attached_Barometric_Damper=""),1.4,IF(OR(E30="No",E30=""),1.4,R.TS_Max/R.TF_Max)),
1.3*R.TS_Max/R.TF_Max))))</f>
        <v>N/A</v>
      </c>
      <c r="F31" s="838" t="str">
        <f>IF($D$14&lt;&gt;F$14,"N/A",
IF(OR(Heating_Fuel_Used="",'General Info &amp; Test Results'!$C$52="",'Sys. # &amp; Product Characteristic'!Burner_Type=""),"",
IF(AND(Heating_Fuel_Used&lt;&gt;"Electricity",'Sys. # &amp; Product Characteristic'!C16="Yes"),1,
IF(OR(NOT(ISERROR(FIND("Fuel Oil",'Sys. # &amp; Product Characteristic'!Heating_Fuel_Used))),AND(NOT(ISERROR(FIND("Gas",'Sys. # &amp; Product Characteristic'!Heating_Fuel_Used))),'Sys. # &amp; Product Characteristic'!Burner_Type="Power")),
IF(OR('Sys. # &amp; Product Characteristic'!Attached_Barometric_Damper="No",'Sys. # &amp; Product Characteristic'!Attached_Barometric_Damper=""),1.4,IF(OR(F30="No",F30=""),1.4,R.TS_Reduced/R.TF_Reduced)),
1.3*R.TS_Reduced/R.TF_Reduced))))</f>
        <v>N/A</v>
      </c>
      <c r="G31" s="699" t="s">
        <v>175</v>
      </c>
      <c r="H31" s="126"/>
      <c r="I31" s="126"/>
      <c r="L31" s="1134"/>
      <c r="Q31" s="1133"/>
    </row>
    <row r="32" spans="2:17" ht="17.25" thickBot="1" x14ac:dyDescent="0.35">
      <c r="B32" s="804"/>
      <c r="C32" s="781"/>
      <c r="D32" s="781"/>
      <c r="E32" s="520"/>
      <c r="F32" s="520"/>
      <c r="G32" s="805"/>
      <c r="H32" s="126"/>
      <c r="I32" s="126"/>
      <c r="L32" s="1134"/>
      <c r="Q32" s="1133"/>
    </row>
    <row r="33" spans="2:17" ht="17.25" x14ac:dyDescent="0.3">
      <c r="B33" s="820" t="s">
        <v>851</v>
      </c>
      <c r="C33" s="821"/>
      <c r="D33" s="821"/>
      <c r="E33" s="822"/>
      <c r="F33" s="822"/>
      <c r="G33" s="823"/>
      <c r="H33" s="126"/>
      <c r="I33" s="126"/>
      <c r="L33" s="1134"/>
      <c r="Q33" s="1133"/>
    </row>
    <row r="34" spans="2:17" ht="18" x14ac:dyDescent="0.3">
      <c r="B34" s="806" t="s">
        <v>424</v>
      </c>
      <c r="C34" s="798" t="s">
        <v>475</v>
      </c>
      <c r="D34" s="796" t="str">
        <f>IF(OR($D$14="Unknown",D14="11.1"),"11.2",$D$14) &amp; ".5"</f>
        <v>11.2.5</v>
      </c>
      <c r="E34" s="192" t="str">
        <f>IF($D$14&lt;&gt;E$14,"N/A",'Max Test'!T.RA_SS)</f>
        <v>N/A</v>
      </c>
      <c r="F34" s="192" t="str">
        <f>IF($D$14&lt;&gt;F$14,"N/A",'Reduced Test'!T.RA)</f>
        <v>N/A</v>
      </c>
      <c r="G34" s="807" t="s">
        <v>51</v>
      </c>
      <c r="H34" s="126"/>
      <c r="I34" s="126"/>
      <c r="L34" s="1134"/>
      <c r="Q34" s="1133"/>
    </row>
    <row r="35" spans="2:17" ht="18" x14ac:dyDescent="0.3">
      <c r="B35" s="692" t="s">
        <v>423</v>
      </c>
      <c r="C35" s="498" t="s">
        <v>476</v>
      </c>
      <c r="D35" s="628" t="str">
        <f>IF(OR($D$14="Unknown",D14="11.1"),"11.2",$D$14) &amp; ".5"</f>
        <v>11.2.5</v>
      </c>
      <c r="E35" s="505" t="str">
        <f>IF($D$14&lt;&gt;E$14,"N/A",'Max Test'!T.SSSX_SS)</f>
        <v>N/A</v>
      </c>
      <c r="F35" s="505" t="str">
        <f>IF($D$14&lt;&gt;F$14,"N/A",'Reduced Test'!T.SSSX)</f>
        <v>N/A</v>
      </c>
      <c r="G35" s="627" t="s">
        <v>51</v>
      </c>
      <c r="H35" s="126"/>
      <c r="I35" s="126"/>
      <c r="L35" s="1134"/>
      <c r="Q35" s="1133"/>
    </row>
    <row r="36" spans="2:17" ht="18" x14ac:dyDescent="0.3">
      <c r="B36" s="692" t="s">
        <v>413</v>
      </c>
      <c r="C36" s="498" t="s">
        <v>477</v>
      </c>
      <c r="D36" s="628" t="str">
        <f>IF(OR($D$14="Unknown",D14="11.1"),"11.2",$D$14) &amp; ".5"</f>
        <v>11.2.5</v>
      </c>
      <c r="E36" s="521" t="str">
        <f>IF($D$14&lt;&gt;E$14,"N/A",T.SSSX_Max-T.RA_Max)</f>
        <v>N/A</v>
      </c>
      <c r="F36" s="521" t="str">
        <f>IF($D$14&lt;&gt;F$14,"N/A",T.SSSX_Reduced-T.RA_Reduced)</f>
        <v>N/A</v>
      </c>
      <c r="G36" s="132" t="s">
        <v>51</v>
      </c>
      <c r="H36" s="126"/>
      <c r="I36" s="126"/>
      <c r="L36" s="1134"/>
      <c r="Q36" s="1133"/>
    </row>
    <row r="37" spans="2:17" ht="18" x14ac:dyDescent="0.3">
      <c r="B37" s="692" t="s">
        <v>425</v>
      </c>
      <c r="C37" s="498" t="s">
        <v>478</v>
      </c>
      <c r="D37" s="628" t="str">
        <f>IF(OR($D$14="Unknown",D14="11.1"),"11.2",$D$14) &amp; ".5"</f>
        <v>11.2.5</v>
      </c>
      <c r="E37" s="192" t="str">
        <f>IF($D$14&lt;&gt;E$14,"N/A",
IF('Max Test'!T.FSS_SS="", 'Max Test'!T.FSS_CDP,'Max Test'!T.FSS_SS))</f>
        <v>N/A</v>
      </c>
      <c r="F37" s="192" t="str">
        <f>IF($D$14&lt;&gt;F$14,"N/A",'Reduced Test'!TFSSH)</f>
        <v>N/A</v>
      </c>
      <c r="G37" s="132" t="s">
        <v>51</v>
      </c>
      <c r="H37" s="126"/>
      <c r="I37" s="126"/>
      <c r="L37" s="1134"/>
      <c r="Q37" s="1133"/>
    </row>
    <row r="38" spans="2:17" ht="18.75" thickBot="1" x14ac:dyDescent="0.35">
      <c r="B38" s="834" t="s">
        <v>414</v>
      </c>
      <c r="C38" s="835" t="s">
        <v>479</v>
      </c>
      <c r="D38" s="695" t="str">
        <f>IF(OR($D$14="Unknown",D14="11.1"),"11.2",$D$14) &amp; ".5"</f>
        <v>11.2.5</v>
      </c>
      <c r="E38" s="836" t="str">
        <f>IF($D$14&lt;&gt;E$14,"N/A",IF('Sys. # &amp; Product Characteristic'!C17="Integral Draft Diverter","",T.FSS_Max-T.RA_Max))</f>
        <v>N/A</v>
      </c>
      <c r="F38" s="836" t="str">
        <f>IF($D$14&lt;&gt;F$14,"N/A",IF('Sys. # &amp; Product Characteristic'!C17="Integral Draft Diverter","",T.FSS_Reduced-T.RA_Reduced))</f>
        <v>N/A</v>
      </c>
      <c r="G38" s="699" t="s">
        <v>51</v>
      </c>
      <c r="H38" s="126"/>
      <c r="I38" s="126"/>
      <c r="L38" s="1134"/>
      <c r="Q38" s="1133"/>
    </row>
    <row r="39" spans="2:17" ht="17.25" thickBot="1" x14ac:dyDescent="0.35">
      <c r="B39" s="804"/>
      <c r="C39" s="781"/>
      <c r="D39" s="781"/>
      <c r="E39" s="520"/>
      <c r="F39" s="520"/>
      <c r="G39" s="805"/>
      <c r="H39" s="126"/>
      <c r="I39" s="126"/>
      <c r="L39" s="1134"/>
      <c r="Q39" s="1133"/>
    </row>
    <row r="40" spans="2:17" ht="17.25" x14ac:dyDescent="0.3">
      <c r="B40" s="820" t="s">
        <v>415</v>
      </c>
      <c r="C40" s="821"/>
      <c r="D40" s="821"/>
      <c r="E40" s="822"/>
      <c r="F40" s="822"/>
      <c r="G40" s="823"/>
      <c r="H40" s="126"/>
      <c r="I40" s="126"/>
      <c r="L40" s="1134"/>
      <c r="Q40" s="1133"/>
    </row>
    <row r="41" spans="2:17" ht="18" x14ac:dyDescent="0.3">
      <c r="B41" s="806" t="s">
        <v>523</v>
      </c>
      <c r="C41" s="798" t="s">
        <v>487</v>
      </c>
      <c r="D41" s="796" t="str">
        <f>IF(OR($D$14="Unknown",D14="11.1"),"11.2",$D$14) &amp; ".9.1"</f>
        <v>11.2.9.1</v>
      </c>
      <c r="E41" s="120" t="str">
        <f>IF($D$14&lt;&gt;E$14,"N/A",'Drop-Downs and Tables'!$C$188)</f>
        <v>N/A</v>
      </c>
      <c r="F41" s="120" t="str">
        <f>IF($D$14&lt;&gt;F$14,"N/A",'Drop-Downs and Tables'!$C$188)</f>
        <v>N/A</v>
      </c>
      <c r="G41" s="807" t="s">
        <v>236</v>
      </c>
      <c r="H41" s="126"/>
      <c r="I41" s="126"/>
      <c r="L41" s="1134"/>
      <c r="Q41" s="1133"/>
    </row>
    <row r="42" spans="2:17" x14ac:dyDescent="0.3">
      <c r="B42" s="692" t="s">
        <v>521</v>
      </c>
      <c r="C42" s="498" t="s">
        <v>43</v>
      </c>
      <c r="D42" s="628" t="str">
        <f>IF(OR($D$14="Unknown",D14="11.1"),"11.2",$D$14) &amp; ".9.1"</f>
        <v>11.2.9.1</v>
      </c>
      <c r="E42" s="120" t="str">
        <f>IF($D$14&lt;&gt;E$14,"N/A",'Drop-Downs and Tables'!$D$188)</f>
        <v>N/A</v>
      </c>
      <c r="F42" s="120" t="str">
        <f>IF($D$14&lt;&gt;F$14,"N/A",'Drop-Downs and Tables'!$D$188)</f>
        <v>N/A</v>
      </c>
      <c r="G42" s="132" t="s">
        <v>175</v>
      </c>
      <c r="H42" s="126"/>
      <c r="I42" s="126"/>
      <c r="L42" s="1134"/>
      <c r="Q42" s="1133"/>
    </row>
    <row r="43" spans="2:17" ht="18.75" thickBot="1" x14ac:dyDescent="0.35">
      <c r="B43" s="693" t="s">
        <v>415</v>
      </c>
      <c r="C43" s="694" t="s">
        <v>480</v>
      </c>
      <c r="D43" s="695" t="str">
        <f>IF(OR($D$14="Unknown",D14="11.1"),"11.2",$D$14) &amp; ".6"</f>
        <v>11.2.6</v>
      </c>
      <c r="E43" s="1152" t="str" cm="1">
        <f t="array" ref="E43">IF($D$14&lt;&gt;E$14,"N/A",
100/HHV.A_Max*
(SUM(((1+AF_Max)*('Drop-Downs and Tables'!$H$188:$L$188)+AF_Max*(IF(AND(System_Number_Max=5,'Sys. # &amp; Product Characteristic'!C17="Draft Hood"),(R.TF_Max-1),(IF(R.TS_Max="",R.TF_Max,R.TS_Max)-1)*('Drop-Downs and Tables'!$H$187:$L$187))*((IF(T.SSSX_Max="",T.FSS_Max,T.SSSX_Max)+460)^('Drop-Downs and Tables'!$H$179:$L$179)-(E34+460)^('Drop-Downs and Tables'!$H$179:$L$179)))))))</f>
        <v>N/A</v>
      </c>
      <c r="F43" s="1152" t="str" cm="1">
        <f t="array" ref="F43">IF($D$14&lt;&gt;F$14,"N/A",
100/HHV.A_Reduced*
(SUM(((1+AF_Reduced)*('Drop-Downs and Tables'!$H$188:$L$188)+F42*(IF(AND(System_Number_Reduced=5,'Sys. # &amp; Product Characteristic'!C17="Draft Hood"),(R.TF_Reduced-1),(IF(R.TS_Reduced="",R.TF_Reduced,R.TS_Reduced)-1)*('Drop-Downs and Tables'!$H$187:$L$187))*((IF(F35="",T.FSS_Reduced,T.SSSX_Reduced)+460)^('Drop-Downs and Tables'!$H$179:$L$179)-('Non-Con, Mod Calculations'!T.RA_Reduced+460)^('Drop-Downs and Tables'!$H$179:$L$179)))))))</f>
        <v>N/A</v>
      </c>
      <c r="G43" s="699" t="s">
        <v>211</v>
      </c>
      <c r="H43" s="126"/>
      <c r="I43" s="126"/>
      <c r="L43" s="1134"/>
      <c r="Q43" s="1133"/>
    </row>
    <row r="44" spans="2:17" ht="17.25" thickBot="1" x14ac:dyDescent="0.35">
      <c r="B44" s="804"/>
      <c r="C44" s="781"/>
      <c r="D44" s="781"/>
      <c r="E44" s="787"/>
      <c r="F44" s="787"/>
      <c r="G44" s="805"/>
      <c r="H44" s="126"/>
      <c r="I44" s="126"/>
      <c r="L44" s="1134"/>
      <c r="Q44" s="1133"/>
    </row>
    <row r="45" spans="2:17" ht="17.25" x14ac:dyDescent="0.3">
      <c r="B45" s="820" t="s">
        <v>416</v>
      </c>
      <c r="C45" s="821"/>
      <c r="D45" s="821"/>
      <c r="E45" s="822"/>
      <c r="F45" s="822"/>
      <c r="G45" s="823"/>
      <c r="H45" s="126"/>
      <c r="I45" s="126"/>
      <c r="L45" s="1134"/>
      <c r="Q45" s="1133"/>
    </row>
    <row r="46" spans="2:17" ht="18" x14ac:dyDescent="0.3">
      <c r="B46" s="808" t="s">
        <v>522</v>
      </c>
      <c r="C46" s="795" t="s">
        <v>490</v>
      </c>
      <c r="D46" s="796" t="str">
        <f>IF(OR($D$14="Unknown",D14="11.1"),"11.2",$D$14) &amp; ".7"</f>
        <v>11.2.7</v>
      </c>
      <c r="E46" s="187" t="str">
        <f>IF($D$14&lt;&gt;E$14,"N/A",'Drop-Downs and Tables'!$E$188)</f>
        <v>N/A</v>
      </c>
      <c r="F46" s="187" t="str">
        <f>IF($D$14&lt;&gt;F$14,"N/A",'Drop-Downs and Tables'!$E$188)</f>
        <v>N/A</v>
      </c>
      <c r="G46" s="807" t="s">
        <v>211</v>
      </c>
      <c r="H46" s="126"/>
      <c r="I46" s="126"/>
      <c r="L46" s="1134"/>
      <c r="Q46" s="1133"/>
    </row>
    <row r="47" spans="2:17" ht="18.75" thickBot="1" x14ac:dyDescent="0.35">
      <c r="B47" s="693" t="s">
        <v>416</v>
      </c>
      <c r="C47" s="694" t="s">
        <v>481</v>
      </c>
      <c r="D47" s="695" t="str">
        <f>IF(OR($D$14="Unknown",D14="11.1"),"11.2",$D$14) &amp; ".7"</f>
        <v>11.2.7</v>
      </c>
      <c r="E47" s="829" t="str">
        <f>IF($D$14&lt;&gt;E$14,"N/A",IFERROR(100-L.LA_Max-L.SSS_Max,""))</f>
        <v>N/A</v>
      </c>
      <c r="F47" s="829" t="str">
        <f>IF($D$14&lt;&gt;F$14,"N/A",IFERROR(100-L.LA_Reduced-L.SSS_Reduced,""))</f>
        <v>N/A</v>
      </c>
      <c r="G47" s="699" t="s">
        <v>211</v>
      </c>
      <c r="H47" s="126"/>
      <c r="I47" s="126"/>
      <c r="L47" s="1134"/>
      <c r="Q47" s="1133"/>
    </row>
    <row r="48" spans="2:17" ht="17.25" thickBot="1" x14ac:dyDescent="0.35">
      <c r="B48" s="804"/>
      <c r="C48" s="781"/>
      <c r="D48" s="781"/>
      <c r="E48" s="789"/>
      <c r="F48" s="789"/>
      <c r="G48" s="805"/>
      <c r="H48" s="126"/>
      <c r="I48" s="126"/>
      <c r="L48" s="1134"/>
      <c r="Q48" s="1133"/>
    </row>
    <row r="49" spans="2:17" ht="17.25" x14ac:dyDescent="0.3">
      <c r="B49" s="820" t="s">
        <v>852</v>
      </c>
      <c r="C49" s="821"/>
      <c r="D49" s="821"/>
      <c r="E49" s="822"/>
      <c r="F49" s="822"/>
      <c r="G49" s="823"/>
      <c r="H49" s="126"/>
      <c r="I49" s="126"/>
      <c r="L49" s="1134"/>
      <c r="Q49" s="1133"/>
    </row>
    <row r="50" spans="2:17" ht="18" x14ac:dyDescent="0.3">
      <c r="B50" s="808" t="s">
        <v>417</v>
      </c>
      <c r="C50" s="795" t="s">
        <v>482</v>
      </c>
      <c r="D50" s="796" t="str">
        <f>IF(OR($D$14="Unknown",D14="11.1"),"11.2",$D$14) &amp; ".8.1"</f>
        <v>11.2.8.1</v>
      </c>
      <c r="E50" s="506" t="str">
        <f>IF($D$14&lt;&gt;E$14,"N/A",'General Info &amp; Test Results'!Nameplate_Maximum_Input)</f>
        <v>N/A</v>
      </c>
      <c r="F50" s="506" t="str">
        <f>IF($D$14&lt;&gt;F$14,"N/A",'General Info &amp; Test Results'!Nameplate_Reduced_Input)</f>
        <v>N/A</v>
      </c>
      <c r="G50" s="807" t="s">
        <v>37</v>
      </c>
      <c r="H50" s="126"/>
      <c r="I50" s="126"/>
      <c r="L50" s="1134"/>
      <c r="Q50" s="1133"/>
    </row>
    <row r="51" spans="2:17" ht="18" x14ac:dyDescent="0.3">
      <c r="B51" s="691" t="s">
        <v>409</v>
      </c>
      <c r="C51" s="134" t="s">
        <v>483</v>
      </c>
      <c r="D51" s="628" t="str">
        <f>IF(D14="11.1","11.1",
IF($D$14="Unknown","11.2",$D$14) &amp; ".8.1")</f>
        <v>11.2.8.1</v>
      </c>
      <c r="E51" s="486" t="str">
        <f>IF($D$14&lt;&gt;E$14,"N/A",IF('Test Conditions'!Jacket_Loss_Factor="","",'Test Conditions'!Jacket_Loss_Factor))</f>
        <v>N/A</v>
      </c>
      <c r="F51" s="486" t="str">
        <f>IF($D$14&lt;&gt;F$14,"N/A",IF('Test Conditions'!Jacket_Loss_Factor="","",'Test Conditions'!Jacket_Loss_Factor))</f>
        <v>N/A</v>
      </c>
      <c r="G51" s="132" t="s">
        <v>273</v>
      </c>
      <c r="H51" s="126"/>
      <c r="I51" s="126"/>
      <c r="L51" s="1134"/>
      <c r="Q51" s="1133"/>
    </row>
    <row r="52" spans="2:17" x14ac:dyDescent="0.3">
      <c r="B52" s="691" t="s">
        <v>419</v>
      </c>
      <c r="C52" s="134" t="s">
        <v>58</v>
      </c>
      <c r="D52" s="628" t="str">
        <f>IF(OR($D$14="Unknown",D14="11.1"),"11.2",$D$14) &amp; ".8.1"</f>
        <v>11.2.8.1</v>
      </c>
      <c r="E52" s="179" t="str">
        <f>IF($D$14&lt;&gt;E$14,"N/A",
IF(OR(Finned_Tube_Boiler="",'Sys. # &amp; Product Characteristic'!Installation=""),"",
IF('Sys. # &amp; Product Characteristic'!Installation="Indoor",0,
IF('Sys. # &amp; Product Characteristic'!Installation="Isolated Combustion System",1.7,
IF(Finned_Tube_Boiler="No",3.3,1)))))</f>
        <v>N/A</v>
      </c>
      <c r="F52" s="179" t="str">
        <f>IF($D$14&lt;&gt;F$14,"N/A",
IF(OR(Finned_Tube_Boiler="",'Sys. # &amp; Product Characteristic'!Installation=""),"",
IF('Sys. # &amp; Product Characteristic'!Installation="Indoor",0,
IF('Sys. # &amp; Product Characteristic'!Installation="Isolated Combustion System",1.7,
IF(Finned_Tube_Boiler="No",3.3,1)))))</f>
        <v>N/A</v>
      </c>
      <c r="G52" s="132" t="s">
        <v>175</v>
      </c>
      <c r="H52" s="126"/>
      <c r="I52" s="126"/>
      <c r="L52" s="1134"/>
      <c r="Q52" s="1133"/>
    </row>
    <row r="53" spans="2:17" ht="18" x14ac:dyDescent="0.3">
      <c r="B53" s="691" t="s">
        <v>1055</v>
      </c>
      <c r="C53" s="134" t="s">
        <v>484</v>
      </c>
      <c r="D53" s="628" t="str">
        <f>IF(OR($D$14="Unknown",D14="11.1"),"11.4",$D$14) &amp; ".8.1-11.4.8.1.2"</f>
        <v>11.4.8.1-11.4.8.1.2</v>
      </c>
      <c r="E53" s="500" t="str">
        <f>IF($D$14&lt;&gt;E$14,"N/A",'Cyclic Timing Calculations'!Q.Out_Max)</f>
        <v>N/A</v>
      </c>
      <c r="F53" s="500" t="str">
        <f>IF($D$14&lt;&gt;F$14,"N/A",'Cyclic Timing Calculations'!Q.OUTR)</f>
        <v>N/A</v>
      </c>
      <c r="G53" s="627" t="s">
        <v>37</v>
      </c>
      <c r="H53" s="126"/>
      <c r="I53" s="126"/>
      <c r="L53" s="1134"/>
      <c r="Q53" s="1133"/>
    </row>
    <row r="54" spans="2:17" x14ac:dyDescent="0.3">
      <c r="B54" s="691" t="s">
        <v>420</v>
      </c>
      <c r="C54" s="134" t="s">
        <v>38</v>
      </c>
      <c r="D54" s="628" t="str">
        <f>IF(OR($D$14="Unknown",D14="11.1"),"11.4",$D$14) &amp; ".8.2"</f>
        <v>11.4.8.2</v>
      </c>
      <c r="E54" s="510" t="str">
        <f>IF($D$14&lt;&gt;E$14,"N/A",0.7)</f>
        <v>N/A</v>
      </c>
      <c r="F54" s="495"/>
      <c r="G54" s="132" t="s">
        <v>175</v>
      </c>
      <c r="H54" s="126"/>
      <c r="I54" s="126"/>
      <c r="L54" s="1134"/>
      <c r="Q54" s="1133"/>
    </row>
    <row r="55" spans="2:17" ht="18" x14ac:dyDescent="0.3">
      <c r="B55" s="691" t="s">
        <v>1042</v>
      </c>
      <c r="C55" s="134" t="s">
        <v>586</v>
      </c>
      <c r="D55" s="628" t="str">
        <f>IF(OR($D$14="Unknown",D14="11.1"),"11.2",$D$14) &amp; ".8.3"</f>
        <v>11.2.8.3</v>
      </c>
      <c r="E55" s="121" t="str">
        <f>IF($D$14&lt;&gt;E$14,"N/A",
IF(T.C="","",IF(T.C&lt;5,0,'Cyclic Timing Calculations'!T.OAH
)))</f>
        <v>N/A</v>
      </c>
      <c r="F55" s="494" t="str">
        <f>IF($D$14&lt;&gt;E$14,"N/A",
IF(T.C="","",IF(T.C&lt;5,42,'Cyclic Timing Calculations'!T.OAR
)))</f>
        <v>N/A</v>
      </c>
      <c r="G55" s="132" t="s">
        <v>51</v>
      </c>
      <c r="H55" s="126"/>
      <c r="I55" s="126"/>
      <c r="L55" s="1134"/>
      <c r="Q55" s="1133"/>
    </row>
    <row r="56" spans="2:17" ht="18" x14ac:dyDescent="0.3">
      <c r="B56" s="691" t="s">
        <v>67</v>
      </c>
      <c r="C56" s="134" t="s">
        <v>587</v>
      </c>
      <c r="D56" s="628" t="str">
        <f>IF(OR($D$14="Unknown",D14="11.1"),"11.4",$D$14) &amp; ".8.4"</f>
        <v>11.4.8.4</v>
      </c>
      <c r="E56" s="509" t="str">
        <f>IF($D$14&lt;&gt;E$14,"N/A",'Cyclic Timing Calculations'!T.C_Max
)</f>
        <v>N/A</v>
      </c>
      <c r="F56" s="495"/>
      <c r="G56" s="132" t="s">
        <v>51</v>
      </c>
      <c r="H56" s="126"/>
      <c r="I56" s="126"/>
      <c r="L56" s="1134"/>
      <c r="Q56" s="1133"/>
    </row>
    <row r="57" spans="2:17" ht="18" x14ac:dyDescent="0.3">
      <c r="B57" s="691" t="s">
        <v>1295</v>
      </c>
      <c r="C57" s="134" t="s">
        <v>588</v>
      </c>
      <c r="D57" s="628" t="str">
        <f>IF(OR($D$14="Unknown",D14="11.1"),"11.4",$D$14) &amp; ".8.5"</f>
        <v>11.4.8.5</v>
      </c>
      <c r="E57" s="486" t="str">
        <f ca="1">IF($D$14&lt;&gt;E$14,"N/A",
IF(T.C&lt;5,0,
OFFSET('Drop-Downs and Tables'!$E$222,COUNTIF('Drop-Downs and Tables'!$B$223:$B$239,"&lt;=" &amp; T.C),0)))</f>
        <v>N/A</v>
      </c>
      <c r="F57" s="508"/>
      <c r="G57" s="132" t="s">
        <v>175</v>
      </c>
      <c r="H57" s="126"/>
      <c r="I57" s="126"/>
      <c r="L57" s="1134"/>
      <c r="Q57" s="1133"/>
    </row>
    <row r="58" spans="2:17" ht="18" x14ac:dyDescent="0.3">
      <c r="B58" s="691" t="s">
        <v>491</v>
      </c>
      <c r="C58" s="134" t="s">
        <v>589</v>
      </c>
      <c r="D58" s="628" t="str">
        <f>IF(OR($D$14="Unknown",D14="11.1"),"11.4",$D$14) &amp; ".8.6"</f>
        <v>11.4.8.6</v>
      </c>
      <c r="E58" s="1338"/>
      <c r="F58" s="486" t="str">
        <f>IF($D$14&lt;&gt;F$14,"N/A",IFERROR(1-X.H,""))</f>
        <v>N/A</v>
      </c>
      <c r="G58" s="132" t="s">
        <v>175</v>
      </c>
      <c r="H58" s="126"/>
      <c r="I58" s="126"/>
      <c r="L58" s="1134"/>
      <c r="Q58" s="1133"/>
    </row>
    <row r="59" spans="2:17" ht="33" x14ac:dyDescent="0.3">
      <c r="B59" s="691" t="s">
        <v>68</v>
      </c>
      <c r="C59" s="134" t="s">
        <v>590</v>
      </c>
      <c r="D59" s="628" t="str">
        <f>IF(OR($D$14="Unknown",D14="11.1"),"11.4",$D$14) &amp; ".8.7"</f>
        <v>11.4.8.7</v>
      </c>
      <c r="E59" s="523" t="str" cm="1">
        <f t="array" ref="E59">IF($D$14&lt;&gt;E$14,"N/A",
IF(T.C&lt;=5,Effy.SS_Reduced,IF('Sys. # &amp; Product Characteristic'!Control_Type&lt;&gt;"Step Modulating","",
(((Q.Out_Max/(1+alpha))-Q.OUT_Reduced)/(Q.Out_Max-Q.OUT_Reduced))*((T.C-T.OAH_Avg_Air_Temp)/(T.C-5))*(Effy.SS_Max-Effy.SS_Reduced)+Effy.SS_Reduced)))</f>
        <v>N/A</v>
      </c>
      <c r="F59" s="508"/>
      <c r="G59" s="132" t="s">
        <v>211</v>
      </c>
      <c r="H59" s="126"/>
      <c r="I59" s="126"/>
      <c r="L59" s="1134"/>
      <c r="Q59" s="1133"/>
    </row>
    <row r="60" spans="2:17" ht="18" x14ac:dyDescent="0.3">
      <c r="B60" s="691" t="s">
        <v>69</v>
      </c>
      <c r="C60" s="134" t="s">
        <v>591</v>
      </c>
      <c r="D60" s="628" t="str">
        <f>IF(OR($D$14="Unknown",D14="11.1"),"11.4",$D$14) &amp; ".8.8"</f>
        <v>11.4.8.8</v>
      </c>
      <c r="E60" s="523" t="str">
        <f>IF($D$14&lt;&gt;E$14,"N/A",
IFERROR(IF('Sys. # &amp; Product Characteristic'!Control_Type="Two-Stage Modulating",X.H*Effy.SS_Max+X.R*Effy.SS_Reduced,
IF('Sys. # &amp; Product Characteristic'!Control_Type="Step Modulating",X.H*Effy.SSM+X.R*Effy.SS_Reduced,
"")),""))</f>
        <v>N/A</v>
      </c>
      <c r="F60" s="508"/>
      <c r="G60" s="132" t="s">
        <v>211</v>
      </c>
      <c r="H60" s="126"/>
      <c r="I60" s="126"/>
      <c r="L60" s="1134"/>
      <c r="Q60" s="1133"/>
    </row>
    <row r="61" spans="2:17" ht="33.75" thickBot="1" x14ac:dyDescent="0.35">
      <c r="B61" s="693" t="s">
        <v>70</v>
      </c>
      <c r="C61" s="694" t="s">
        <v>592</v>
      </c>
      <c r="D61" s="695" t="str">
        <f>IF(OR($D$14="Unknown",D14="11.1"),"11.4",$D$14) &amp; ".8.9"</f>
        <v>11.4.8.9</v>
      </c>
      <c r="E61" s="824" t="str">
        <f>IF($D$14&lt;&gt;E$14,"N/A",
IF(OR('Sys. # &amp; Product Characteristic'!Control_Type="Two-Stage Modulating",'Sys. # &amp; Product Characteristic'!Control_Type="Step Modulating"),IF(T.C&lt;=5,Q.OUT_Reduced,
((Q.Out_Max/(1+alpha)-Q.OUT_Reduced)*(T.C-T.OA_Max)/(T.C-5)+Q.OUT_Reduced)),""))</f>
        <v>N/A</v>
      </c>
      <c r="F61" s="825"/>
      <c r="G61" s="699" t="s">
        <v>37</v>
      </c>
      <c r="H61" s="126"/>
      <c r="I61" s="126"/>
      <c r="L61" s="1134"/>
      <c r="Q61" s="1133"/>
    </row>
    <row r="62" spans="2:17" ht="17.25" thickBot="1" x14ac:dyDescent="0.35">
      <c r="B62" s="804"/>
      <c r="C62" s="781"/>
      <c r="D62" s="781"/>
      <c r="E62" s="508"/>
      <c r="F62" s="508"/>
      <c r="G62" s="805"/>
      <c r="H62" s="126"/>
      <c r="I62" s="126"/>
      <c r="L62" s="1134"/>
      <c r="Q62" s="1133"/>
    </row>
    <row r="63" spans="2:17" ht="17.25" x14ac:dyDescent="0.3">
      <c r="B63" s="820" t="s">
        <v>1050</v>
      </c>
      <c r="C63" s="821"/>
      <c r="D63" s="821"/>
      <c r="E63" s="822"/>
      <c r="F63" s="822"/>
      <c r="G63" s="823"/>
      <c r="H63" s="126"/>
      <c r="I63" s="126"/>
      <c r="L63" s="1134"/>
      <c r="Q63" s="1133"/>
    </row>
    <row r="64" spans="2:17" ht="18" x14ac:dyDescent="0.3">
      <c r="B64" s="808" t="s">
        <v>214</v>
      </c>
      <c r="C64" s="795" t="s">
        <v>593</v>
      </c>
      <c r="D64" s="796" t="str">
        <f>IF(OR($D$14="Unknown",D14="11.1"),"11.2",$D$14) &amp; ".9.1"</f>
        <v>11.2.9.1</v>
      </c>
      <c r="E64" s="491" t="str">
        <f>IF($D$14&lt;&gt;E$14,"N/A",0.24)</f>
        <v>N/A</v>
      </c>
      <c r="F64" s="491" t="str">
        <f>IF($D$14&lt;&gt;F$14,"N/A",0.24)</f>
        <v>N/A</v>
      </c>
      <c r="G64" s="807" t="s">
        <v>508</v>
      </c>
      <c r="H64" s="126"/>
      <c r="I64" s="126"/>
      <c r="L64" s="1134"/>
      <c r="Q64" s="1133"/>
    </row>
    <row r="65" spans="2:17" ht="18" x14ac:dyDescent="0.3">
      <c r="B65" s="691" t="s">
        <v>421</v>
      </c>
      <c r="C65" s="134" t="s">
        <v>594</v>
      </c>
      <c r="D65" s="628" t="str">
        <f>IF(OR($D$14="Unknown",D14="11.1"),"11.2",$D$14) &amp; ".9.1"</f>
        <v>11.2.9.1</v>
      </c>
      <c r="E65" s="703" t="str">
        <f>IF($D$14&lt;&gt;E$14,"N/A",
IFERROR(100*C.P_Max*(1+R.TF_Max*AF_Max)/HHV.A_Max,""))</f>
        <v>N/A</v>
      </c>
      <c r="F65" s="703" t="str">
        <f>IF($D$14&lt;&gt;F$14,"N/A",
IFERROR(100*C.P_Reduced*(1+R.TF_Reduced*AF_Reduced)/HHV.A_Reduced,""))</f>
        <v>N/A</v>
      </c>
      <c r="G65" s="132" t="s">
        <v>175</v>
      </c>
      <c r="H65" s="126"/>
      <c r="I65" s="126"/>
      <c r="L65" s="1134"/>
      <c r="Q65" s="1133"/>
    </row>
    <row r="66" spans="2:17" x14ac:dyDescent="0.3">
      <c r="B66" s="691" t="s">
        <v>221</v>
      </c>
      <c r="C66" s="134" t="s">
        <v>222</v>
      </c>
      <c r="D66" s="628" t="str">
        <f>IF(OR($D$14="Unknown",D14="11.1"),"11.2",$D$14) &amp; ".9.2"</f>
        <v>11.2.9.2</v>
      </c>
      <c r="E66" s="492" t="str">
        <f>IF($D$14&lt;&gt;E$14,"N/A",0.7)</f>
        <v>N/A</v>
      </c>
      <c r="F66" s="492" t="str">
        <f>IF($D$14&lt;&gt;F$14,"N/A",0.7)</f>
        <v>N/A</v>
      </c>
      <c r="G66" s="132" t="s">
        <v>175</v>
      </c>
      <c r="H66" s="126"/>
      <c r="I66" s="126"/>
      <c r="L66" s="1134"/>
      <c r="Q66" s="1133"/>
    </row>
    <row r="67" spans="2:17" ht="18" x14ac:dyDescent="0.3">
      <c r="B67" s="691" t="s">
        <v>422</v>
      </c>
      <c r="C67" s="134" t="s">
        <v>595</v>
      </c>
      <c r="D67" s="628" t="str">
        <f>IF(OR($D$14="Unknown",D14="11.1"),"11.2",$D$14) &amp; ".9.2"</f>
        <v>11.2.9.2</v>
      </c>
      <c r="E67" s="501" t="str">
        <f>IF($D$14&lt;&gt;E$14,"N/A",
IF(System_Number_Max&gt;=9,0,
IF(OR(SF_Max="",K.SON_Max=""),"",Phi_Max*SF_Max*K.SON_Max)))</f>
        <v>N/A</v>
      </c>
      <c r="F67" s="501" t="str">
        <f>IF($D$14&lt;&gt;F$14,"N/A",
IF(System_Number_Reduced&gt;=9,0,
IF(OR(SF_Reduced="",K.SON_Reduced=""),"",Phi_Reduced*SF_Reduced*K.SON_Reduced)))</f>
        <v>N/A</v>
      </c>
      <c r="G67" s="132" t="s">
        <v>175</v>
      </c>
      <c r="H67" s="126"/>
      <c r="I67" s="126"/>
      <c r="L67" s="1134"/>
      <c r="Q67" s="1133"/>
    </row>
    <row r="68" spans="2:17" ht="33" x14ac:dyDescent="0.3">
      <c r="B68" s="691" t="s">
        <v>84</v>
      </c>
      <c r="C68" s="134" t="s">
        <v>596</v>
      </c>
      <c r="D68" s="679" t="str">
        <f>IF($D$14="11.4","11.4.9.2.2",
IF($D$14="11.5","11.5.9.2.2",
"11.(4 or 5).9.2.2"))</f>
        <v>11.(4 or 5).9.2.2</v>
      </c>
      <c r="E68" s="511" t="str">
        <f>IF($D$14&lt;&gt;E$14,"N/A",
IF('Sys. # &amp; Product Characteristic'!Control_Type="Step Modulating",IFERROR((K.ION_Reduced*(70-T.OA_Reduced)+K.ION_Max*(70-T.OA_Max))/2,""),""))</f>
        <v>N/A</v>
      </c>
      <c r="F68" s="508"/>
      <c r="G68" s="132" t="s">
        <v>211</v>
      </c>
      <c r="H68" s="126"/>
      <c r="I68" s="126"/>
      <c r="L68" s="1134"/>
      <c r="Q68" s="1133"/>
    </row>
    <row r="69" spans="2:17" ht="33" x14ac:dyDescent="0.3">
      <c r="B69" s="691" t="s">
        <v>72</v>
      </c>
      <c r="C69" s="134" t="s">
        <v>597</v>
      </c>
      <c r="D69" s="679" t="str">
        <f>IF($D$14="11.4","11.4.9.2.3",
IF($D$14="11.5","11.5.9.2.3",
"11.(4 or 5).9.2.3"))</f>
        <v>11.(4 or 5).9.2.3</v>
      </c>
      <c r="E69" s="522" t="str">
        <f>IF($D$14&lt;&gt;E$14,"N/A",
IF('Sys. # &amp; Product Characteristic'!Control_Type="Step Modulating",IFERROR(IF('Sys. # &amp; Product Characteristic'!Installation="Indoor",Effy.SSM-L.IONM,Effy.SSM-C.J_Max*L.J_Max),""),""))</f>
        <v>N/A</v>
      </c>
      <c r="F69" s="508"/>
      <c r="G69" s="132" t="s">
        <v>211</v>
      </c>
      <c r="H69" s="126"/>
      <c r="I69" s="126"/>
      <c r="L69" s="1134"/>
      <c r="Q69" s="1133"/>
    </row>
    <row r="70" spans="2:17" ht="18" x14ac:dyDescent="0.3">
      <c r="B70" s="691" t="s">
        <v>426</v>
      </c>
      <c r="C70" s="134" t="s">
        <v>598</v>
      </c>
      <c r="D70" s="628" t="str">
        <f>IF(OR($D$14="Unknown",D14="11.1"),"11.2",$D$14) &amp; ".9.3"</f>
        <v>11.2.9.3</v>
      </c>
      <c r="E70" s="1173" t="str">
        <f>IF($D$14&lt;&gt;E$14,"N/A",
IF('Sys. # &amp; Product Characteristic'!C17="Integral Draft Diverter",T.SSSX_Max,
IFERROR((T.FSS_Max-T.RA_Max)/SF_Max+T.RA_Max,"")))</f>
        <v>N/A</v>
      </c>
      <c r="F70" s="1173" t="str">
        <f>IF($D$14&lt;&gt;F$14,"N/A",
IF('Sys. # &amp; Product Characteristic'!C17="Integral Draft Diverter",T.SSSX_Reduced,
IFERROR((T.FSS_Reduced-'Non-Con, Mod Calculations'!T.RA_Reduced)/SF_Reduced+'Non-Con, Mod Calculations'!T.RA_Reduced,"")))</f>
        <v>N/A</v>
      </c>
      <c r="G70" s="132" t="s">
        <v>51</v>
      </c>
      <c r="H70" s="126"/>
      <c r="I70" s="126"/>
      <c r="L70" s="1134"/>
      <c r="Q70" s="1133"/>
    </row>
    <row r="71" spans="2:17" ht="18" x14ac:dyDescent="0.3">
      <c r="B71" s="691"/>
      <c r="C71" s="134" t="s">
        <v>599</v>
      </c>
      <c r="D71" s="628" t="str">
        <f>IF(OR($D$14="Unknown",D14="11.1"),"11.2",$D$14) &amp; ".9.4"</f>
        <v>11.2.9.4</v>
      </c>
      <c r="E71" s="491" t="str">
        <f>IF($D$14&lt;&gt;E$14,"N/A",1)</f>
        <v>N/A</v>
      </c>
      <c r="F71" s="491" t="str">
        <f>IF($D$14&lt;&gt;F$14,"N/A",1)</f>
        <v>N/A</v>
      </c>
      <c r="G71" s="132" t="s">
        <v>36</v>
      </c>
      <c r="H71" s="126"/>
      <c r="I71" s="126"/>
      <c r="L71" s="1134"/>
      <c r="Q71" s="1133"/>
    </row>
    <row r="72" spans="2:17" ht="18" x14ac:dyDescent="0.3">
      <c r="B72" s="691"/>
      <c r="C72" s="134" t="s">
        <v>600</v>
      </c>
      <c r="D72" s="628" t="str">
        <f>IF(OR($D$14="Unknown",D14="11.1"),"11.2",$D$14) &amp; ".9.4"</f>
        <v>11.2.9.4</v>
      </c>
      <c r="E72" s="491" t="str">
        <f>IF($D$14&lt;&gt;E$14,"N/A",5.5)</f>
        <v>N/A</v>
      </c>
      <c r="F72" s="491" t="str">
        <f>IF($D$14&lt;&gt;F$14,"N/A",5.5)</f>
        <v>N/A</v>
      </c>
      <c r="G72" s="132" t="s">
        <v>36</v>
      </c>
      <c r="H72" s="126"/>
      <c r="I72" s="126"/>
      <c r="L72" s="1134"/>
      <c r="Q72" s="1133"/>
    </row>
    <row r="73" spans="2:17" ht="18" x14ac:dyDescent="0.3">
      <c r="B73" s="691" t="s">
        <v>427</v>
      </c>
      <c r="C73" s="134" t="s">
        <v>601</v>
      </c>
      <c r="D73" s="628" t="str">
        <f>IF(OR($D$14="Unknown",D14="11.1"),"11.2",$D$14) &amp; ".9.4"</f>
        <v>11.2.9.4</v>
      </c>
      <c r="E73" s="491" t="str">
        <f>IF($D$14&lt;&gt;E$14,"N/A",
IF('Max Test'!T.FON.t1&gt;=T.FSS_Max,T.FSS_Max-0.2,
IF('Max Test'!T.FON.t1&gt;='Max Test'!T.FON.t2,T.FON.t2_Max-0.1,
'Max Test'!T.FON.t1)))</f>
        <v>N/A</v>
      </c>
      <c r="F73" s="491" t="str">
        <f>IF($D$14&lt;&gt;F$14,"N/A",
IF('Reduced Test'!T.FON.t1&gt;=T.FSS_Reduced,T.FSS_Reduced-0.2,
IF('Reduced Test'!T.FON.t1&gt;='Reduced Test'!T.FON.t2,T.FON.t2_Reduced-0.1,
'Reduced Test'!T.FON.t1)))</f>
        <v>N/A</v>
      </c>
      <c r="G73" s="132" t="s">
        <v>51</v>
      </c>
      <c r="H73" s="126"/>
      <c r="I73" s="126"/>
      <c r="L73" s="1134"/>
      <c r="Q73" s="1133"/>
    </row>
    <row r="74" spans="2:17" ht="18" x14ac:dyDescent="0.3">
      <c r="B74" s="691" t="s">
        <v>428</v>
      </c>
      <c r="C74" s="134" t="s">
        <v>602</v>
      </c>
      <c r="D74" s="628" t="str">
        <f>IF(OR($D$14="Unknown",D14="11.1"),"11.2",$D$14) &amp; ".9.4"</f>
        <v>11.2.9.4</v>
      </c>
      <c r="E74" s="491" t="str">
        <f>IF($D$14&lt;&gt;E$14,"N/A",
IF('Max Test'!T.FON.t2&gt;=T.FSS_Max,T.FSS_Max-0.1,
'Max Test'!T.FON.t2))</f>
        <v>N/A</v>
      </c>
      <c r="F74" s="491" t="str">
        <f>IF($D$14&lt;&gt;F$14,"N/A",
IF('Reduced Test'!T.FON.t2&gt;=T.FSS_Reduced,T.FSS_Reduced-0.1,
'Reduced Test'!T.FON.t2))</f>
        <v>N/A</v>
      </c>
      <c r="G74" s="132" t="s">
        <v>51</v>
      </c>
      <c r="H74" s="126"/>
      <c r="I74" s="126"/>
      <c r="L74" s="1134"/>
      <c r="Q74" s="1133"/>
    </row>
    <row r="75" spans="2:17" ht="18" x14ac:dyDescent="0.3">
      <c r="B75" s="691" t="s">
        <v>429</v>
      </c>
      <c r="C75" s="134" t="s">
        <v>603</v>
      </c>
      <c r="D75" s="628" t="str">
        <f>IF(OR($D$14="Unknown",D14="11.1"),"11.2",$D$14) &amp; ".9.4"</f>
        <v>11.2.9.4</v>
      </c>
      <c r="E75" s="491" t="str">
        <f>IF($D$14&lt;&gt;E$14,"N/A",(t2_Max-t1_Max)/LN((T.FSS_Max-T.FON.t1)/(T.FSS_Max-T.FON.t2_Max)))</f>
        <v>N/A</v>
      </c>
      <c r="F75" s="491" t="str">
        <f>IF($D$14&lt;&gt;F$14,"N/A",(t2_Reduced-'Non-Con, Mod Calculations'!t1_Reduced)/LN((T.FSS_Reduced-T.FON.t1_Reduced)/(T.FSS_Reduced-T.FON.t2_Reduced)))</f>
        <v>N/A</v>
      </c>
      <c r="G75" s="132" t="s">
        <v>36</v>
      </c>
      <c r="H75" s="126"/>
      <c r="I75" s="126"/>
      <c r="L75" s="1134"/>
      <c r="Q75" s="1133"/>
    </row>
    <row r="76" spans="2:17" ht="18" x14ac:dyDescent="0.3">
      <c r="B76" s="691" t="s">
        <v>430</v>
      </c>
      <c r="C76" s="134" t="s">
        <v>604</v>
      </c>
      <c r="D76" s="628" t="str">
        <f>IF(OR($D$14="Unknown",D14="11.1"),"11.2",$D$14) &amp; ".9.5"</f>
        <v>11.2.9.5</v>
      </c>
      <c r="E76" s="491" t="str">
        <f>IF($D$14&lt;&gt;E$14,"N/A",(T.FSS_Max-T.FON.t1)*EXP(t1_Max/Tau.ON_Max))</f>
        <v>N/A</v>
      </c>
      <c r="F76" s="491" t="str">
        <f>IF($D$14&lt;&gt;F$14,"N/A",(T.FSS_Reduced-T.FON.t1_Reduced)*EXP(t1_Reduced/Tau.ON_Reduced))</f>
        <v>N/A</v>
      </c>
      <c r="G76" s="132" t="s">
        <v>36</v>
      </c>
      <c r="H76" s="126"/>
      <c r="I76" s="126"/>
      <c r="L76" s="1134"/>
      <c r="Q76" s="1133"/>
    </row>
    <row r="77" spans="2:17" ht="18" x14ac:dyDescent="0.3">
      <c r="B77" s="691"/>
      <c r="C77" s="134" t="s">
        <v>605</v>
      </c>
      <c r="D77" s="628" t="str">
        <f>IF(OR($D$14="Unknown",D14="11.1"),"11.2",$D$14) &amp; ".9.6"</f>
        <v>11.2.9.6</v>
      </c>
      <c r="E77" s="512" t="str">
        <f>IF($D$14&lt;&gt;E$14,"N/A",IF('Max Test'!$C$191="Yes",tp_Max+3.75,3.75))</f>
        <v>N/A</v>
      </c>
      <c r="F77" s="512" t="str">
        <f>IF($D$14&lt;&gt;F$14,"N/A",IF('Reduced Test'!Post_Purge?="Yes",tp_Reduced+3.75,3.75))</f>
        <v>N/A</v>
      </c>
      <c r="G77" s="132" t="s">
        <v>36</v>
      </c>
      <c r="H77" s="126"/>
      <c r="I77" s="126"/>
      <c r="L77" s="1134"/>
      <c r="Q77" s="1133"/>
    </row>
    <row r="78" spans="2:17" ht="18" x14ac:dyDescent="0.3">
      <c r="B78" s="691"/>
      <c r="C78" s="134" t="s">
        <v>606</v>
      </c>
      <c r="D78" s="628" t="str">
        <f>IF(OR($D$14="Unknown",D14="11.1"),"11.2",$D$14) &amp; ".9.6"</f>
        <v>11.2.9.6</v>
      </c>
      <c r="E78" s="512" t="str">
        <f>IF($D$14&lt;&gt;E$14,"N/A",IF('Max Test'!$C$191="Yes",tp_Max+22.5,22.5))</f>
        <v>N/A</v>
      </c>
      <c r="F78" s="512" t="str">
        <f>IF($D$14&lt;&gt;F$14,"N/A",IF('Max Test'!Does_the_boiler_employ_a_post_purge?="Yes",tp_Reduced+22.5,22.5))</f>
        <v>N/A</v>
      </c>
      <c r="G78" s="132" t="s">
        <v>36</v>
      </c>
      <c r="H78" s="126"/>
      <c r="I78" s="126"/>
      <c r="L78" s="1134"/>
      <c r="Q78" s="1133"/>
    </row>
    <row r="79" spans="2:17" ht="18" x14ac:dyDescent="0.3">
      <c r="B79" s="691"/>
      <c r="C79" s="134" t="s">
        <v>607</v>
      </c>
      <c r="D79" s="628" t="str">
        <f>IF(OR($D$14="Unknown",D14="11.1"),"11.2",$D$14) &amp; ".9.6"</f>
        <v>11.2.9.6</v>
      </c>
      <c r="E79" s="512" t="str">
        <f>IF($D$14&lt;&gt;E$14,"N/A",45)</f>
        <v>N/A</v>
      </c>
      <c r="F79" s="512" t="str">
        <f>IF($D$14&lt;&gt;F$14,"N/A",45)</f>
        <v>N/A</v>
      </c>
      <c r="G79" s="132" t="s">
        <v>36</v>
      </c>
      <c r="H79" s="126"/>
      <c r="I79" s="126"/>
      <c r="L79" s="1134"/>
      <c r="Q79" s="1133"/>
    </row>
    <row r="80" spans="2:17" ht="18" x14ac:dyDescent="0.3">
      <c r="B80" s="691" t="s">
        <v>431</v>
      </c>
      <c r="C80" s="134" t="s">
        <v>608</v>
      </c>
      <c r="D80" s="628" t="str">
        <f>IF(OR($D$14="Unknown",D14="11.1"),"11.2",$D$14) &amp; ".9.6"</f>
        <v>11.2.9.6</v>
      </c>
      <c r="E80" s="493" t="str">
        <f>IF($D$14&lt;&gt;E$14,"N/A",'Max Test'!tp/60)</f>
        <v>N/A</v>
      </c>
      <c r="F80" s="493" t="str">
        <f>IF($D$14&lt;&gt;F$14,"N/A",'Max Test'!tp/60)</f>
        <v>N/A</v>
      </c>
      <c r="G80" s="132" t="s">
        <v>36</v>
      </c>
      <c r="H80" s="126"/>
      <c r="I80" s="126"/>
      <c r="L80" s="1134"/>
      <c r="Q80" s="1133"/>
    </row>
    <row r="81" spans="2:17" ht="18" x14ac:dyDescent="0.3">
      <c r="B81" s="691" t="s">
        <v>432</v>
      </c>
      <c r="C81" s="134" t="s">
        <v>609</v>
      </c>
      <c r="D81" s="628" t="str">
        <f>IF(OR($D$14="Unknown",D14="11.1"),"11.2",$D$14) &amp; ".9.6"</f>
        <v>11.2.9.6</v>
      </c>
      <c r="E81" s="491" t="str">
        <f>IF($D$14&lt;&gt;E$14,"N/A",
IF('Max Test'!T.FOFF.t3&lt;='Max Test'!T.FOFF.t5,'Max Test'!T.FOFF.t5+0.2,
IF('Max Test'!T.FOFF.t3&lt;='Max Test'!T.FOFF.t4,'Max Test'!T.FOFF.t4+0.1,
'Max Test'!T.FOFF.t3)))</f>
        <v>N/A</v>
      </c>
      <c r="F81" s="491" t="str">
        <f>IF($D$14&lt;&gt;F$14,"N/A",
IF('Reduced Test'!T.FOFF.t3&lt;='Reduced Test'!T.FOFF.t5,'Reduced Test'!T.FOFF.t5+0.2,
IF('Reduced Test'!T.FOFF.t3&lt;='Reduced Test'!T.FOFF.t4,'Reduced Test'!T.FOFF.t4+0.1,
'Reduced Test'!T.FOFF.t3)))</f>
        <v>N/A</v>
      </c>
      <c r="G81" s="132" t="s">
        <v>51</v>
      </c>
      <c r="H81" s="126"/>
      <c r="I81" s="126"/>
      <c r="L81" s="1134"/>
      <c r="Q81" s="1133"/>
    </row>
    <row r="82" spans="2:17" ht="18" x14ac:dyDescent="0.3">
      <c r="B82" s="691" t="s">
        <v>433</v>
      </c>
      <c r="C82" s="134" t="s">
        <v>610</v>
      </c>
      <c r="D82" s="628" t="str">
        <f>IF(OR($D$14="Unknown",D14="11.1"),"11.2",$D$14) &amp; ".9.6"</f>
        <v>11.2.9.6</v>
      </c>
      <c r="E82" s="491" t="str">
        <f>IF($D$14&lt;&gt;E$14,"N/A",
IF('Max Test'!T.FOFF.t4&lt;='Max Test'!T.FOFF.t5,'Max Test'!T.FOFF.t5+0.1,
'Max Test'!T.FOFF.t4))</f>
        <v>N/A</v>
      </c>
      <c r="F82" s="491" t="str" cm="1">
        <f t="array" ref="F82">IF($D$14&lt;&gt;F$14,"N/A",
IF('Max Test'!T.FOFF.t4&lt;='Reduced Test'!T.FOFF.t5,'Reduced Test'!T.FOFF.t5+0.1,
'Reduced Test'!T.FOFF(T4)))</f>
        <v>N/A</v>
      </c>
      <c r="G82" s="132" t="s">
        <v>51</v>
      </c>
      <c r="H82" s="126"/>
      <c r="I82" s="126"/>
      <c r="L82" s="1134"/>
      <c r="Q82" s="1133"/>
    </row>
    <row r="83" spans="2:17" ht="18" x14ac:dyDescent="0.3">
      <c r="B83" s="691" t="s">
        <v>434</v>
      </c>
      <c r="C83" s="134" t="s">
        <v>611</v>
      </c>
      <c r="D83" s="628" t="str">
        <f>IF(OR($D$14="Unknown",D14="11.1"),"11.2",$D$14) &amp; ".9.6"</f>
        <v>11.2.9.6</v>
      </c>
      <c r="E83" s="491" t="str">
        <f>IF($D$14&lt;&gt;E$14,"N/A",'Max Test'!T.FOFF.t5)</f>
        <v>N/A</v>
      </c>
      <c r="F83" s="491" t="str">
        <f>IF($D$14&lt;&gt;F$14,"N/A",'Reduced Test'!T.FOFF.t5)</f>
        <v>N/A</v>
      </c>
      <c r="G83" s="132" t="s">
        <v>51</v>
      </c>
      <c r="H83" s="126"/>
      <c r="I83" s="126"/>
      <c r="L83" s="1134"/>
      <c r="Q83" s="1133"/>
    </row>
    <row r="84" spans="2:17" ht="18" x14ac:dyDescent="0.3">
      <c r="B84" s="691" t="s">
        <v>435</v>
      </c>
      <c r="C84" s="134" t="s">
        <v>612</v>
      </c>
      <c r="D84" s="628" t="str">
        <f>IF(OR($D$14="Unknown",D14="11.1"),"11.2",$D$14) &amp; ".9.6"</f>
        <v>11.2.9.6</v>
      </c>
      <c r="E84" s="490" t="str">
        <f>IF($D$14&lt;&gt;E$14,"N/A",(t4_Max-t3_Max)/LN((T.FOFF.t3_Max-T.FOFF.t5_Max)/(T.FOFF.t4_Max-T.FOFF.t5_Max)))</f>
        <v>N/A</v>
      </c>
      <c r="F84" s="490" t="str">
        <f>IF($D$14&lt;&gt;F$14,"N/A",(t4_Reduced-t3_Reduced)/LN((T.FOFF.t3_Reduced-T.FOFF.t5_Reduced)/(T.FOFF.t4_Reduced-T.FOFF.t5_Reduced)))</f>
        <v>N/A</v>
      </c>
      <c r="G84" s="132" t="s">
        <v>36</v>
      </c>
      <c r="H84" s="126"/>
      <c r="I84" s="126"/>
      <c r="L84" s="1134"/>
      <c r="Q84" s="1133"/>
    </row>
    <row r="85" spans="2:17" ht="18" x14ac:dyDescent="0.3">
      <c r="B85" s="691" t="s">
        <v>436</v>
      </c>
      <c r="C85" s="134" t="s">
        <v>613</v>
      </c>
      <c r="D85" s="628" t="str">
        <f>IF(OR($D$14="Unknown",D14="11.1"),"11.2",$D$14) &amp; ".9.7"</f>
        <v>11.2.9.7</v>
      </c>
      <c r="E85" s="491" t="str">
        <f>IF($D$14&lt;&gt;E$14,"N/A",(T.FOFF.t3_Max-T.FOFF.t5_Max)*EXP(t3_Max/Tau.OFF_Max))</f>
        <v>N/A</v>
      </c>
      <c r="F85" s="491" t="str">
        <f>IF($D$14&lt;&gt;F$14,"N/A",(T.FOFF.t3_Reduced-T.FOFF.t5_Reduced)*EXP(t3_Reduced/Tau.OFF_Reduced))</f>
        <v>N/A</v>
      </c>
      <c r="G85" s="132" t="s">
        <v>51</v>
      </c>
      <c r="H85" s="126"/>
      <c r="I85" s="126"/>
      <c r="L85" s="1134"/>
      <c r="Q85" s="1133"/>
    </row>
    <row r="86" spans="2:17" ht="18" x14ac:dyDescent="0.3">
      <c r="B86" s="783" t="s">
        <v>437</v>
      </c>
      <c r="C86" s="785" t="s">
        <v>614</v>
      </c>
      <c r="D86" s="779" t="str">
        <f>IF(OR($D$14="Unknown",D14="11.1"),"11.2",$D$14) &amp; ".9.8"</f>
        <v>11.2.9.8</v>
      </c>
      <c r="E86" s="491" t="str">
        <f>IF($D$14&lt;&gt;E$14,"N/A",T.FOFF.t5_Max-T.RA_Max)</f>
        <v>N/A</v>
      </c>
      <c r="F86" s="491" t="str">
        <f>IF($D$14&lt;&gt;F$14,"N/A",T.FOFF.t5_Reduced-'Non-Con, Mod Calculations'!T.RA_Reduced)</f>
        <v>N/A</v>
      </c>
      <c r="G86" s="132" t="s">
        <v>51</v>
      </c>
      <c r="H86" s="126"/>
      <c r="I86" s="126"/>
      <c r="L86" s="1134"/>
      <c r="Q86" s="1133"/>
    </row>
    <row r="87" spans="2:17" ht="18" x14ac:dyDescent="0.3">
      <c r="B87" s="809" t="s">
        <v>810</v>
      </c>
      <c r="C87" s="802" t="s">
        <v>619</v>
      </c>
      <c r="D87" s="803" t="str">
        <f>IF(OR($D$14="Unknown",D14="11.1"),"11.2",$D$14) &amp; ".9.9"</f>
        <v>11.2.9.9</v>
      </c>
      <c r="E87" s="873" t="str">
        <f>IF($D$14&lt;&gt;E$14,"N/A",
IFERROR(IF('Test Conditions'!$D$67="No",0.05,
IF(OR(System_Number_Max=1,AND(System_Number_Max=9,'Sys. # &amp; Product Characteristic'!Installation="Isolated Combustion System")),D.P_Draft_Diverter_Max,D.P_Max_Power_Burner_Direct_Vent)),""))</f>
        <v>N/A</v>
      </c>
      <c r="F87" s="873" t="str">
        <f>IF($D$14&lt;&gt;F$14,"N/A",
IFERROR(IF('Test Conditions'!$D$67="No",0.05,
IF(OR(System_Number_Reduced=1,AND(System_Number_Reduced=9,'Sys. # &amp; Product Characteristic'!Installation="Isolated Combustion System")),D.P_Draft_Diverter_Reduced,D.P_Reduced_Power_Vent_Direct_Vent)),""))</f>
        <v>N/A</v>
      </c>
      <c r="G87" s="132" t="s">
        <v>175</v>
      </c>
      <c r="H87" s="126"/>
      <c r="I87" s="126"/>
      <c r="L87" s="1134"/>
      <c r="Q87" s="1133"/>
    </row>
    <row r="88" spans="2:17" ht="18" x14ac:dyDescent="0.3">
      <c r="B88" s="691" t="s">
        <v>811</v>
      </c>
      <c r="C88" s="498" t="s">
        <v>620</v>
      </c>
      <c r="D88" s="628" t="str">
        <f>IF(OR($D$14="Unknown",D14="11.1"),"11.2",$D$14) &amp; ".9.9"</f>
        <v>11.2.9.9</v>
      </c>
      <c r="E88" s="706" t="str">
        <f ca="1">IF($D$14&lt;&gt;E$14,"N/A",
IF('Test Conditions'!$D$67="No",0.05,
IF('Test Conditions'!$D$66="Yes",D.P_Max,
OFFSET('Drop-Downs and Tables'!$B$167,0,MATCH(System_Number_Max,'Drop-Downs and Tables'!$C$157:$K$157,0)))))</f>
        <v>N/A</v>
      </c>
      <c r="F88" s="706" t="str">
        <f ca="1">IF($D$14&lt;&gt;F$14,"N/A",
IF('Test Conditions'!$D$67="No",0.05,
IF('Test Conditions'!$D$66="Yes",D.P_Reduced,
OFFSET('Drop-Downs and Tables'!$B$167,0,MATCH(System_Number_Reduced,'Drop-Downs and Tables'!$C$157:$K$157,0)))))</f>
        <v>N/A</v>
      </c>
      <c r="G88" s="132" t="s">
        <v>175</v>
      </c>
      <c r="H88" s="126"/>
      <c r="I88" s="126"/>
      <c r="L88" s="1134"/>
      <c r="Q88" s="1133"/>
    </row>
    <row r="89" spans="2:17" ht="18" x14ac:dyDescent="0.3">
      <c r="B89" s="691" t="s">
        <v>73</v>
      </c>
      <c r="C89" s="498" t="s">
        <v>623</v>
      </c>
      <c r="D89" s="628" t="str">
        <f>IF(OR($D$14="Unknown",D14="11.1"),"11.2",$D$14) &amp; ".9.9"</f>
        <v>11.2.9.9</v>
      </c>
      <c r="E89" s="192" t="str">
        <f>IF($D$14&lt;&gt;E$14,"N/A",
IF(OR(System_Number_Max=1,System_Number_Max=2,System_Number_Max=5,System_Number_Max=6),1,
IF(System_Number_Max=3,0.4,
IF(OR(System_Number_Max=4,System_Number_Max=8),IF('Test Conditions'!$D$66="No",0.85,(0.79+D.P_Max)/1.4),"N/A"))))</f>
        <v>N/A</v>
      </c>
      <c r="F89" s="192" t="str">
        <f>IF($D$14&lt;&gt;F$14,"N/A",
IF(OR(System_Number_Reduced=1,System_Number_Reduced=2,System_Number_Reduced=5,System_Number_Reduced=6),1,
IF(System_Number_Reduced=3,0.4,
IF(OR(System_Number_Reduced=4,System_Number_Reduced=8),IF('Test Conditions'!$D$66="No",0.85,(0.79+D.P_Reduced)/1.4),"N/A"))))</f>
        <v>N/A</v>
      </c>
      <c r="G89" s="132" t="s">
        <v>175</v>
      </c>
      <c r="H89" s="126"/>
      <c r="I89" s="126"/>
      <c r="L89" s="1134"/>
      <c r="Q89" s="1133"/>
    </row>
    <row r="90" spans="2:17" ht="18" x14ac:dyDescent="0.3">
      <c r="B90" s="691" t="s">
        <v>1293</v>
      </c>
      <c r="C90" s="498" t="s">
        <v>624</v>
      </c>
      <c r="D90" s="628" t="str">
        <f>IF(OR($D$14="Unknown",D14="11.1"),"11.2",$D$14) &amp; ".9.9"</f>
        <v>11.2.9.9</v>
      </c>
      <c r="E90" s="491" t="str">
        <f>IF($D$14&lt;&gt;E$14,"N/A",
IFERROR(IF(OR(System_Number_Max=9,System_Number_Max=10),"N/A",
IF(OR(System_Number_Max&lt;=4,AND(System_Number_Max&gt;=5,System_Number_Max&lt;=8,SF_Max*DO.S_Max&gt;D.F_Max)),D.F_Max*Psi.FIX_Max/(SF_Max*DO.S_Max),
IF(AND(System_Number_Max&gt;=5,System_Number_Max&lt;=8,SF_Max*DO.S_Max&lt;=D.F_Max),Psi.FIX_Max,""))),""))</f>
        <v>N/A</v>
      </c>
      <c r="F90" s="491" t="str">
        <f>IF($D$14&lt;&gt;F$14,"N/A",
IFERROR(IF(OR(System_Number_Reduced=9,System_Number_Reduced=10),"N/A",
IF(OR(System_Number_Reduced&lt;=4,AND(System_Number_Reduced&gt;=5,System_Number_Reduced&lt;=8,SF_Reduced*DO.S_Reduced&gt;D.F_Reduced)),D.F_Reduced*Psi.FIX_Reduced/(SF_Reduced*DO.S_Reduced),
IF(AND(System_Number_Reduced&gt;=5,System_Number_Reduced&lt;=8,SF_Reduced*DO.S_Reduced&lt;=D.F_Reduced),Psi.FIX_Reduced,""))),""))</f>
        <v>N/A</v>
      </c>
      <c r="G90" s="132" t="s">
        <v>51</v>
      </c>
      <c r="H90" s="126"/>
      <c r="I90" s="126"/>
      <c r="L90" s="1134"/>
      <c r="Q90" s="1133"/>
    </row>
    <row r="91" spans="2:17" ht="18" x14ac:dyDescent="0.3">
      <c r="B91" s="691" t="s">
        <v>440</v>
      </c>
      <c r="C91" s="498" t="s">
        <v>625</v>
      </c>
      <c r="D91" s="628" t="str">
        <f>IF(OR($D$14="Unknown",D14="11.1"),"11.2",$D$14) &amp; ".9.10"</f>
        <v>11.2.9.10</v>
      </c>
      <c r="E91" s="491" t="str">
        <f>IF($D$14&lt;&gt;E$14,"N/A",
IFERROR(IF(OR(System_Number_Max=9,System_Number_Max=10),"",
IF(OR(System_Number_Max&lt;=4,AND(System_Number_Max&gt;=5,System_Number_Max&lt;=8,SF_Max*DO.S_Max&gt;D.F_Max)),D.F_Max*Psi.FOX_Max/(SF_Max*DO.S_Max),
IF(AND(System_Number_Max&gt;=5,System_Number_Max&lt;=8,SF_Max*DO.S_Max&lt;=D.F_Max),Psi.FOX_Max,""))),""))</f>
        <v>N/A</v>
      </c>
      <c r="F91" s="491" t="str">
        <f>IF($D$14&lt;&gt;F$14,"N/A",
IFERROR(IF(OR(System_Number_Reduced=9,System_Number_Reduced=10),"",
IF(OR(System_Number_Reduced&lt;=4,AND(System_Number_Reduced&gt;=5,System_Number_Reduced&lt;=8,SF_Reduced*DO.S_Reduced&gt;D.F_Reduced)),D.F_Reduced*Psi.FOX_Reduced/(SF_Reduced*DO.S_Reduced),
IF(AND(System_Number_Reduced&gt;=5,System_Number_Reduced&lt;=8,SF_Reduced*DO.S_Reduced&lt;=D.F_Reduced),Psi.FIX_Reduced,""))),""))</f>
        <v>N/A</v>
      </c>
      <c r="G91" s="132" t="s">
        <v>51</v>
      </c>
      <c r="H91" s="126"/>
      <c r="I91" s="126"/>
      <c r="L91" s="1134"/>
      <c r="Q91" s="1133"/>
    </row>
    <row r="92" spans="2:17" ht="18" x14ac:dyDescent="0.3">
      <c r="B92" s="691" t="s">
        <v>442</v>
      </c>
      <c r="C92" s="498" t="s">
        <v>626</v>
      </c>
      <c r="D92" s="628" t="str">
        <f>IF(OR($D$14="Unknown",D14="11.1"),"11.2",$D$14) &amp; ".9.11"</f>
        <v>11.2.9.11</v>
      </c>
      <c r="E92" s="491" t="str">
        <f>IF($D$14&lt;&gt;E$14,"N/A",IF(AND('Sys. # &amp; Product Characteristic'!Control_Type="Two-Stage Modulating",T.C&gt;=5),'Cyclic Timing Calculations'!t.ONH,15))</f>
        <v>N/A</v>
      </c>
      <c r="F92" s="491" t="str">
        <f>IF($D$14&lt;&gt;F$14,"N/A",IF(OR('Sys. # &amp; Product Characteristic'!Control_Type="Step Modulating",'Sys. # &amp; Product Characteristic'!Control_Type="Two-Stage Modulating"),'Cyclic Timing Calculations'!t.ONR,15))</f>
        <v>N/A</v>
      </c>
      <c r="G92" s="132" t="s">
        <v>36</v>
      </c>
      <c r="H92" s="126"/>
      <c r="I92" s="126"/>
      <c r="L92" s="1134"/>
      <c r="Q92" s="1133"/>
    </row>
    <row r="93" spans="2:17" ht="18" x14ac:dyDescent="0.3">
      <c r="B93" s="691" t="s">
        <v>441</v>
      </c>
      <c r="C93" s="498" t="s">
        <v>627</v>
      </c>
      <c r="D93" s="628" t="str">
        <f>IF(OR($D$14="Unknown",D14="11.1"),"11.2",$D$14) &amp; ".9.11"</f>
        <v>11.2.9.11</v>
      </c>
      <c r="E93" s="491" t="str">
        <f>IF($D$14&lt;&gt;E$14,"N/A",t.ON_Max/Tau.ON_Max)</f>
        <v>N/A</v>
      </c>
      <c r="F93" s="491" t="str">
        <f>IF($D$14&lt;&gt;F$14,"N/A",t.ON_Reduced/Tau.ON_Reduced)</f>
        <v>N/A</v>
      </c>
      <c r="G93" s="132" t="s">
        <v>175</v>
      </c>
      <c r="H93" s="126"/>
      <c r="I93" s="126"/>
      <c r="L93" s="1134"/>
      <c r="Q93" s="1133"/>
    </row>
    <row r="94" spans="2:17" ht="18" x14ac:dyDescent="0.3">
      <c r="B94" s="691" t="s">
        <v>443</v>
      </c>
      <c r="C94" s="498" t="s">
        <v>628</v>
      </c>
      <c r="D94" s="628" t="str">
        <f>IF(OR($D$14="Unknown",D14="11.1"),"11.2",$D$14) &amp; ".9.12"</f>
        <v>11.2.9.12</v>
      </c>
      <c r="E94" s="491" t="str">
        <f>IF($D$14&lt;&gt;E$14,"N/A",IF(AND('Sys. # &amp; Product Characteristic'!Control_Type="Two-Stage Modulating",T.C&gt;=5),'Cyclic Timing Calculations'!t.OFFH,15))</f>
        <v>N/A</v>
      </c>
      <c r="F94" s="491" t="str">
        <f>IF($D$14&lt;&gt;F$14,"N/A",IF(OR('Sys. # &amp; Product Characteristic'!Control_Type="Step Modulating",'Sys. # &amp; Product Characteristic'!Control_Type="Two-Stage Modulating"),'Cyclic Timing Calculations'!t.OFFR,15))</f>
        <v>N/A</v>
      </c>
      <c r="G94" s="132" t="s">
        <v>36</v>
      </c>
      <c r="H94" s="126"/>
      <c r="I94" s="126"/>
      <c r="L94" s="1134"/>
      <c r="Q94" s="1133"/>
    </row>
    <row r="95" spans="2:17" ht="18" x14ac:dyDescent="0.3">
      <c r="B95" s="691" t="s">
        <v>444</v>
      </c>
      <c r="C95" s="498" t="s">
        <v>629</v>
      </c>
      <c r="D95" s="628" t="str">
        <f>IF(OR($D$14="Unknown",D14="11.1"),"11.2",$D$14) &amp; ".9.12"</f>
        <v>11.2.9.12</v>
      </c>
      <c r="E95" s="491" t="str">
        <f>IF($D$14&lt;&gt;E$14,"N/A",t.OFF_Max/Tau.OFF_Max)</f>
        <v>N/A</v>
      </c>
      <c r="F95" s="491" t="str">
        <f>IF($D$14&lt;&gt;F$14,"N/A",t.OFF_Reduced/Tau.OFF_Reduced)</f>
        <v>N/A</v>
      </c>
      <c r="G95" s="132" t="s">
        <v>175</v>
      </c>
      <c r="H95" s="126"/>
      <c r="I95" s="126"/>
      <c r="L95" s="1134"/>
      <c r="Q95" s="1133"/>
    </row>
    <row r="96" spans="2:17" ht="18" x14ac:dyDescent="0.3">
      <c r="B96" s="691" t="s">
        <v>445</v>
      </c>
      <c r="C96" s="498" t="s">
        <v>630</v>
      </c>
      <c r="D96" s="628" t="str">
        <f>IF(OR($D$14="Unknown",D14="11.1"),"11.2",$D$14) &amp; ".9.13"</f>
        <v>11.2.9.13</v>
      </c>
      <c r="E96" s="491" t="str">
        <f>IF($D$14&lt;&gt;E$14,"N/A",(1-Psi.FOX_Max*EXP(-R.OFF_Max)/(T.FSS_Max-T.FOFF.t5_Max))/
(1-Theta.FOX_Max*Psi.FOX_Max*EXP(-(R.ON_Max+R.OFF_Max))/((T.FSS_Max-T.FOFF.t5_Max)^2)))</f>
        <v>N/A</v>
      </c>
      <c r="F96" s="491" t="str">
        <f>IF($D$14&lt;&gt;F$14,"N/A",(1-Psi.FOX_Reduced*EXP(-R.OFF_Reduced)/(T.FSS_Reduced-T.FOFF.t5_Reduced))/
(1-Theta.FOX_Reduced*Psi.FOX_Reduced*EXP(-(R.ON_Reduced+R.OFF_Reduced))/((T.FSS_Reduced-T.FOFF.t5_Reduced)^2)))</f>
        <v>N/A</v>
      </c>
      <c r="G96" s="132" t="s">
        <v>175</v>
      </c>
      <c r="H96" s="126"/>
      <c r="I96" s="126"/>
      <c r="L96" s="1134"/>
      <c r="Q96" s="1133"/>
    </row>
    <row r="97" spans="2:17" ht="18" x14ac:dyDescent="0.3">
      <c r="B97" s="691" t="s">
        <v>447</v>
      </c>
      <c r="C97" s="498" t="s">
        <v>631</v>
      </c>
      <c r="D97" s="628" t="str">
        <f>IF(OR($D$14="Unknown",D14="11.1"),"11.2",$D$14) &amp; ".9.14"</f>
        <v>11.2.9.14</v>
      </c>
      <c r="E97" s="492" t="str">
        <f>IF($D$14&lt;&gt;E$14,"N/A",IF('Sys. # &amp; Product Characteristic'!Ignition="","",IF('Sys. # &amp; Product Characteristic'!Ignition="Continuous Burning Pilot",1,0.9)))</f>
        <v>N/A</v>
      </c>
      <c r="F97" s="492" t="str">
        <f>IF($D$14&lt;&gt;F$14,"N/A",IF(Ignition="","",IF(Ignition="Continuous Burning Pilot",1,0.9)))</f>
        <v>N/A</v>
      </c>
      <c r="G97" s="132" t="s">
        <v>175</v>
      </c>
      <c r="H97" s="126"/>
      <c r="I97" s="126"/>
      <c r="L97" s="1134"/>
      <c r="Q97" s="1133"/>
    </row>
    <row r="98" spans="2:17" ht="18" x14ac:dyDescent="0.3">
      <c r="B98" s="691" t="s">
        <v>446</v>
      </c>
      <c r="C98" s="498" t="s">
        <v>632</v>
      </c>
      <c r="D98" s="628" t="str">
        <f>IF(OR($D$14="Unknown",D14="11.1"),"11.2",$D$14) &amp; ".9.14"</f>
        <v>11.2.9.14</v>
      </c>
      <c r="E98" s="491" t="str">
        <f>IF($D$14&lt;&gt;E$14,"N/A",
C.IID_Max*
(1-Theta.FOX_Max*EXP(-R.ON_Max)/(T.FSS_Max-T.FOFF.t5_Max))/
(1-Theta.FOX_Max*Psi.FOX_Max*EXP(-(R.ON_Max+R.OFF_Max))/((T.FSS_Max-T.FOFF.t5_Max)^2)))</f>
        <v>N/A</v>
      </c>
      <c r="F98" s="491" t="str">
        <f>IF($D$14&lt;&gt;F$14,"N/A",
C.IID_Reduced*
(1-Theta.FOX_Reduced*EXP(-R.ON_Reduced)/(T.FSS_Reduced-T.FOFF.t5_Reduced))/
(1-Theta.FOX_Reduced*Psi.FOX_Reduced*EXP(-(R.ON_Reduced+R.OFF_Reduced))/((T.FSS_Reduced-T.FOFF.t5_Reduced)^2)))</f>
        <v>N/A</v>
      </c>
      <c r="G98" s="132" t="s">
        <v>175</v>
      </c>
      <c r="H98" s="126"/>
      <c r="I98" s="126"/>
      <c r="L98" s="1134"/>
      <c r="Q98" s="1133"/>
    </row>
    <row r="99" spans="2:17" ht="33" x14ac:dyDescent="0.3">
      <c r="B99" s="691" t="s">
        <v>448</v>
      </c>
      <c r="C99" s="498" t="s">
        <v>633</v>
      </c>
      <c r="D99" s="628" t="str">
        <f>IF(OR($D$14="Unknown",D14="11.1"),"11.2",$D$14) &amp; ".9.15"</f>
        <v>11.2.9.15</v>
      </c>
      <c r="E99" s="491" t="str">
        <f>IF($D$14&lt;&gt;E$14,"N/A",IF(OR(System_Number_Max&lt;=8,System_Number_Max=""),"N/A",1.22))</f>
        <v>N/A</v>
      </c>
      <c r="F99" s="491" t="str">
        <f>IF($D$14&lt;&gt;F$14,"N/A",IF(OR(System_Number_Reduced&lt;=8,System_Number_Reduced=""),"N/A",1.22))</f>
        <v>N/A</v>
      </c>
      <c r="G99" s="132" t="s">
        <v>175</v>
      </c>
      <c r="H99" s="126"/>
      <c r="I99" s="126"/>
      <c r="L99" s="1134"/>
      <c r="Q99" s="1133"/>
    </row>
    <row r="100" spans="2:17" ht="33" x14ac:dyDescent="0.3">
      <c r="B100" s="691" t="s">
        <v>449</v>
      </c>
      <c r="C100" s="498" t="s">
        <v>634</v>
      </c>
      <c r="D100" s="628" t="str">
        <f>IF(OR($D$14="Unknown",D14="11.1"),"11.2",$D$14) &amp; ".9.15"</f>
        <v>11.2.9.15</v>
      </c>
      <c r="E100" s="491" t="str">
        <f>IF($D$14&lt;&gt;E$14,"N/A",IF(System_Number_Max&lt;=8,Psi.FOX_Max*C.TOFF_Max,C.TOFF_Max*C1.S_Max*Psi.FOX_Max))</f>
        <v>N/A</v>
      </c>
      <c r="F100" s="491" t="str">
        <f>IF($D$14&lt;&gt;F$14,"N/A",IF(System_Number_Reduced&lt;=8,Psi.FOX_Reduced*C.TOFF_Reduced,C.TOFF_Reduced*C1.S_Reduced*Psi.FOX_Reduced))</f>
        <v>N/A</v>
      </c>
      <c r="G100" s="132" t="s">
        <v>51</v>
      </c>
      <c r="H100" s="126"/>
      <c r="I100" s="126"/>
      <c r="L100" s="1134"/>
      <c r="Q100" s="1133"/>
    </row>
    <row r="101" spans="2:17" ht="33" x14ac:dyDescent="0.3">
      <c r="B101" s="691" t="s">
        <v>1294</v>
      </c>
      <c r="C101" s="498" t="s">
        <v>635</v>
      </c>
      <c r="D101" s="628" t="str">
        <f>IF(OR($D$14="Unknown",D14="11.1"),"11.2",$D$14) &amp; ".9.16"</f>
        <v>11.2.9.16</v>
      </c>
      <c r="E101" s="491" t="str">
        <f>IF($D$14&lt;&gt;E$14,"N/A",IF(System_Number_Max&lt;=8,Psi.FIX_Max,C1.S_Max*Psi.FIX_Max))</f>
        <v>N/A</v>
      </c>
      <c r="F101" s="491" t="str">
        <f>IF($D$14&lt;&gt;F$14,"N/A",IF(System_Number_Reduced&lt;=8,Psi.FIX_Reduced,C1.S_Reduced*Psi.FIX_Reduced))</f>
        <v>N/A</v>
      </c>
      <c r="G101" s="132" t="s">
        <v>51</v>
      </c>
      <c r="H101" s="126"/>
      <c r="I101" s="126"/>
      <c r="L101" s="1134"/>
      <c r="Q101" s="1133"/>
    </row>
    <row r="102" spans="2:17" ht="33" x14ac:dyDescent="0.3">
      <c r="B102" s="691" t="s">
        <v>450</v>
      </c>
      <c r="C102" s="498" t="s">
        <v>636</v>
      </c>
      <c r="D102" s="628" t="str">
        <f>IF(OR($D$14="Unknown",D14="11.1"),"11.2",$D$14) &amp; ".9.17"</f>
        <v>11.2.9.17</v>
      </c>
      <c r="E102" s="491" t="str">
        <f>IF($D$14&lt;&gt;E$14,"N/A",IF(System_Number_Max&lt;=8,Psi.SOX_Max*C.TOFF_Max,""))</f>
        <v>N/A</v>
      </c>
      <c r="F102" s="491" t="str">
        <f>IF($D$14&lt;&gt;F$14,"N/A",IF(System_Number_Reduced&lt;=8,Psi.SOX_Reduced*C.TOFF_Reduced,""))</f>
        <v>N/A</v>
      </c>
      <c r="G102" s="132" t="s">
        <v>51</v>
      </c>
      <c r="H102" s="126"/>
      <c r="I102" s="126"/>
      <c r="L102" s="1134"/>
      <c r="Q102" s="1133"/>
    </row>
    <row r="103" spans="2:17" ht="18" x14ac:dyDescent="0.3">
      <c r="B103" s="691" t="s">
        <v>451</v>
      </c>
      <c r="C103" s="498" t="s">
        <v>637</v>
      </c>
      <c r="D103" s="628" t="str">
        <f>IF(OR($D$14="Unknown",D14="11.1"),"11.2",$D$14) &amp; ".9.18"</f>
        <v>11.2.9.18</v>
      </c>
      <c r="E103" s="516" t="str">
        <f>IF(OR(System_Number_Max=5,System_Number_Max=6,System_Number_Max=8),$C$241,"N/A")</f>
        <v>N/A</v>
      </c>
      <c r="F103" s="516" t="str">
        <f>IF(OR(System_Number_Reduced=5,System_Number_Reduced=6,System_Number_Reduced=8),$C$241,"N/A")</f>
        <v>N/A</v>
      </c>
      <c r="G103" s="132" t="s">
        <v>175</v>
      </c>
      <c r="H103" s="126"/>
      <c r="I103" s="126"/>
      <c r="L103" s="1134"/>
      <c r="Q103" s="1133"/>
    </row>
    <row r="104" spans="2:17" ht="18" x14ac:dyDescent="0.3">
      <c r="B104" s="691" t="s">
        <v>452</v>
      </c>
      <c r="C104" s="498" t="s">
        <v>638</v>
      </c>
      <c r="D104" s="628" t="str">
        <f>IF(OR($D$14="Unknown",D14="11.1"),"11.2",$D$14) &amp; ".9.18"</f>
        <v>11.2.9.18</v>
      </c>
      <c r="E104" s="493" t="str">
        <f>IF(OR(System_Number_Max=5,System_Number_Max=6,System_Number_Max=8),$C$242,"N/A")</f>
        <v>N/A</v>
      </c>
      <c r="F104" s="493" t="str">
        <f>IF(OR(System_Number_Reduced=5,System_Number_Reduced=6,System_Number_Reduced=8),$C$242,"N/A")</f>
        <v>N/A</v>
      </c>
      <c r="G104" s="132" t="s">
        <v>175</v>
      </c>
      <c r="H104" s="126"/>
      <c r="I104" s="126"/>
      <c r="L104" s="1134"/>
      <c r="Q104" s="1133"/>
    </row>
    <row r="105" spans="2:17" ht="18" x14ac:dyDescent="0.3">
      <c r="B105" s="691" t="s">
        <v>73</v>
      </c>
      <c r="C105" s="498" t="s">
        <v>621</v>
      </c>
      <c r="D105" s="628" t="str">
        <f>IF(OR($D$14="Unknown",D14="11.1"),"11.2",$D$14) &amp; ".9.18"</f>
        <v>11.2.9.18</v>
      </c>
      <c r="E105" s="707" t="str">
        <f>IF(System_Number_Max&gt;=9,"N/A",
IF(OR(System_Number_Max=1,System_Number_Max=2),1,
IF(System_Number_Max=3,D.F_Max,
IF(System_Number_Max=4,IF('Test Conditions'!$D$66="No",0.85,(0.79+D.P_Max)/1.4),
IF(OR(System_Number_Max=5,System_Number_Max=6),D.O_Max,
IF('Test Conditions'!$D$66="No",0.85*D.O_Max,(0.79+D.P_Max)/1.4*D.O_Max))))))</f>
        <v>N/A</v>
      </c>
      <c r="F105" s="707" t="str">
        <f>IF(System_Number_Reduced&gt;=9,"N/A",
IF(OR(System_Number_Reduced=1,System_Number_Reduced=2),1,
IF(System_Number_Reduced=3,D.F_Reduced,
IF(System_Number_Reduced=4,IF('Test Conditions'!$D$66="No",0.85,(0.79+D.P_Reduced)/1.4),
IF(OR(System_Number_Reduced=5,System_Number_Reduced=6),D.O_Reduced,
IF('Test Conditions'!$D$66="No",0.85*D.O_Reduced,(0.79+D.P_Reduced)/1.4*D.O_Reduced))))))</f>
        <v>N/A</v>
      </c>
      <c r="G105" s="132" t="s">
        <v>175</v>
      </c>
      <c r="H105" s="126"/>
      <c r="I105" s="126"/>
      <c r="L105" s="1134"/>
      <c r="Q105" s="1133"/>
    </row>
    <row r="106" spans="2:17" ht="18" x14ac:dyDescent="0.3">
      <c r="B106" s="691" t="s">
        <v>812</v>
      </c>
      <c r="C106" s="498" t="s">
        <v>621</v>
      </c>
      <c r="D106" s="680" t="str">
        <f>IF(OR($D$14="Unknown",D14="11.1"),"11.2",$D$14) &amp; ".9.18" &amp; " or 11.7.2"</f>
        <v>11.2.9.18 or 11.7.2</v>
      </c>
      <c r="E106" s="1151" t="str">
        <f>IF($D$14&lt;&gt;E$14,"N/A",
    IF('Test Conditions'!$D$66="Yes",D.S_Max_Power_Burner_Direct_Vent,E$105))</f>
        <v>N/A</v>
      </c>
      <c r="F106" s="1151" t="str">
        <f>IF($D$14&lt;&gt;F$14,"N/A",
    IF('Test Conditions'!$D$66="Yes",D.S_Reduced_Power_Burner_Direct_Vent,F$105))</f>
        <v>N/A</v>
      </c>
      <c r="G106" s="132" t="s">
        <v>175</v>
      </c>
      <c r="H106" s="126"/>
      <c r="I106" s="126"/>
      <c r="L106" s="1134"/>
      <c r="Q106" s="1133"/>
    </row>
    <row r="107" spans="2:17" x14ac:dyDescent="0.3">
      <c r="B107" s="691" t="s">
        <v>453</v>
      </c>
      <c r="C107" s="134" t="s">
        <v>454</v>
      </c>
      <c r="D107" s="628" t="str">
        <f>IF(OR($D$14="Unknown",D14="11.1"),"11.2",$D$14) &amp; ".9.19"</f>
        <v>11.2.9.19</v>
      </c>
      <c r="E107" s="546" t="str">
        <f t="shared" ref="E107:E112" si="0">IF($D$14&lt;&gt;E$14,"N/A",$G364)</f>
        <v>N/A</v>
      </c>
      <c r="F107" s="546" t="str">
        <f t="shared" ref="F107:F112" si="1">IF($D$14&lt;&gt;F$14,"N/A",$G373)</f>
        <v>N/A</v>
      </c>
      <c r="G107" s="132" t="s">
        <v>175</v>
      </c>
      <c r="H107" s="126"/>
      <c r="I107" s="126"/>
      <c r="L107" s="1134"/>
      <c r="Q107" s="1133"/>
    </row>
    <row r="108" spans="2:17" x14ac:dyDescent="0.3">
      <c r="B108" s="691" t="s">
        <v>453</v>
      </c>
      <c r="C108" s="134" t="s">
        <v>455</v>
      </c>
      <c r="D108" s="628" t="str">
        <f>IF(OR($D$14="Unknown",D14="11.1"),"11.2",$D$14) &amp; ".9.19"</f>
        <v>11.2.9.19</v>
      </c>
      <c r="E108" s="546" t="str">
        <f t="shared" si="0"/>
        <v>N/A</v>
      </c>
      <c r="F108" s="546" t="str">
        <f t="shared" si="1"/>
        <v>N/A</v>
      </c>
      <c r="G108" s="132" t="s">
        <v>175</v>
      </c>
      <c r="H108" s="126"/>
      <c r="I108" s="126"/>
      <c r="L108" s="1134"/>
      <c r="Q108" s="1133"/>
    </row>
    <row r="109" spans="2:17" x14ac:dyDescent="0.3">
      <c r="B109" s="691" t="s">
        <v>453</v>
      </c>
      <c r="C109" s="498" t="s">
        <v>456</v>
      </c>
      <c r="D109" s="628" t="str">
        <f>IF(OR($D$14="Unknown",D14="11.1"),"11.2",$D$14) &amp; ".9.19"</f>
        <v>11.2.9.19</v>
      </c>
      <c r="E109" s="546" t="str">
        <f t="shared" si="0"/>
        <v>N/A</v>
      </c>
      <c r="F109" s="546" t="str">
        <f t="shared" si="1"/>
        <v>N/A</v>
      </c>
      <c r="G109" s="132" t="s">
        <v>175</v>
      </c>
      <c r="H109" s="126"/>
      <c r="I109" s="126"/>
      <c r="L109" s="1134"/>
      <c r="Q109" s="1133"/>
    </row>
    <row r="110" spans="2:17" x14ac:dyDescent="0.3">
      <c r="B110" s="691" t="s">
        <v>453</v>
      </c>
      <c r="C110" s="498" t="s">
        <v>457</v>
      </c>
      <c r="D110" s="628" t="str">
        <f>IF(OR($D$14="Unknown",D14="11.1"),"11.2",$D$14) &amp; ".9.19"</f>
        <v>11.2.9.19</v>
      </c>
      <c r="E110" s="546" t="str">
        <f t="shared" si="0"/>
        <v>N/A</v>
      </c>
      <c r="F110" s="546" t="str">
        <f t="shared" si="1"/>
        <v>N/A</v>
      </c>
      <c r="G110" s="132" t="s">
        <v>175</v>
      </c>
      <c r="H110" s="126"/>
      <c r="I110" s="126"/>
      <c r="L110" s="1134"/>
      <c r="Q110" s="1133"/>
    </row>
    <row r="111" spans="2:17" x14ac:dyDescent="0.3">
      <c r="B111" s="691" t="s">
        <v>459</v>
      </c>
      <c r="C111" s="498" t="s">
        <v>458</v>
      </c>
      <c r="D111" s="628" t="str">
        <f>IF(OR($D$14="Unknown",D14="11.1"),"11.2",$D$14) &amp; ".9.20"</f>
        <v>11.2.9.20</v>
      </c>
      <c r="E111" s="546" t="str">
        <f t="shared" si="0"/>
        <v>N/A</v>
      </c>
      <c r="F111" s="546" t="str">
        <f t="shared" si="1"/>
        <v>N/A</v>
      </c>
      <c r="G111" s="132" t="s">
        <v>175</v>
      </c>
      <c r="H111" s="126"/>
      <c r="I111" s="126"/>
      <c r="L111" s="1134"/>
      <c r="Q111" s="1133"/>
    </row>
    <row r="112" spans="2:17" ht="17.25" thickBot="1" x14ac:dyDescent="0.35">
      <c r="B112" s="693" t="s">
        <v>459</v>
      </c>
      <c r="C112" s="835" t="s">
        <v>460</v>
      </c>
      <c r="D112" s="695" t="str">
        <f>IF(OR($D$14="Unknown",D14="11.1"),"11.2",$D$14) &amp; ".9.20"</f>
        <v>11.2.9.20</v>
      </c>
      <c r="E112" s="827" t="str">
        <f t="shared" si="0"/>
        <v>N/A</v>
      </c>
      <c r="F112" s="827" t="str">
        <f t="shared" si="1"/>
        <v>N/A</v>
      </c>
      <c r="G112" s="699" t="s">
        <v>175</v>
      </c>
      <c r="H112" s="126"/>
      <c r="I112" s="126"/>
      <c r="L112" s="1134"/>
      <c r="Q112" s="1133"/>
    </row>
    <row r="113" spans="2:17" ht="17.25" thickBot="1" x14ac:dyDescent="0.35">
      <c r="B113" s="804"/>
      <c r="C113" s="781"/>
      <c r="D113" s="781"/>
      <c r="E113" s="793"/>
      <c r="F113" s="793"/>
      <c r="G113" s="805"/>
      <c r="H113" s="126"/>
      <c r="I113" s="126"/>
      <c r="L113" s="1134"/>
      <c r="Q113" s="1133"/>
    </row>
    <row r="114" spans="2:17" ht="17.25" x14ac:dyDescent="0.3">
      <c r="B114" s="820" t="s">
        <v>853</v>
      </c>
      <c r="C114" s="821"/>
      <c r="D114" s="821"/>
      <c r="E114" s="822"/>
      <c r="F114" s="822"/>
      <c r="G114" s="823"/>
      <c r="H114" s="126"/>
      <c r="I114" s="126"/>
      <c r="L114" s="1134"/>
      <c r="Q114" s="1133"/>
    </row>
    <row r="115" spans="2:17" ht="18" x14ac:dyDescent="0.3">
      <c r="B115" s="808" t="s">
        <v>533</v>
      </c>
      <c r="C115" s="795" t="s">
        <v>639</v>
      </c>
      <c r="D115" s="796" t="str">
        <f>IF(OR($D$14="Unknown",D14="11.1"),"11.2",$D$14) &amp; ".10.1"</f>
        <v>11.2.10.1</v>
      </c>
      <c r="E115" s="491" t="str">
        <f>IF($D$14&lt;&gt;E$14,"N/A",IF(System_Number_Max&gt;=9,1+(70-T.OA_Max)*Effy.SS_Max/((T.FSS_Max-T.RA_Max)*100),"N/A"))</f>
        <v>N/A</v>
      </c>
      <c r="F115" s="491" t="str">
        <f>IF($D$14&lt;&gt;F$14,"N/A",IF(System_Number_Reduced&gt;=9,1+(70-T.OA_Reduced)*Effy.SS_Reduced/((T.FSS_Reduced-'Non-Con, Mod Calculations'!T.RA_Reduced)*100),"N/A"))</f>
        <v>N/A</v>
      </c>
      <c r="G115" s="807" t="s">
        <v>175</v>
      </c>
      <c r="H115" s="126"/>
      <c r="I115" s="126"/>
      <c r="L115" s="1134"/>
      <c r="Q115" s="1133"/>
    </row>
    <row r="116" spans="2:17" ht="33" x14ac:dyDescent="0.3">
      <c r="B116" s="691" t="s">
        <v>461</v>
      </c>
      <c r="C116" s="134" t="s">
        <v>640</v>
      </c>
      <c r="D116" s="628" t="str">
        <f>IF(OR($D$14="Unknown",D14="11.1"),"11.2",$D$14) &amp; ".10.2"</f>
        <v>11.2.10.2</v>
      </c>
      <c r="E116" s="491" t="str">
        <f>IF($D$14&lt;&gt;E$14,"N/A",IF(System_Number_Max&lt;=8,C.TON*Theta.FOX_Max,C.TON*C.S_Max*Theta.FOX_Max))</f>
        <v>N/A</v>
      </c>
      <c r="F116" s="491" t="str">
        <f>IF($D$14&lt;&gt;F$14,"N/A",IF(System_Number_Reduced&lt;=8,C.TON_Reduced*Theta.FOX_Reduced,C.TON_Reduced*C.S_Reduced*Theta.FOX_Reduced))</f>
        <v>N/A</v>
      </c>
      <c r="G116" s="132" t="s">
        <v>51</v>
      </c>
      <c r="H116" s="126"/>
      <c r="I116" s="126"/>
      <c r="L116" s="1134"/>
      <c r="Q116" s="1133"/>
    </row>
    <row r="117" spans="2:17" ht="18" x14ac:dyDescent="0.3">
      <c r="B117" s="691" t="s">
        <v>462</v>
      </c>
      <c r="C117" s="498" t="s">
        <v>641</v>
      </c>
      <c r="D117" s="628" t="str">
        <f>IF(OR($D$14="Unknown",D14="11.1"),"11.2",$D$14) &amp; ".10.3"</f>
        <v>11.2.10.3</v>
      </c>
      <c r="E117" s="490" t="str">
        <f>IF($D$14&lt;&gt;E$14,"N/A",IFERROR(
IF(System_Number_Max&lt;=4,(T.FSS_Max-T.RA_Max+530)^1.19*D.F_Max*K.SON_Max/((T.FSS_Max-T.RA_Max)^0.56),
IF(System_Number_Max&lt;=8,(T.SSS_Max-T.RA_Max+530)^1.19*D.S*SF_Max*K.SON_Max/((T.SSS_Max-T.RA_Max+70-T.OA_Max)^0.56),
(T.FSS_Max-T.RA_Max+530)^1.19*K.SON_Max*D.F_Max/((T.FSS_Max-T.RA_Max+70-T.OA_Max)^0.56))),""))</f>
        <v>N/A</v>
      </c>
      <c r="F117" s="490" t="str">
        <f>IF($D$14&lt;&gt;F$14,"N/A",IFERROR(
IF(System_Number_Reduced&lt;=4,(T.FSS_Reduced-'Non-Con, Mod Calculations'!T.RA_Reduced+530)^1.19*D.F_Reduced*K.SON_Reduced/((T.FSS_Reduced-'Non-Con, Mod Calculations'!T.RA_Reduced)^0.56),
IF(System_Number_Reduced&lt;=8,(T.SSS_Reduced-'Non-Con, Mod Calculations'!T.RA_Reduced+530)^1.19*D.S_Reduced*SF_Reduced*K.SON_Reduced/((T.SSS_Reduced-'Non-Con, Mod Calculations'!T.RA_Reduced+70-T.OA_Reduced)^0.56),
(T.FSS_Reduced-'Non-Con, Mod Calculations'!T.RA_Reduced+530)^1.19*K.SON_Reduced*D.F_Reduced/((T.FSS_Reduced-'Non-Con, Mod Calculations'!T.RA_Reduced+70-T.OA_Reduced)^0.56))),""))</f>
        <v>N/A</v>
      </c>
      <c r="G117" s="132" t="s">
        <v>175</v>
      </c>
      <c r="H117" s="126"/>
      <c r="I117" s="126"/>
      <c r="L117" s="1134"/>
      <c r="Q117" s="1133"/>
    </row>
    <row r="118" spans="2:17" ht="18" x14ac:dyDescent="0.3">
      <c r="B118" s="691" t="s">
        <v>463</v>
      </c>
      <c r="C118" s="498" t="s">
        <v>642</v>
      </c>
      <c r="D118" s="628" t="str">
        <f>IF(OR($D$14="Unknown",D14="11.1"),"11.2",$D$14) &amp; ".10.4"</f>
        <v>11.2.10.4</v>
      </c>
      <c r="E118" s="490" t="str">
        <f>IF($D$14&lt;&gt;E$14,"N/A",
IF(OR(System_Number_Max=1,System_Number_Max=2,System_Number_Max=4),(T.SSS_Max-T.RA_Max+530)^1.19*K.ION_Max*D.S/((T.SSS_Max-T.RA_Max+70-T.OA_Max)^0.56),
IF(AND(System_Number_Max&gt;=5,System_Number_Max&lt;=8),(T.SSS_Max-T.RA_Max+530)^1.19*K.ION_Max*D.S/((T.SSS_Max-T.RA_Max+70-T.OA_Max)^0.56)*D.OI_Max/D.O_Max,
IF(System_Number_Max=3,(T.FSS_Max-T.RA_Max+530)^1.19*K.ION_Max*D.S/((T.FSS_Max-T.RA_Max+70-T.OA_Max)^0.56),
0))))</f>
        <v>N/A</v>
      </c>
      <c r="F118" s="490" t="str">
        <f>IF($D$14&lt;&gt;F$14,"N/A",
IF(OR(System_Number_Reduced=1,System_Number_Reduced=2,System_Number_Reduced=4),(T.SSS_Reduced-'Non-Con, Mod Calculations'!T.RA_Reduced+530)^1.19*K.ION_Reduced*D.S_Reduced/((T.SSS_Reduced-'Non-Con, Mod Calculations'!T.RA_Reduced+70-T.OA_Reduced)^0.56),
IF(AND(System_Number_Reduced&gt;=5,System_Number_Reduced&lt;=8),(T.SSS_Reduced-'Non-Con, Mod Calculations'!T.RA_Reduced+530)^1.19*K.ION_Reduced*D.S_Reduced/((T.SSS_Reduced-'Non-Con, Mod Calculations'!T.RA_Reduced+70-T.OA_Reduced)^0.56)*D.OI_Reduced/D.O_Reduced,
IF(System_Number_Reduced=3,(T.FSS_Reduced-'Non-Con, Mod Calculations'!T.RA_Reduced+530)^1.19*K.ION_Reduced*D.S_Reduced/((T.FSS_Reduced-'Non-Con, Mod Calculations'!T.RA_Reduced+70-T.OA_Reduced)^0.56),
0))))</f>
        <v>N/A</v>
      </c>
      <c r="G118" s="132" t="s">
        <v>175</v>
      </c>
      <c r="H118" s="126"/>
      <c r="I118" s="126"/>
      <c r="L118" s="1134"/>
      <c r="Q118" s="1133"/>
    </row>
    <row r="119" spans="2:17" ht="18" x14ac:dyDescent="0.3">
      <c r="B119" s="691" t="s">
        <v>464</v>
      </c>
      <c r="C119" s="498" t="s">
        <v>643</v>
      </c>
      <c r="D119" s="628" t="str">
        <f>IF(OR($D$14="Unknown",D14="11.1"),"11.2",$D$14) &amp; ".10.5"</f>
        <v>11.2.10.5</v>
      </c>
      <c r="E119" s="491" t="str">
        <f>IF($D$14&lt;&gt;E$14,"N/A",IF(System_Number_Max&lt;=8,L.SSS_Max-K.SON_Max*Theta.FO_Max*((1/R.ON_Max)*(1-EXP(-R.ON_Max))),
C.S_Max*L.SSS_Max-K.SON_Max*Theta.FO_Max*((1/R.ON_Max)*(1-EXP(-R.ON_Max)))))</f>
        <v>N/A</v>
      </c>
      <c r="F119" s="491" t="str">
        <f>IF($D$14&lt;&gt;F$14,"N/A",IF(System_Number_Reduced&lt;=8,L.SSS_Reduced-K.SON_Reduced*Theta.FO_Reduced*((1/R.ON_Reduced)*(1-EXP(-R.ON_Reduced))),
C.S_Reduced*L.SSS_Reduced-K.SON_Reduced*Theta.FO_Reduced*((1/R.ON_Reduced)*(1-EXP(-R.ON_Reduced)))))</f>
        <v>N/A</v>
      </c>
      <c r="G119" s="132" t="s">
        <v>211</v>
      </c>
      <c r="H119" s="126"/>
      <c r="I119" s="126"/>
      <c r="L119" s="1134"/>
      <c r="Q119" s="1133"/>
    </row>
    <row r="120" spans="2:17" x14ac:dyDescent="0.3">
      <c r="B120" s="691" t="s">
        <v>386</v>
      </c>
      <c r="C120" s="134" t="s">
        <v>175</v>
      </c>
      <c r="D120" s="628" t="str">
        <f>IF(OR($D$14="Unknown",D14="11.1"),"11.2",$D$14) &amp; ".10.6"</f>
        <v>11.2.10.6</v>
      </c>
      <c r="E120" s="517" t="str">
        <f>IF($D$14&lt;&gt;E$14,"N/A",'Max Test'!Does_the_boiler_employ_a_post_purge?)</f>
        <v>N/A</v>
      </c>
      <c r="F120" s="517" t="str">
        <f>IF($D$14&lt;&gt;F$14,"N/A",'Reduced Test'!Post_Purge?)</f>
        <v>N/A</v>
      </c>
      <c r="G120" s="132" t="s">
        <v>175</v>
      </c>
      <c r="H120" s="126"/>
      <c r="I120" s="126"/>
      <c r="L120" s="1134"/>
      <c r="Q120" s="1133"/>
    </row>
    <row r="121" spans="2:17" ht="33" x14ac:dyDescent="0.3">
      <c r="B121" s="692" t="s">
        <v>672</v>
      </c>
      <c r="C121" s="134" t="s">
        <v>644</v>
      </c>
      <c r="D121" s="628" t="str">
        <f>IF(OR($D$14="Unknown",D14="11.1"),"11.2",$D$14) &amp; ".10.6"</f>
        <v>11.2.10.6</v>
      </c>
      <c r="E121" s="493" t="str">
        <f>IF($D$14&lt;&gt;E$14,"N/A",IF(Post_Purge_Max?="No","N/A",
IF(OR(System_Number_Max=2,System_Number_Max=3,System_Number_Max=4),C.TOFF_Max,
IF(System_Number_Max=10,C.TOFF_Max*C1.S_Max,
"N/A"))))</f>
        <v>N/A</v>
      </c>
      <c r="F121" s="493" t="str">
        <f>IF($D$14&lt;&gt;F$14,"N/A",IF(Post_Purge_Reduced?="No","N/A",
IF(OR(System_Number_Reduced=2,System_Number_Reduced=3,System_Number_Reduced=4),C.TOFF_Reduced,
IF(System_Number_Reduced=10,C.TOFF_Reduced*C1.S_Reduced,
"N/A"))))</f>
        <v>N/A</v>
      </c>
      <c r="G121" s="132" t="s">
        <v>175</v>
      </c>
      <c r="H121" s="126"/>
      <c r="I121" s="126"/>
      <c r="L121" s="1134"/>
      <c r="Q121" s="1133"/>
    </row>
    <row r="122" spans="2:17" ht="18" x14ac:dyDescent="0.3">
      <c r="B122" s="691" t="s">
        <v>511</v>
      </c>
      <c r="C122" s="134" t="s">
        <v>645</v>
      </c>
      <c r="D122" s="628" t="str">
        <f>IF(OR($D$14="Unknown",D14="11.1"),"11.2",$D$14) &amp; ".10.8"</f>
        <v>11.2.10.8</v>
      </c>
      <c r="E122" s="493" t="str">
        <f>IF($D$14&lt;&gt;E$14,"N/A",IF(Post_Purge_Max?="No","N/A",'Max Test'!T.FOFF.tp))</f>
        <v>N/A</v>
      </c>
      <c r="F122" s="493" t="str">
        <f>IF($D$14&lt;&gt;F$14,"N/A",IF(Post_Purge_Reduced?="No","N/A",'Reduced Test'!T.FOFF.tp))</f>
        <v>N/A</v>
      </c>
      <c r="G122" s="132" t="s">
        <v>51</v>
      </c>
      <c r="H122" s="126"/>
      <c r="I122" s="126"/>
      <c r="L122" s="1134"/>
      <c r="Q122" s="1133"/>
    </row>
    <row r="123" spans="2:17" ht="18" x14ac:dyDescent="0.3">
      <c r="B123" s="691" t="s">
        <v>509</v>
      </c>
      <c r="C123" s="134" t="s">
        <v>646</v>
      </c>
      <c r="D123" s="628" t="str">
        <f>IF(OR($D$14="Unknown",D14="11.1"),"11.2",$D$14) &amp; ".10.6"</f>
        <v>11.2.10.6</v>
      </c>
      <c r="E123" s="517" t="str">
        <f>IF($D$14&lt;&gt;E$14,"N/A",IF(Post_Purge_Max?="No","N/A",
100*C.P_Max*M.FON_Max*tp_Max*(T.FSS_Max+460)*(1/(t.ON_Max*Q.IN_Max/60))*(1+(T.RA_Max+460)/(C.TS_Max*(T.FSS_Max-T.FOFF.tp_Max))*LN((T.RA_Max+460+C.TS_Max*(T.FOFF.tp_Max-T.RA_Max))/(T.RA_Max+460+C.TS_Max*(T.FSS_Max-T.RA_Max))))))</f>
        <v>N/A</v>
      </c>
      <c r="F123" s="517" t="str">
        <f>IF($D$14&lt;&gt;F$14,"N/A",IF(Post_Purge_Reduced?="No","N/A",
100*C.P_Reduced*M.FON_Reduced*tp_Reduced*(T.FSS_Reduced+460)*(1/(t.ON_Reduced*Q.IN_Reduced/60))*(1+('Non-Con, Mod Calculations'!T.RA_Reduced+460)/(C.TS_Reduced*(T.FSS_Reduced-T.FOFF.tp_Reduced))*LN(('Non-Con, Mod Calculations'!T.RA_Reduced+460+C.TS_Reduced*(T.FOFF.tp_Reduced-'Non-Con, Mod Calculations'!T.RA_Reduced))/('Non-Con, Mod Calculations'!T.RA_Reduced+460+C.TS_Reduced*(T.FSS_Reduced-'Non-Con, Mod Calculations'!T.RA_Reduced))))))</f>
        <v>N/A</v>
      </c>
      <c r="G123" s="132" t="s">
        <v>211</v>
      </c>
      <c r="H123" s="126"/>
      <c r="I123" s="126"/>
      <c r="L123" s="1134"/>
      <c r="Q123" s="1133"/>
    </row>
    <row r="124" spans="2:17" ht="18" x14ac:dyDescent="0.3">
      <c r="B124" s="691" t="s">
        <v>510</v>
      </c>
      <c r="C124" s="134" t="s">
        <v>647</v>
      </c>
      <c r="D124" s="628" t="str">
        <f>IF(OR($D$14="Unknown",D14="11.1"),"11.2",$D$14) &amp; ".10.6"</f>
        <v>11.2.10.6</v>
      </c>
      <c r="E124" s="493" t="str">
        <f>IF($D$14&lt;&gt;E$14,"N/A",IF(Post_Purge_Max?="No","N/A",
IF(OR(System_Number_Max=2,System_Number_Max=3,System_Number_Max=4),K.SOFF_Max*((t.OFF_Max-tp_Max)/t.ON_Max)*(F_3_Max+Psi.FI_Max*F_4_Max),
IF(System_Number_Max=10,K.SOFF_Max*((t.OFF_Max-tp_Max)/t.ON_Max)*(E109+Psi.FI_Max*E110),"N/A"))))</f>
        <v>N/A</v>
      </c>
      <c r="F124" s="493" t="str">
        <f>IF($D$14&lt;&gt;F$14,"N/A",IF(Post_Purge_Reduced?="No","N/A",
IF(OR(System_Number_Reduced=2,System_Number_Reduced=3,System_Number_Reduced=4),K.SOFF_Reduced*((t.OFF_Reduced-tp_Reduced)/t.ON_Reduced)*(F_3_Reduced+Psi.FI_Reduced*F_4_Reduced),
IF(System_Number_Reduced=10,K.SOFF_Reduced*((t.OFF_Reduced-tp_Reduced)/t.ON_Reduced)*(F5_Reduced+Psi.FI_Reduced*F6_Reduced),"N/A"))))</f>
        <v>N/A</v>
      </c>
      <c r="G124" s="132" t="s">
        <v>211</v>
      </c>
      <c r="H124" s="126"/>
      <c r="I124" s="126"/>
      <c r="L124" s="1134"/>
      <c r="Q124" s="1133"/>
    </row>
    <row r="125" spans="2:17" ht="18" x14ac:dyDescent="0.3">
      <c r="B125" s="691" t="s">
        <v>465</v>
      </c>
      <c r="C125" s="498" t="s">
        <v>648</v>
      </c>
      <c r="D125" s="628" t="str">
        <f>IF(OR($D$14="Unknown",D14="11.1"),"11.2",$D$14) &amp; ".10.6"</f>
        <v>11.2.10.6</v>
      </c>
      <c r="E125" s="493" t="str">
        <f>IF($D$14&lt;&gt;E$14,"N/A",IFERROR(IF(Post_Purge_Max?="No",
IF(System_Number_Max&lt;=4,K.SOFF_Max*(t.OFF_Max/t.ON_Max)*(F_3_Max+Psi.FI_Max*F_4_Max),
IF(System_Number_Max&lt;=8,K.SOFF_Max*(t.OFF_Max/t.ON_Max)*(F5_Max+Psi.SIX_Max*F6_Max),
K.SOFF_Max*(t.OFF_Max/t.ON_Max)*(F5_Max+Psi.FI_Max*F6_Max))),
L.SOFF1_Max+L.SOFF2_Max),""))</f>
        <v>N/A</v>
      </c>
      <c r="F125" s="493" t="str">
        <f>IF($D$14&lt;&gt;F$14,"N/A",IFERROR(IF(Post_Purge_Reduced?="No",
IF(System_Number_Reduced&lt;=4,K.SOFF_Reduced*(t.OFF_Reduced/t.ON_Reduced)*(F_3_Reduced+Psi.FI_Reduced*F_4_Reduced),
IF(System_Number_Reduced&lt;=8,K.SOFF_Reduced*(t.OFF_Reduced/t.ON_Reduced)*(F5_Reduced+Psi.SIX_Reduced*F6_Reduced),
K.SOFF_Reduced*(t.OFF_Reduced/t.ON_Reduced)*(F5_Reduced+Psi.FI_Reduced*F6_Reduced))),
L.SOFF1_Reduced+L.SOFF2_Reduced),0))</f>
        <v>N/A</v>
      </c>
      <c r="G125" s="132" t="s">
        <v>211</v>
      </c>
      <c r="H125" s="126"/>
      <c r="I125" s="126"/>
      <c r="L125" s="1134"/>
      <c r="Q125" s="1133"/>
    </row>
    <row r="126" spans="2:17" ht="18" x14ac:dyDescent="0.3">
      <c r="B126" s="691" t="s">
        <v>466</v>
      </c>
      <c r="C126" s="134" t="s">
        <v>649</v>
      </c>
      <c r="D126" s="628" t="str">
        <f>IF(OR($D$14="Unknown",D14="11.1"),"11.2",$D$14) &amp; ".10.7"</f>
        <v>11.2.10.7</v>
      </c>
      <c r="E126" s="1479" t="str">
        <f>IF($D$14&lt;&gt;E$14,"N/A",IF(System_Number_Max&lt;=8,K.ION_Max*(70-T.OA_Max),0))</f>
        <v>N/A</v>
      </c>
      <c r="F126" s="1479" t="str">
        <f>IF($D$14&lt;&gt;F$14,"N/A",IF(System_Number_Reduced&lt;=8,K.ION_Reduced*(70-T.OA_Reduced),0))</f>
        <v>N/A</v>
      </c>
      <c r="G126" s="132" t="s">
        <v>211</v>
      </c>
      <c r="H126" s="126"/>
      <c r="I126" s="126"/>
      <c r="L126" s="1134"/>
      <c r="Q126" s="1133"/>
    </row>
    <row r="127" spans="2:17" ht="18" x14ac:dyDescent="0.3">
      <c r="B127" s="691" t="s">
        <v>512</v>
      </c>
      <c r="C127" s="134" t="s">
        <v>650</v>
      </c>
      <c r="D127" s="628" t="str">
        <f>IF(OR($D$14="Unknown",D14="11.1"),"11.2",$D$14) &amp; ".10.8"</f>
        <v>11.2.10.8</v>
      </c>
      <c r="E127" s="517" t="str">
        <f>IF($D$14&lt;&gt;E$14,"N/A",IF(Post_Purge_Max?="No","N/A",
IF(OR(System_Number_Max=2,System_Number_Max=3,System_Number_Max=4),100*C.P_Max*M.FON_Max*tp_Max*(T.FSS_Max+460)*(1/(t.ON_Max*Q.IN_Max/60))*((70-T.OA_Max)/(C.TOFF_Max*(T.FSS_Max-T.FOFF.tp_Max))*LN((T.RA_Max+460+C.TOFF_Max*(T.FSS_Max-T.RA_Max))/(T.RA_Max+460+C.TOFF_Max*(T.FOFF.tp_Max-T.RA_Max)))),
IF(System_Number_Max=10,0,
"N/A"))))</f>
        <v>N/A</v>
      </c>
      <c r="F127" s="517" t="str">
        <f>IF($D$14&lt;&gt;F$14,"N/A",IF(Post_Purge_Reduced?="No","N/A",
IF(OR(System_Number_Reduced=2,System_Number_Reduced=3,System_Number_Reduced=4),100*C.P_Reduced*M.FON_Reduced*tp_Reduced*(T.FSS_Reduced+460)*(1/(t.ON_Reduced*Q.IN_Reduced/60))*((70-T.OA_Reduced)/(C.TOFF_Reduced*(T.FSS_Reduced-T.FOFF.tp_Reduced))*LN(('Non-Con, Mod Calculations'!T.RA_Reduced+460+C.TOFF_Reduced*(T.FSS_Reduced-'Non-Con, Mod Calculations'!T.RA_Reduced))/('Non-Con, Mod Calculations'!T.RA_Reduced+460+C.TOFF_Reduced*(T.FOFF.tp_Reduced-'Non-Con, Mod Calculations'!T.RA_Reduced)))),
IF(System_Number_Reduced=10,0,
"N/A"))))</f>
        <v>N/A</v>
      </c>
      <c r="G127" s="132" t="s">
        <v>211</v>
      </c>
      <c r="H127" s="126"/>
      <c r="I127" s="126"/>
      <c r="L127" s="1134"/>
      <c r="Q127" s="1133"/>
    </row>
    <row r="128" spans="2:17" ht="18" x14ac:dyDescent="0.3">
      <c r="B128" s="691" t="s">
        <v>513</v>
      </c>
      <c r="C128" s="134" t="s">
        <v>651</v>
      </c>
      <c r="D128" s="628" t="str">
        <f>IF(OR($D$14="Unknown",D14="11.1"),"11.2",$D$14) &amp; ".10.8"</f>
        <v>11.2.10.8</v>
      </c>
      <c r="E128" s="504" t="str">
        <f>IF($D$14&lt;&gt;E$14,"N/A",IF(Post_Purge_Max?="No","N/A",
IF(System_Number_Max=10,0,
IF(OR(System_Number_Max=2,System_Number_Max=4),K.IOFF_Max*(70-T.OA_Max)*((t.OFF_Max-tp_Max)/t.ON_Max)*(F7_Max+Psi.SIX_Max*F8_Max),
K.IOFF_Max*(70-T.OA_Max)*((t.OFF_Max-tp_Max)/t.ON_Max)*(F7_Max+Psi.FI_Max*F8_Max)))))</f>
        <v>N/A</v>
      </c>
      <c r="F128" s="504" t="str">
        <f>IF($D$14&lt;&gt;F$14,"N/A",IF(Post_Purge_Reduced?="No","N/A",
IF(System_Number_Reduced=10,0,
IF(OR(System_Number_Reduced=2,System_Number_Reduced=4),K.IOFF_Reduced*(70-T.OA_Reduced)*((t.OFF_Reduced-tp_Reduced)/t.ON_Reduced)*(F7_Reduced+Psi.SIX_Reduced*F8_Reduced),
K.IOFF_Reduced*(70-T.OA_Reduced)*((t.OFF_Reduced-tp_Reduced)/t.ON_Reduced)*(F7_Reduced+Psi.FI_Reduced*F8_Reduced)))))</f>
        <v>N/A</v>
      </c>
      <c r="G128" s="132" t="s">
        <v>211</v>
      </c>
      <c r="H128" s="126"/>
      <c r="I128" s="126"/>
      <c r="L128" s="1134"/>
      <c r="Q128" s="1133"/>
    </row>
    <row r="129" spans="2:17" ht="18.75" thickBot="1" x14ac:dyDescent="0.35">
      <c r="B129" s="693" t="s">
        <v>467</v>
      </c>
      <c r="C129" s="835" t="s">
        <v>652</v>
      </c>
      <c r="D129" s="695" t="str">
        <f>IF(OR($D$14="Unknown",D14="11.1"),"11.2",$D$14) &amp; ".10.8"</f>
        <v>11.2.10.8</v>
      </c>
      <c r="E129" s="852" t="str">
        <f>IF($D$14&lt;&gt;E$14,"N/A",IF(Post_Purge_Max?="No",
IF(System_Number_Max=3,K.IOFF_Max*(70-T.OA_Max)*(t.OFF_Max/t.ON_Max)*(F7_Max+Psi.FI_Max*F8_Max),
IF(OR(System_Number_Max=9,System_Number_Max=10),0,
K.IOFF_Max*(70-T.OA_Max)*(t.OFF_Max/t.ON_Max)*(F7_Max+Psi.SIX_Max*F8_Max))),
L.IOFF1_Max+L.IOFF2_Max))</f>
        <v>N/A</v>
      </c>
      <c r="F129" s="852" t="str">
        <f>IF($D$14&lt;&gt;F$14,"N/A",IF(Post_Purge_Reduced?="No",
IF(System_Number_Reduced=3,K.IOFF_Reduced*(70-T.OA_Reduced)*(t.OFF_Reduced/t.ON_Reduced)*(F7_Reduced+Psi.FI_Reduced*F8_Reduced),
IF(OR(System_Number_Reduced=9,System_Number_Reduced=10),0,
K.IOFF_Reduced*(70-T.OA_Reduced)*(t.OFF_Reduced/t.ON_Reduced)*(F7_Reduced+Psi.SIX_Reduced*F8_Reduced))),
L.IOFF1_Reduced+L.IOFF2_Reduced))</f>
        <v>N/A</v>
      </c>
      <c r="G129" s="699" t="s">
        <v>211</v>
      </c>
      <c r="H129" s="126"/>
      <c r="I129" s="126"/>
      <c r="L129" s="1134"/>
      <c r="Q129" s="1133"/>
    </row>
    <row r="130" spans="2:17" ht="17.25" thickBot="1" x14ac:dyDescent="0.35">
      <c r="B130" s="804"/>
      <c r="C130" s="781"/>
      <c r="D130" s="781"/>
      <c r="E130" s="513"/>
      <c r="F130" s="513"/>
      <c r="G130" s="805"/>
      <c r="H130" s="126"/>
      <c r="I130" s="126"/>
      <c r="L130" s="1134"/>
      <c r="Q130" s="1133"/>
    </row>
    <row r="131" spans="2:17" ht="17.25" x14ac:dyDescent="0.3">
      <c r="B131" s="820" t="s">
        <v>150</v>
      </c>
      <c r="C131" s="821"/>
      <c r="D131" s="821"/>
      <c r="E131" s="822"/>
      <c r="F131" s="822"/>
      <c r="G131" s="823"/>
      <c r="H131" s="126"/>
      <c r="I131" s="126"/>
      <c r="L131" s="1134"/>
      <c r="Q131" s="1133"/>
    </row>
    <row r="132" spans="2:17" ht="18" x14ac:dyDescent="0.3">
      <c r="B132" s="808" t="s">
        <v>212</v>
      </c>
      <c r="C132" s="795" t="s">
        <v>653</v>
      </c>
      <c r="D132" s="796" t="str">
        <f>IF(OR($D$14="Unknown",D14="11.1"),"11.2",$D$14) &amp; ".11"</f>
        <v>11.2.11</v>
      </c>
      <c r="E132" s="492" t="str">
        <f>IF($D$14&lt;&gt;E$14,"N/A",IF('Sys. # &amp; Product Characteristic'!Installation="Indoor",0,
IF('Sys. # &amp; Product Characteristic'!Installation="Outdoor",IF(Finned_Tube_Boiler="Yes",1,4.7),
IF(Finned_Tube_Boiler="Yes",0.5,2.4))))</f>
        <v>N/A</v>
      </c>
      <c r="F132" s="492" t="str">
        <f>IF($D$14&lt;&gt;F$14,"N/A",IF('Sys. # &amp; Product Characteristic'!Installation="Indoor",0,
IF('Sys. # &amp; Product Characteristic'!Installation="Outdoor",IF(Finned_Tube_Boiler="Yes",1,4.7),
IF(Finned_Tube_Boiler="Yes",0.5,2.4))))</f>
        <v>N/A</v>
      </c>
      <c r="G132" s="807" t="s">
        <v>175</v>
      </c>
      <c r="H132" s="126"/>
      <c r="I132" s="126"/>
      <c r="L132" s="1134"/>
      <c r="Q132" s="1133"/>
    </row>
    <row r="133" spans="2:17" ht="18" x14ac:dyDescent="0.3">
      <c r="B133" s="691" t="s">
        <v>468</v>
      </c>
      <c r="C133" s="134" t="s">
        <v>654</v>
      </c>
      <c r="D133" s="628" t="str">
        <f>IF(OR($D$14="Unknown",D14="11.1"),"11.2",$D$14) &amp; ".11"</f>
        <v>11.2.11</v>
      </c>
      <c r="E133" s="504" t="str">
        <f>IF($D$14&lt;&gt;E$14,"N/A",'Max Test'!Q.P)</f>
        <v>N/A</v>
      </c>
      <c r="F133" s="504" t="str">
        <f>IF($D$14&lt;&gt;F$14,"N/A",'Reduced Test'!Q.P)</f>
        <v>N/A</v>
      </c>
      <c r="G133" s="132" t="s">
        <v>37</v>
      </c>
      <c r="H133" s="126"/>
      <c r="I133" s="126"/>
      <c r="L133" s="1134"/>
      <c r="Q133" s="1133"/>
    </row>
    <row r="134" spans="2:17" ht="18" x14ac:dyDescent="0.3">
      <c r="B134" s="691" t="s">
        <v>514</v>
      </c>
      <c r="C134" s="134" t="s">
        <v>659</v>
      </c>
      <c r="D134" s="679" t="str">
        <f>IF($D$14="11.4","11.4.11.1",
IF($D$14="11.5","DOE 10.2",
"11.(4 or 5).11.1"))</f>
        <v>11.(4 or 5).11.1</v>
      </c>
      <c r="E134" s="1339"/>
      <c r="F134" s="491" t="str">
        <f>IF($D$14&lt;&gt;F$14,"N/A",100-L.LA_Reduced-C.J_Reduced*L.J_Reduced-(t.ON_Reduced/(t.ON_Reduced+(Q.P_Reduced/Q.IN_Reduced)*t.OFF_Reduced))*(L.SON_Reduced+L.SOFF_Reduced+L.ION_Reduced+L.IOFF_Reduced))</f>
        <v>N/A</v>
      </c>
      <c r="G134" s="132" t="s">
        <v>211</v>
      </c>
      <c r="H134" s="126"/>
      <c r="I134" s="126"/>
      <c r="L134" s="1134"/>
      <c r="Q134" s="1133"/>
    </row>
    <row r="135" spans="2:17" ht="18" x14ac:dyDescent="0.3">
      <c r="B135" s="691" t="s">
        <v>515</v>
      </c>
      <c r="C135" s="134" t="s">
        <v>660</v>
      </c>
      <c r="D135" s="679" t="str">
        <f>IF($D$14="11.4","11.4.11.2",
IF($D$14="11.5","DOE 10.3",
"11.(4 or 5).11.2"))</f>
        <v>11.(4 or 5).11.2</v>
      </c>
      <c r="E135" s="491" t="str">
        <f>IF($D$14&lt;&gt;E$14,"N/A",IFERROR(100-L.LA_Max-C.J_Max*L.J_Max-(t.ON_Max/(t.ON_Max+(Q.P_Max/Q.IN_Max)*t.OFF_Max))*(L.SON_Max+L.SOFF_Max+L.ION_Max+L.IOFF_Max),""))</f>
        <v>N/A</v>
      </c>
      <c r="F135" s="559"/>
      <c r="G135" s="132" t="s">
        <v>211</v>
      </c>
      <c r="H135" s="126"/>
      <c r="I135" s="126"/>
      <c r="L135" s="1134"/>
      <c r="Q135" s="1133"/>
    </row>
    <row r="136" spans="2:17" ht="18.75" thickBot="1" x14ac:dyDescent="0.35">
      <c r="B136" s="693" t="s">
        <v>150</v>
      </c>
      <c r="C136" s="694" t="s">
        <v>661</v>
      </c>
      <c r="D136" s="695" t="str">
        <f>IF(D14="11.1","11.1",IF($D$14="Unknown","11.2",$D$14) &amp; ".11")</f>
        <v>11.2.11</v>
      </c>
      <c r="E136" s="855" t="str">
        <f>IF($D$14&lt;&gt;E$14,"N/A",IF('Sys. # &amp; Product Characteristic'!Control_Type="Two-Stage Modulating",X.H*Effy.UH+X.R*Effy.UR,
IF('Sys. # &amp; Product Characteristic'!Control_Type="Step Modulating",X.H*Effy.UM+X.R*Effy.UR,
"N/A")))</f>
        <v>N/A</v>
      </c>
      <c r="F136" s="610"/>
      <c r="G136" s="699" t="s">
        <v>211</v>
      </c>
      <c r="H136" s="126"/>
      <c r="I136" s="126"/>
      <c r="L136" s="1134"/>
      <c r="Q136" s="1133"/>
    </row>
    <row r="137" spans="2:17" ht="17.25" thickBot="1" x14ac:dyDescent="0.35">
      <c r="B137" s="804"/>
      <c r="C137" s="781"/>
      <c r="D137" s="781"/>
      <c r="E137" s="513"/>
      <c r="F137" s="669"/>
      <c r="G137" s="805"/>
      <c r="H137" s="126"/>
      <c r="I137" s="126"/>
      <c r="L137" s="1134"/>
      <c r="Q137" s="1133"/>
    </row>
    <row r="138" spans="2:17" ht="17.25" x14ac:dyDescent="0.3">
      <c r="B138" s="820" t="s">
        <v>151</v>
      </c>
      <c r="C138" s="821"/>
      <c r="D138" s="821"/>
      <c r="E138" s="822"/>
      <c r="F138" s="822"/>
      <c r="G138" s="823"/>
      <c r="H138" s="126"/>
      <c r="I138" s="126"/>
      <c r="L138" s="1134"/>
      <c r="Q138" s="1133"/>
    </row>
    <row r="139" spans="2:17" x14ac:dyDescent="0.3">
      <c r="B139" s="808" t="s">
        <v>673</v>
      </c>
      <c r="C139" s="795" t="s">
        <v>175</v>
      </c>
      <c r="D139" s="796" t="str">
        <f>IF(D10="11.1","11.1",IF($D$14="Unknown","11.2",$D$14) &amp; ".12")</f>
        <v>11.2.12</v>
      </c>
      <c r="E139" s="800" t="str">
        <f>IF($D$14&lt;&gt;E$14,"N/A",5200)</f>
        <v>N/A</v>
      </c>
      <c r="F139" s="801"/>
      <c r="G139" s="807" t="s">
        <v>674</v>
      </c>
      <c r="H139" s="126"/>
      <c r="I139" s="126"/>
      <c r="L139" s="1134"/>
      <c r="Q139" s="1133"/>
    </row>
    <row r="140" spans="2:17" x14ac:dyDescent="0.3">
      <c r="B140" s="691" t="s">
        <v>675</v>
      </c>
      <c r="C140" s="134" t="s">
        <v>175</v>
      </c>
      <c r="D140" s="628" t="str">
        <f>IF(D11="11.1","11.1",IF($D$14="Unknown","11.2",$D$14) &amp; ".12")</f>
        <v>11.2.12</v>
      </c>
      <c r="E140" s="684" t="str">
        <f>IF($D$14&lt;&gt;E$14,"N/A",4600)</f>
        <v>N/A</v>
      </c>
      <c r="F140" s="559"/>
      <c r="G140" s="132" t="s">
        <v>676</v>
      </c>
      <c r="H140" s="126"/>
      <c r="I140" s="126"/>
      <c r="L140" s="1134"/>
      <c r="Q140" s="1133"/>
    </row>
    <row r="141" spans="2:17" x14ac:dyDescent="0.3">
      <c r="B141" s="691" t="s">
        <v>677</v>
      </c>
      <c r="C141" s="134" t="s">
        <v>175</v>
      </c>
      <c r="D141" s="628" t="str">
        <f>IF(D12="11.1","11.1",IF($D$14="Unknown","11.2",$D$14) &amp; ".12")</f>
        <v>11.2.12</v>
      </c>
      <c r="E141" s="711" t="str">
        <f>IF($D$14&lt;&gt;E$14,"N/A",2.5)</f>
        <v>N/A</v>
      </c>
      <c r="F141" s="559"/>
      <c r="G141" s="132" t="s">
        <v>51</v>
      </c>
      <c r="H141" s="126"/>
      <c r="I141" s="126"/>
      <c r="L141" s="1134"/>
      <c r="Q141" s="1133"/>
    </row>
    <row r="142" spans="2:17" x14ac:dyDescent="0.3">
      <c r="B142" s="691" t="s">
        <v>151</v>
      </c>
      <c r="C142" s="134" t="s">
        <v>32</v>
      </c>
      <c r="D142" s="628" t="str">
        <f>IF(D14="11.1","11.1",IF($D$14="Unknown","11.2",$D$14) &amp; ".12")</f>
        <v>11.2.12</v>
      </c>
      <c r="E142" s="491" t="str">
        <f>IF($D$14&lt;&gt;E$14,"N/A",IFERROR(E139*Effy.SS_Max*Effy.HS/(E139*Effy.SS_Max+E141*(1+alpha)*E140*Effy.HS*(Q.P_Max/Q.IN_Max)),""))</f>
        <v>N/A</v>
      </c>
      <c r="F142" s="559"/>
      <c r="G142" s="132" t="s">
        <v>211</v>
      </c>
      <c r="H142" s="126"/>
      <c r="I142" s="126"/>
      <c r="L142" s="1134"/>
      <c r="Q142" s="1133"/>
    </row>
    <row r="143" spans="2:17" ht="33.75" thickBot="1" x14ac:dyDescent="0.35">
      <c r="B143" s="693" t="s">
        <v>1316</v>
      </c>
      <c r="C143" s="694" t="s">
        <v>32</v>
      </c>
      <c r="D143" s="695" t="str">
        <f>IF(D17="11.1","11.1",IF($D$14="Unknown","11.2",$D$14) &amp; ".12")</f>
        <v>11.2.12</v>
      </c>
      <c r="E143" s="1163"/>
      <c r="F143" s="610"/>
      <c r="G143" s="699" t="s">
        <v>211</v>
      </c>
      <c r="H143" s="126"/>
      <c r="I143" s="126"/>
      <c r="L143" s="1134"/>
      <c r="Q143" s="1133"/>
    </row>
    <row r="144" spans="2:17" ht="17.25" thickBot="1" x14ac:dyDescent="0.35">
      <c r="B144" s="804"/>
      <c r="C144" s="781"/>
      <c r="D144" s="781"/>
      <c r="E144" s="513"/>
      <c r="F144" s="669"/>
      <c r="G144" s="805"/>
      <c r="H144" s="126"/>
      <c r="I144" s="126"/>
      <c r="L144" s="1134"/>
      <c r="Q144" s="1133"/>
    </row>
    <row r="145" spans="2:17" ht="18.75" x14ac:dyDescent="0.3">
      <c r="B145" s="856" t="s">
        <v>854</v>
      </c>
      <c r="C145" s="821"/>
      <c r="D145" s="821"/>
      <c r="E145" s="822"/>
      <c r="F145" s="822"/>
      <c r="G145" s="823"/>
      <c r="H145" s="126"/>
      <c r="I145" s="126"/>
      <c r="L145" s="1134"/>
      <c r="Q145" s="1133"/>
    </row>
    <row r="146" spans="2:17" ht="18" x14ac:dyDescent="0.3">
      <c r="B146" s="808" t="s">
        <v>493</v>
      </c>
      <c r="C146" s="795" t="s">
        <v>615</v>
      </c>
      <c r="D146" s="799" t="s">
        <v>237</v>
      </c>
      <c r="E146" s="504" t="str">
        <f>IF($D$14&lt;&gt;E$14,"N/A",(R.TF_Max*AF_Max+1)*Q.IN_Max/(HHV.A_Max*60))</f>
        <v>N/A</v>
      </c>
      <c r="F146" s="504" t="str">
        <f>IF($D$14&lt;&gt;F$14,"N/A",(R.TF_Reduced*AF_Reduced+1)*Q.IN_Reduced/(HHV.A_Reduced*60))</f>
        <v>N/A</v>
      </c>
      <c r="G146" s="807" t="s">
        <v>524</v>
      </c>
      <c r="H146" s="126"/>
      <c r="I146" s="126"/>
      <c r="L146" s="1134"/>
      <c r="Q146" s="1133"/>
    </row>
    <row r="147" spans="2:17" ht="18" x14ac:dyDescent="0.3">
      <c r="B147" s="689" t="s">
        <v>241</v>
      </c>
      <c r="C147" s="496" t="s">
        <v>684</v>
      </c>
      <c r="D147" s="679" t="s">
        <v>238</v>
      </c>
      <c r="E147" s="504" t="str">
        <f>IF($D$14&lt;&gt;E$14,"N/A",IF('Max Test'!V.T="","",'Max Test'!V.T))</f>
        <v>N/A</v>
      </c>
      <c r="F147" s="504" t="str">
        <f>IF($D$14&lt;&gt;F$14,"N/A",IF('Reduced Test'!V.T="","",'Reduced Test'!V.T))</f>
        <v>N/A</v>
      </c>
      <c r="G147" s="497" t="s">
        <v>243</v>
      </c>
      <c r="H147" s="126"/>
      <c r="I147" s="126"/>
      <c r="L147" s="1134"/>
      <c r="Q147" s="1133"/>
    </row>
    <row r="148" spans="2:17" ht="18" x14ac:dyDescent="0.3">
      <c r="B148" s="689" t="s">
        <v>240</v>
      </c>
      <c r="C148" s="496" t="s">
        <v>685</v>
      </c>
      <c r="D148" s="679" t="s">
        <v>238</v>
      </c>
      <c r="E148" s="504" t="str">
        <f>IF($D$14&lt;&gt;E$14,"N/A",IF('Max Test'!C.T="","",'Max Test'!C.T))</f>
        <v>N/A</v>
      </c>
      <c r="F148" s="504" t="str">
        <f>IF($D$14&lt;&gt;F$14,"N/A",IF('Reduced Test'!C.T_TG="","",'Reduced Test'!C.T_TG))</f>
        <v>N/A</v>
      </c>
      <c r="G148" s="497" t="s">
        <v>211</v>
      </c>
      <c r="H148" s="126"/>
      <c r="I148" s="126"/>
      <c r="L148" s="1134"/>
      <c r="Q148" s="1133"/>
    </row>
    <row r="149" spans="2:17" ht="32.1" customHeight="1" x14ac:dyDescent="0.3">
      <c r="B149" s="689" t="s">
        <v>1287</v>
      </c>
      <c r="C149" s="496" t="s">
        <v>690</v>
      </c>
      <c r="D149" s="679" t="s">
        <v>238</v>
      </c>
      <c r="E149" s="504" t="str">
        <f>IF($D$14&lt;&gt;E$14,"N/A",IF('Max Test'!C.TM="","",'Max Test'!C.TM))</f>
        <v>N/A</v>
      </c>
      <c r="F149" s="504" t="str">
        <f>IF($D$14&lt;&gt;F$14,"N/A",IF('Reduced Test'!C.TM_TG="","",'Reduced Test'!C.TM_TG))</f>
        <v>N/A</v>
      </c>
      <c r="G149" s="497" t="s">
        <v>211</v>
      </c>
      <c r="H149" s="126"/>
      <c r="I149" s="126"/>
      <c r="L149" s="1134"/>
      <c r="Q149" s="1133"/>
    </row>
    <row r="150" spans="2:17" ht="18" x14ac:dyDescent="0.3">
      <c r="B150" s="689" t="s">
        <v>495</v>
      </c>
      <c r="C150" s="874" t="s">
        <v>863</v>
      </c>
      <c r="D150" s="679" t="s">
        <v>238</v>
      </c>
      <c r="E150" s="504" t="str">
        <f>IF($D$14&lt;&gt;E$14,"N/A",IF('Max Test'!Rho.F="","",'Max Test'!Rho.F))</f>
        <v>N/A</v>
      </c>
      <c r="F150" s="504" t="str">
        <f>IF($D$14&lt;&gt;F$14,"N/A",IF('Reduced Test'!C220="","",'Reduced Test'!C220))</f>
        <v>N/A</v>
      </c>
      <c r="G150" s="497" t="s">
        <v>864</v>
      </c>
      <c r="H150" s="126"/>
      <c r="I150" s="126"/>
      <c r="L150" s="1134"/>
      <c r="Q150" s="1133"/>
    </row>
    <row r="151" spans="2:17" ht="18" x14ac:dyDescent="0.3">
      <c r="B151" s="691" t="s">
        <v>494</v>
      </c>
      <c r="C151" s="134" t="s">
        <v>616</v>
      </c>
      <c r="D151" s="679" t="s">
        <v>238</v>
      </c>
      <c r="E151" s="491" t="str">
        <f>IF($D$14&lt;&gt;E$14,"N/A",IFERROR((C.TM_Max-C.T_Max)*V.T_Max*Rho.F/C.T_Max,""))</f>
        <v>N/A</v>
      </c>
      <c r="F151" s="491" t="str">
        <f>IF($D$14&lt;&gt;F$14,"N/A",IFERROR((C.TM_Reduced-C.T_Reduced)*V.T_Reduced*Rho.F_Reduced/C.T_Reduced,""))</f>
        <v>N/A</v>
      </c>
      <c r="G151" s="132" t="s">
        <v>524</v>
      </c>
      <c r="H151" s="126"/>
      <c r="I151" s="126"/>
      <c r="L151" s="1134"/>
      <c r="Q151" s="1133"/>
    </row>
    <row r="152" spans="2:17" x14ac:dyDescent="0.3">
      <c r="B152" s="691" t="s">
        <v>502</v>
      </c>
      <c r="C152" s="134" t="s">
        <v>175</v>
      </c>
      <c r="D152" s="679" t="s">
        <v>239</v>
      </c>
      <c r="E152" s="491" t="str">
        <f>IF($D$14&lt;&gt;E$14,"N/A",IF('Max Test'!Imposed_draft?="","",'Max Test'!Imposed_draft?))</f>
        <v>N/A</v>
      </c>
      <c r="F152" s="491" t="str">
        <f>IF($D$14&lt;&gt;F$14,"N/A",IF('Reduced Test'!C208="","",'Reduced Test'!C208))</f>
        <v>N/A</v>
      </c>
      <c r="G152" s="132" t="s">
        <v>175</v>
      </c>
      <c r="H152" s="126"/>
      <c r="I152" s="126"/>
      <c r="L152" s="1134"/>
      <c r="Q152" s="1133"/>
    </row>
    <row r="153" spans="2:17" ht="18" x14ac:dyDescent="0.3">
      <c r="B153" s="691" t="s">
        <v>501</v>
      </c>
      <c r="C153" s="134" t="s">
        <v>617</v>
      </c>
      <c r="D153" s="679" t="s">
        <v>239</v>
      </c>
      <c r="E153" s="491" t="str">
        <f>IF($D$14&lt;&gt;E$14,"N/A",IF('Max Test'!T.FOFF="","",'Max Test'!T.FOFF))</f>
        <v>N/A</v>
      </c>
      <c r="F153" s="491" t="str">
        <f>IF($D$14&lt;&gt;F$14,"N/A",IF('Reduced Test'!T.FOFF="","",'Reduced Test'!T.FOFF))</f>
        <v>N/A</v>
      </c>
      <c r="G153" s="132" t="s">
        <v>51</v>
      </c>
      <c r="H153" s="126"/>
      <c r="I153" s="126"/>
      <c r="L153" s="1134"/>
      <c r="Q153" s="1133"/>
    </row>
    <row r="154" spans="2:17" ht="18" x14ac:dyDescent="0.3">
      <c r="B154" s="691" t="s">
        <v>500</v>
      </c>
      <c r="C154" s="134" t="s">
        <v>618</v>
      </c>
      <c r="D154" s="679" t="s">
        <v>239</v>
      </c>
      <c r="E154" s="490" t="str">
        <f>IF($D$14&lt;&gt;E$14,"N/A",
IF(Draft_Imposed_Max?="","",
IF(Draft_Imposed_Max?="Yes",M.FM_Max,
M.FM_Max*((T.FSS_Max-T.RA_Max)/(T.FOFF_Max-T.RA_Max))^0.56*((T.FOFF_Max+460)/(T.FSS_Max+460))^1.19
)))</f>
        <v>N/A</v>
      </c>
      <c r="F154" s="490" t="str">
        <f>IF($D$14&lt;&gt;F$14,"N/A",
IF(Draft_Imposed_Reduced?="","",
IF(Draft_Imposed_Reduced?="Yes",M.FM_Reduced,
M.FM_Reduced*((T.FSS_Reduced-'Non-Con, Mod Calculations'!T.RA_Reduced)/(F153-'Non-Con, Mod Calculations'!T.RA_Reduced))^0.56*((F153+460)/(T.FSS_Reduced+460))^1.19
)))</f>
        <v>N/A</v>
      </c>
      <c r="G154" s="132" t="s">
        <v>524</v>
      </c>
      <c r="H154" s="126"/>
      <c r="I154" s="126"/>
      <c r="L154" s="1134"/>
      <c r="Q154" s="1133"/>
    </row>
    <row r="155" spans="2:17" ht="18.75" thickBot="1" x14ac:dyDescent="0.35">
      <c r="B155" s="693" t="s">
        <v>538</v>
      </c>
      <c r="C155" s="694" t="s">
        <v>619</v>
      </c>
      <c r="D155" s="857" t="s">
        <v>537</v>
      </c>
      <c r="E155" s="858" t="str">
        <f>IF($D$14&lt;&gt;E$14,"N/A",IF(M.FOFF_Max/M.FON_Max&lt;0.1,0.05,(M.FOFF_Max/M.FON_Max)))</f>
        <v>N/A</v>
      </c>
      <c r="F155" s="858" t="str">
        <f>IF($D$14&lt;&gt;F$14,"N/A",IF(M.FOFF_Reduced/M.FON_Reduced&lt;0.1,0.05,M.FOFF_Reduced/M.FON_Reduced))</f>
        <v>N/A</v>
      </c>
      <c r="G155" s="699" t="s">
        <v>175</v>
      </c>
      <c r="H155" s="126"/>
      <c r="I155" s="126"/>
      <c r="L155" s="1134"/>
      <c r="Q155" s="1133"/>
    </row>
    <row r="156" spans="2:17" ht="17.25" thickBot="1" x14ac:dyDescent="0.35">
      <c r="B156" s="804"/>
      <c r="C156" s="781"/>
      <c r="D156" s="781"/>
      <c r="E156" s="499"/>
      <c r="F156" s="499"/>
      <c r="G156" s="805"/>
      <c r="H156" s="126"/>
      <c r="I156" s="126"/>
      <c r="L156" s="1134"/>
      <c r="Q156" s="1133"/>
    </row>
    <row r="157" spans="2:17" ht="17.25" x14ac:dyDescent="0.3">
      <c r="B157" s="856" t="s">
        <v>855</v>
      </c>
      <c r="C157" s="821"/>
      <c r="D157" s="821"/>
      <c r="E157" s="822"/>
      <c r="F157" s="822"/>
      <c r="G157" s="823"/>
      <c r="H157" s="126"/>
      <c r="I157" s="126"/>
      <c r="L157" s="1134"/>
      <c r="Q157" s="1133"/>
    </row>
    <row r="158" spans="2:17" ht="18" x14ac:dyDescent="0.3">
      <c r="B158" s="808" t="s">
        <v>540</v>
      </c>
      <c r="C158" s="798" t="s">
        <v>620</v>
      </c>
      <c r="D158" s="799" t="s">
        <v>539</v>
      </c>
      <c r="E158" s="490" t="str">
        <f>IF($D$14&lt;&gt;E$14,"N/A",
IF(OR(System_Number_Max=2,System_Number_Max=3,System_Number_Max=4,System_Number_Max=6,System_Number_Max=8,System_Number_Max=10,AND(System_Number_Max=9,'Sys. # &amp; Product Characteristic'!C15&lt;&gt;"No")),D.P_Max_Power_Burner_Direct_Vent,"N/A"))</f>
        <v>N/A</v>
      </c>
      <c r="F158" s="490" t="str">
        <f>IF($D$14&lt;&gt;F$14,"N/A",
IF(OR(System_Number_Reduced=2,System_Number_Reduced=3,System_Number_Reduced=4,System_Number_Reduced=6,System_Number_Reduced=8,System_Number_Reduced=10,AND(System_Number_Reduced=9,'Sys. # &amp; Product Characteristic'!C15&lt;&gt;"No")),D.P_Reduced_Power_Vent_Direct_Vent,"N/A"))</f>
        <v>N/A</v>
      </c>
      <c r="G158" s="807" t="s">
        <v>175</v>
      </c>
      <c r="H158" s="126"/>
      <c r="I158" s="126"/>
      <c r="L158" s="1134"/>
      <c r="Q158" s="1133"/>
    </row>
    <row r="159" spans="2:17" ht="18.75" thickBot="1" x14ac:dyDescent="0.35">
      <c r="B159" s="693" t="s">
        <v>542</v>
      </c>
      <c r="C159" s="835" t="s">
        <v>621</v>
      </c>
      <c r="D159" s="859" t="s">
        <v>541</v>
      </c>
      <c r="E159" s="860" t="str">
        <f>IF($D$14&lt;&gt;E$14,"N/A",
IF(System_Number_Max=2,1,
IF(System_Number_Max=3,D.F_Max_Power_Burner_Direct_Vent,
IF(System_Number_Max=4,(0.79+D.P_Max_Power_Burner_Direct_Vent)/1.4,
IF(System_Number_Max=6,D.O_Max,
IF(System_Number_Max=8,((0.79+D.P_Max_Power_Burner_Direct_Vent)/1.4)*D.O_Max,"N/A"))))))</f>
        <v>N/A</v>
      </c>
      <c r="F159" s="860" t="str">
        <f>IF($D$14&lt;&gt;F$14,"N/A",
IF(System_Number_Reduced=2,1,
IF(System_Number_Reduced=3,D.F_Reduced_Power_Burner_Direct_Vent,
IF(System_Number_Reduced=4,(0.79+D.P_Reduced_Power_Vent_Direct_Vent)/1.4,
IF(System_Number_Reduced=6,D.O_Reduced,
IF(System_Number_Reduced=8,((0.79+D.P_Reduced_Power_Vent_Direct_Vent)/1.4)*D.O_Reduced,"N/A"))))))</f>
        <v>N/A</v>
      </c>
      <c r="G159" s="699" t="s">
        <v>175</v>
      </c>
      <c r="H159" s="126"/>
      <c r="I159" s="126"/>
      <c r="L159" s="1134"/>
      <c r="Q159" s="1133"/>
    </row>
    <row r="160" spans="2:17" ht="17.25" thickBot="1" x14ac:dyDescent="0.35">
      <c r="B160" s="804"/>
      <c r="C160" s="781"/>
      <c r="D160" s="781"/>
      <c r="E160" s="792"/>
      <c r="F160" s="792"/>
      <c r="G160" s="792"/>
      <c r="H160" s="792"/>
      <c r="I160" s="135"/>
      <c r="J160" s="559"/>
      <c r="L160" s="1134"/>
      <c r="N160" s="1134"/>
      <c r="Q160" s="1133"/>
    </row>
    <row r="161" spans="2:17" ht="36" customHeight="1" thickBot="1" x14ac:dyDescent="0.35">
      <c r="B161" s="1849" t="s">
        <v>867</v>
      </c>
      <c r="C161" s="1850"/>
      <c r="D161" s="1850"/>
      <c r="E161" s="1850"/>
      <c r="F161" s="1850"/>
      <c r="G161" s="1851"/>
      <c r="H161" s="1231"/>
      <c r="I161" s="1231"/>
      <c r="J161" s="1231"/>
      <c r="K161" s="1231"/>
      <c r="L161" s="1231"/>
      <c r="Q161" s="1133"/>
    </row>
    <row r="162" spans="2:17" ht="18" x14ac:dyDescent="0.3">
      <c r="B162" s="1232" t="s">
        <v>866</v>
      </c>
      <c r="C162" s="1233" t="s">
        <v>692</v>
      </c>
      <c r="D162" s="1234" t="s">
        <v>543</v>
      </c>
      <c r="E162" s="1235" t="str">
        <f>IF($D$14&lt;&gt;E$14,"N/A",IF('Max Test'!Q.SOFF_Closed_TG="","",'Max Test'!Q.SOFF_Closed_TG))</f>
        <v>N/A</v>
      </c>
      <c r="F162" s="1235" t="str">
        <f>IF($D$14&lt;&gt;F$14,"N/A",IF('Reduced Test'!Q.SOFF_Closed="","",'Reduced Test'!Q.SOFF_Closed))</f>
        <v>N/A</v>
      </c>
      <c r="G162" s="1236" t="s">
        <v>175</v>
      </c>
      <c r="H162" s="126"/>
      <c r="I162" s="126"/>
      <c r="L162" s="1134"/>
      <c r="Q162" s="1133"/>
    </row>
    <row r="163" spans="2:17" ht="18" x14ac:dyDescent="0.3">
      <c r="B163" s="778" t="s">
        <v>865</v>
      </c>
      <c r="C163" s="880" t="s">
        <v>692</v>
      </c>
      <c r="D163" s="885" t="s">
        <v>543</v>
      </c>
      <c r="E163" s="491" t="str">
        <f>IF($D$14&lt;&gt;E$14,"N/A",IF(Q.SOFF_Open_TG="","",Q.SOFF_Open_TG))</f>
        <v>N/A</v>
      </c>
      <c r="F163" s="491" t="str">
        <f>IF($D$14&lt;&gt;F$14,"N/A",IF('Reduced Test'!Q.SOFF_Open="","",'Reduced Test'!Q.SOFF_Open))</f>
        <v>N/A</v>
      </c>
      <c r="G163" s="780" t="s">
        <v>175</v>
      </c>
      <c r="H163" s="126"/>
      <c r="I163" s="126"/>
      <c r="L163" s="1134"/>
      <c r="Q163" s="1133"/>
    </row>
    <row r="164" spans="2:17" ht="18" x14ac:dyDescent="0.3">
      <c r="B164" s="809" t="s">
        <v>544</v>
      </c>
      <c r="C164" s="802" t="s">
        <v>622</v>
      </c>
      <c r="D164" s="882" t="s">
        <v>543</v>
      </c>
      <c r="E164" s="491" t="str">
        <f>IF($D$14&lt;&gt;E$14,"N/A",
IF(AND('Sys. # &amp; Product Characteristic'!Burner_Type="Atmospheric",OR('Sys. # &amp; Product Characteristic'!Installation="Integral Draft Diverter",'Sys. # &amp; Product Characteristic'!C17="Draft Hood"),'Sys. # &amp; Product Characteristic'!C22="Yes"),'Non-Con, Mod Calculations'!Q.SOFF_Closed_Max/Q.SOFF_Open_Max,"N/A"))</f>
        <v>N/A</v>
      </c>
      <c r="F164" s="491" t="str">
        <f>IF($D$14&lt;&gt;F$14,"N/A",
IF(AND('Sys. # &amp; Product Characteristic'!Burner_Type="Atmospheric",OR('Sys. # &amp; Product Characteristic'!C17="Integral Draft Diverter",'Sys. # &amp; Product Characteristic'!C17="Draft Hood"),'Sys. # &amp; Product Characteristic'!C22="Yes"),'Non-Con, Mod Calculations'!Q.SOFF_Closed_Reduced/Q.SOFF_Open_Reduced,"N/A"))</f>
        <v>N/A</v>
      </c>
      <c r="G164" s="884" t="s">
        <v>175</v>
      </c>
      <c r="H164" s="126"/>
      <c r="I164" s="126"/>
      <c r="L164" s="1134"/>
      <c r="Q164" s="1133"/>
    </row>
    <row r="165" spans="2:17" ht="18.75" thickBot="1" x14ac:dyDescent="0.35">
      <c r="B165" s="693" t="s">
        <v>538</v>
      </c>
      <c r="C165" s="835" t="s">
        <v>619</v>
      </c>
      <c r="D165" s="859" t="s">
        <v>545</v>
      </c>
      <c r="E165" s="854" t="str">
        <f>IF($D$14&lt;&gt;E$14,"N/A",IF(OR(System_Number_Max=1,AND(System_Number_Max=9,'Sys. # &amp; Product Characteristic'!Installation="Isolated Combustion System")),K.L_Max,"N/A"))</f>
        <v>N/A</v>
      </c>
      <c r="F165" s="854" t="str">
        <f>IF($D$14&lt;&gt;F$14,"N/A",IF(OR(System_Number_Reduced=1,AND(System_Number_Reduced=9,'Sys. # &amp; Product Characteristic'!Installation="Isolated Combustion System")),K.L_Reduced,"N/A"))</f>
        <v>N/A</v>
      </c>
      <c r="G165" s="699" t="s">
        <v>175</v>
      </c>
      <c r="H165" s="126"/>
      <c r="I165" s="126"/>
      <c r="L165" s="1134"/>
      <c r="Q165" s="1133"/>
    </row>
    <row r="166" spans="2:17" ht="17.25" thickBot="1" x14ac:dyDescent="0.35">
      <c r="B166" s="804"/>
      <c r="C166" s="781"/>
      <c r="D166" s="781"/>
      <c r="E166" s="513"/>
      <c r="F166" s="669"/>
      <c r="G166" s="805"/>
      <c r="H166" s="126"/>
      <c r="I166" s="126"/>
      <c r="L166" s="1134"/>
      <c r="Q166" s="1133"/>
    </row>
    <row r="167" spans="2:17" ht="17.25" x14ac:dyDescent="0.3">
      <c r="B167" s="861" t="s">
        <v>761</v>
      </c>
      <c r="C167" s="862"/>
      <c r="D167" s="862"/>
      <c r="E167" s="862"/>
      <c r="F167" s="862"/>
      <c r="G167" s="863"/>
      <c r="H167" s="126"/>
      <c r="I167" s="126"/>
      <c r="L167" s="1134"/>
      <c r="Q167" s="1133"/>
    </row>
    <row r="168" spans="2:17" x14ac:dyDescent="0.3">
      <c r="B168" s="689" t="s">
        <v>699</v>
      </c>
      <c r="C168" s="794" t="s">
        <v>95</v>
      </c>
      <c r="D168" s="734" t="s">
        <v>1242</v>
      </c>
      <c r="E168" s="629" t="str">
        <f>IF($D$14&lt;&gt;E$14,"N/A",IF('Max Test'!PE="","",'Max Test'!PE))</f>
        <v>N/A</v>
      </c>
      <c r="F168" s="629" t="str">
        <f>IF($D$14&lt;&gt;F$14,"N/A",IF('Reduced Test'!PE="","",'Reduced Test'!PE))</f>
        <v>N/A</v>
      </c>
      <c r="G168" s="497" t="s">
        <v>57</v>
      </c>
      <c r="H168" s="126"/>
      <c r="I168" s="126"/>
      <c r="L168" s="1134"/>
      <c r="Q168" s="1133"/>
    </row>
    <row r="169" spans="2:17" x14ac:dyDescent="0.3">
      <c r="B169" s="691" t="s">
        <v>700</v>
      </c>
      <c r="C169" s="628" t="s">
        <v>96</v>
      </c>
      <c r="D169" s="735" t="s">
        <v>1242</v>
      </c>
      <c r="E169" s="629" t="str">
        <f>IF($D$14&lt;&gt;E$14,"N/A",IF('Max Test'!BE="","",'Max Test'!BE))</f>
        <v>N/A</v>
      </c>
      <c r="F169" s="629" t="str">
        <f>IF($D$14&lt;&gt;F$14,"N/A",IF('Reduced Test'!BE="","",'Reduced Test'!BE))</f>
        <v>N/A</v>
      </c>
      <c r="G169" s="132" t="s">
        <v>57</v>
      </c>
      <c r="H169" s="126"/>
      <c r="I169" s="126"/>
      <c r="L169" s="1134"/>
      <c r="Q169" s="1133"/>
    </row>
    <row r="170" spans="2:17" ht="18" x14ac:dyDescent="0.3">
      <c r="B170" s="691" t="s">
        <v>696</v>
      </c>
      <c r="C170" s="628" t="s">
        <v>701</v>
      </c>
      <c r="D170" s="735" t="s">
        <v>1242</v>
      </c>
      <c r="E170" s="486" t="str">
        <f>IF($D$14&lt;&gt;E$14,"N/A",IF(Post_Purge_Max?="No",1,
IF(E120="Yes",IF('Sys. # &amp; Product Characteristic'!Control_Type="Single Stage",1+tp_Max/9.68,1+tp_Max/15),
IF(OR('Sys. # &amp; Product Characteristic'!Control_Type="Step Modulating",'Sys. # &amp; Product Characteristic'!Control_Type="Two-Stage Modulating"),1+(tp_Max/'Cyclic Timing Calculations'!t.ONH),""))))</f>
        <v>N/A</v>
      </c>
      <c r="F170" s="486" t="str">
        <f>IF($D$14&lt;&gt;E$14,"N/A",IF(AND('Max Test'!Does_the_boiler_employ_a_post_purge? = "Yes", OR('Sys. # &amp; Product Characteristic'!Control_Type = "Step Modulating", 'Sys. # &amp; Product Characteristic'!Control_Type = "Two-Stage Modulating")), (1+(tp_Reduced/'Cyclic Timing Calculations'!t.ONR)), ""))</f>
        <v>N/A</v>
      </c>
      <c r="G170" s="132" t="s">
        <v>175</v>
      </c>
      <c r="H170" s="126" t="s">
        <v>1238</v>
      </c>
      <c r="I170" s="126"/>
      <c r="L170" s="1134"/>
      <c r="Q170" s="1133"/>
    </row>
    <row r="171" spans="2:17" ht="18" x14ac:dyDescent="0.3">
      <c r="B171" s="691" t="s">
        <v>698</v>
      </c>
      <c r="C171" s="628" t="s">
        <v>678</v>
      </c>
      <c r="D171" s="735" t="s">
        <v>1243</v>
      </c>
      <c r="E171" s="486" t="str">
        <f>IF($D$14&lt;&gt;E$14,"N/A",IF('Max Test'!PE.IG="","",'Max Test'!PE.IG))</f>
        <v>N/A</v>
      </c>
      <c r="F171" s="781"/>
      <c r="G171" s="132" t="s">
        <v>57</v>
      </c>
      <c r="H171" s="126"/>
      <c r="I171" s="126"/>
      <c r="L171" s="1134"/>
      <c r="Q171" s="1133"/>
    </row>
    <row r="172" spans="2:17" ht="18" x14ac:dyDescent="0.3">
      <c r="B172" s="691" t="s">
        <v>703</v>
      </c>
      <c r="C172" s="628" t="s">
        <v>679</v>
      </c>
      <c r="D172" s="735" t="s">
        <v>1243</v>
      </c>
      <c r="E172" s="670" t="str">
        <f>IF($D$14&lt;&gt;E$14,"N/A",IF('Max Test'!t.IG="","",'Max Test'!t.IG))</f>
        <v>N/A</v>
      </c>
      <c r="F172" s="781"/>
      <c r="G172" s="132" t="s">
        <v>36</v>
      </c>
      <c r="H172" s="126"/>
      <c r="I172" s="126"/>
      <c r="L172" s="1134"/>
      <c r="Q172" s="1133"/>
    </row>
    <row r="173" spans="2:17" ht="30.95" customHeight="1" x14ac:dyDescent="0.3">
      <c r="B173" s="691" t="s">
        <v>697</v>
      </c>
      <c r="C173" s="628" t="s">
        <v>702</v>
      </c>
      <c r="D173" s="735" t="s">
        <v>1242</v>
      </c>
      <c r="E173" s="670" t="str">
        <f>IF($D$14&lt;&gt;E$14,"N/A",t.IG/'Cyclic Timing Calculations'!t.ONH)</f>
        <v>N/A</v>
      </c>
      <c r="F173" s="486" t="str">
        <f>IF($D$14&lt;&gt;E$14,"N/A", t.IG/'Cyclic Timing Calculations'!t.ONR)</f>
        <v>N/A</v>
      </c>
      <c r="G173" s="132" t="s">
        <v>175</v>
      </c>
      <c r="H173" s="126"/>
      <c r="I173" s="126"/>
      <c r="L173" s="1134"/>
      <c r="Q173" s="1133"/>
    </row>
    <row r="174" spans="2:17" x14ac:dyDescent="0.3">
      <c r="B174" s="691" t="s">
        <v>387</v>
      </c>
      <c r="C174" s="628" t="s">
        <v>175</v>
      </c>
      <c r="D174" s="628" t="s">
        <v>1245</v>
      </c>
      <c r="E174" s="670" t="str">
        <f>IF($D$14&lt;&gt;E$14,"N/A",IF('Max Test'!Pump_delay?="","",'Max Test'!Pump_delay?))</f>
        <v>N/A</v>
      </c>
      <c r="F174" s="781"/>
      <c r="G174" s="132" t="s">
        <v>175</v>
      </c>
      <c r="H174" s="126"/>
      <c r="I174" s="126"/>
      <c r="L174" s="1134"/>
      <c r="Q174" s="1133"/>
    </row>
    <row r="175" spans="2:17" ht="18" x14ac:dyDescent="0.3">
      <c r="B175" s="691" t="s">
        <v>759</v>
      </c>
      <c r="C175" s="628" t="s">
        <v>760</v>
      </c>
      <c r="D175" s="628" t="s">
        <v>1244</v>
      </c>
      <c r="E175" s="670" t="str">
        <f>IF($D$14&lt;&gt;E$14,"N/A",IF('Max Test'!tplus="","",'Max Test'!tplus))</f>
        <v>N/A</v>
      </c>
      <c r="F175" s="781"/>
      <c r="G175" s="132" t="s">
        <v>36</v>
      </c>
      <c r="H175" s="126"/>
      <c r="I175" s="126"/>
      <c r="L175" s="1134"/>
      <c r="Q175" s="1133"/>
    </row>
    <row r="176" spans="2:17" x14ac:dyDescent="0.3">
      <c r="B176" s="691" t="s">
        <v>758</v>
      </c>
      <c r="C176" s="628" t="s">
        <v>757</v>
      </c>
      <c r="D176" s="628" t="s">
        <v>1242</v>
      </c>
      <c r="E176" s="670" t="str">
        <f>IF($D$14&lt;&gt;E$14,"N/A",IF(Pump_Delay?="No",1,IF('Sys. # &amp; Product Characteristic'!Control_Type="Single Stage",1+tplus/9.68,IF(OR('Sys. # &amp; Product Characteristic'!Control_Type="Step Modulating",'Sys. # &amp; Product Characteristic'!Control_Type="Two-Stage Modulating"),1+(tplus/'Cyclic Timing Calculations'!t.ONH),1+tplus/1.5))))</f>
        <v>N/A</v>
      </c>
      <c r="F176" s="486" t="str">
        <f>IF($D$14&lt;&gt;E$14,"N/A",(1+tplus/'Cyclic Timing Calculations'!t.ONR))</f>
        <v>N/A</v>
      </c>
      <c r="G176" s="132" t="s">
        <v>175</v>
      </c>
      <c r="H176" s="126"/>
      <c r="I176" s="126"/>
      <c r="L176" s="1134"/>
      <c r="Q176" s="1133"/>
    </row>
    <row r="177" spans="2:17" ht="18" x14ac:dyDescent="0.3">
      <c r="B177" s="691" t="s">
        <v>754</v>
      </c>
      <c r="C177" s="628" t="s">
        <v>756</v>
      </c>
      <c r="D177" s="628" t="s">
        <v>1242</v>
      </c>
      <c r="E177" s="670" t="str">
        <f>IF($D$14&lt;&gt;E$14,"N/A",IF('Test Conditions'!Eff.motor="",0,'Test Conditions'!Eff.motor))</f>
        <v>N/A</v>
      </c>
      <c r="F177" s="781"/>
      <c r="G177" s="132" t="s">
        <v>211</v>
      </c>
      <c r="H177" s="126"/>
      <c r="I177" s="126"/>
      <c r="L177" s="1134"/>
      <c r="Q177" s="1133"/>
    </row>
    <row r="178" spans="2:17" ht="18" x14ac:dyDescent="0.3">
      <c r="B178" s="691"/>
      <c r="C178" s="134" t="s">
        <v>1235</v>
      </c>
      <c r="D178" s="628" t="s">
        <v>1249</v>
      </c>
      <c r="E178" s="705" t="str">
        <f>IF($D$14&lt;&gt;E$14,"N/A",
IF(AND('Sys. # &amp; Product Characteristic'!Installation="Indoor",Power_Burner_Option="Forced Draft"),100000/(341200*(y.p*PE_Max+y.IG*PE.IG+y*BE_Max)+(Q.IN_Max-Q.P_Max)*Effy.UH),
IF(AND('Sys. # &amp; Product Characteristic'!Installation="Isolated Combustion System",Power_Burner_Option="Forced Draft"),100000/(341300*(y.p*PE_Max*Eff.motor/100+y.IG*PE.IG+y*BE_Max)+(Q.IN_Max-Q.P_Max)*Effy.HS),
IF(AND('Sys. # &amp; Product Characteristic'!Installation="Indoor",Power_Burner_Option="Induced Draft"),100000/(341200*(y.p*PE_Max*(1-Eff.motor/100)+y.IG*PE.IG+y*BE_Max)+(Q.IN_Max-Q.P_Max)*Effy.UH),
IF(AND('Sys. # &amp; Product Characteristic'!Installation="Isolated Combustion System",Power_Burner_Option="Induced Draft"),100000/(341300*(y.IG*PE.IG+y*BE_Max)+(Q.IN_Max-Q.P_Max)*Effy.HS),
"Undetermined")))))</f>
        <v>N/A</v>
      </c>
      <c r="F178" s="486" t="str">
        <f>IF($D$14&lt;&gt;E$14,"N/A",
IF(AND('Sys. # &amp; Product Characteristic'!Installation="Indoor",Power_Burner_Option="Forced Draft"),100000/(341200*(y.p*PE_Reduced+y.IG*PE.IG+E176*BE_Max)+(Q.IN_Reduced-Q.P_Reduced)*Effy.UR),
IF(AND('Sys. # &amp; Product Characteristic'!Installation="Indoor",Power_Burner_Option="Induced Draft"),100000/(341200*(y.p_Reduced*PE_Reduced*(1-Eff.motor/100)+y.IG_Reduced*PE.IG+y_Reduced*BE_Reduced)+(Q.IN_Reduced-Q.P_Reduced)*Effy.UR))))</f>
        <v>N/A</v>
      </c>
      <c r="G178" s="132" t="s">
        <v>175</v>
      </c>
      <c r="H178" s="126"/>
      <c r="I178" s="126"/>
      <c r="L178" s="1134"/>
      <c r="Q178" s="1133"/>
    </row>
    <row r="179" spans="2:17" ht="18" x14ac:dyDescent="0.3">
      <c r="B179" s="691"/>
      <c r="C179" s="134" t="s">
        <v>1236</v>
      </c>
      <c r="D179" s="628" t="s">
        <v>1249</v>
      </c>
      <c r="E179" s="486" t="str">
        <f>IF($D$14&lt;&gt;E$14,"N/A",2*Q.P_Max*Effy.UH*A_Max/100000)</f>
        <v>N/A</v>
      </c>
      <c r="F179" s="486" t="str">
        <f>IF($D$14&lt;&gt;E$14,"N/A", 2*Q.P_Reduced*Effy.UR*A_DOE_Reduced/100000)</f>
        <v>N/A</v>
      </c>
      <c r="G179" s="132" t="s">
        <v>175</v>
      </c>
      <c r="H179" s="126"/>
      <c r="I179" s="126"/>
      <c r="L179" s="1134"/>
      <c r="Q179" s="1133"/>
    </row>
    <row r="180" spans="2:17" ht="18" x14ac:dyDescent="0.3">
      <c r="B180" s="1350"/>
      <c r="C180" s="1351" t="s">
        <v>1237</v>
      </c>
      <c r="D180" s="1352" t="s">
        <v>1240</v>
      </c>
      <c r="E180" s="486" t="str">
        <f>IF($D$14&lt;&gt;E$14,"N/A",
IF(AND('Sys. # &amp; Product Characteristic'!Installation="Indoor",Power_Burner_Option="Forced Draft"),100000/(341200*(y.p*PE_Max+y.IG*PE.IG+y*BE_Max)+(Q.IN_Max-Q.P_Max)*Effy.UM),
IF(AND('Sys. # &amp; Product Characteristic'!Installation="Indoor",Power_Burner_Option="Induced Draft"),100000/(341200*(y.p*PE_Max*(1-Eff.motor/100)+y.IG*PE.IG+y*BE_Max)+(Q.IN_Max-Q.P_Max)*Effy.UM))))</f>
        <v>N/A</v>
      </c>
      <c r="F180" s="1353"/>
      <c r="G180" s="132"/>
      <c r="H180" s="126"/>
      <c r="I180" s="126"/>
      <c r="L180" s="1134"/>
      <c r="Q180" s="1133"/>
    </row>
    <row r="181" spans="2:17" ht="18" x14ac:dyDescent="0.3">
      <c r="B181" s="1350"/>
      <c r="C181" s="1351" t="s">
        <v>1239</v>
      </c>
      <c r="D181" s="1352" t="s">
        <v>1240</v>
      </c>
      <c r="E181" s="486" t="str">
        <f>IF($D$14&lt;&gt;E$14,"N/A", 2*Q.P_Max*Effy.UM*E180/100000)</f>
        <v>N/A</v>
      </c>
      <c r="F181" s="1353"/>
      <c r="G181" s="132"/>
      <c r="H181" s="126"/>
      <c r="I181" s="126"/>
      <c r="L181" s="1134"/>
      <c r="Q181" s="1133"/>
    </row>
    <row r="182" spans="2:17" x14ac:dyDescent="0.3">
      <c r="B182" s="691" t="s">
        <v>693</v>
      </c>
      <c r="C182" s="134" t="s">
        <v>175</v>
      </c>
      <c r="D182" s="628" t="s">
        <v>1242</v>
      </c>
      <c r="E182" s="486" t="str">
        <f>IF($D$14&lt;&gt;E$14,"N/A",2080)</f>
        <v>N/A</v>
      </c>
      <c r="F182" s="669"/>
      <c r="G182" s="132" t="s">
        <v>694</v>
      </c>
      <c r="H182" s="126"/>
      <c r="I182" s="126"/>
      <c r="L182" s="1134"/>
      <c r="Q182" s="1133"/>
    </row>
    <row r="183" spans="2:17" ht="33" x14ac:dyDescent="0.3">
      <c r="B183" s="691" t="s">
        <v>695</v>
      </c>
      <c r="C183" s="134" t="s">
        <v>175</v>
      </c>
      <c r="D183" s="628" t="s">
        <v>1242</v>
      </c>
      <c r="E183" s="486" t="str">
        <f>IF($D$14&lt;&gt;E$14,"N/A",0.77)</f>
        <v>N/A</v>
      </c>
      <c r="F183" s="669"/>
      <c r="G183" s="132" t="s">
        <v>175</v>
      </c>
      <c r="H183" s="126"/>
      <c r="I183" s="126"/>
      <c r="L183" s="1134"/>
      <c r="Q183" s="1133"/>
    </row>
    <row r="184" spans="2:17" ht="18" x14ac:dyDescent="0.3">
      <c r="B184" s="691" t="s">
        <v>761</v>
      </c>
      <c r="C184" s="134" t="s">
        <v>762</v>
      </c>
      <c r="D184" s="628" t="s">
        <v>1242</v>
      </c>
      <c r="E184" s="492" t="str">
        <f>IF($D$14&lt;&gt;E$14,"N/A",Avg_HLH*DHR_Adjust*A_Max*(Q.Out_Max/1000/(1+alpha)-Avg_HLH*B_Max))</f>
        <v>N/A</v>
      </c>
      <c r="F184" s="669"/>
      <c r="G184" s="132" t="s">
        <v>694</v>
      </c>
      <c r="H184" s="126"/>
      <c r="I184" s="126"/>
      <c r="L184" s="1134"/>
      <c r="Q184" s="1133"/>
    </row>
    <row r="185" spans="2:17" x14ac:dyDescent="0.3">
      <c r="B185" s="691" t="s">
        <v>763</v>
      </c>
      <c r="C185" s="134" t="s">
        <v>175</v>
      </c>
      <c r="D185" s="628" t="s">
        <v>1247</v>
      </c>
      <c r="E185" s="486" t="str">
        <f>IF($D$14&lt;&gt;E$14,"N/A",8760)</f>
        <v>N/A</v>
      </c>
      <c r="F185" s="669"/>
      <c r="G185" s="132" t="s">
        <v>676</v>
      </c>
      <c r="H185" s="126"/>
      <c r="I185" s="126"/>
      <c r="L185" s="1134"/>
      <c r="Q185" s="1133"/>
    </row>
    <row r="186" spans="2:17" ht="54.6" customHeight="1" x14ac:dyDescent="0.3">
      <c r="B186" s="691" t="s">
        <v>766</v>
      </c>
      <c r="C186" s="134" t="s">
        <v>767</v>
      </c>
      <c r="D186" s="628" t="s">
        <v>1248</v>
      </c>
      <c r="E186" s="486" t="str">
        <f>IF($D$14&lt;&gt;E$14,"N/A",IF('Sys. # &amp; Product Characteristic'!Control_Type="Two-Stage Modulating",X.H*Avg_HLH*DHR_Adjust*((Q.Out_Max/1000)/(1+alpha))*A_DOE_Max-Avg_HLH*B_DOE_Max,
"N/A"))</f>
        <v>N/A</v>
      </c>
      <c r="F186" s="1349" t="str">
        <f>IF($D$14&lt;&gt;F$14,"N/A",IF(OR('Sys. # &amp; Product Characteristic'!Control_Type="Two-Stage Modulating", 'Sys. # &amp; Product Characteristic'!Control_Type="Step Modulating"),X.R*Avg_HLH*DHR_Adjust*((Q.Out_Max/1000)/(1+alpha))*A_DOE_Reduced-Avg_HLH*B_DOE_Reduced,
"N/A"))</f>
        <v>N/A</v>
      </c>
      <c r="G186" s="132" t="s">
        <v>694</v>
      </c>
      <c r="H186" s="126"/>
      <c r="I186" s="126"/>
      <c r="L186" s="1134"/>
      <c r="Q186" s="1133"/>
    </row>
    <row r="187" spans="2:17" ht="33" x14ac:dyDescent="0.3">
      <c r="B187" s="691" t="s">
        <v>769</v>
      </c>
      <c r="C187" s="134" t="s">
        <v>768</v>
      </c>
      <c r="D187" s="628" t="s">
        <v>1240</v>
      </c>
      <c r="E187" s="486" t="str">
        <f>IF($D$14&lt;&gt;E$14,"N/A",IF('Sys. # &amp; Product Characteristic'!Control_Type="Step Modulating",Q.OUTM/(Effy.SSM/100),
"N/A"))</f>
        <v>N/A</v>
      </c>
      <c r="F187" s="630"/>
      <c r="G187" s="132" t="s">
        <v>37</v>
      </c>
      <c r="H187" s="126"/>
      <c r="I187" s="126"/>
      <c r="L187" s="1134"/>
      <c r="Q187" s="1133"/>
    </row>
    <row r="188" spans="2:17" ht="33.75" thickBot="1" x14ac:dyDescent="0.35">
      <c r="B188" s="693" t="s">
        <v>1241</v>
      </c>
      <c r="C188" s="694" t="s">
        <v>765</v>
      </c>
      <c r="D188" s="695" t="s">
        <v>1240</v>
      </c>
      <c r="E188" s="853" t="str">
        <f>IF($D$14&lt;&gt;E$14,"N/A",IF('Sys. # &amp; Product Characteristic'!Control_Type="Step Modulating",X.H*Avg_HLH*DHR_Adjust*((Q.Out_Max/1000)/(1+alpha))*A_Mod-Avg_HLH*B_Mod,
"N/A"))</f>
        <v>N/A</v>
      </c>
      <c r="F188" s="697"/>
      <c r="G188" s="699" t="s">
        <v>694</v>
      </c>
      <c r="H188" s="126"/>
      <c r="I188" s="126"/>
      <c r="L188" s="1134"/>
      <c r="Q188" s="1133"/>
    </row>
    <row r="189" spans="2:17" ht="17.25" thickBot="1" x14ac:dyDescent="0.35">
      <c r="B189" s="804"/>
      <c r="C189" s="781"/>
      <c r="D189" s="781"/>
      <c r="E189" s="630"/>
      <c r="F189" s="674"/>
      <c r="G189" s="805"/>
      <c r="H189" s="126"/>
      <c r="I189" s="126"/>
      <c r="L189" s="1134"/>
      <c r="Q189" s="1133"/>
    </row>
    <row r="190" spans="2:17" ht="17.25" x14ac:dyDescent="0.3">
      <c r="B190" s="864" t="s">
        <v>857</v>
      </c>
      <c r="C190" s="862"/>
      <c r="D190" s="862"/>
      <c r="E190" s="862"/>
      <c r="F190" s="862"/>
      <c r="G190" s="863"/>
      <c r="H190" s="126"/>
      <c r="I190" s="126"/>
      <c r="L190" s="1134"/>
      <c r="Q190" s="1133"/>
    </row>
    <row r="191" spans="2:17" ht="18.75" thickBot="1" x14ac:dyDescent="0.35">
      <c r="B191" s="865" t="s">
        <v>771</v>
      </c>
      <c r="C191" s="866" t="s">
        <v>772</v>
      </c>
      <c r="D191" s="695" t="str">
        <f>"DOE 10.2.2" &amp; IF(OR('General Info &amp; Test Results'!$C$59="Step Modulating",'General Info &amp; Test Results'!$C$59="Two-Stage Modulating"),".1","")</f>
        <v>DOE 10.2.2</v>
      </c>
      <c r="E191" s="867" t="str">
        <f>IF($D$14&lt;&gt;E$14,"N/A",
IF('Sys. # &amp; Product Characteristic'!Control_Type="Two-Stage Modulating", BOH.RH_Max*Q.IN_Max+BOH.RH_Reduced*Q.IN_Reduced+(8760-(BOH.RH_Max+BOH.RH_Reduced))*Q.P_Max, IF('Sys. # &amp; Product Characteristic'!Control_Type="Step Modulating", BOH.M*Q.INM+BOH.RH_Reduced*(Q.IN_Reduced+(8760-(BOH.RH_Max+BOH.RH_Reduced))*Q.P_Max), "")))</f>
        <v>N/A</v>
      </c>
      <c r="F191" s="697"/>
      <c r="G191" s="868" t="s">
        <v>800</v>
      </c>
      <c r="H191" s="126"/>
      <c r="I191" s="126"/>
      <c r="L191" s="1134"/>
      <c r="Q191" s="1133"/>
    </row>
    <row r="192" spans="2:17" ht="17.25" thickBot="1" x14ac:dyDescent="0.35">
      <c r="B192" s="804"/>
      <c r="C192" s="781"/>
      <c r="D192" s="781"/>
      <c r="E192" s="673"/>
      <c r="F192" s="674"/>
      <c r="G192" s="805"/>
      <c r="H192" s="126"/>
      <c r="I192" s="126"/>
      <c r="L192" s="1134"/>
      <c r="Q192" s="1133"/>
    </row>
    <row r="193" spans="2:17" ht="34.5" x14ac:dyDescent="0.3">
      <c r="B193" s="861" t="s">
        <v>858</v>
      </c>
      <c r="C193" s="862"/>
      <c r="D193" s="862"/>
      <c r="E193" s="862"/>
      <c r="F193" s="862"/>
      <c r="G193" s="863"/>
      <c r="H193" s="126"/>
      <c r="I193" s="126"/>
      <c r="L193" s="1134"/>
      <c r="Q193" s="1133"/>
    </row>
    <row r="194" spans="2:17" ht="18.75" thickBot="1" x14ac:dyDescent="0.35">
      <c r="B194" s="865" t="s">
        <v>773</v>
      </c>
      <c r="C194" s="866" t="s">
        <v>774</v>
      </c>
      <c r="D194" s="695" t="str">
        <f>"DOE 10.2.3" &amp; IF(OR('General Info &amp; Test Results'!$C$59="Step Modulating",'General Info &amp; Test Results'!$C$59="Two-Stage Modulating"),".1","")</f>
        <v>DOE 10.2.3</v>
      </c>
      <c r="E194" s="867" t="str">
        <f>IF($D$14&lt;&gt;E$14,"N/A",
IF('Sys. # &amp; Product Characteristic'!Control_Type="Two-Stage Modulating",BOH.RH_Reduced*(y.p_Reduced*PE_Reduced+y.IG_Reduced*PE.IG+y_Reduced*BE_Reduced)+BOH.RH_Reduced*(y.p_Reduced*PE_Reduced+y.IG_Reduced*PE.IG+y_Reduced*BE_Reduced)+E.SO,
IF('Sys. # &amp; Product Characteristic'!Control_Type="Step Modulating",BOH.RH_Reduced*(y.p_Reduced*PE_Reduced+y.IG_Reduced*PE.IG+y_Reduced*BE_Reduced)+BOH.M*(y.p*PE_Max+y.IG*PE.IG+y*BE_Max)+E.SO,
"N/A")))</f>
        <v>N/A</v>
      </c>
      <c r="F194" s="870"/>
      <c r="G194" s="868" t="s">
        <v>801</v>
      </c>
      <c r="H194" s="126"/>
      <c r="I194" s="126"/>
      <c r="L194" s="1134"/>
      <c r="Q194" s="1133"/>
    </row>
    <row r="195" spans="2:17" ht="17.25" thickBot="1" x14ac:dyDescent="0.35">
      <c r="B195" s="804"/>
      <c r="C195" s="781"/>
      <c r="D195" s="781"/>
      <c r="E195" s="673"/>
      <c r="F195" s="674"/>
      <c r="G195" s="805"/>
      <c r="H195" s="126"/>
      <c r="I195" s="126"/>
      <c r="L195" s="1134"/>
      <c r="Q195" s="1133"/>
    </row>
    <row r="196" spans="2:17" ht="17.25" x14ac:dyDescent="0.3">
      <c r="B196" s="861" t="s">
        <v>778</v>
      </c>
      <c r="C196" s="862"/>
      <c r="D196" s="862"/>
      <c r="E196" s="862"/>
      <c r="F196" s="862"/>
      <c r="G196" s="863"/>
      <c r="H196" s="126"/>
      <c r="I196" s="126"/>
      <c r="L196" s="1134"/>
      <c r="Q196" s="1133"/>
    </row>
    <row r="197" spans="2:17" ht="17.25" thickBot="1" x14ac:dyDescent="0.35">
      <c r="B197" s="865" t="s">
        <v>778</v>
      </c>
      <c r="C197" s="866" t="s">
        <v>770</v>
      </c>
      <c r="D197" s="695" t="str">
        <f>"DOE 10.4" &amp; IF('General Info &amp; Test Results'!C45="Electricity",".2",".1")</f>
        <v>DOE 10.4.1</v>
      </c>
      <c r="E197" s="869" t="str">
        <f>IF($D$14&lt;&gt;E$14,"N/A",(E.F-E140*Q.P_Max)*Effy.HS/(E.F+3412*E.AE))</f>
        <v>N/A</v>
      </c>
      <c r="F197" s="697"/>
      <c r="G197" s="868" t="s">
        <v>211</v>
      </c>
      <c r="H197" s="126"/>
      <c r="I197" s="126"/>
      <c r="L197" s="1134"/>
      <c r="Q197" s="1133"/>
    </row>
    <row r="198" spans="2:17" ht="17.25" thickBot="1" x14ac:dyDescent="0.35">
      <c r="B198" s="804"/>
      <c r="C198" s="781"/>
      <c r="D198" s="781"/>
      <c r="E198" s="675"/>
      <c r="F198" s="674"/>
      <c r="G198" s="805"/>
      <c r="H198" s="126"/>
      <c r="I198" s="126"/>
      <c r="L198" s="1134"/>
      <c r="Q198" s="1133"/>
    </row>
    <row r="199" spans="2:17" ht="17.25" x14ac:dyDescent="0.3">
      <c r="B199" s="864" t="s">
        <v>860</v>
      </c>
      <c r="C199" s="862"/>
      <c r="D199" s="862"/>
      <c r="E199" s="862"/>
      <c r="F199" s="862"/>
      <c r="G199" s="863"/>
      <c r="H199" s="126"/>
      <c r="I199" s="126"/>
      <c r="L199" s="1134"/>
      <c r="Q199" s="1133"/>
    </row>
    <row r="200" spans="2:17" ht="33" x14ac:dyDescent="0.3">
      <c r="B200" s="1367" t="s">
        <v>784</v>
      </c>
      <c r="C200" s="1368" t="s">
        <v>786</v>
      </c>
      <c r="D200" s="1352" t="s">
        <v>1250</v>
      </c>
      <c r="E200" s="1159"/>
      <c r="F200" s="672"/>
      <c r="G200" s="1369" t="s">
        <v>815</v>
      </c>
      <c r="H200" s="126"/>
      <c r="I200" s="126"/>
      <c r="L200" s="1134"/>
      <c r="Q200" s="1133"/>
    </row>
    <row r="201" spans="2:17" ht="33" x14ac:dyDescent="0.3">
      <c r="B201" s="1350" t="s">
        <v>783</v>
      </c>
      <c r="C201" s="1351" t="s">
        <v>779</v>
      </c>
      <c r="D201" s="1352" t="s">
        <v>1250</v>
      </c>
      <c r="E201" s="1373" t="str">
        <f>IF($D$14&lt;&gt;E$14,"N/A",(E.F-8760*Q.P_Max)*(HLH/Avg_HLH)+E185*Q.P_Max)</f>
        <v>N/A</v>
      </c>
      <c r="F201" s="672"/>
      <c r="G201" s="132" t="s">
        <v>800</v>
      </c>
      <c r="H201" s="126"/>
      <c r="I201" s="126"/>
      <c r="L201" s="1134"/>
      <c r="Q201" s="1133"/>
    </row>
    <row r="202" spans="2:17" ht="33" x14ac:dyDescent="0.3">
      <c r="B202" s="1350" t="s">
        <v>802</v>
      </c>
      <c r="C202" s="1351" t="s">
        <v>799</v>
      </c>
      <c r="D202" s="1352" t="s">
        <v>787</v>
      </c>
      <c r="E202" s="671" t="str">
        <f>IF($D$14&lt;&gt;E$14,"N/A",(P.WSB*(E209-BOH*HLH/Avg_HLH)+Avg_NonHeating_Season_Hours*P.WOFF)*K_Conv)</f>
        <v>N/A</v>
      </c>
      <c r="F202" s="672"/>
      <c r="G202" s="132" t="s">
        <v>801</v>
      </c>
      <c r="H202" s="126"/>
      <c r="I202" s="126"/>
      <c r="L202" s="1134"/>
      <c r="Q202" s="1133"/>
    </row>
    <row r="203" spans="2:17" ht="50.25" thickBot="1" x14ac:dyDescent="0.35">
      <c r="B203" s="693" t="s">
        <v>782</v>
      </c>
      <c r="C203" s="694" t="s">
        <v>780</v>
      </c>
      <c r="D203" s="695" t="s">
        <v>1251</v>
      </c>
      <c r="E203" s="872" t="str">
        <f>IF($D$14&lt;&gt;E$14,"N/A",(E.AE-E.SO)*(HLH/Avg_HLH)+E.SOR)</f>
        <v>N/A</v>
      </c>
      <c r="F203" s="1370"/>
      <c r="G203" s="699" t="s">
        <v>801</v>
      </c>
      <c r="H203" s="126"/>
      <c r="I203" s="126"/>
      <c r="L203" s="1134"/>
      <c r="Q203" s="1133"/>
    </row>
    <row r="204" spans="2:17" ht="17.25" thickBot="1" x14ac:dyDescent="0.35">
      <c r="B204" s="804"/>
      <c r="C204" s="781"/>
      <c r="D204" s="781"/>
      <c r="E204" s="675"/>
      <c r="F204" s="674"/>
      <c r="G204" s="805"/>
      <c r="H204" s="126"/>
      <c r="I204" s="126"/>
      <c r="L204" s="1134"/>
      <c r="Q204" s="1133"/>
    </row>
    <row r="205" spans="2:17" ht="17.25" x14ac:dyDescent="0.3">
      <c r="B205" s="864" t="s">
        <v>795</v>
      </c>
      <c r="C205" s="862"/>
      <c r="D205" s="862"/>
      <c r="E205" s="862"/>
      <c r="F205" s="862"/>
      <c r="G205" s="863"/>
      <c r="H205" s="126"/>
      <c r="I205" s="126"/>
      <c r="L205" s="1134"/>
      <c r="Q205" s="1133"/>
    </row>
    <row r="206" spans="2:17" ht="18" x14ac:dyDescent="0.3">
      <c r="B206" s="689" t="s">
        <v>788</v>
      </c>
      <c r="C206" s="496" t="s">
        <v>790</v>
      </c>
      <c r="D206" s="628" t="s">
        <v>1197</v>
      </c>
      <c r="E206" s="638" t="str">
        <f>IF($D$14&lt;&gt;E$14,"N/A",IF('Standby &amp; Off Power'!P.WSB="","",'Standby &amp; Off Power'!P.WSB))</f>
        <v>N/A</v>
      </c>
      <c r="F206" s="672"/>
      <c r="G206" s="497" t="s">
        <v>179</v>
      </c>
      <c r="H206" s="126"/>
      <c r="I206" s="126"/>
      <c r="L206" s="1134"/>
      <c r="Q206" s="1133"/>
    </row>
    <row r="207" spans="2:17" ht="18" x14ac:dyDescent="0.3">
      <c r="B207" s="691" t="s">
        <v>789</v>
      </c>
      <c r="C207" s="134" t="s">
        <v>791</v>
      </c>
      <c r="D207" s="628" t="s">
        <v>1253</v>
      </c>
      <c r="E207" s="677" t="str">
        <f>IF($D$14&lt;&gt;E$14,"N/A",IF('Standby &amp; Off Power'!P.WOFF="","",'Standby &amp; Off Power'!P.WOFF))</f>
        <v>N/A</v>
      </c>
      <c r="F207" s="672"/>
      <c r="G207" s="132" t="s">
        <v>179</v>
      </c>
      <c r="H207" s="126"/>
      <c r="I207" s="126"/>
      <c r="L207" s="1134"/>
      <c r="Q207" s="1133"/>
    </row>
    <row r="208" spans="2:17" x14ac:dyDescent="0.3">
      <c r="B208" s="691" t="s">
        <v>793</v>
      </c>
      <c r="C208" s="134" t="s">
        <v>792</v>
      </c>
      <c r="D208" s="628" t="s">
        <v>1254</v>
      </c>
      <c r="E208" s="638" t="str">
        <f>IF($D$14&lt;&gt;E$14,"N/A",IF('Sys. # &amp; Product Characteristic'!Control_Type="Two-Stage Modulating",'Non-Con, Mod Calculations'!BOH.RH_Max+'Non-Con, Mod Calculations'!BOH.RH_Max,
IF('Sys. # &amp; Product Characteristic'!Control_Type="Step Modulating",'Non-Con, Mod Calculations'!BOH.RH_Max+BOH.M,
"N/A")))</f>
        <v>N/A</v>
      </c>
      <c r="F208" s="672"/>
      <c r="G208" s="132" t="s">
        <v>694</v>
      </c>
      <c r="H208" s="126"/>
      <c r="I208" s="126"/>
      <c r="L208" s="1134"/>
      <c r="Q208" s="1133"/>
    </row>
    <row r="209" spans="2:17" x14ac:dyDescent="0.3">
      <c r="B209" s="691" t="s">
        <v>794</v>
      </c>
      <c r="C209" s="134" t="s">
        <v>175</v>
      </c>
      <c r="D209" s="628" t="s">
        <v>1252</v>
      </c>
      <c r="E209" s="671" t="str">
        <f>IF($D$14&lt;&gt;E$14,"N/A",4160)</f>
        <v>N/A</v>
      </c>
      <c r="F209" s="672"/>
      <c r="G209" s="132" t="s">
        <v>676</v>
      </c>
      <c r="H209" s="126"/>
      <c r="I209" s="126"/>
      <c r="L209" s="1134"/>
      <c r="Q209" s="1133"/>
    </row>
    <row r="210" spans="2:17" x14ac:dyDescent="0.3">
      <c r="B210" s="691" t="s">
        <v>797</v>
      </c>
      <c r="C210" s="134" t="s">
        <v>58</v>
      </c>
      <c r="D210" s="628" t="s">
        <v>1252</v>
      </c>
      <c r="E210" s="678" t="str">
        <f>IF($D$14&lt;&gt;E$14,"N/A",0.001)</f>
        <v>N/A</v>
      </c>
      <c r="F210" s="672"/>
      <c r="G210" s="132" t="s">
        <v>798</v>
      </c>
      <c r="H210" s="126"/>
      <c r="I210" s="126"/>
      <c r="L210" s="1134"/>
      <c r="Q210" s="1133"/>
    </row>
    <row r="211" spans="2:17" ht="18.75" thickBot="1" x14ac:dyDescent="0.35">
      <c r="B211" s="693" t="s">
        <v>795</v>
      </c>
      <c r="C211" s="694" t="s">
        <v>796</v>
      </c>
      <c r="D211" s="695" t="s">
        <v>1252</v>
      </c>
      <c r="E211" s="696" t="str">
        <f>IF($D$14&lt;&gt;E$14,"N/A",(P.WSB*(E209-BOH)+E140*P.WOFF)*K_Conv)</f>
        <v>N/A</v>
      </c>
      <c r="F211" s="697"/>
      <c r="G211" s="699" t="s">
        <v>801</v>
      </c>
      <c r="H211" s="126"/>
      <c r="I211" s="126"/>
      <c r="L211" s="1134"/>
      <c r="Q211" s="1133"/>
    </row>
    <row r="212" spans="2:17" x14ac:dyDescent="0.3">
      <c r="B212" s="126"/>
      <c r="C212" s="126"/>
      <c r="D212" s="126"/>
      <c r="E212" s="126"/>
      <c r="F212" s="126"/>
      <c r="G212" s="126"/>
      <c r="H212" s="126"/>
      <c r="I212" s="126"/>
      <c r="L212" s="126"/>
      <c r="Q212" s="1133"/>
    </row>
    <row r="213" spans="2:17" x14ac:dyDescent="0.3">
      <c r="B213" s="126"/>
      <c r="C213" s="126"/>
      <c r="D213" s="126"/>
      <c r="E213" s="126"/>
      <c r="F213" s="126"/>
      <c r="G213" s="126"/>
      <c r="H213" s="126"/>
      <c r="I213" s="126"/>
      <c r="L213" s="126"/>
      <c r="Q213" s="1133"/>
    </row>
    <row r="214" spans="2:17" x14ac:dyDescent="0.3">
      <c r="B214" s="126"/>
      <c r="C214" s="126"/>
      <c r="D214" s="126"/>
      <c r="E214" s="126"/>
      <c r="F214" s="126"/>
      <c r="G214" s="126"/>
      <c r="H214" s="126"/>
      <c r="I214" s="126"/>
      <c r="L214" s="126"/>
      <c r="Q214" s="1133"/>
    </row>
    <row r="215" spans="2:17" x14ac:dyDescent="0.3">
      <c r="B215" s="126"/>
      <c r="C215" s="126"/>
      <c r="D215" s="126"/>
      <c r="E215" s="126"/>
      <c r="F215" s="126"/>
      <c r="G215" s="126"/>
      <c r="H215" s="126"/>
      <c r="I215" s="126"/>
      <c r="L215" s="126"/>
      <c r="Q215" s="1133"/>
    </row>
    <row r="216" spans="2:17" x14ac:dyDescent="0.3">
      <c r="B216" s="126"/>
      <c r="C216" s="126"/>
      <c r="D216" s="126"/>
      <c r="E216" s="126"/>
      <c r="F216" s="126"/>
      <c r="G216" s="126"/>
      <c r="H216" s="126"/>
      <c r="I216" s="126"/>
      <c r="L216" s="126"/>
      <c r="Q216" s="1133"/>
    </row>
    <row r="217" spans="2:17" x14ac:dyDescent="0.3">
      <c r="B217" s="126"/>
      <c r="C217" s="126"/>
      <c r="D217" s="126"/>
      <c r="E217" s="126"/>
      <c r="F217" s="126"/>
      <c r="G217" s="126"/>
      <c r="H217" s="126"/>
      <c r="I217" s="126"/>
      <c r="L217" s="126"/>
      <c r="Q217" s="1133"/>
    </row>
    <row r="218" spans="2:17" x14ac:dyDescent="0.3">
      <c r="B218" s="126"/>
      <c r="C218" s="126"/>
      <c r="D218" s="126"/>
      <c r="E218" s="126"/>
      <c r="F218" s="126"/>
      <c r="G218" s="126"/>
      <c r="H218" s="126"/>
      <c r="I218" s="126"/>
      <c r="L218" s="126"/>
      <c r="Q218" s="1133"/>
    </row>
    <row r="219" spans="2:17" x14ac:dyDescent="0.3">
      <c r="B219" s="126"/>
      <c r="C219" s="126"/>
      <c r="D219" s="126"/>
      <c r="E219" s="126"/>
      <c r="F219" s="126"/>
      <c r="G219" s="126"/>
      <c r="H219" s="126"/>
      <c r="I219" s="126"/>
      <c r="L219" s="126"/>
      <c r="Q219" s="1133"/>
    </row>
    <row r="220" spans="2:17" ht="18" thickBot="1" x14ac:dyDescent="0.35">
      <c r="B220" s="126"/>
      <c r="C220" s="126"/>
      <c r="D220" s="126"/>
      <c r="E220" s="176"/>
      <c r="J220" s="122"/>
      <c r="K220" s="122"/>
      <c r="Q220" s="1133"/>
    </row>
    <row r="221" spans="2:17" ht="18" thickBot="1" x14ac:dyDescent="0.35">
      <c r="B221" s="126"/>
      <c r="C221" s="487" t="str">
        <f>"For use in ANSI/ASHRAE Section " &amp; D14 &amp; ".9.18: Off-Cycle Stack Gas Draft Factor"</f>
        <v>For use in ANSI/ASHRAE Section Unknown.9.18: Off-Cycle Stack Gas Draft Factor</v>
      </c>
      <c r="D221" s="597"/>
      <c r="E221" s="598"/>
      <c r="F221" s="599"/>
      <c r="G221" s="599"/>
      <c r="H221" s="599"/>
      <c r="I221" s="599"/>
      <c r="J221" s="600"/>
      <c r="K221" s="122"/>
      <c r="Q221" s="1133"/>
    </row>
    <row r="222" spans="2:17" ht="17.25" x14ac:dyDescent="0.3">
      <c r="B222" s="126"/>
      <c r="C222" s="601" t="s">
        <v>34</v>
      </c>
      <c r="D222" s="595" t="s">
        <v>136</v>
      </c>
      <c r="E222" s="596" t="s">
        <v>33</v>
      </c>
      <c r="F222" s="1852" t="s">
        <v>71</v>
      </c>
      <c r="G222" s="1853"/>
      <c r="H222" s="1853"/>
      <c r="I222" s="1853"/>
      <c r="J222" s="1854"/>
      <c r="K222" s="122"/>
      <c r="Q222" s="1133"/>
    </row>
    <row r="223" spans="2:17" x14ac:dyDescent="0.3">
      <c r="B223" s="126"/>
      <c r="C223" s="580" t="str">
        <f>System_Number_Max</f>
        <v>N/A</v>
      </c>
      <c r="D223" s="558" t="s">
        <v>175</v>
      </c>
      <c r="E223" s="558" t="s">
        <v>175</v>
      </c>
      <c r="F223" s="1845" t="s">
        <v>39</v>
      </c>
      <c r="G223" s="1846"/>
      <c r="H223" s="1846"/>
      <c r="I223" s="1846"/>
      <c r="J223" s="1847"/>
      <c r="K223" s="122"/>
      <c r="Q223" s="1133"/>
    </row>
    <row r="224" spans="2:17" ht="18" x14ac:dyDescent="0.3">
      <c r="B224" s="126"/>
      <c r="C224" s="582">
        <f>'Test Conditions'!C87</f>
        <v>0</v>
      </c>
      <c r="D224" s="558" t="s">
        <v>36</v>
      </c>
      <c r="E224" s="550" t="s">
        <v>568</v>
      </c>
      <c r="F224" s="1845" t="s">
        <v>561</v>
      </c>
      <c r="G224" s="1846"/>
      <c r="H224" s="1846"/>
      <c r="I224" s="1846"/>
      <c r="J224" s="1847"/>
      <c r="K224" s="122"/>
      <c r="Q224" s="1133"/>
    </row>
    <row r="225" spans="2:17" ht="18" x14ac:dyDescent="0.3">
      <c r="B225" s="126"/>
      <c r="C225" s="582" t="str">
        <f>'Test Conditions'!C89</f>
        <v/>
      </c>
      <c r="D225" s="558" t="s">
        <v>36</v>
      </c>
      <c r="E225" s="550" t="s">
        <v>583</v>
      </c>
      <c r="F225" s="1845" t="s">
        <v>582</v>
      </c>
      <c r="G225" s="1846"/>
      <c r="H225" s="1846"/>
      <c r="I225" s="1846"/>
      <c r="J225" s="1847"/>
      <c r="K225" s="122"/>
      <c r="Q225" s="1133"/>
    </row>
    <row r="226" spans="2:17" ht="18" x14ac:dyDescent="0.3">
      <c r="B226" s="126"/>
      <c r="C226" s="582" t="str">
        <f>t.OFF_Max</f>
        <v>N/A</v>
      </c>
      <c r="D226" s="558" t="s">
        <v>36</v>
      </c>
      <c r="E226" s="558" t="s">
        <v>628</v>
      </c>
      <c r="F226" s="1845" t="s">
        <v>443</v>
      </c>
      <c r="G226" s="1846"/>
      <c r="H226" s="1846"/>
      <c r="I226" s="1846"/>
      <c r="J226" s="1847"/>
      <c r="K226" s="122"/>
      <c r="Q226" s="1133"/>
    </row>
    <row r="227" spans="2:17" ht="18" x14ac:dyDescent="0.3">
      <c r="B227" s="126"/>
      <c r="C227" s="582" t="str">
        <f>Tau.OFF_Max</f>
        <v>N/A</v>
      </c>
      <c r="D227" s="558" t="s">
        <v>36</v>
      </c>
      <c r="E227" s="558" t="s">
        <v>612</v>
      </c>
      <c r="F227" s="1845" t="s">
        <v>435</v>
      </c>
      <c r="G227" s="1846"/>
      <c r="H227" s="1846"/>
      <c r="I227" s="1846"/>
      <c r="J227" s="1847"/>
      <c r="K227" s="122"/>
      <c r="Q227" s="1133"/>
    </row>
    <row r="228" spans="2:17" ht="18" x14ac:dyDescent="0.3">
      <c r="B228" s="126"/>
      <c r="C228" s="580">
        <f>COUNT(C245:C344)</f>
        <v>100</v>
      </c>
      <c r="D228" s="558" t="s">
        <v>175</v>
      </c>
      <c r="E228" s="558" t="s">
        <v>546</v>
      </c>
      <c r="F228" s="1845" t="s">
        <v>662</v>
      </c>
      <c r="G228" s="1846"/>
      <c r="H228" s="1846"/>
      <c r="I228" s="1846"/>
      <c r="J228" s="1847"/>
      <c r="K228" s="122"/>
      <c r="Q228" s="1133"/>
    </row>
    <row r="229" spans="2:17" ht="18" x14ac:dyDescent="0.3">
      <c r="B229" s="126"/>
      <c r="C229" s="602">
        <f>1/C228</f>
        <v>0.01</v>
      </c>
      <c r="D229" s="558" t="s">
        <v>175</v>
      </c>
      <c r="E229" s="558" t="s">
        <v>663</v>
      </c>
      <c r="F229" s="1857" t="s">
        <v>585</v>
      </c>
      <c r="G229" s="1857"/>
      <c r="H229" s="1857"/>
      <c r="I229" s="1857"/>
      <c r="J229" s="1858"/>
      <c r="K229" s="122"/>
      <c r="Q229" s="1133"/>
    </row>
    <row r="230" spans="2:17" ht="18" x14ac:dyDescent="0.3">
      <c r="B230" s="126"/>
      <c r="C230" s="581" t="str">
        <f>Psi.SIX_Max</f>
        <v>N/A</v>
      </c>
      <c r="D230" s="558" t="s">
        <v>51</v>
      </c>
      <c r="E230" s="558" t="s">
        <v>624</v>
      </c>
      <c r="F230" s="1857" t="s">
        <v>1293</v>
      </c>
      <c r="G230" s="1857"/>
      <c r="H230" s="1857"/>
      <c r="I230" s="1857"/>
      <c r="J230" s="1858"/>
      <c r="K230" s="122"/>
      <c r="Q230" s="1133"/>
    </row>
    <row r="231" spans="2:17" ht="18" x14ac:dyDescent="0.3">
      <c r="B231" s="126"/>
      <c r="C231" s="581" t="str">
        <f>Psi.SO_Max</f>
        <v>N/A</v>
      </c>
      <c r="D231" s="558" t="s">
        <v>51</v>
      </c>
      <c r="E231" s="558" t="s">
        <v>636</v>
      </c>
      <c r="F231" s="1859" t="s">
        <v>450</v>
      </c>
      <c r="G231" s="1859"/>
      <c r="H231" s="1859"/>
      <c r="I231" s="1859"/>
      <c r="J231" s="1860"/>
      <c r="K231" s="122"/>
      <c r="Q231" s="1133"/>
    </row>
    <row r="232" spans="2:17" ht="18" x14ac:dyDescent="0.3">
      <c r="B232" s="126"/>
      <c r="C232" s="581" t="str">
        <f>Psi.FI_Max</f>
        <v>N/A</v>
      </c>
      <c r="D232" s="558" t="s">
        <v>51</v>
      </c>
      <c r="E232" s="558" t="s">
        <v>635</v>
      </c>
      <c r="F232" s="1859" t="s">
        <v>1294</v>
      </c>
      <c r="G232" s="1859"/>
      <c r="H232" s="1859"/>
      <c r="I232" s="1859"/>
      <c r="J232" s="1860"/>
      <c r="K232" s="122"/>
      <c r="Q232" s="1133"/>
    </row>
    <row r="233" spans="2:17" ht="18" x14ac:dyDescent="0.3">
      <c r="B233" s="126"/>
      <c r="C233" s="581" t="str">
        <f>Psi.FO_Max</f>
        <v>N/A</v>
      </c>
      <c r="D233" s="558" t="s">
        <v>51</v>
      </c>
      <c r="E233" s="134" t="s">
        <v>634</v>
      </c>
      <c r="F233" s="1859" t="s">
        <v>449</v>
      </c>
      <c r="G233" s="1859"/>
      <c r="H233" s="1859"/>
      <c r="I233" s="1859"/>
      <c r="J233" s="1860"/>
      <c r="K233" s="122"/>
      <c r="Q233" s="1133"/>
    </row>
    <row r="234" spans="2:17" ht="18" x14ac:dyDescent="0.3">
      <c r="B234" s="126"/>
      <c r="C234" s="581">
        <f>'Test Conditions'!C82</f>
        <v>0</v>
      </c>
      <c r="D234" s="550" t="s">
        <v>563</v>
      </c>
      <c r="E234" s="550" t="s">
        <v>564</v>
      </c>
      <c r="F234" s="1855" t="s">
        <v>556</v>
      </c>
      <c r="G234" s="1855"/>
      <c r="H234" s="1855"/>
      <c r="I234" s="1855"/>
      <c r="J234" s="1856"/>
      <c r="K234" s="122"/>
      <c r="Q234" s="1133"/>
    </row>
    <row r="235" spans="2:17" ht="18" x14ac:dyDescent="0.3">
      <c r="B235" s="126"/>
      <c r="C235" s="581">
        <f>'Test Conditions'!C83</f>
        <v>0</v>
      </c>
      <c r="D235" s="550" t="s">
        <v>563</v>
      </c>
      <c r="E235" s="550" t="s">
        <v>565</v>
      </c>
      <c r="F235" s="1855" t="s">
        <v>557</v>
      </c>
      <c r="G235" s="1855"/>
      <c r="H235" s="1855"/>
      <c r="I235" s="1855"/>
      <c r="J235" s="1856"/>
      <c r="K235" s="122"/>
      <c r="Q235" s="1133"/>
    </row>
    <row r="236" spans="2:17" x14ac:dyDescent="0.3">
      <c r="B236" s="126"/>
      <c r="C236" s="581">
        <f>'Test Conditions'!C84</f>
        <v>0</v>
      </c>
      <c r="D236" s="550" t="s">
        <v>555</v>
      </c>
      <c r="E236" s="550" t="s">
        <v>554</v>
      </c>
      <c r="F236" s="1855" t="s">
        <v>558</v>
      </c>
      <c r="G236" s="1855"/>
      <c r="H236" s="1855"/>
      <c r="I236" s="1855"/>
      <c r="J236" s="1856"/>
      <c r="K236" s="122"/>
      <c r="Q236" s="1133"/>
    </row>
    <row r="237" spans="2:17" ht="18" x14ac:dyDescent="0.3">
      <c r="B237" s="126"/>
      <c r="C237" s="581" t="str">
        <f>'Test Conditions'!C91</f>
        <v/>
      </c>
      <c r="D237" s="558" t="s">
        <v>36</v>
      </c>
      <c r="E237" s="558" t="s">
        <v>580</v>
      </c>
      <c r="F237" s="1857"/>
      <c r="G237" s="1857"/>
      <c r="H237" s="1857"/>
      <c r="I237" s="1857"/>
      <c r="J237" s="1858"/>
      <c r="K237" s="122"/>
      <c r="Q237" s="1133"/>
    </row>
    <row r="238" spans="2:17" ht="18" x14ac:dyDescent="0.3">
      <c r="B238" s="126"/>
      <c r="C238" s="582" t="str">
        <f ca="1">D.F_Max</f>
        <v>N/A</v>
      </c>
      <c r="D238" s="558" t="s">
        <v>175</v>
      </c>
      <c r="E238" s="558" t="s">
        <v>620</v>
      </c>
      <c r="F238" s="1857" t="s">
        <v>439</v>
      </c>
      <c r="G238" s="1857"/>
      <c r="H238" s="1857"/>
      <c r="I238" s="1857"/>
      <c r="J238" s="1858"/>
      <c r="K238" s="122"/>
      <c r="Q238" s="1133"/>
    </row>
    <row r="239" spans="2:17" ht="18" x14ac:dyDescent="0.3">
      <c r="B239" s="126"/>
      <c r="C239" s="582" t="str">
        <f>DO.S_Max</f>
        <v>N/A</v>
      </c>
      <c r="D239" s="558" t="s">
        <v>175</v>
      </c>
      <c r="E239" s="558" t="s">
        <v>623</v>
      </c>
      <c r="F239" s="1857" t="s">
        <v>73</v>
      </c>
      <c r="G239" s="1857"/>
      <c r="H239" s="1857"/>
      <c r="I239" s="1857"/>
      <c r="J239" s="1858"/>
      <c r="K239" s="122"/>
      <c r="Q239" s="1133"/>
    </row>
    <row r="240" spans="2:17" x14ac:dyDescent="0.3">
      <c r="B240" s="126"/>
      <c r="C240" s="603" t="str">
        <f>SF_Max</f>
        <v>N/A</v>
      </c>
      <c r="D240" s="558" t="s">
        <v>175</v>
      </c>
      <c r="E240" s="558" t="s">
        <v>60</v>
      </c>
      <c r="F240" s="1857" t="s">
        <v>412</v>
      </c>
      <c r="G240" s="1857"/>
      <c r="H240" s="1857"/>
      <c r="I240" s="1857"/>
      <c r="J240" s="1858"/>
      <c r="K240" s="122"/>
      <c r="Q240" s="1133"/>
    </row>
    <row r="241" spans="2:17" ht="18" x14ac:dyDescent="0.3">
      <c r="B241" s="126"/>
      <c r="C241" s="602" t="e">
        <f ca="1">SUMPRODUCT(M245:M344*((100-N245:N344)*I245:I344*J245:J344+N245:N344*K245:K344*L245:L344))*C229/
(SUMPRODUCT(((100-C230)*E245:E344*F245:F344+C230*G245:G344*H245:H344))*C229)</f>
        <v>#VALUE!</v>
      </c>
      <c r="D241" s="558" t="s">
        <v>175</v>
      </c>
      <c r="E241" s="558" t="s">
        <v>637</v>
      </c>
      <c r="F241" s="1857" t="s">
        <v>451</v>
      </c>
      <c r="G241" s="1857"/>
      <c r="H241" s="1857"/>
      <c r="I241" s="1857"/>
      <c r="J241" s="1858"/>
      <c r="K241" s="122"/>
      <c r="Q241" s="1133"/>
    </row>
    <row r="242" spans="2:17" ht="18.75" thickBot="1" x14ac:dyDescent="0.35">
      <c r="B242" s="126"/>
      <c r="C242" s="604" t="e">
        <f ca="1">SUMPRODUCT(M245:M344*((100-N245:N344)*J245:J344+N245:N344*L245:L344))*C229/(
SUMPRODUCT(((100-C230)*F245:F344+C230*H245:H344))*C229)</f>
        <v>#VALUE!</v>
      </c>
      <c r="D242" s="605" t="s">
        <v>175</v>
      </c>
      <c r="E242" s="605" t="s">
        <v>638</v>
      </c>
      <c r="F242" s="1861" t="s">
        <v>452</v>
      </c>
      <c r="G242" s="1861"/>
      <c r="H242" s="1861"/>
      <c r="I242" s="1861"/>
      <c r="J242" s="1862"/>
      <c r="K242" s="122"/>
      <c r="Q242" s="1133"/>
    </row>
    <row r="243" spans="2:17" ht="17.25" thickBot="1" x14ac:dyDescent="0.35">
      <c r="B243" s="126"/>
      <c r="C243" s="606"/>
      <c r="D243" s="559"/>
      <c r="E243" s="585"/>
      <c r="F243" s="585"/>
      <c r="G243" s="585"/>
      <c r="H243" s="585"/>
      <c r="I243" s="585"/>
      <c r="J243" s="542"/>
      <c r="Q243" s="1133"/>
    </row>
    <row r="244" spans="2:17" ht="18" x14ac:dyDescent="0.3">
      <c r="B244" s="126"/>
      <c r="C244" s="631" t="s">
        <v>584</v>
      </c>
      <c r="D244" s="632" t="s">
        <v>547</v>
      </c>
      <c r="E244" s="633" t="s">
        <v>1029</v>
      </c>
      <c r="F244" s="633" t="s">
        <v>1030</v>
      </c>
      <c r="G244" s="633" t="s">
        <v>1031</v>
      </c>
      <c r="H244" s="633" t="s">
        <v>1028</v>
      </c>
      <c r="I244" s="633" t="s">
        <v>1032</v>
      </c>
      <c r="J244" s="633" t="s">
        <v>1033</v>
      </c>
      <c r="K244" s="633" t="s">
        <v>1034</v>
      </c>
      <c r="L244" s="633" t="s">
        <v>1035</v>
      </c>
      <c r="M244" s="634" t="s">
        <v>1027</v>
      </c>
      <c r="N244" s="634" t="s">
        <v>664</v>
      </c>
      <c r="O244" s="635" t="s">
        <v>665</v>
      </c>
      <c r="Q244" s="1133"/>
    </row>
    <row r="245" spans="2:17" x14ac:dyDescent="0.3">
      <c r="B245" s="126"/>
      <c r="C245" s="607">
        <v>1</v>
      </c>
      <c r="D245" s="561" t="str">
        <f>IFERROR(C245*$C$229*$C$226,"")</f>
        <v/>
      </c>
      <c r="E245" s="561" t="str">
        <f>IFERROR($C$231*EXP(-$D245/$C$227),"")</f>
        <v/>
      </c>
      <c r="F245" s="561" t="str">
        <f>IFERROR(($E245+28)^(0.56)/(($E245+530)^(1.19)),"")</f>
        <v/>
      </c>
      <c r="G245" s="561" t="str">
        <f t="shared" ref="G245:G308" si="2">IFERROR(E245+100,"")</f>
        <v/>
      </c>
      <c r="H245" s="561" t="str">
        <f>IFERROR(($E245+128)^(0.56)/(($E245+630)^(1.19)),"")</f>
        <v/>
      </c>
      <c r="I245" s="561" t="str">
        <f ca="1">IFERROR($O245*EXP(-$D245/$C$227),"")</f>
        <v/>
      </c>
      <c r="J245" s="561" t="str">
        <f ca="1">IFERROR(($I245+28)^(0.56)/(($I245+530)^(1.19)),"")</f>
        <v/>
      </c>
      <c r="K245" s="561" t="str">
        <f ca="1">IFERROR(I245+100,"")</f>
        <v/>
      </c>
      <c r="L245" s="561" t="str">
        <f ca="1">IFERROR(($I245+128)^(0.56)/(($I245+630)^(1.19)),"")</f>
        <v/>
      </c>
      <c r="M245" s="560" t="str">
        <f t="shared" ref="M245:M308" si="3">IFERROR(IF(D245&lt;$C$224,1,
IF(D245&lt;$C$225,SQRT(5/(5+(2.6*(($C$235/$C$234)*SIN((PI()/2-$C$236)*(D245-$C$224)/($C$225-$C$224)))^1.58)/((1-($C$235/$C$234)*SIN((PI()/2-$C$236)*(D245-$C$224)/($C$225-$C$224)))^2))),
$C$237)),"")</f>
        <v/>
      </c>
      <c r="N245" s="560" t="str">
        <f t="shared" ref="N245:N308" ca="1" si="4">IFERROR(IF($C$240*$M245*$C$239&gt;$C$238,$C$238*$C$232/($C$240*$M245*$C$239),$C$232),"")</f>
        <v/>
      </c>
      <c r="O245" s="636" t="str">
        <f ca="1">IFERROR(IF($C$240*$M245*$C$239&gt;$C$238,$C$238*$C$233/($C$240*$M245*$C$239),$C$233),"")</f>
        <v/>
      </c>
      <c r="Q245" s="1133"/>
    </row>
    <row r="246" spans="2:17" x14ac:dyDescent="0.3">
      <c r="B246" s="126"/>
      <c r="C246" s="607">
        <v>2</v>
      </c>
      <c r="D246" s="561" t="str">
        <f t="shared" ref="D246:D309" si="5">IFERROR(C246*$C$229*$C$226,"")</f>
        <v/>
      </c>
      <c r="E246" s="561" t="str">
        <f t="shared" ref="E246:E309" si="6">IFERROR($C$231*EXP(-$D246/$C$227),"")</f>
        <v/>
      </c>
      <c r="F246" s="561" t="str">
        <f t="shared" ref="F246:F309" si="7">IFERROR(($E246+28)^(0.56)/(($E246+530)^(1.19)),"")</f>
        <v/>
      </c>
      <c r="G246" s="561" t="str">
        <f t="shared" si="2"/>
        <v/>
      </c>
      <c r="H246" s="561" t="str">
        <f t="shared" ref="H246:H309" si="8">IFERROR(($E246+128)^(0.56)/(($E246+630)^(1.19)),"")</f>
        <v/>
      </c>
      <c r="I246" s="561" t="str">
        <f t="shared" ref="I246:I309" ca="1" si="9">IFERROR($O246*EXP(-$D246/$C$227),"")</f>
        <v/>
      </c>
      <c r="J246" s="561" t="str">
        <f t="shared" ref="J246:J309" ca="1" si="10">IFERROR(($I246+28)^(0.56)/(($I246+530)^(1.19)),"")</f>
        <v/>
      </c>
      <c r="K246" s="561" t="str">
        <f t="shared" ref="K246:K309" ca="1" si="11">IFERROR(I246+100,"")</f>
        <v/>
      </c>
      <c r="L246" s="561" t="str">
        <f t="shared" ref="L246:L309" ca="1" si="12">IFERROR(($I246+128)^(0.56)/(($I246+630)^(1.19)),"")</f>
        <v/>
      </c>
      <c r="M246" s="560" t="str">
        <f t="shared" si="3"/>
        <v/>
      </c>
      <c r="N246" s="560" t="str">
        <f t="shared" ca="1" si="4"/>
        <v/>
      </c>
      <c r="O246" s="636" t="str">
        <f t="shared" ref="O246:O309" ca="1" si="13">IFERROR(IF($C$240*$M246*$C$239&gt;$C$238,$C$238*$C$233/($C$240*$M246*$C$239),$C$233),"")</f>
        <v/>
      </c>
      <c r="Q246" s="1133"/>
    </row>
    <row r="247" spans="2:17" x14ac:dyDescent="0.3">
      <c r="B247" s="126"/>
      <c r="C247" s="607">
        <v>3</v>
      </c>
      <c r="D247" s="561" t="str">
        <f t="shared" si="5"/>
        <v/>
      </c>
      <c r="E247" s="561" t="str">
        <f t="shared" si="6"/>
        <v/>
      </c>
      <c r="F247" s="561" t="str">
        <f t="shared" si="7"/>
        <v/>
      </c>
      <c r="G247" s="561" t="str">
        <f t="shared" si="2"/>
        <v/>
      </c>
      <c r="H247" s="561" t="str">
        <f t="shared" si="8"/>
        <v/>
      </c>
      <c r="I247" s="561" t="str">
        <f t="shared" ca="1" si="9"/>
        <v/>
      </c>
      <c r="J247" s="561" t="str">
        <f t="shared" ca="1" si="10"/>
        <v/>
      </c>
      <c r="K247" s="561" t="str">
        <f t="shared" ca="1" si="11"/>
        <v/>
      </c>
      <c r="L247" s="561" t="str">
        <f t="shared" ca="1" si="12"/>
        <v/>
      </c>
      <c r="M247" s="560" t="str">
        <f t="shared" si="3"/>
        <v/>
      </c>
      <c r="N247" s="560" t="str">
        <f t="shared" ca="1" si="4"/>
        <v/>
      </c>
      <c r="O247" s="636" t="str">
        <f t="shared" ca="1" si="13"/>
        <v/>
      </c>
      <c r="Q247" s="1133"/>
    </row>
    <row r="248" spans="2:17" x14ac:dyDescent="0.3">
      <c r="B248" s="126"/>
      <c r="C248" s="607">
        <v>4</v>
      </c>
      <c r="D248" s="561" t="str">
        <f t="shared" si="5"/>
        <v/>
      </c>
      <c r="E248" s="561" t="str">
        <f t="shared" si="6"/>
        <v/>
      </c>
      <c r="F248" s="561" t="str">
        <f t="shared" si="7"/>
        <v/>
      </c>
      <c r="G248" s="561" t="str">
        <f t="shared" si="2"/>
        <v/>
      </c>
      <c r="H248" s="561" t="str">
        <f t="shared" si="8"/>
        <v/>
      </c>
      <c r="I248" s="561" t="str">
        <f t="shared" ca="1" si="9"/>
        <v/>
      </c>
      <c r="J248" s="561" t="str">
        <f t="shared" ca="1" si="10"/>
        <v/>
      </c>
      <c r="K248" s="561" t="str">
        <f t="shared" ca="1" si="11"/>
        <v/>
      </c>
      <c r="L248" s="561" t="str">
        <f t="shared" ca="1" si="12"/>
        <v/>
      </c>
      <c r="M248" s="560" t="str">
        <f t="shared" si="3"/>
        <v/>
      </c>
      <c r="N248" s="560" t="str">
        <f t="shared" ca="1" si="4"/>
        <v/>
      </c>
      <c r="O248" s="636" t="str">
        <f t="shared" ca="1" si="13"/>
        <v/>
      </c>
      <c r="Q248" s="1133"/>
    </row>
    <row r="249" spans="2:17" x14ac:dyDescent="0.3">
      <c r="B249" s="126"/>
      <c r="C249" s="607">
        <v>5</v>
      </c>
      <c r="D249" s="561" t="str">
        <f t="shared" si="5"/>
        <v/>
      </c>
      <c r="E249" s="561" t="str">
        <f t="shared" si="6"/>
        <v/>
      </c>
      <c r="F249" s="561" t="str">
        <f t="shared" si="7"/>
        <v/>
      </c>
      <c r="G249" s="561" t="str">
        <f t="shared" si="2"/>
        <v/>
      </c>
      <c r="H249" s="561" t="str">
        <f t="shared" si="8"/>
        <v/>
      </c>
      <c r="I249" s="561" t="str">
        <f t="shared" ca="1" si="9"/>
        <v/>
      </c>
      <c r="J249" s="561" t="str">
        <f t="shared" ca="1" si="10"/>
        <v/>
      </c>
      <c r="K249" s="561" t="str">
        <f t="shared" ca="1" si="11"/>
        <v/>
      </c>
      <c r="L249" s="561" t="str">
        <f t="shared" ca="1" si="12"/>
        <v/>
      </c>
      <c r="M249" s="560" t="str">
        <f t="shared" si="3"/>
        <v/>
      </c>
      <c r="N249" s="560" t="str">
        <f t="shared" ca="1" si="4"/>
        <v/>
      </c>
      <c r="O249" s="636" t="str">
        <f t="shared" ca="1" si="13"/>
        <v/>
      </c>
      <c r="Q249" s="1133"/>
    </row>
    <row r="250" spans="2:17" x14ac:dyDescent="0.3">
      <c r="B250" s="126"/>
      <c r="C250" s="607">
        <v>6</v>
      </c>
      <c r="D250" s="561" t="str">
        <f t="shared" si="5"/>
        <v/>
      </c>
      <c r="E250" s="561" t="str">
        <f t="shared" si="6"/>
        <v/>
      </c>
      <c r="F250" s="561" t="str">
        <f t="shared" si="7"/>
        <v/>
      </c>
      <c r="G250" s="561" t="str">
        <f t="shared" si="2"/>
        <v/>
      </c>
      <c r="H250" s="561" t="str">
        <f t="shared" si="8"/>
        <v/>
      </c>
      <c r="I250" s="561" t="str">
        <f t="shared" ca="1" si="9"/>
        <v/>
      </c>
      <c r="J250" s="561" t="str">
        <f t="shared" ca="1" si="10"/>
        <v/>
      </c>
      <c r="K250" s="561" t="str">
        <f t="shared" ca="1" si="11"/>
        <v/>
      </c>
      <c r="L250" s="561" t="str">
        <f t="shared" ca="1" si="12"/>
        <v/>
      </c>
      <c r="M250" s="560" t="str">
        <f t="shared" si="3"/>
        <v/>
      </c>
      <c r="N250" s="560" t="str">
        <f t="shared" ca="1" si="4"/>
        <v/>
      </c>
      <c r="O250" s="636" t="str">
        <f t="shared" ca="1" si="13"/>
        <v/>
      </c>
      <c r="Q250" s="1133"/>
    </row>
    <row r="251" spans="2:17" x14ac:dyDescent="0.3">
      <c r="B251" s="126"/>
      <c r="C251" s="607">
        <v>7</v>
      </c>
      <c r="D251" s="561" t="str">
        <f t="shared" si="5"/>
        <v/>
      </c>
      <c r="E251" s="561" t="str">
        <f t="shared" si="6"/>
        <v/>
      </c>
      <c r="F251" s="561" t="str">
        <f t="shared" si="7"/>
        <v/>
      </c>
      <c r="G251" s="561" t="str">
        <f t="shared" si="2"/>
        <v/>
      </c>
      <c r="H251" s="561" t="str">
        <f t="shared" si="8"/>
        <v/>
      </c>
      <c r="I251" s="561" t="str">
        <f t="shared" ca="1" si="9"/>
        <v/>
      </c>
      <c r="J251" s="561" t="str">
        <f t="shared" ca="1" si="10"/>
        <v/>
      </c>
      <c r="K251" s="561" t="str">
        <f t="shared" ca="1" si="11"/>
        <v/>
      </c>
      <c r="L251" s="561" t="str">
        <f t="shared" ca="1" si="12"/>
        <v/>
      </c>
      <c r="M251" s="560" t="str">
        <f t="shared" si="3"/>
        <v/>
      </c>
      <c r="N251" s="560" t="str">
        <f t="shared" ca="1" si="4"/>
        <v/>
      </c>
      <c r="O251" s="636" t="str">
        <f t="shared" ca="1" si="13"/>
        <v/>
      </c>
      <c r="Q251" s="1133"/>
    </row>
    <row r="252" spans="2:17" x14ac:dyDescent="0.3">
      <c r="B252" s="126"/>
      <c r="C252" s="607">
        <v>8</v>
      </c>
      <c r="D252" s="561" t="str">
        <f t="shared" si="5"/>
        <v/>
      </c>
      <c r="E252" s="561" t="str">
        <f t="shared" si="6"/>
        <v/>
      </c>
      <c r="F252" s="561" t="str">
        <f t="shared" si="7"/>
        <v/>
      </c>
      <c r="G252" s="561" t="str">
        <f t="shared" si="2"/>
        <v/>
      </c>
      <c r="H252" s="561" t="str">
        <f t="shared" si="8"/>
        <v/>
      </c>
      <c r="I252" s="561" t="str">
        <f t="shared" ca="1" si="9"/>
        <v/>
      </c>
      <c r="J252" s="561" t="str">
        <f t="shared" ca="1" si="10"/>
        <v/>
      </c>
      <c r="K252" s="561" t="str">
        <f t="shared" ca="1" si="11"/>
        <v/>
      </c>
      <c r="L252" s="561" t="str">
        <f t="shared" ca="1" si="12"/>
        <v/>
      </c>
      <c r="M252" s="560" t="str">
        <f t="shared" si="3"/>
        <v/>
      </c>
      <c r="N252" s="560" t="str">
        <f t="shared" ca="1" si="4"/>
        <v/>
      </c>
      <c r="O252" s="636" t="str">
        <f t="shared" ca="1" si="13"/>
        <v/>
      </c>
      <c r="Q252" s="1133"/>
    </row>
    <row r="253" spans="2:17" x14ac:dyDescent="0.3">
      <c r="B253" s="126"/>
      <c r="C253" s="607">
        <v>9</v>
      </c>
      <c r="D253" s="561" t="str">
        <f t="shared" si="5"/>
        <v/>
      </c>
      <c r="E253" s="561" t="str">
        <f t="shared" si="6"/>
        <v/>
      </c>
      <c r="F253" s="561" t="str">
        <f t="shared" si="7"/>
        <v/>
      </c>
      <c r="G253" s="561" t="str">
        <f t="shared" si="2"/>
        <v/>
      </c>
      <c r="H253" s="561" t="str">
        <f t="shared" si="8"/>
        <v/>
      </c>
      <c r="I253" s="561" t="str">
        <f t="shared" ca="1" si="9"/>
        <v/>
      </c>
      <c r="J253" s="561" t="str">
        <f t="shared" ca="1" si="10"/>
        <v/>
      </c>
      <c r="K253" s="561" t="str">
        <f t="shared" ca="1" si="11"/>
        <v/>
      </c>
      <c r="L253" s="561" t="str">
        <f t="shared" ca="1" si="12"/>
        <v/>
      </c>
      <c r="M253" s="560" t="str">
        <f t="shared" si="3"/>
        <v/>
      </c>
      <c r="N253" s="560" t="str">
        <f t="shared" ca="1" si="4"/>
        <v/>
      </c>
      <c r="O253" s="636" t="str">
        <f t="shared" ca="1" si="13"/>
        <v/>
      </c>
      <c r="Q253" s="1133"/>
    </row>
    <row r="254" spans="2:17" x14ac:dyDescent="0.3">
      <c r="B254" s="126"/>
      <c r="C254" s="607">
        <v>10</v>
      </c>
      <c r="D254" s="561" t="str">
        <f t="shared" si="5"/>
        <v/>
      </c>
      <c r="E254" s="561" t="str">
        <f t="shared" si="6"/>
        <v/>
      </c>
      <c r="F254" s="561" t="str">
        <f t="shared" si="7"/>
        <v/>
      </c>
      <c r="G254" s="561" t="str">
        <f t="shared" si="2"/>
        <v/>
      </c>
      <c r="H254" s="561" t="str">
        <f t="shared" si="8"/>
        <v/>
      </c>
      <c r="I254" s="561" t="str">
        <f t="shared" ca="1" si="9"/>
        <v/>
      </c>
      <c r="J254" s="561" t="str">
        <f t="shared" ca="1" si="10"/>
        <v/>
      </c>
      <c r="K254" s="561" t="str">
        <f t="shared" ca="1" si="11"/>
        <v/>
      </c>
      <c r="L254" s="561" t="str">
        <f t="shared" ca="1" si="12"/>
        <v/>
      </c>
      <c r="M254" s="560" t="str">
        <f t="shared" si="3"/>
        <v/>
      </c>
      <c r="N254" s="560" t="str">
        <f t="shared" ca="1" si="4"/>
        <v/>
      </c>
      <c r="O254" s="636" t="str">
        <f t="shared" ca="1" si="13"/>
        <v/>
      </c>
      <c r="Q254" s="1133"/>
    </row>
    <row r="255" spans="2:17" x14ac:dyDescent="0.3">
      <c r="B255" s="126"/>
      <c r="C255" s="607">
        <v>11</v>
      </c>
      <c r="D255" s="561" t="str">
        <f t="shared" si="5"/>
        <v/>
      </c>
      <c r="E255" s="561" t="str">
        <f t="shared" si="6"/>
        <v/>
      </c>
      <c r="F255" s="561" t="str">
        <f t="shared" si="7"/>
        <v/>
      </c>
      <c r="G255" s="561" t="str">
        <f t="shared" si="2"/>
        <v/>
      </c>
      <c r="H255" s="561" t="str">
        <f t="shared" si="8"/>
        <v/>
      </c>
      <c r="I255" s="561" t="str">
        <f t="shared" ca="1" si="9"/>
        <v/>
      </c>
      <c r="J255" s="561" t="str">
        <f t="shared" ca="1" si="10"/>
        <v/>
      </c>
      <c r="K255" s="561" t="str">
        <f t="shared" ca="1" si="11"/>
        <v/>
      </c>
      <c r="L255" s="561" t="str">
        <f t="shared" ca="1" si="12"/>
        <v/>
      </c>
      <c r="M255" s="560" t="str">
        <f t="shared" si="3"/>
        <v/>
      </c>
      <c r="N255" s="560" t="str">
        <f t="shared" ca="1" si="4"/>
        <v/>
      </c>
      <c r="O255" s="636" t="str">
        <f t="shared" ca="1" si="13"/>
        <v/>
      </c>
      <c r="Q255" s="1133"/>
    </row>
    <row r="256" spans="2:17" x14ac:dyDescent="0.3">
      <c r="B256" s="126"/>
      <c r="C256" s="607">
        <v>12</v>
      </c>
      <c r="D256" s="561" t="str">
        <f t="shared" si="5"/>
        <v/>
      </c>
      <c r="E256" s="561" t="str">
        <f t="shared" si="6"/>
        <v/>
      </c>
      <c r="F256" s="561" t="str">
        <f t="shared" si="7"/>
        <v/>
      </c>
      <c r="G256" s="561" t="str">
        <f t="shared" si="2"/>
        <v/>
      </c>
      <c r="H256" s="561" t="str">
        <f t="shared" si="8"/>
        <v/>
      </c>
      <c r="I256" s="561" t="str">
        <f t="shared" ca="1" si="9"/>
        <v/>
      </c>
      <c r="J256" s="561" t="str">
        <f t="shared" ca="1" si="10"/>
        <v/>
      </c>
      <c r="K256" s="561" t="str">
        <f t="shared" ca="1" si="11"/>
        <v/>
      </c>
      <c r="L256" s="561" t="str">
        <f t="shared" ca="1" si="12"/>
        <v/>
      </c>
      <c r="M256" s="560" t="str">
        <f t="shared" si="3"/>
        <v/>
      </c>
      <c r="N256" s="560" t="str">
        <f t="shared" ca="1" si="4"/>
        <v/>
      </c>
      <c r="O256" s="636" t="str">
        <f t="shared" ca="1" si="13"/>
        <v/>
      </c>
      <c r="Q256" s="1133"/>
    </row>
    <row r="257" spans="2:17" x14ac:dyDescent="0.3">
      <c r="B257" s="126"/>
      <c r="C257" s="607">
        <v>13</v>
      </c>
      <c r="D257" s="561" t="str">
        <f t="shared" si="5"/>
        <v/>
      </c>
      <c r="E257" s="561" t="str">
        <f t="shared" si="6"/>
        <v/>
      </c>
      <c r="F257" s="561" t="str">
        <f t="shared" si="7"/>
        <v/>
      </c>
      <c r="G257" s="561" t="str">
        <f t="shared" si="2"/>
        <v/>
      </c>
      <c r="H257" s="561" t="str">
        <f t="shared" si="8"/>
        <v/>
      </c>
      <c r="I257" s="561" t="str">
        <f t="shared" ca="1" si="9"/>
        <v/>
      </c>
      <c r="J257" s="561" t="str">
        <f t="shared" ca="1" si="10"/>
        <v/>
      </c>
      <c r="K257" s="561" t="str">
        <f t="shared" ca="1" si="11"/>
        <v/>
      </c>
      <c r="L257" s="561" t="str">
        <f t="shared" ca="1" si="12"/>
        <v/>
      </c>
      <c r="M257" s="560" t="str">
        <f t="shared" si="3"/>
        <v/>
      </c>
      <c r="N257" s="560" t="str">
        <f t="shared" ca="1" si="4"/>
        <v/>
      </c>
      <c r="O257" s="636" t="str">
        <f t="shared" ca="1" si="13"/>
        <v/>
      </c>
      <c r="Q257" s="1133"/>
    </row>
    <row r="258" spans="2:17" x14ac:dyDescent="0.3">
      <c r="B258" s="126"/>
      <c r="C258" s="607">
        <v>14</v>
      </c>
      <c r="D258" s="561" t="str">
        <f t="shared" si="5"/>
        <v/>
      </c>
      <c r="E258" s="561" t="str">
        <f t="shared" si="6"/>
        <v/>
      </c>
      <c r="F258" s="561" t="str">
        <f t="shared" si="7"/>
        <v/>
      </c>
      <c r="G258" s="561" t="str">
        <f t="shared" si="2"/>
        <v/>
      </c>
      <c r="H258" s="561" t="str">
        <f t="shared" si="8"/>
        <v/>
      </c>
      <c r="I258" s="561" t="str">
        <f t="shared" ca="1" si="9"/>
        <v/>
      </c>
      <c r="J258" s="561" t="str">
        <f t="shared" ca="1" si="10"/>
        <v/>
      </c>
      <c r="K258" s="561" t="str">
        <f t="shared" ca="1" si="11"/>
        <v/>
      </c>
      <c r="L258" s="561" t="str">
        <f t="shared" ca="1" si="12"/>
        <v/>
      </c>
      <c r="M258" s="560" t="str">
        <f t="shared" si="3"/>
        <v/>
      </c>
      <c r="N258" s="560" t="str">
        <f t="shared" ca="1" si="4"/>
        <v/>
      </c>
      <c r="O258" s="636" t="str">
        <f t="shared" ca="1" si="13"/>
        <v/>
      </c>
      <c r="Q258" s="1133"/>
    </row>
    <row r="259" spans="2:17" x14ac:dyDescent="0.3">
      <c r="B259" s="126"/>
      <c r="C259" s="607">
        <v>15</v>
      </c>
      <c r="D259" s="561" t="str">
        <f t="shared" si="5"/>
        <v/>
      </c>
      <c r="E259" s="561" t="str">
        <f t="shared" si="6"/>
        <v/>
      </c>
      <c r="F259" s="561" t="str">
        <f t="shared" si="7"/>
        <v/>
      </c>
      <c r="G259" s="561" t="str">
        <f t="shared" si="2"/>
        <v/>
      </c>
      <c r="H259" s="561" t="str">
        <f t="shared" si="8"/>
        <v/>
      </c>
      <c r="I259" s="561" t="str">
        <f t="shared" ca="1" si="9"/>
        <v/>
      </c>
      <c r="J259" s="561" t="str">
        <f t="shared" ca="1" si="10"/>
        <v/>
      </c>
      <c r="K259" s="561" t="str">
        <f t="shared" ca="1" si="11"/>
        <v/>
      </c>
      <c r="L259" s="561" t="str">
        <f t="shared" ca="1" si="12"/>
        <v/>
      </c>
      <c r="M259" s="560" t="str">
        <f t="shared" si="3"/>
        <v/>
      </c>
      <c r="N259" s="560" t="str">
        <f t="shared" ca="1" si="4"/>
        <v/>
      </c>
      <c r="O259" s="636" t="str">
        <f t="shared" ca="1" si="13"/>
        <v/>
      </c>
      <c r="Q259" s="1133"/>
    </row>
    <row r="260" spans="2:17" x14ac:dyDescent="0.3">
      <c r="B260" s="126"/>
      <c r="C260" s="607">
        <v>16</v>
      </c>
      <c r="D260" s="561" t="str">
        <f t="shared" si="5"/>
        <v/>
      </c>
      <c r="E260" s="561" t="str">
        <f t="shared" si="6"/>
        <v/>
      </c>
      <c r="F260" s="561" t="str">
        <f t="shared" si="7"/>
        <v/>
      </c>
      <c r="G260" s="561" t="str">
        <f t="shared" si="2"/>
        <v/>
      </c>
      <c r="H260" s="561" t="str">
        <f t="shared" si="8"/>
        <v/>
      </c>
      <c r="I260" s="561" t="str">
        <f t="shared" ca="1" si="9"/>
        <v/>
      </c>
      <c r="J260" s="561" t="str">
        <f t="shared" ca="1" si="10"/>
        <v/>
      </c>
      <c r="K260" s="561" t="str">
        <f t="shared" ca="1" si="11"/>
        <v/>
      </c>
      <c r="L260" s="561" t="str">
        <f t="shared" ca="1" si="12"/>
        <v/>
      </c>
      <c r="M260" s="560" t="str">
        <f t="shared" si="3"/>
        <v/>
      </c>
      <c r="N260" s="560" t="str">
        <f t="shared" ca="1" si="4"/>
        <v/>
      </c>
      <c r="O260" s="636" t="str">
        <f t="shared" ca="1" si="13"/>
        <v/>
      </c>
      <c r="Q260" s="1133"/>
    </row>
    <row r="261" spans="2:17" x14ac:dyDescent="0.3">
      <c r="B261" s="126"/>
      <c r="C261" s="607">
        <v>17</v>
      </c>
      <c r="D261" s="561" t="str">
        <f t="shared" si="5"/>
        <v/>
      </c>
      <c r="E261" s="561" t="str">
        <f t="shared" si="6"/>
        <v/>
      </c>
      <c r="F261" s="561" t="str">
        <f t="shared" si="7"/>
        <v/>
      </c>
      <c r="G261" s="561" t="str">
        <f t="shared" si="2"/>
        <v/>
      </c>
      <c r="H261" s="561" t="str">
        <f t="shared" si="8"/>
        <v/>
      </c>
      <c r="I261" s="561" t="str">
        <f t="shared" ca="1" si="9"/>
        <v/>
      </c>
      <c r="J261" s="561" t="str">
        <f t="shared" ca="1" si="10"/>
        <v/>
      </c>
      <c r="K261" s="561" t="str">
        <f t="shared" ca="1" si="11"/>
        <v/>
      </c>
      <c r="L261" s="561" t="str">
        <f t="shared" ca="1" si="12"/>
        <v/>
      </c>
      <c r="M261" s="560" t="str">
        <f t="shared" si="3"/>
        <v/>
      </c>
      <c r="N261" s="560" t="str">
        <f t="shared" ca="1" si="4"/>
        <v/>
      </c>
      <c r="O261" s="636" t="str">
        <f t="shared" ca="1" si="13"/>
        <v/>
      </c>
      <c r="Q261" s="1133"/>
    </row>
    <row r="262" spans="2:17" x14ac:dyDescent="0.3">
      <c r="B262" s="126"/>
      <c r="C262" s="607">
        <v>18</v>
      </c>
      <c r="D262" s="561" t="str">
        <f t="shared" si="5"/>
        <v/>
      </c>
      <c r="E262" s="561" t="str">
        <f t="shared" si="6"/>
        <v/>
      </c>
      <c r="F262" s="561" t="str">
        <f t="shared" si="7"/>
        <v/>
      </c>
      <c r="G262" s="561" t="str">
        <f t="shared" si="2"/>
        <v/>
      </c>
      <c r="H262" s="561" t="str">
        <f t="shared" si="8"/>
        <v/>
      </c>
      <c r="I262" s="561" t="str">
        <f t="shared" ca="1" si="9"/>
        <v/>
      </c>
      <c r="J262" s="561" t="str">
        <f t="shared" ca="1" si="10"/>
        <v/>
      </c>
      <c r="K262" s="561" t="str">
        <f t="shared" ca="1" si="11"/>
        <v/>
      </c>
      <c r="L262" s="561" t="str">
        <f t="shared" ca="1" si="12"/>
        <v/>
      </c>
      <c r="M262" s="560" t="str">
        <f t="shared" si="3"/>
        <v/>
      </c>
      <c r="N262" s="560" t="str">
        <f t="shared" ca="1" si="4"/>
        <v/>
      </c>
      <c r="O262" s="636" t="str">
        <f t="shared" ca="1" si="13"/>
        <v/>
      </c>
      <c r="Q262" s="1133"/>
    </row>
    <row r="263" spans="2:17" x14ac:dyDescent="0.3">
      <c r="B263" s="126"/>
      <c r="C263" s="607">
        <v>19</v>
      </c>
      <c r="D263" s="561" t="str">
        <f t="shared" si="5"/>
        <v/>
      </c>
      <c r="E263" s="561" t="str">
        <f t="shared" si="6"/>
        <v/>
      </c>
      <c r="F263" s="561" t="str">
        <f t="shared" si="7"/>
        <v/>
      </c>
      <c r="G263" s="561" t="str">
        <f t="shared" si="2"/>
        <v/>
      </c>
      <c r="H263" s="561" t="str">
        <f t="shared" si="8"/>
        <v/>
      </c>
      <c r="I263" s="561" t="str">
        <f t="shared" ca="1" si="9"/>
        <v/>
      </c>
      <c r="J263" s="561" t="str">
        <f t="shared" ca="1" si="10"/>
        <v/>
      </c>
      <c r="K263" s="561" t="str">
        <f t="shared" ca="1" si="11"/>
        <v/>
      </c>
      <c r="L263" s="561" t="str">
        <f t="shared" ca="1" si="12"/>
        <v/>
      </c>
      <c r="M263" s="560" t="str">
        <f t="shared" si="3"/>
        <v/>
      </c>
      <c r="N263" s="560" t="str">
        <f t="shared" ca="1" si="4"/>
        <v/>
      </c>
      <c r="O263" s="636" t="str">
        <f t="shared" ca="1" si="13"/>
        <v/>
      </c>
      <c r="Q263" s="1133"/>
    </row>
    <row r="264" spans="2:17" x14ac:dyDescent="0.3">
      <c r="B264" s="126"/>
      <c r="C264" s="607">
        <v>20</v>
      </c>
      <c r="D264" s="561" t="str">
        <f t="shared" si="5"/>
        <v/>
      </c>
      <c r="E264" s="561" t="str">
        <f t="shared" si="6"/>
        <v/>
      </c>
      <c r="F264" s="561" t="str">
        <f t="shared" si="7"/>
        <v/>
      </c>
      <c r="G264" s="561" t="str">
        <f t="shared" si="2"/>
        <v/>
      </c>
      <c r="H264" s="561" t="str">
        <f t="shared" si="8"/>
        <v/>
      </c>
      <c r="I264" s="561" t="str">
        <f t="shared" ca="1" si="9"/>
        <v/>
      </c>
      <c r="J264" s="561" t="str">
        <f t="shared" ca="1" si="10"/>
        <v/>
      </c>
      <c r="K264" s="561" t="str">
        <f t="shared" ca="1" si="11"/>
        <v/>
      </c>
      <c r="L264" s="561" t="str">
        <f t="shared" ca="1" si="12"/>
        <v/>
      </c>
      <c r="M264" s="560" t="str">
        <f t="shared" si="3"/>
        <v/>
      </c>
      <c r="N264" s="560" t="str">
        <f t="shared" ca="1" si="4"/>
        <v/>
      </c>
      <c r="O264" s="636" t="str">
        <f t="shared" ca="1" si="13"/>
        <v/>
      </c>
      <c r="Q264" s="1133"/>
    </row>
    <row r="265" spans="2:17" x14ac:dyDescent="0.3">
      <c r="B265" s="126"/>
      <c r="C265" s="607">
        <v>21</v>
      </c>
      <c r="D265" s="561" t="str">
        <f t="shared" si="5"/>
        <v/>
      </c>
      <c r="E265" s="561" t="str">
        <f t="shared" si="6"/>
        <v/>
      </c>
      <c r="F265" s="561" t="str">
        <f t="shared" si="7"/>
        <v/>
      </c>
      <c r="G265" s="561" t="str">
        <f t="shared" si="2"/>
        <v/>
      </c>
      <c r="H265" s="561" t="str">
        <f t="shared" si="8"/>
        <v/>
      </c>
      <c r="I265" s="561" t="str">
        <f t="shared" ca="1" si="9"/>
        <v/>
      </c>
      <c r="J265" s="561" t="str">
        <f t="shared" ca="1" si="10"/>
        <v/>
      </c>
      <c r="K265" s="561" t="str">
        <f t="shared" ca="1" si="11"/>
        <v/>
      </c>
      <c r="L265" s="561" t="str">
        <f t="shared" ca="1" si="12"/>
        <v/>
      </c>
      <c r="M265" s="560" t="str">
        <f t="shared" si="3"/>
        <v/>
      </c>
      <c r="N265" s="560" t="str">
        <f t="shared" ca="1" si="4"/>
        <v/>
      </c>
      <c r="O265" s="636" t="str">
        <f t="shared" ca="1" si="13"/>
        <v/>
      </c>
      <c r="Q265" s="1133"/>
    </row>
    <row r="266" spans="2:17" x14ac:dyDescent="0.3">
      <c r="B266" s="126"/>
      <c r="C266" s="607">
        <v>22</v>
      </c>
      <c r="D266" s="561" t="str">
        <f t="shared" si="5"/>
        <v/>
      </c>
      <c r="E266" s="561" t="str">
        <f t="shared" si="6"/>
        <v/>
      </c>
      <c r="F266" s="561" t="str">
        <f t="shared" si="7"/>
        <v/>
      </c>
      <c r="G266" s="561" t="str">
        <f t="shared" si="2"/>
        <v/>
      </c>
      <c r="H266" s="561" t="str">
        <f t="shared" si="8"/>
        <v/>
      </c>
      <c r="I266" s="561" t="str">
        <f t="shared" ca="1" si="9"/>
        <v/>
      </c>
      <c r="J266" s="561" t="str">
        <f t="shared" ca="1" si="10"/>
        <v/>
      </c>
      <c r="K266" s="561" t="str">
        <f t="shared" ca="1" si="11"/>
        <v/>
      </c>
      <c r="L266" s="561" t="str">
        <f t="shared" ca="1" si="12"/>
        <v/>
      </c>
      <c r="M266" s="560" t="str">
        <f t="shared" si="3"/>
        <v/>
      </c>
      <c r="N266" s="560" t="str">
        <f t="shared" ca="1" si="4"/>
        <v/>
      </c>
      <c r="O266" s="636" t="str">
        <f t="shared" ca="1" si="13"/>
        <v/>
      </c>
      <c r="Q266" s="1133"/>
    </row>
    <row r="267" spans="2:17" x14ac:dyDescent="0.3">
      <c r="B267" s="126"/>
      <c r="C267" s="607">
        <v>23</v>
      </c>
      <c r="D267" s="561" t="str">
        <f t="shared" si="5"/>
        <v/>
      </c>
      <c r="E267" s="561" t="str">
        <f t="shared" si="6"/>
        <v/>
      </c>
      <c r="F267" s="561" t="str">
        <f t="shared" si="7"/>
        <v/>
      </c>
      <c r="G267" s="561" t="str">
        <f t="shared" si="2"/>
        <v/>
      </c>
      <c r="H267" s="561" t="str">
        <f t="shared" si="8"/>
        <v/>
      </c>
      <c r="I267" s="561" t="str">
        <f t="shared" ca="1" si="9"/>
        <v/>
      </c>
      <c r="J267" s="561" t="str">
        <f t="shared" ca="1" si="10"/>
        <v/>
      </c>
      <c r="K267" s="561" t="str">
        <f t="shared" ca="1" si="11"/>
        <v/>
      </c>
      <c r="L267" s="561" t="str">
        <f t="shared" ca="1" si="12"/>
        <v/>
      </c>
      <c r="M267" s="560" t="str">
        <f t="shared" si="3"/>
        <v/>
      </c>
      <c r="N267" s="560" t="str">
        <f t="shared" ca="1" si="4"/>
        <v/>
      </c>
      <c r="O267" s="636" t="str">
        <f t="shared" ca="1" si="13"/>
        <v/>
      </c>
      <c r="Q267" s="1133"/>
    </row>
    <row r="268" spans="2:17" x14ac:dyDescent="0.3">
      <c r="B268" s="126"/>
      <c r="C268" s="607">
        <v>24</v>
      </c>
      <c r="D268" s="561" t="str">
        <f t="shared" si="5"/>
        <v/>
      </c>
      <c r="E268" s="561" t="str">
        <f t="shared" si="6"/>
        <v/>
      </c>
      <c r="F268" s="561" t="str">
        <f t="shared" si="7"/>
        <v/>
      </c>
      <c r="G268" s="561" t="str">
        <f t="shared" si="2"/>
        <v/>
      </c>
      <c r="H268" s="561" t="str">
        <f t="shared" si="8"/>
        <v/>
      </c>
      <c r="I268" s="561" t="str">
        <f t="shared" ca="1" si="9"/>
        <v/>
      </c>
      <c r="J268" s="561" t="str">
        <f t="shared" ca="1" si="10"/>
        <v/>
      </c>
      <c r="K268" s="561" t="str">
        <f t="shared" ca="1" si="11"/>
        <v/>
      </c>
      <c r="L268" s="561" t="str">
        <f t="shared" ca="1" si="12"/>
        <v/>
      </c>
      <c r="M268" s="560" t="str">
        <f t="shared" si="3"/>
        <v/>
      </c>
      <c r="N268" s="560" t="str">
        <f t="shared" ca="1" si="4"/>
        <v/>
      </c>
      <c r="O268" s="636" t="str">
        <f t="shared" ca="1" si="13"/>
        <v/>
      </c>
      <c r="Q268" s="1133"/>
    </row>
    <row r="269" spans="2:17" x14ac:dyDescent="0.3">
      <c r="B269" s="126"/>
      <c r="C269" s="607">
        <v>25</v>
      </c>
      <c r="D269" s="561" t="str">
        <f t="shared" si="5"/>
        <v/>
      </c>
      <c r="E269" s="561" t="str">
        <f t="shared" si="6"/>
        <v/>
      </c>
      <c r="F269" s="561" t="str">
        <f t="shared" si="7"/>
        <v/>
      </c>
      <c r="G269" s="561" t="str">
        <f t="shared" si="2"/>
        <v/>
      </c>
      <c r="H269" s="561" t="str">
        <f t="shared" si="8"/>
        <v/>
      </c>
      <c r="I269" s="561" t="str">
        <f t="shared" ca="1" si="9"/>
        <v/>
      </c>
      <c r="J269" s="561" t="str">
        <f t="shared" ca="1" si="10"/>
        <v/>
      </c>
      <c r="K269" s="561" t="str">
        <f t="shared" ca="1" si="11"/>
        <v/>
      </c>
      <c r="L269" s="561" t="str">
        <f t="shared" ca="1" si="12"/>
        <v/>
      </c>
      <c r="M269" s="560" t="str">
        <f t="shared" si="3"/>
        <v/>
      </c>
      <c r="N269" s="560" t="str">
        <f t="shared" ca="1" si="4"/>
        <v/>
      </c>
      <c r="O269" s="636" t="str">
        <f t="shared" ca="1" si="13"/>
        <v/>
      </c>
      <c r="Q269" s="1133"/>
    </row>
    <row r="270" spans="2:17" x14ac:dyDescent="0.3">
      <c r="B270" s="126"/>
      <c r="C270" s="607">
        <v>26</v>
      </c>
      <c r="D270" s="561" t="str">
        <f t="shared" si="5"/>
        <v/>
      </c>
      <c r="E270" s="561" t="str">
        <f t="shared" si="6"/>
        <v/>
      </c>
      <c r="F270" s="561" t="str">
        <f t="shared" si="7"/>
        <v/>
      </c>
      <c r="G270" s="561" t="str">
        <f t="shared" si="2"/>
        <v/>
      </c>
      <c r="H270" s="561" t="str">
        <f t="shared" si="8"/>
        <v/>
      </c>
      <c r="I270" s="561" t="str">
        <f t="shared" ca="1" si="9"/>
        <v/>
      </c>
      <c r="J270" s="561" t="str">
        <f t="shared" ca="1" si="10"/>
        <v/>
      </c>
      <c r="K270" s="561" t="str">
        <f t="shared" ca="1" si="11"/>
        <v/>
      </c>
      <c r="L270" s="561" t="str">
        <f t="shared" ca="1" si="12"/>
        <v/>
      </c>
      <c r="M270" s="560" t="str">
        <f t="shared" si="3"/>
        <v/>
      </c>
      <c r="N270" s="560" t="str">
        <f t="shared" ca="1" si="4"/>
        <v/>
      </c>
      <c r="O270" s="636" t="str">
        <f t="shared" ca="1" si="13"/>
        <v/>
      </c>
      <c r="Q270" s="1133"/>
    </row>
    <row r="271" spans="2:17" x14ac:dyDescent="0.3">
      <c r="B271" s="126"/>
      <c r="C271" s="607">
        <v>27</v>
      </c>
      <c r="D271" s="561" t="str">
        <f t="shared" si="5"/>
        <v/>
      </c>
      <c r="E271" s="561" t="str">
        <f t="shared" si="6"/>
        <v/>
      </c>
      <c r="F271" s="561" t="str">
        <f t="shared" si="7"/>
        <v/>
      </c>
      <c r="G271" s="561" t="str">
        <f t="shared" si="2"/>
        <v/>
      </c>
      <c r="H271" s="561" t="str">
        <f t="shared" si="8"/>
        <v/>
      </c>
      <c r="I271" s="561" t="str">
        <f t="shared" ca="1" si="9"/>
        <v/>
      </c>
      <c r="J271" s="561" t="str">
        <f t="shared" ca="1" si="10"/>
        <v/>
      </c>
      <c r="K271" s="561" t="str">
        <f t="shared" ca="1" si="11"/>
        <v/>
      </c>
      <c r="L271" s="561" t="str">
        <f t="shared" ca="1" si="12"/>
        <v/>
      </c>
      <c r="M271" s="560" t="str">
        <f t="shared" si="3"/>
        <v/>
      </c>
      <c r="N271" s="560" t="str">
        <f t="shared" ca="1" si="4"/>
        <v/>
      </c>
      <c r="O271" s="636" t="str">
        <f t="shared" ca="1" si="13"/>
        <v/>
      </c>
      <c r="Q271" s="1133"/>
    </row>
    <row r="272" spans="2:17" x14ac:dyDescent="0.3">
      <c r="B272" s="126"/>
      <c r="C272" s="607">
        <v>28</v>
      </c>
      <c r="D272" s="561" t="str">
        <f t="shared" si="5"/>
        <v/>
      </c>
      <c r="E272" s="561" t="str">
        <f t="shared" si="6"/>
        <v/>
      </c>
      <c r="F272" s="561" t="str">
        <f t="shared" si="7"/>
        <v/>
      </c>
      <c r="G272" s="561" t="str">
        <f t="shared" si="2"/>
        <v/>
      </c>
      <c r="H272" s="561" t="str">
        <f t="shared" si="8"/>
        <v/>
      </c>
      <c r="I272" s="561" t="str">
        <f t="shared" ca="1" si="9"/>
        <v/>
      </c>
      <c r="J272" s="561" t="str">
        <f t="shared" ca="1" si="10"/>
        <v/>
      </c>
      <c r="K272" s="561" t="str">
        <f t="shared" ca="1" si="11"/>
        <v/>
      </c>
      <c r="L272" s="561" t="str">
        <f t="shared" ca="1" si="12"/>
        <v/>
      </c>
      <c r="M272" s="560" t="str">
        <f t="shared" si="3"/>
        <v/>
      </c>
      <c r="N272" s="560" t="str">
        <f t="shared" ca="1" si="4"/>
        <v/>
      </c>
      <c r="O272" s="636" t="str">
        <f t="shared" ca="1" si="13"/>
        <v/>
      </c>
      <c r="Q272" s="1133"/>
    </row>
    <row r="273" spans="2:17" x14ac:dyDescent="0.3">
      <c r="B273" s="126"/>
      <c r="C273" s="607">
        <v>29</v>
      </c>
      <c r="D273" s="561" t="str">
        <f t="shared" si="5"/>
        <v/>
      </c>
      <c r="E273" s="561" t="str">
        <f t="shared" si="6"/>
        <v/>
      </c>
      <c r="F273" s="561" t="str">
        <f t="shared" si="7"/>
        <v/>
      </c>
      <c r="G273" s="561" t="str">
        <f t="shared" si="2"/>
        <v/>
      </c>
      <c r="H273" s="561" t="str">
        <f t="shared" si="8"/>
        <v/>
      </c>
      <c r="I273" s="561" t="str">
        <f t="shared" ca="1" si="9"/>
        <v/>
      </c>
      <c r="J273" s="561" t="str">
        <f t="shared" ca="1" si="10"/>
        <v/>
      </c>
      <c r="K273" s="561" t="str">
        <f t="shared" ca="1" si="11"/>
        <v/>
      </c>
      <c r="L273" s="561" t="str">
        <f t="shared" ca="1" si="12"/>
        <v/>
      </c>
      <c r="M273" s="560" t="str">
        <f t="shared" si="3"/>
        <v/>
      </c>
      <c r="N273" s="560" t="str">
        <f t="shared" ca="1" si="4"/>
        <v/>
      </c>
      <c r="O273" s="636" t="str">
        <f t="shared" ca="1" si="13"/>
        <v/>
      </c>
      <c r="Q273" s="1133"/>
    </row>
    <row r="274" spans="2:17" x14ac:dyDescent="0.3">
      <c r="B274" s="126"/>
      <c r="C274" s="607">
        <v>30</v>
      </c>
      <c r="D274" s="561" t="str">
        <f t="shared" si="5"/>
        <v/>
      </c>
      <c r="E274" s="561" t="str">
        <f t="shared" si="6"/>
        <v/>
      </c>
      <c r="F274" s="561" t="str">
        <f t="shared" si="7"/>
        <v/>
      </c>
      <c r="G274" s="561" t="str">
        <f t="shared" si="2"/>
        <v/>
      </c>
      <c r="H274" s="561" t="str">
        <f t="shared" si="8"/>
        <v/>
      </c>
      <c r="I274" s="561" t="str">
        <f t="shared" ca="1" si="9"/>
        <v/>
      </c>
      <c r="J274" s="561" t="str">
        <f t="shared" ca="1" si="10"/>
        <v/>
      </c>
      <c r="K274" s="561" t="str">
        <f t="shared" ca="1" si="11"/>
        <v/>
      </c>
      <c r="L274" s="561" t="str">
        <f t="shared" ca="1" si="12"/>
        <v/>
      </c>
      <c r="M274" s="560" t="str">
        <f t="shared" si="3"/>
        <v/>
      </c>
      <c r="N274" s="560" t="str">
        <f t="shared" ca="1" si="4"/>
        <v/>
      </c>
      <c r="O274" s="636" t="str">
        <f t="shared" ca="1" si="13"/>
        <v/>
      </c>
      <c r="Q274" s="1133"/>
    </row>
    <row r="275" spans="2:17" x14ac:dyDescent="0.3">
      <c r="B275" s="126"/>
      <c r="C275" s="607">
        <v>31</v>
      </c>
      <c r="D275" s="561" t="str">
        <f t="shared" si="5"/>
        <v/>
      </c>
      <c r="E275" s="561" t="str">
        <f t="shared" si="6"/>
        <v/>
      </c>
      <c r="F275" s="561" t="str">
        <f t="shared" si="7"/>
        <v/>
      </c>
      <c r="G275" s="561" t="str">
        <f t="shared" si="2"/>
        <v/>
      </c>
      <c r="H275" s="561" t="str">
        <f t="shared" si="8"/>
        <v/>
      </c>
      <c r="I275" s="561" t="str">
        <f t="shared" ca="1" si="9"/>
        <v/>
      </c>
      <c r="J275" s="561" t="str">
        <f t="shared" ca="1" si="10"/>
        <v/>
      </c>
      <c r="K275" s="561" t="str">
        <f t="shared" ca="1" si="11"/>
        <v/>
      </c>
      <c r="L275" s="561" t="str">
        <f t="shared" ca="1" si="12"/>
        <v/>
      </c>
      <c r="M275" s="560" t="str">
        <f t="shared" si="3"/>
        <v/>
      </c>
      <c r="N275" s="560" t="str">
        <f t="shared" ca="1" si="4"/>
        <v/>
      </c>
      <c r="O275" s="636" t="str">
        <f t="shared" ca="1" si="13"/>
        <v/>
      </c>
      <c r="Q275" s="1133"/>
    </row>
    <row r="276" spans="2:17" x14ac:dyDescent="0.3">
      <c r="B276" s="126"/>
      <c r="C276" s="607">
        <v>32</v>
      </c>
      <c r="D276" s="561" t="str">
        <f t="shared" si="5"/>
        <v/>
      </c>
      <c r="E276" s="561" t="str">
        <f t="shared" si="6"/>
        <v/>
      </c>
      <c r="F276" s="561" t="str">
        <f t="shared" si="7"/>
        <v/>
      </c>
      <c r="G276" s="561" t="str">
        <f t="shared" si="2"/>
        <v/>
      </c>
      <c r="H276" s="561" t="str">
        <f t="shared" si="8"/>
        <v/>
      </c>
      <c r="I276" s="561" t="str">
        <f t="shared" ca="1" si="9"/>
        <v/>
      </c>
      <c r="J276" s="561" t="str">
        <f t="shared" ca="1" si="10"/>
        <v/>
      </c>
      <c r="K276" s="561" t="str">
        <f t="shared" ca="1" si="11"/>
        <v/>
      </c>
      <c r="L276" s="561" t="str">
        <f t="shared" ca="1" si="12"/>
        <v/>
      </c>
      <c r="M276" s="560" t="str">
        <f t="shared" si="3"/>
        <v/>
      </c>
      <c r="N276" s="560" t="str">
        <f t="shared" ca="1" si="4"/>
        <v/>
      </c>
      <c r="O276" s="636" t="str">
        <f t="shared" ca="1" si="13"/>
        <v/>
      </c>
      <c r="Q276" s="1133"/>
    </row>
    <row r="277" spans="2:17" x14ac:dyDescent="0.3">
      <c r="B277" s="126"/>
      <c r="C277" s="607">
        <v>33</v>
      </c>
      <c r="D277" s="561" t="str">
        <f t="shared" si="5"/>
        <v/>
      </c>
      <c r="E277" s="561" t="str">
        <f t="shared" si="6"/>
        <v/>
      </c>
      <c r="F277" s="561" t="str">
        <f t="shared" si="7"/>
        <v/>
      </c>
      <c r="G277" s="561" t="str">
        <f t="shared" si="2"/>
        <v/>
      </c>
      <c r="H277" s="561" t="str">
        <f t="shared" si="8"/>
        <v/>
      </c>
      <c r="I277" s="561" t="str">
        <f t="shared" ca="1" si="9"/>
        <v/>
      </c>
      <c r="J277" s="561" t="str">
        <f t="shared" ca="1" si="10"/>
        <v/>
      </c>
      <c r="K277" s="561" t="str">
        <f t="shared" ca="1" si="11"/>
        <v/>
      </c>
      <c r="L277" s="561" t="str">
        <f t="shared" ca="1" si="12"/>
        <v/>
      </c>
      <c r="M277" s="560" t="str">
        <f t="shared" si="3"/>
        <v/>
      </c>
      <c r="N277" s="560" t="str">
        <f t="shared" ca="1" si="4"/>
        <v/>
      </c>
      <c r="O277" s="636" t="str">
        <f t="shared" ca="1" si="13"/>
        <v/>
      </c>
      <c r="Q277" s="1133"/>
    </row>
    <row r="278" spans="2:17" x14ac:dyDescent="0.3">
      <c r="B278" s="126"/>
      <c r="C278" s="607">
        <v>34</v>
      </c>
      <c r="D278" s="561" t="str">
        <f t="shared" si="5"/>
        <v/>
      </c>
      <c r="E278" s="561" t="str">
        <f t="shared" si="6"/>
        <v/>
      </c>
      <c r="F278" s="561" t="str">
        <f t="shared" si="7"/>
        <v/>
      </c>
      <c r="G278" s="561" t="str">
        <f t="shared" si="2"/>
        <v/>
      </c>
      <c r="H278" s="561" t="str">
        <f t="shared" si="8"/>
        <v/>
      </c>
      <c r="I278" s="561" t="str">
        <f t="shared" ca="1" si="9"/>
        <v/>
      </c>
      <c r="J278" s="561" t="str">
        <f t="shared" ca="1" si="10"/>
        <v/>
      </c>
      <c r="K278" s="561" t="str">
        <f t="shared" ca="1" si="11"/>
        <v/>
      </c>
      <c r="L278" s="561" t="str">
        <f t="shared" ca="1" si="12"/>
        <v/>
      </c>
      <c r="M278" s="560" t="str">
        <f t="shared" si="3"/>
        <v/>
      </c>
      <c r="N278" s="560" t="str">
        <f t="shared" ca="1" si="4"/>
        <v/>
      </c>
      <c r="O278" s="636" t="str">
        <f t="shared" ca="1" si="13"/>
        <v/>
      </c>
      <c r="Q278" s="1133"/>
    </row>
    <row r="279" spans="2:17" x14ac:dyDescent="0.3">
      <c r="B279" s="126"/>
      <c r="C279" s="607">
        <v>35</v>
      </c>
      <c r="D279" s="561" t="str">
        <f t="shared" si="5"/>
        <v/>
      </c>
      <c r="E279" s="561" t="str">
        <f t="shared" si="6"/>
        <v/>
      </c>
      <c r="F279" s="561" t="str">
        <f t="shared" si="7"/>
        <v/>
      </c>
      <c r="G279" s="561" t="str">
        <f t="shared" si="2"/>
        <v/>
      </c>
      <c r="H279" s="561" t="str">
        <f t="shared" si="8"/>
        <v/>
      </c>
      <c r="I279" s="561" t="str">
        <f t="shared" ca="1" si="9"/>
        <v/>
      </c>
      <c r="J279" s="561" t="str">
        <f t="shared" ca="1" si="10"/>
        <v/>
      </c>
      <c r="K279" s="561" t="str">
        <f t="shared" ca="1" si="11"/>
        <v/>
      </c>
      <c r="L279" s="561" t="str">
        <f t="shared" ca="1" si="12"/>
        <v/>
      </c>
      <c r="M279" s="560" t="str">
        <f t="shared" si="3"/>
        <v/>
      </c>
      <c r="N279" s="560" t="str">
        <f t="shared" ca="1" si="4"/>
        <v/>
      </c>
      <c r="O279" s="636" t="str">
        <f t="shared" ca="1" si="13"/>
        <v/>
      </c>
      <c r="Q279" s="1133"/>
    </row>
    <row r="280" spans="2:17" x14ac:dyDescent="0.3">
      <c r="B280" s="126"/>
      <c r="C280" s="607">
        <v>36</v>
      </c>
      <c r="D280" s="561" t="str">
        <f t="shared" si="5"/>
        <v/>
      </c>
      <c r="E280" s="561" t="str">
        <f t="shared" si="6"/>
        <v/>
      </c>
      <c r="F280" s="561" t="str">
        <f t="shared" si="7"/>
        <v/>
      </c>
      <c r="G280" s="561" t="str">
        <f t="shared" si="2"/>
        <v/>
      </c>
      <c r="H280" s="561" t="str">
        <f t="shared" si="8"/>
        <v/>
      </c>
      <c r="I280" s="561" t="str">
        <f t="shared" ca="1" si="9"/>
        <v/>
      </c>
      <c r="J280" s="561" t="str">
        <f t="shared" ca="1" si="10"/>
        <v/>
      </c>
      <c r="K280" s="561" t="str">
        <f t="shared" ca="1" si="11"/>
        <v/>
      </c>
      <c r="L280" s="561" t="str">
        <f t="shared" ca="1" si="12"/>
        <v/>
      </c>
      <c r="M280" s="560" t="str">
        <f t="shared" si="3"/>
        <v/>
      </c>
      <c r="N280" s="560" t="str">
        <f t="shared" ca="1" si="4"/>
        <v/>
      </c>
      <c r="O280" s="636" t="str">
        <f t="shared" ca="1" si="13"/>
        <v/>
      </c>
      <c r="Q280" s="1133"/>
    </row>
    <row r="281" spans="2:17" x14ac:dyDescent="0.3">
      <c r="B281" s="126"/>
      <c r="C281" s="607">
        <v>37</v>
      </c>
      <c r="D281" s="561" t="str">
        <f t="shared" si="5"/>
        <v/>
      </c>
      <c r="E281" s="561" t="str">
        <f t="shared" si="6"/>
        <v/>
      </c>
      <c r="F281" s="561" t="str">
        <f t="shared" si="7"/>
        <v/>
      </c>
      <c r="G281" s="561" t="str">
        <f t="shared" si="2"/>
        <v/>
      </c>
      <c r="H281" s="561" t="str">
        <f t="shared" si="8"/>
        <v/>
      </c>
      <c r="I281" s="561" t="str">
        <f t="shared" ca="1" si="9"/>
        <v/>
      </c>
      <c r="J281" s="561" t="str">
        <f t="shared" ca="1" si="10"/>
        <v/>
      </c>
      <c r="K281" s="561" t="str">
        <f t="shared" ca="1" si="11"/>
        <v/>
      </c>
      <c r="L281" s="561" t="str">
        <f t="shared" ca="1" si="12"/>
        <v/>
      </c>
      <c r="M281" s="560" t="str">
        <f t="shared" si="3"/>
        <v/>
      </c>
      <c r="N281" s="560" t="str">
        <f t="shared" ca="1" si="4"/>
        <v/>
      </c>
      <c r="O281" s="636" t="str">
        <f t="shared" ca="1" si="13"/>
        <v/>
      </c>
      <c r="Q281" s="1133"/>
    </row>
    <row r="282" spans="2:17" x14ac:dyDescent="0.3">
      <c r="B282" s="126"/>
      <c r="C282" s="607">
        <v>38</v>
      </c>
      <c r="D282" s="561" t="str">
        <f t="shared" si="5"/>
        <v/>
      </c>
      <c r="E282" s="561" t="str">
        <f t="shared" si="6"/>
        <v/>
      </c>
      <c r="F282" s="561" t="str">
        <f t="shared" si="7"/>
        <v/>
      </c>
      <c r="G282" s="561" t="str">
        <f t="shared" si="2"/>
        <v/>
      </c>
      <c r="H282" s="561" t="str">
        <f t="shared" si="8"/>
        <v/>
      </c>
      <c r="I282" s="561" t="str">
        <f t="shared" ca="1" si="9"/>
        <v/>
      </c>
      <c r="J282" s="561" t="str">
        <f t="shared" ca="1" si="10"/>
        <v/>
      </c>
      <c r="K282" s="561" t="str">
        <f t="shared" ca="1" si="11"/>
        <v/>
      </c>
      <c r="L282" s="561" t="str">
        <f t="shared" ca="1" si="12"/>
        <v/>
      </c>
      <c r="M282" s="560" t="str">
        <f t="shared" si="3"/>
        <v/>
      </c>
      <c r="N282" s="560" t="str">
        <f t="shared" ca="1" si="4"/>
        <v/>
      </c>
      <c r="O282" s="636" t="str">
        <f t="shared" ca="1" si="13"/>
        <v/>
      </c>
      <c r="Q282" s="1133"/>
    </row>
    <row r="283" spans="2:17" x14ac:dyDescent="0.3">
      <c r="B283" s="126"/>
      <c r="C283" s="607">
        <v>39</v>
      </c>
      <c r="D283" s="561" t="str">
        <f t="shared" si="5"/>
        <v/>
      </c>
      <c r="E283" s="561" t="str">
        <f t="shared" si="6"/>
        <v/>
      </c>
      <c r="F283" s="561" t="str">
        <f t="shared" si="7"/>
        <v/>
      </c>
      <c r="G283" s="561" t="str">
        <f t="shared" si="2"/>
        <v/>
      </c>
      <c r="H283" s="561" t="str">
        <f t="shared" si="8"/>
        <v/>
      </c>
      <c r="I283" s="561" t="str">
        <f t="shared" ca="1" si="9"/>
        <v/>
      </c>
      <c r="J283" s="561" t="str">
        <f t="shared" ca="1" si="10"/>
        <v/>
      </c>
      <c r="K283" s="561" t="str">
        <f t="shared" ca="1" si="11"/>
        <v/>
      </c>
      <c r="L283" s="561" t="str">
        <f t="shared" ca="1" si="12"/>
        <v/>
      </c>
      <c r="M283" s="560" t="str">
        <f t="shared" si="3"/>
        <v/>
      </c>
      <c r="N283" s="560" t="str">
        <f t="shared" ca="1" si="4"/>
        <v/>
      </c>
      <c r="O283" s="636" t="str">
        <f t="shared" ca="1" si="13"/>
        <v/>
      </c>
      <c r="Q283" s="1133"/>
    </row>
    <row r="284" spans="2:17" x14ac:dyDescent="0.3">
      <c r="B284" s="126"/>
      <c r="C284" s="607">
        <v>40</v>
      </c>
      <c r="D284" s="561" t="str">
        <f t="shared" si="5"/>
        <v/>
      </c>
      <c r="E284" s="561" t="str">
        <f t="shared" si="6"/>
        <v/>
      </c>
      <c r="F284" s="561" t="str">
        <f t="shared" si="7"/>
        <v/>
      </c>
      <c r="G284" s="561" t="str">
        <f t="shared" si="2"/>
        <v/>
      </c>
      <c r="H284" s="561" t="str">
        <f t="shared" si="8"/>
        <v/>
      </c>
      <c r="I284" s="561" t="str">
        <f t="shared" ca="1" si="9"/>
        <v/>
      </c>
      <c r="J284" s="561" t="str">
        <f t="shared" ca="1" si="10"/>
        <v/>
      </c>
      <c r="K284" s="561" t="str">
        <f t="shared" ca="1" si="11"/>
        <v/>
      </c>
      <c r="L284" s="561" t="str">
        <f t="shared" ca="1" si="12"/>
        <v/>
      </c>
      <c r="M284" s="560" t="str">
        <f t="shared" si="3"/>
        <v/>
      </c>
      <c r="N284" s="560" t="str">
        <f t="shared" ca="1" si="4"/>
        <v/>
      </c>
      <c r="O284" s="636" t="str">
        <f t="shared" ca="1" si="13"/>
        <v/>
      </c>
      <c r="Q284" s="1133"/>
    </row>
    <row r="285" spans="2:17" x14ac:dyDescent="0.3">
      <c r="B285" s="126"/>
      <c r="C285" s="607">
        <v>41</v>
      </c>
      <c r="D285" s="561" t="str">
        <f t="shared" si="5"/>
        <v/>
      </c>
      <c r="E285" s="561" t="str">
        <f t="shared" si="6"/>
        <v/>
      </c>
      <c r="F285" s="561" t="str">
        <f t="shared" si="7"/>
        <v/>
      </c>
      <c r="G285" s="561" t="str">
        <f t="shared" si="2"/>
        <v/>
      </c>
      <c r="H285" s="561" t="str">
        <f t="shared" si="8"/>
        <v/>
      </c>
      <c r="I285" s="561" t="str">
        <f t="shared" ca="1" si="9"/>
        <v/>
      </c>
      <c r="J285" s="561" t="str">
        <f t="shared" ca="1" si="10"/>
        <v/>
      </c>
      <c r="K285" s="561" t="str">
        <f t="shared" ca="1" si="11"/>
        <v/>
      </c>
      <c r="L285" s="561" t="str">
        <f t="shared" ca="1" si="12"/>
        <v/>
      </c>
      <c r="M285" s="560" t="str">
        <f t="shared" si="3"/>
        <v/>
      </c>
      <c r="N285" s="560" t="str">
        <f t="shared" ca="1" si="4"/>
        <v/>
      </c>
      <c r="O285" s="636" t="str">
        <f t="shared" ca="1" si="13"/>
        <v/>
      </c>
      <c r="Q285" s="1133"/>
    </row>
    <row r="286" spans="2:17" x14ac:dyDescent="0.3">
      <c r="B286" s="126"/>
      <c r="C286" s="607">
        <v>42</v>
      </c>
      <c r="D286" s="561" t="str">
        <f t="shared" si="5"/>
        <v/>
      </c>
      <c r="E286" s="561" t="str">
        <f t="shared" si="6"/>
        <v/>
      </c>
      <c r="F286" s="561" t="str">
        <f t="shared" si="7"/>
        <v/>
      </c>
      <c r="G286" s="561" t="str">
        <f t="shared" si="2"/>
        <v/>
      </c>
      <c r="H286" s="561" t="str">
        <f t="shared" si="8"/>
        <v/>
      </c>
      <c r="I286" s="561" t="str">
        <f t="shared" ca="1" si="9"/>
        <v/>
      </c>
      <c r="J286" s="561" t="str">
        <f t="shared" ca="1" si="10"/>
        <v/>
      </c>
      <c r="K286" s="561" t="str">
        <f t="shared" ca="1" si="11"/>
        <v/>
      </c>
      <c r="L286" s="561" t="str">
        <f t="shared" ca="1" si="12"/>
        <v/>
      </c>
      <c r="M286" s="560" t="str">
        <f t="shared" si="3"/>
        <v/>
      </c>
      <c r="N286" s="560" t="str">
        <f t="shared" ca="1" si="4"/>
        <v/>
      </c>
      <c r="O286" s="636" t="str">
        <f t="shared" ca="1" si="13"/>
        <v/>
      </c>
      <c r="Q286" s="1133"/>
    </row>
    <row r="287" spans="2:17" x14ac:dyDescent="0.3">
      <c r="B287" s="126"/>
      <c r="C287" s="607">
        <v>43</v>
      </c>
      <c r="D287" s="561" t="str">
        <f t="shared" si="5"/>
        <v/>
      </c>
      <c r="E287" s="561" t="str">
        <f t="shared" si="6"/>
        <v/>
      </c>
      <c r="F287" s="561" t="str">
        <f t="shared" si="7"/>
        <v/>
      </c>
      <c r="G287" s="561" t="str">
        <f t="shared" si="2"/>
        <v/>
      </c>
      <c r="H287" s="561" t="str">
        <f t="shared" si="8"/>
        <v/>
      </c>
      <c r="I287" s="561" t="str">
        <f t="shared" ca="1" si="9"/>
        <v/>
      </c>
      <c r="J287" s="561" t="str">
        <f t="shared" ca="1" si="10"/>
        <v/>
      </c>
      <c r="K287" s="561" t="str">
        <f t="shared" ca="1" si="11"/>
        <v/>
      </c>
      <c r="L287" s="561" t="str">
        <f t="shared" ca="1" si="12"/>
        <v/>
      </c>
      <c r="M287" s="560" t="str">
        <f t="shared" si="3"/>
        <v/>
      </c>
      <c r="N287" s="560" t="str">
        <f t="shared" ca="1" si="4"/>
        <v/>
      </c>
      <c r="O287" s="636" t="str">
        <f t="shared" ca="1" si="13"/>
        <v/>
      </c>
      <c r="Q287" s="1133"/>
    </row>
    <row r="288" spans="2:17" x14ac:dyDescent="0.3">
      <c r="B288" s="126"/>
      <c r="C288" s="607">
        <v>44</v>
      </c>
      <c r="D288" s="561" t="str">
        <f t="shared" si="5"/>
        <v/>
      </c>
      <c r="E288" s="561" t="str">
        <f t="shared" si="6"/>
        <v/>
      </c>
      <c r="F288" s="561" t="str">
        <f t="shared" si="7"/>
        <v/>
      </c>
      <c r="G288" s="561" t="str">
        <f t="shared" si="2"/>
        <v/>
      </c>
      <c r="H288" s="561" t="str">
        <f t="shared" si="8"/>
        <v/>
      </c>
      <c r="I288" s="561" t="str">
        <f t="shared" ca="1" si="9"/>
        <v/>
      </c>
      <c r="J288" s="561" t="str">
        <f t="shared" ca="1" si="10"/>
        <v/>
      </c>
      <c r="K288" s="561" t="str">
        <f t="shared" ca="1" si="11"/>
        <v/>
      </c>
      <c r="L288" s="561" t="str">
        <f t="shared" ca="1" si="12"/>
        <v/>
      </c>
      <c r="M288" s="560" t="str">
        <f t="shared" si="3"/>
        <v/>
      </c>
      <c r="N288" s="560" t="str">
        <f t="shared" ca="1" si="4"/>
        <v/>
      </c>
      <c r="O288" s="636" t="str">
        <f t="shared" ca="1" si="13"/>
        <v/>
      </c>
      <c r="Q288" s="1133"/>
    </row>
    <row r="289" spans="2:17" x14ac:dyDescent="0.3">
      <c r="B289" s="126"/>
      <c r="C289" s="607">
        <v>45</v>
      </c>
      <c r="D289" s="561" t="str">
        <f t="shared" si="5"/>
        <v/>
      </c>
      <c r="E289" s="561" t="str">
        <f t="shared" si="6"/>
        <v/>
      </c>
      <c r="F289" s="561" t="str">
        <f t="shared" si="7"/>
        <v/>
      </c>
      <c r="G289" s="561" t="str">
        <f t="shared" si="2"/>
        <v/>
      </c>
      <c r="H289" s="561" t="str">
        <f t="shared" si="8"/>
        <v/>
      </c>
      <c r="I289" s="561" t="str">
        <f t="shared" ca="1" si="9"/>
        <v/>
      </c>
      <c r="J289" s="561" t="str">
        <f t="shared" ca="1" si="10"/>
        <v/>
      </c>
      <c r="K289" s="561" t="str">
        <f t="shared" ca="1" si="11"/>
        <v/>
      </c>
      <c r="L289" s="561" t="str">
        <f t="shared" ca="1" si="12"/>
        <v/>
      </c>
      <c r="M289" s="560" t="str">
        <f t="shared" si="3"/>
        <v/>
      </c>
      <c r="N289" s="560" t="str">
        <f t="shared" ca="1" si="4"/>
        <v/>
      </c>
      <c r="O289" s="636" t="str">
        <f t="shared" ca="1" si="13"/>
        <v/>
      </c>
      <c r="Q289" s="1133"/>
    </row>
    <row r="290" spans="2:17" x14ac:dyDescent="0.3">
      <c r="B290" s="126"/>
      <c r="C290" s="607">
        <v>46</v>
      </c>
      <c r="D290" s="561" t="str">
        <f t="shared" si="5"/>
        <v/>
      </c>
      <c r="E290" s="561" t="str">
        <f t="shared" si="6"/>
        <v/>
      </c>
      <c r="F290" s="561" t="str">
        <f t="shared" si="7"/>
        <v/>
      </c>
      <c r="G290" s="561" t="str">
        <f t="shared" si="2"/>
        <v/>
      </c>
      <c r="H290" s="561" t="str">
        <f t="shared" si="8"/>
        <v/>
      </c>
      <c r="I290" s="561" t="str">
        <f t="shared" ca="1" si="9"/>
        <v/>
      </c>
      <c r="J290" s="561" t="str">
        <f t="shared" ca="1" si="10"/>
        <v/>
      </c>
      <c r="K290" s="561" t="str">
        <f t="shared" ca="1" si="11"/>
        <v/>
      </c>
      <c r="L290" s="561" t="str">
        <f t="shared" ca="1" si="12"/>
        <v/>
      </c>
      <c r="M290" s="560" t="str">
        <f t="shared" si="3"/>
        <v/>
      </c>
      <c r="N290" s="560" t="str">
        <f t="shared" ca="1" si="4"/>
        <v/>
      </c>
      <c r="O290" s="636" t="str">
        <f t="shared" ca="1" si="13"/>
        <v/>
      </c>
      <c r="Q290" s="1133"/>
    </row>
    <row r="291" spans="2:17" x14ac:dyDescent="0.3">
      <c r="B291" s="126"/>
      <c r="C291" s="607">
        <v>47</v>
      </c>
      <c r="D291" s="561" t="str">
        <f t="shared" si="5"/>
        <v/>
      </c>
      <c r="E291" s="561" t="str">
        <f t="shared" si="6"/>
        <v/>
      </c>
      <c r="F291" s="561" t="str">
        <f t="shared" si="7"/>
        <v/>
      </c>
      <c r="G291" s="561" t="str">
        <f t="shared" si="2"/>
        <v/>
      </c>
      <c r="H291" s="561" t="str">
        <f t="shared" si="8"/>
        <v/>
      </c>
      <c r="I291" s="561" t="str">
        <f t="shared" ca="1" si="9"/>
        <v/>
      </c>
      <c r="J291" s="561" t="str">
        <f t="shared" ca="1" si="10"/>
        <v/>
      </c>
      <c r="K291" s="561" t="str">
        <f t="shared" ca="1" si="11"/>
        <v/>
      </c>
      <c r="L291" s="561" t="str">
        <f t="shared" ca="1" si="12"/>
        <v/>
      </c>
      <c r="M291" s="560" t="str">
        <f t="shared" si="3"/>
        <v/>
      </c>
      <c r="N291" s="560" t="str">
        <f t="shared" ca="1" si="4"/>
        <v/>
      </c>
      <c r="O291" s="636" t="str">
        <f t="shared" ca="1" si="13"/>
        <v/>
      </c>
      <c r="Q291" s="1133"/>
    </row>
    <row r="292" spans="2:17" x14ac:dyDescent="0.3">
      <c r="B292" s="126"/>
      <c r="C292" s="607">
        <v>48</v>
      </c>
      <c r="D292" s="561" t="str">
        <f t="shared" si="5"/>
        <v/>
      </c>
      <c r="E292" s="561" t="str">
        <f t="shared" si="6"/>
        <v/>
      </c>
      <c r="F292" s="561" t="str">
        <f t="shared" si="7"/>
        <v/>
      </c>
      <c r="G292" s="561" t="str">
        <f t="shared" si="2"/>
        <v/>
      </c>
      <c r="H292" s="561" t="str">
        <f t="shared" si="8"/>
        <v/>
      </c>
      <c r="I292" s="561" t="str">
        <f t="shared" ca="1" si="9"/>
        <v/>
      </c>
      <c r="J292" s="561" t="str">
        <f t="shared" ca="1" si="10"/>
        <v/>
      </c>
      <c r="K292" s="561" t="str">
        <f t="shared" ca="1" si="11"/>
        <v/>
      </c>
      <c r="L292" s="561" t="str">
        <f t="shared" ca="1" si="12"/>
        <v/>
      </c>
      <c r="M292" s="560" t="str">
        <f t="shared" si="3"/>
        <v/>
      </c>
      <c r="N292" s="560" t="str">
        <f t="shared" ca="1" si="4"/>
        <v/>
      </c>
      <c r="O292" s="636" t="str">
        <f t="shared" ca="1" si="13"/>
        <v/>
      </c>
      <c r="Q292" s="1133"/>
    </row>
    <row r="293" spans="2:17" x14ac:dyDescent="0.3">
      <c r="B293" s="126"/>
      <c r="C293" s="607">
        <v>49</v>
      </c>
      <c r="D293" s="561" t="str">
        <f t="shared" si="5"/>
        <v/>
      </c>
      <c r="E293" s="561" t="str">
        <f t="shared" si="6"/>
        <v/>
      </c>
      <c r="F293" s="561" t="str">
        <f t="shared" si="7"/>
        <v/>
      </c>
      <c r="G293" s="561" t="str">
        <f t="shared" si="2"/>
        <v/>
      </c>
      <c r="H293" s="561" t="str">
        <f t="shared" si="8"/>
        <v/>
      </c>
      <c r="I293" s="561" t="str">
        <f t="shared" ca="1" si="9"/>
        <v/>
      </c>
      <c r="J293" s="561" t="str">
        <f t="shared" ca="1" si="10"/>
        <v/>
      </c>
      <c r="K293" s="561" t="str">
        <f t="shared" ca="1" si="11"/>
        <v/>
      </c>
      <c r="L293" s="561" t="str">
        <f t="shared" ca="1" si="12"/>
        <v/>
      </c>
      <c r="M293" s="560" t="str">
        <f t="shared" si="3"/>
        <v/>
      </c>
      <c r="N293" s="560" t="str">
        <f t="shared" ca="1" si="4"/>
        <v/>
      </c>
      <c r="O293" s="636" t="str">
        <f t="shared" ca="1" si="13"/>
        <v/>
      </c>
      <c r="Q293" s="1133"/>
    </row>
    <row r="294" spans="2:17" x14ac:dyDescent="0.3">
      <c r="B294" s="126"/>
      <c r="C294" s="607">
        <v>50</v>
      </c>
      <c r="D294" s="561" t="str">
        <f t="shared" si="5"/>
        <v/>
      </c>
      <c r="E294" s="561" t="str">
        <f t="shared" si="6"/>
        <v/>
      </c>
      <c r="F294" s="561" t="str">
        <f t="shared" si="7"/>
        <v/>
      </c>
      <c r="G294" s="561" t="str">
        <f t="shared" si="2"/>
        <v/>
      </c>
      <c r="H294" s="561" t="str">
        <f t="shared" si="8"/>
        <v/>
      </c>
      <c r="I294" s="561" t="str">
        <f t="shared" ca="1" si="9"/>
        <v/>
      </c>
      <c r="J294" s="561" t="str">
        <f t="shared" ca="1" si="10"/>
        <v/>
      </c>
      <c r="K294" s="561" t="str">
        <f t="shared" ca="1" si="11"/>
        <v/>
      </c>
      <c r="L294" s="561" t="str">
        <f t="shared" ca="1" si="12"/>
        <v/>
      </c>
      <c r="M294" s="560" t="str">
        <f t="shared" si="3"/>
        <v/>
      </c>
      <c r="N294" s="560" t="str">
        <f t="shared" ca="1" si="4"/>
        <v/>
      </c>
      <c r="O294" s="636" t="str">
        <f t="shared" ca="1" si="13"/>
        <v/>
      </c>
      <c r="Q294" s="1133"/>
    </row>
    <row r="295" spans="2:17" x14ac:dyDescent="0.3">
      <c r="B295" s="126"/>
      <c r="C295" s="607">
        <v>51</v>
      </c>
      <c r="D295" s="561" t="str">
        <f t="shared" si="5"/>
        <v/>
      </c>
      <c r="E295" s="561" t="str">
        <f t="shared" si="6"/>
        <v/>
      </c>
      <c r="F295" s="561" t="str">
        <f t="shared" si="7"/>
        <v/>
      </c>
      <c r="G295" s="561" t="str">
        <f t="shared" si="2"/>
        <v/>
      </c>
      <c r="H295" s="561" t="str">
        <f t="shared" si="8"/>
        <v/>
      </c>
      <c r="I295" s="561" t="str">
        <f t="shared" ca="1" si="9"/>
        <v/>
      </c>
      <c r="J295" s="561" t="str">
        <f t="shared" ca="1" si="10"/>
        <v/>
      </c>
      <c r="K295" s="561" t="str">
        <f t="shared" ca="1" si="11"/>
        <v/>
      </c>
      <c r="L295" s="561" t="str">
        <f t="shared" ca="1" si="12"/>
        <v/>
      </c>
      <c r="M295" s="560" t="str">
        <f t="shared" si="3"/>
        <v/>
      </c>
      <c r="N295" s="560" t="str">
        <f t="shared" ca="1" si="4"/>
        <v/>
      </c>
      <c r="O295" s="636" t="str">
        <f t="shared" ca="1" si="13"/>
        <v/>
      </c>
      <c r="Q295" s="1133"/>
    </row>
    <row r="296" spans="2:17" x14ac:dyDescent="0.3">
      <c r="B296" s="126"/>
      <c r="C296" s="607">
        <v>52</v>
      </c>
      <c r="D296" s="561" t="str">
        <f t="shared" si="5"/>
        <v/>
      </c>
      <c r="E296" s="561" t="str">
        <f t="shared" si="6"/>
        <v/>
      </c>
      <c r="F296" s="561" t="str">
        <f t="shared" si="7"/>
        <v/>
      </c>
      <c r="G296" s="561" t="str">
        <f t="shared" si="2"/>
        <v/>
      </c>
      <c r="H296" s="561" t="str">
        <f t="shared" si="8"/>
        <v/>
      </c>
      <c r="I296" s="561" t="str">
        <f t="shared" ca="1" si="9"/>
        <v/>
      </c>
      <c r="J296" s="561" t="str">
        <f t="shared" ca="1" si="10"/>
        <v/>
      </c>
      <c r="K296" s="561" t="str">
        <f t="shared" ca="1" si="11"/>
        <v/>
      </c>
      <c r="L296" s="561" t="str">
        <f t="shared" ca="1" si="12"/>
        <v/>
      </c>
      <c r="M296" s="560" t="str">
        <f t="shared" si="3"/>
        <v/>
      </c>
      <c r="N296" s="560" t="str">
        <f t="shared" ca="1" si="4"/>
        <v/>
      </c>
      <c r="O296" s="636" t="str">
        <f t="shared" ca="1" si="13"/>
        <v/>
      </c>
      <c r="Q296" s="1133"/>
    </row>
    <row r="297" spans="2:17" x14ac:dyDescent="0.3">
      <c r="B297" s="126"/>
      <c r="C297" s="607">
        <v>53</v>
      </c>
      <c r="D297" s="561" t="str">
        <f t="shared" si="5"/>
        <v/>
      </c>
      <c r="E297" s="561" t="str">
        <f t="shared" si="6"/>
        <v/>
      </c>
      <c r="F297" s="561" t="str">
        <f t="shared" si="7"/>
        <v/>
      </c>
      <c r="G297" s="561" t="str">
        <f t="shared" si="2"/>
        <v/>
      </c>
      <c r="H297" s="561" t="str">
        <f t="shared" si="8"/>
        <v/>
      </c>
      <c r="I297" s="561" t="str">
        <f t="shared" ca="1" si="9"/>
        <v/>
      </c>
      <c r="J297" s="561" t="str">
        <f t="shared" ca="1" si="10"/>
        <v/>
      </c>
      <c r="K297" s="561" t="str">
        <f t="shared" ca="1" si="11"/>
        <v/>
      </c>
      <c r="L297" s="561" t="str">
        <f t="shared" ca="1" si="12"/>
        <v/>
      </c>
      <c r="M297" s="560" t="str">
        <f t="shared" si="3"/>
        <v/>
      </c>
      <c r="N297" s="560" t="str">
        <f t="shared" ca="1" si="4"/>
        <v/>
      </c>
      <c r="O297" s="636" t="str">
        <f t="shared" ca="1" si="13"/>
        <v/>
      </c>
      <c r="Q297" s="1133"/>
    </row>
    <row r="298" spans="2:17" x14ac:dyDescent="0.3">
      <c r="B298" s="126"/>
      <c r="C298" s="607">
        <v>54</v>
      </c>
      <c r="D298" s="561" t="str">
        <f t="shared" si="5"/>
        <v/>
      </c>
      <c r="E298" s="561" t="str">
        <f t="shared" si="6"/>
        <v/>
      </c>
      <c r="F298" s="561" t="str">
        <f t="shared" si="7"/>
        <v/>
      </c>
      <c r="G298" s="561" t="str">
        <f t="shared" si="2"/>
        <v/>
      </c>
      <c r="H298" s="561" t="str">
        <f t="shared" si="8"/>
        <v/>
      </c>
      <c r="I298" s="561" t="str">
        <f t="shared" ca="1" si="9"/>
        <v/>
      </c>
      <c r="J298" s="561" t="str">
        <f t="shared" ca="1" si="10"/>
        <v/>
      </c>
      <c r="K298" s="561" t="str">
        <f t="shared" ca="1" si="11"/>
        <v/>
      </c>
      <c r="L298" s="561" t="str">
        <f t="shared" ca="1" si="12"/>
        <v/>
      </c>
      <c r="M298" s="560" t="str">
        <f t="shared" si="3"/>
        <v/>
      </c>
      <c r="N298" s="560" t="str">
        <f t="shared" ca="1" si="4"/>
        <v/>
      </c>
      <c r="O298" s="636" t="str">
        <f t="shared" ca="1" si="13"/>
        <v/>
      </c>
      <c r="Q298" s="1133"/>
    </row>
    <row r="299" spans="2:17" x14ac:dyDescent="0.3">
      <c r="B299" s="126"/>
      <c r="C299" s="607">
        <v>55</v>
      </c>
      <c r="D299" s="561" t="str">
        <f t="shared" si="5"/>
        <v/>
      </c>
      <c r="E299" s="561" t="str">
        <f t="shared" si="6"/>
        <v/>
      </c>
      <c r="F299" s="561" t="str">
        <f t="shared" si="7"/>
        <v/>
      </c>
      <c r="G299" s="561" t="str">
        <f t="shared" si="2"/>
        <v/>
      </c>
      <c r="H299" s="561" t="str">
        <f t="shared" si="8"/>
        <v/>
      </c>
      <c r="I299" s="561" t="str">
        <f t="shared" ca="1" si="9"/>
        <v/>
      </c>
      <c r="J299" s="561" t="str">
        <f t="shared" ca="1" si="10"/>
        <v/>
      </c>
      <c r="K299" s="561" t="str">
        <f t="shared" ca="1" si="11"/>
        <v/>
      </c>
      <c r="L299" s="561" t="str">
        <f t="shared" ca="1" si="12"/>
        <v/>
      </c>
      <c r="M299" s="560" t="str">
        <f t="shared" si="3"/>
        <v/>
      </c>
      <c r="N299" s="560" t="str">
        <f t="shared" ca="1" si="4"/>
        <v/>
      </c>
      <c r="O299" s="636" t="str">
        <f t="shared" ca="1" si="13"/>
        <v/>
      </c>
      <c r="Q299" s="1133"/>
    </row>
    <row r="300" spans="2:17" x14ac:dyDescent="0.3">
      <c r="B300" s="126"/>
      <c r="C300" s="607">
        <v>56</v>
      </c>
      <c r="D300" s="561" t="str">
        <f t="shared" si="5"/>
        <v/>
      </c>
      <c r="E300" s="561" t="str">
        <f t="shared" si="6"/>
        <v/>
      </c>
      <c r="F300" s="561" t="str">
        <f t="shared" si="7"/>
        <v/>
      </c>
      <c r="G300" s="561" t="str">
        <f t="shared" si="2"/>
        <v/>
      </c>
      <c r="H300" s="561" t="str">
        <f t="shared" si="8"/>
        <v/>
      </c>
      <c r="I300" s="561" t="str">
        <f t="shared" ca="1" si="9"/>
        <v/>
      </c>
      <c r="J300" s="561" t="str">
        <f t="shared" ca="1" si="10"/>
        <v/>
      </c>
      <c r="K300" s="561" t="str">
        <f t="shared" ca="1" si="11"/>
        <v/>
      </c>
      <c r="L300" s="561" t="str">
        <f t="shared" ca="1" si="12"/>
        <v/>
      </c>
      <c r="M300" s="560" t="str">
        <f t="shared" si="3"/>
        <v/>
      </c>
      <c r="N300" s="560" t="str">
        <f t="shared" ca="1" si="4"/>
        <v/>
      </c>
      <c r="O300" s="636" t="str">
        <f t="shared" ca="1" si="13"/>
        <v/>
      </c>
      <c r="Q300" s="1133"/>
    </row>
    <row r="301" spans="2:17" x14ac:dyDescent="0.3">
      <c r="B301" s="126"/>
      <c r="C301" s="607">
        <v>57</v>
      </c>
      <c r="D301" s="561" t="str">
        <f t="shared" si="5"/>
        <v/>
      </c>
      <c r="E301" s="561" t="str">
        <f t="shared" si="6"/>
        <v/>
      </c>
      <c r="F301" s="561" t="str">
        <f t="shared" si="7"/>
        <v/>
      </c>
      <c r="G301" s="561" t="str">
        <f t="shared" si="2"/>
        <v/>
      </c>
      <c r="H301" s="561" t="str">
        <f t="shared" si="8"/>
        <v/>
      </c>
      <c r="I301" s="561" t="str">
        <f t="shared" ca="1" si="9"/>
        <v/>
      </c>
      <c r="J301" s="561" t="str">
        <f t="shared" ca="1" si="10"/>
        <v/>
      </c>
      <c r="K301" s="561" t="str">
        <f t="shared" ca="1" si="11"/>
        <v/>
      </c>
      <c r="L301" s="561" t="str">
        <f t="shared" ca="1" si="12"/>
        <v/>
      </c>
      <c r="M301" s="560" t="str">
        <f t="shared" si="3"/>
        <v/>
      </c>
      <c r="N301" s="560" t="str">
        <f t="shared" ca="1" si="4"/>
        <v/>
      </c>
      <c r="O301" s="636" t="str">
        <f t="shared" ca="1" si="13"/>
        <v/>
      </c>
      <c r="Q301" s="1133"/>
    </row>
    <row r="302" spans="2:17" x14ac:dyDescent="0.3">
      <c r="B302" s="126"/>
      <c r="C302" s="607">
        <v>58</v>
      </c>
      <c r="D302" s="561" t="str">
        <f t="shared" si="5"/>
        <v/>
      </c>
      <c r="E302" s="561" t="str">
        <f t="shared" si="6"/>
        <v/>
      </c>
      <c r="F302" s="561" t="str">
        <f t="shared" si="7"/>
        <v/>
      </c>
      <c r="G302" s="561" t="str">
        <f t="shared" si="2"/>
        <v/>
      </c>
      <c r="H302" s="561" t="str">
        <f t="shared" si="8"/>
        <v/>
      </c>
      <c r="I302" s="561" t="str">
        <f t="shared" ca="1" si="9"/>
        <v/>
      </c>
      <c r="J302" s="561" t="str">
        <f t="shared" ca="1" si="10"/>
        <v/>
      </c>
      <c r="K302" s="561" t="str">
        <f t="shared" ca="1" si="11"/>
        <v/>
      </c>
      <c r="L302" s="561" t="str">
        <f t="shared" ca="1" si="12"/>
        <v/>
      </c>
      <c r="M302" s="560" t="str">
        <f t="shared" si="3"/>
        <v/>
      </c>
      <c r="N302" s="560" t="str">
        <f t="shared" ca="1" si="4"/>
        <v/>
      </c>
      <c r="O302" s="636" t="str">
        <f t="shared" ca="1" si="13"/>
        <v/>
      </c>
      <c r="Q302" s="1133"/>
    </row>
    <row r="303" spans="2:17" x14ac:dyDescent="0.3">
      <c r="B303" s="126"/>
      <c r="C303" s="607">
        <v>59</v>
      </c>
      <c r="D303" s="561" t="str">
        <f t="shared" si="5"/>
        <v/>
      </c>
      <c r="E303" s="561" t="str">
        <f t="shared" si="6"/>
        <v/>
      </c>
      <c r="F303" s="561" t="str">
        <f t="shared" si="7"/>
        <v/>
      </c>
      <c r="G303" s="561" t="str">
        <f t="shared" si="2"/>
        <v/>
      </c>
      <c r="H303" s="561" t="str">
        <f t="shared" si="8"/>
        <v/>
      </c>
      <c r="I303" s="561" t="str">
        <f t="shared" ca="1" si="9"/>
        <v/>
      </c>
      <c r="J303" s="561" t="str">
        <f t="shared" ca="1" si="10"/>
        <v/>
      </c>
      <c r="K303" s="561" t="str">
        <f t="shared" ca="1" si="11"/>
        <v/>
      </c>
      <c r="L303" s="561" t="str">
        <f t="shared" ca="1" si="12"/>
        <v/>
      </c>
      <c r="M303" s="560" t="str">
        <f t="shared" si="3"/>
        <v/>
      </c>
      <c r="N303" s="560" t="str">
        <f t="shared" ca="1" si="4"/>
        <v/>
      </c>
      <c r="O303" s="636" t="str">
        <f t="shared" ca="1" si="13"/>
        <v/>
      </c>
      <c r="Q303" s="1133"/>
    </row>
    <row r="304" spans="2:17" x14ac:dyDescent="0.3">
      <c r="B304" s="126"/>
      <c r="C304" s="607">
        <v>60</v>
      </c>
      <c r="D304" s="561" t="str">
        <f t="shared" si="5"/>
        <v/>
      </c>
      <c r="E304" s="561" t="str">
        <f t="shared" si="6"/>
        <v/>
      </c>
      <c r="F304" s="561" t="str">
        <f t="shared" si="7"/>
        <v/>
      </c>
      <c r="G304" s="561" t="str">
        <f t="shared" si="2"/>
        <v/>
      </c>
      <c r="H304" s="561" t="str">
        <f t="shared" si="8"/>
        <v/>
      </c>
      <c r="I304" s="561" t="str">
        <f t="shared" ca="1" si="9"/>
        <v/>
      </c>
      <c r="J304" s="561" t="str">
        <f t="shared" ca="1" si="10"/>
        <v/>
      </c>
      <c r="K304" s="561" t="str">
        <f t="shared" ca="1" si="11"/>
        <v/>
      </c>
      <c r="L304" s="561" t="str">
        <f t="shared" ca="1" si="12"/>
        <v/>
      </c>
      <c r="M304" s="560" t="str">
        <f t="shared" si="3"/>
        <v/>
      </c>
      <c r="N304" s="560" t="str">
        <f t="shared" ca="1" si="4"/>
        <v/>
      </c>
      <c r="O304" s="636" t="str">
        <f t="shared" ca="1" si="13"/>
        <v/>
      </c>
      <c r="Q304" s="1133"/>
    </row>
    <row r="305" spans="2:17" x14ac:dyDescent="0.3">
      <c r="B305" s="126"/>
      <c r="C305" s="607">
        <v>61</v>
      </c>
      <c r="D305" s="561" t="str">
        <f t="shared" si="5"/>
        <v/>
      </c>
      <c r="E305" s="561" t="str">
        <f t="shared" si="6"/>
        <v/>
      </c>
      <c r="F305" s="561" t="str">
        <f t="shared" si="7"/>
        <v/>
      </c>
      <c r="G305" s="561" t="str">
        <f t="shared" si="2"/>
        <v/>
      </c>
      <c r="H305" s="561" t="str">
        <f t="shared" si="8"/>
        <v/>
      </c>
      <c r="I305" s="561" t="str">
        <f t="shared" ca="1" si="9"/>
        <v/>
      </c>
      <c r="J305" s="561" t="str">
        <f t="shared" ca="1" si="10"/>
        <v/>
      </c>
      <c r="K305" s="561" t="str">
        <f t="shared" ca="1" si="11"/>
        <v/>
      </c>
      <c r="L305" s="561" t="str">
        <f t="shared" ca="1" si="12"/>
        <v/>
      </c>
      <c r="M305" s="560" t="str">
        <f t="shared" si="3"/>
        <v/>
      </c>
      <c r="N305" s="560" t="str">
        <f t="shared" ca="1" si="4"/>
        <v/>
      </c>
      <c r="O305" s="636" t="str">
        <f t="shared" ca="1" si="13"/>
        <v/>
      </c>
      <c r="Q305" s="1133"/>
    </row>
    <row r="306" spans="2:17" x14ac:dyDescent="0.3">
      <c r="B306" s="126"/>
      <c r="C306" s="607">
        <v>62</v>
      </c>
      <c r="D306" s="561" t="str">
        <f t="shared" si="5"/>
        <v/>
      </c>
      <c r="E306" s="561" t="str">
        <f t="shared" si="6"/>
        <v/>
      </c>
      <c r="F306" s="561" t="str">
        <f t="shared" si="7"/>
        <v/>
      </c>
      <c r="G306" s="561" t="str">
        <f t="shared" si="2"/>
        <v/>
      </c>
      <c r="H306" s="561" t="str">
        <f t="shared" si="8"/>
        <v/>
      </c>
      <c r="I306" s="561" t="str">
        <f t="shared" ca="1" si="9"/>
        <v/>
      </c>
      <c r="J306" s="561" t="str">
        <f t="shared" ca="1" si="10"/>
        <v/>
      </c>
      <c r="K306" s="561" t="str">
        <f t="shared" ca="1" si="11"/>
        <v/>
      </c>
      <c r="L306" s="561" t="str">
        <f t="shared" ca="1" si="12"/>
        <v/>
      </c>
      <c r="M306" s="560" t="str">
        <f t="shared" si="3"/>
        <v/>
      </c>
      <c r="N306" s="560" t="str">
        <f t="shared" ca="1" si="4"/>
        <v/>
      </c>
      <c r="O306" s="636" t="str">
        <f t="shared" ca="1" si="13"/>
        <v/>
      </c>
      <c r="Q306" s="1133"/>
    </row>
    <row r="307" spans="2:17" x14ac:dyDescent="0.3">
      <c r="B307" s="126"/>
      <c r="C307" s="607">
        <v>63</v>
      </c>
      <c r="D307" s="561" t="str">
        <f t="shared" si="5"/>
        <v/>
      </c>
      <c r="E307" s="561" t="str">
        <f t="shared" si="6"/>
        <v/>
      </c>
      <c r="F307" s="561" t="str">
        <f t="shared" si="7"/>
        <v/>
      </c>
      <c r="G307" s="561" t="str">
        <f t="shared" si="2"/>
        <v/>
      </c>
      <c r="H307" s="561" t="str">
        <f t="shared" si="8"/>
        <v/>
      </c>
      <c r="I307" s="561" t="str">
        <f t="shared" ca="1" si="9"/>
        <v/>
      </c>
      <c r="J307" s="561" t="str">
        <f t="shared" ca="1" si="10"/>
        <v/>
      </c>
      <c r="K307" s="561" t="str">
        <f t="shared" ca="1" si="11"/>
        <v/>
      </c>
      <c r="L307" s="561" t="str">
        <f t="shared" ca="1" si="12"/>
        <v/>
      </c>
      <c r="M307" s="560" t="str">
        <f t="shared" si="3"/>
        <v/>
      </c>
      <c r="N307" s="560" t="str">
        <f t="shared" ca="1" si="4"/>
        <v/>
      </c>
      <c r="O307" s="636" t="str">
        <f t="shared" ca="1" si="13"/>
        <v/>
      </c>
      <c r="Q307" s="1133"/>
    </row>
    <row r="308" spans="2:17" x14ac:dyDescent="0.3">
      <c r="B308" s="126"/>
      <c r="C308" s="607">
        <v>64</v>
      </c>
      <c r="D308" s="561" t="str">
        <f t="shared" si="5"/>
        <v/>
      </c>
      <c r="E308" s="561" t="str">
        <f t="shared" si="6"/>
        <v/>
      </c>
      <c r="F308" s="561" t="str">
        <f t="shared" si="7"/>
        <v/>
      </c>
      <c r="G308" s="561" t="str">
        <f t="shared" si="2"/>
        <v/>
      </c>
      <c r="H308" s="561" t="str">
        <f t="shared" si="8"/>
        <v/>
      </c>
      <c r="I308" s="561" t="str">
        <f t="shared" ca="1" si="9"/>
        <v/>
      </c>
      <c r="J308" s="561" t="str">
        <f t="shared" ca="1" si="10"/>
        <v/>
      </c>
      <c r="K308" s="561" t="str">
        <f t="shared" ca="1" si="11"/>
        <v/>
      </c>
      <c r="L308" s="561" t="str">
        <f t="shared" ca="1" si="12"/>
        <v/>
      </c>
      <c r="M308" s="560" t="str">
        <f t="shared" si="3"/>
        <v/>
      </c>
      <c r="N308" s="560" t="str">
        <f t="shared" ca="1" si="4"/>
        <v/>
      </c>
      <c r="O308" s="636" t="str">
        <f t="shared" ca="1" si="13"/>
        <v/>
      </c>
      <c r="Q308" s="1133"/>
    </row>
    <row r="309" spans="2:17" x14ac:dyDescent="0.3">
      <c r="B309" s="126"/>
      <c r="C309" s="607">
        <v>65</v>
      </c>
      <c r="D309" s="561" t="str">
        <f t="shared" si="5"/>
        <v/>
      </c>
      <c r="E309" s="561" t="str">
        <f t="shared" si="6"/>
        <v/>
      </c>
      <c r="F309" s="561" t="str">
        <f t="shared" si="7"/>
        <v/>
      </c>
      <c r="G309" s="561" t="str">
        <f t="shared" ref="G309:G344" si="14">IFERROR(E309+100,"")</f>
        <v/>
      </c>
      <c r="H309" s="561" t="str">
        <f t="shared" si="8"/>
        <v/>
      </c>
      <c r="I309" s="561" t="str">
        <f t="shared" ca="1" si="9"/>
        <v/>
      </c>
      <c r="J309" s="561" t="str">
        <f t="shared" ca="1" si="10"/>
        <v/>
      </c>
      <c r="K309" s="561" t="str">
        <f t="shared" ca="1" si="11"/>
        <v/>
      </c>
      <c r="L309" s="561" t="str">
        <f t="shared" ca="1" si="12"/>
        <v/>
      </c>
      <c r="M309" s="560" t="str">
        <f t="shared" ref="M309:M344" si="15">IFERROR(IF(D309&lt;$C$224,1,
IF(D309&lt;$C$225,SQRT(5/(5+(2.6*(($C$235/$C$234)*SIN((PI()/2-$C$236)*(D309-$C$224)/($C$225-$C$224)))^1.58)/((1-($C$235/$C$234)*SIN((PI()/2-$C$236)*(D309-$C$224)/($C$225-$C$224)))^2))),
$C$237)),"")</f>
        <v/>
      </c>
      <c r="N309" s="560" t="str">
        <f t="shared" ref="N309:N344" ca="1" si="16">IFERROR(IF($C$240*$M309*$C$239&gt;$C$238,$C$238*$C$232/($C$240*$M309*$C$239),$C$232),"")</f>
        <v/>
      </c>
      <c r="O309" s="636" t="str">
        <f t="shared" ca="1" si="13"/>
        <v/>
      </c>
      <c r="Q309" s="1133"/>
    </row>
    <row r="310" spans="2:17" x14ac:dyDescent="0.3">
      <c r="B310" s="126"/>
      <c r="C310" s="607">
        <v>66</v>
      </c>
      <c r="D310" s="561" t="str">
        <f t="shared" ref="D310:D344" si="17">IFERROR(C310*$C$229*$C$226,"")</f>
        <v/>
      </c>
      <c r="E310" s="561" t="str">
        <f t="shared" ref="E310:E344" si="18">IFERROR($C$231*EXP(-$D310/$C$227),"")</f>
        <v/>
      </c>
      <c r="F310" s="561" t="str">
        <f t="shared" ref="F310:F344" si="19">IFERROR(($E310+28)^(0.56)/(($E310+530)^(1.19)),"")</f>
        <v/>
      </c>
      <c r="G310" s="561" t="str">
        <f t="shared" si="14"/>
        <v/>
      </c>
      <c r="H310" s="561" t="str">
        <f t="shared" ref="H310:H344" si="20">IFERROR(($E310+128)^(0.56)/(($E310+630)^(1.19)),"")</f>
        <v/>
      </c>
      <c r="I310" s="561" t="str">
        <f t="shared" ref="I310:I344" ca="1" si="21">IFERROR($O310*EXP(-$D310/$C$227),"")</f>
        <v/>
      </c>
      <c r="J310" s="561" t="str">
        <f t="shared" ref="J310:J344" ca="1" si="22">IFERROR(($I310+28)^(0.56)/(($I310+530)^(1.19)),"")</f>
        <v/>
      </c>
      <c r="K310" s="561" t="str">
        <f t="shared" ref="K310:K344" ca="1" si="23">IFERROR(I310+100,"")</f>
        <v/>
      </c>
      <c r="L310" s="561" t="str">
        <f t="shared" ref="L310:L344" ca="1" si="24">IFERROR(($I310+128)^(0.56)/(($I310+630)^(1.19)),"")</f>
        <v/>
      </c>
      <c r="M310" s="560" t="str">
        <f t="shared" si="15"/>
        <v/>
      </c>
      <c r="N310" s="560" t="str">
        <f t="shared" ca="1" si="16"/>
        <v/>
      </c>
      <c r="O310" s="636" t="str">
        <f t="shared" ref="O310:O344" ca="1" si="25">IFERROR(IF($C$240*$M310*$C$239&gt;$C$238,$C$238*$C$233/($C$240*$M310*$C$239),$C$233),"")</f>
        <v/>
      </c>
      <c r="Q310" s="1133"/>
    </row>
    <row r="311" spans="2:17" x14ac:dyDescent="0.3">
      <c r="B311" s="126"/>
      <c r="C311" s="607">
        <v>67</v>
      </c>
      <c r="D311" s="561" t="str">
        <f t="shared" si="17"/>
        <v/>
      </c>
      <c r="E311" s="561" t="str">
        <f t="shared" si="18"/>
        <v/>
      </c>
      <c r="F311" s="561" t="str">
        <f t="shared" si="19"/>
        <v/>
      </c>
      <c r="G311" s="561" t="str">
        <f t="shared" si="14"/>
        <v/>
      </c>
      <c r="H311" s="561" t="str">
        <f t="shared" si="20"/>
        <v/>
      </c>
      <c r="I311" s="561" t="str">
        <f t="shared" ca="1" si="21"/>
        <v/>
      </c>
      <c r="J311" s="561" t="str">
        <f t="shared" ca="1" si="22"/>
        <v/>
      </c>
      <c r="K311" s="561" t="str">
        <f t="shared" ca="1" si="23"/>
        <v/>
      </c>
      <c r="L311" s="561" t="str">
        <f t="shared" ca="1" si="24"/>
        <v/>
      </c>
      <c r="M311" s="560" t="str">
        <f t="shared" si="15"/>
        <v/>
      </c>
      <c r="N311" s="560" t="str">
        <f t="shared" ca="1" si="16"/>
        <v/>
      </c>
      <c r="O311" s="636" t="str">
        <f t="shared" ca="1" si="25"/>
        <v/>
      </c>
      <c r="Q311" s="1133"/>
    </row>
    <row r="312" spans="2:17" x14ac:dyDescent="0.3">
      <c r="B312" s="126"/>
      <c r="C312" s="607">
        <v>68</v>
      </c>
      <c r="D312" s="561" t="str">
        <f t="shared" si="17"/>
        <v/>
      </c>
      <c r="E312" s="561" t="str">
        <f t="shared" si="18"/>
        <v/>
      </c>
      <c r="F312" s="561" t="str">
        <f t="shared" si="19"/>
        <v/>
      </c>
      <c r="G312" s="561" t="str">
        <f t="shared" si="14"/>
        <v/>
      </c>
      <c r="H312" s="561" t="str">
        <f t="shared" si="20"/>
        <v/>
      </c>
      <c r="I312" s="561" t="str">
        <f t="shared" ca="1" si="21"/>
        <v/>
      </c>
      <c r="J312" s="561" t="str">
        <f t="shared" ca="1" si="22"/>
        <v/>
      </c>
      <c r="K312" s="561" t="str">
        <f t="shared" ca="1" si="23"/>
        <v/>
      </c>
      <c r="L312" s="561" t="str">
        <f t="shared" ca="1" si="24"/>
        <v/>
      </c>
      <c r="M312" s="560" t="str">
        <f t="shared" si="15"/>
        <v/>
      </c>
      <c r="N312" s="560" t="str">
        <f t="shared" ca="1" si="16"/>
        <v/>
      </c>
      <c r="O312" s="636" t="str">
        <f t="shared" ca="1" si="25"/>
        <v/>
      </c>
      <c r="Q312" s="1133"/>
    </row>
    <row r="313" spans="2:17" x14ac:dyDescent="0.3">
      <c r="B313" s="126"/>
      <c r="C313" s="607">
        <v>69</v>
      </c>
      <c r="D313" s="561" t="str">
        <f t="shared" si="17"/>
        <v/>
      </c>
      <c r="E313" s="561" t="str">
        <f t="shared" si="18"/>
        <v/>
      </c>
      <c r="F313" s="561" t="str">
        <f t="shared" si="19"/>
        <v/>
      </c>
      <c r="G313" s="561" t="str">
        <f t="shared" si="14"/>
        <v/>
      </c>
      <c r="H313" s="561" t="str">
        <f t="shared" si="20"/>
        <v/>
      </c>
      <c r="I313" s="561" t="str">
        <f t="shared" ca="1" si="21"/>
        <v/>
      </c>
      <c r="J313" s="561" t="str">
        <f t="shared" ca="1" si="22"/>
        <v/>
      </c>
      <c r="K313" s="561" t="str">
        <f t="shared" ca="1" si="23"/>
        <v/>
      </c>
      <c r="L313" s="561" t="str">
        <f t="shared" ca="1" si="24"/>
        <v/>
      </c>
      <c r="M313" s="560" t="str">
        <f t="shared" si="15"/>
        <v/>
      </c>
      <c r="N313" s="560" t="str">
        <f t="shared" ca="1" si="16"/>
        <v/>
      </c>
      <c r="O313" s="636" t="str">
        <f t="shared" ca="1" si="25"/>
        <v/>
      </c>
      <c r="Q313" s="1133"/>
    </row>
    <row r="314" spans="2:17" x14ac:dyDescent="0.3">
      <c r="B314" s="126"/>
      <c r="C314" s="607">
        <v>70</v>
      </c>
      <c r="D314" s="561" t="str">
        <f t="shared" si="17"/>
        <v/>
      </c>
      <c r="E314" s="561" t="str">
        <f t="shared" si="18"/>
        <v/>
      </c>
      <c r="F314" s="561" t="str">
        <f t="shared" si="19"/>
        <v/>
      </c>
      <c r="G314" s="561" t="str">
        <f t="shared" si="14"/>
        <v/>
      </c>
      <c r="H314" s="561" t="str">
        <f t="shared" si="20"/>
        <v/>
      </c>
      <c r="I314" s="561" t="str">
        <f t="shared" ca="1" si="21"/>
        <v/>
      </c>
      <c r="J314" s="561" t="str">
        <f t="shared" ca="1" si="22"/>
        <v/>
      </c>
      <c r="K314" s="561" t="str">
        <f t="shared" ca="1" si="23"/>
        <v/>
      </c>
      <c r="L314" s="561" t="str">
        <f t="shared" ca="1" si="24"/>
        <v/>
      </c>
      <c r="M314" s="560" t="str">
        <f t="shared" si="15"/>
        <v/>
      </c>
      <c r="N314" s="560" t="str">
        <f t="shared" ca="1" si="16"/>
        <v/>
      </c>
      <c r="O314" s="636" t="str">
        <f t="shared" ca="1" si="25"/>
        <v/>
      </c>
      <c r="Q314" s="1133"/>
    </row>
    <row r="315" spans="2:17" x14ac:dyDescent="0.3">
      <c r="B315" s="126"/>
      <c r="C315" s="607">
        <v>71</v>
      </c>
      <c r="D315" s="561" t="str">
        <f t="shared" si="17"/>
        <v/>
      </c>
      <c r="E315" s="561" t="str">
        <f t="shared" si="18"/>
        <v/>
      </c>
      <c r="F315" s="561" t="str">
        <f t="shared" si="19"/>
        <v/>
      </c>
      <c r="G315" s="561" t="str">
        <f t="shared" si="14"/>
        <v/>
      </c>
      <c r="H315" s="561" t="str">
        <f t="shared" si="20"/>
        <v/>
      </c>
      <c r="I315" s="561" t="str">
        <f t="shared" ca="1" si="21"/>
        <v/>
      </c>
      <c r="J315" s="561" t="str">
        <f t="shared" ca="1" si="22"/>
        <v/>
      </c>
      <c r="K315" s="561" t="str">
        <f t="shared" ca="1" si="23"/>
        <v/>
      </c>
      <c r="L315" s="561" t="str">
        <f t="shared" ca="1" si="24"/>
        <v/>
      </c>
      <c r="M315" s="560" t="str">
        <f t="shared" si="15"/>
        <v/>
      </c>
      <c r="N315" s="560" t="str">
        <f t="shared" ca="1" si="16"/>
        <v/>
      </c>
      <c r="O315" s="636" t="str">
        <f t="shared" ca="1" si="25"/>
        <v/>
      </c>
      <c r="Q315" s="1133"/>
    </row>
    <row r="316" spans="2:17" x14ac:dyDescent="0.3">
      <c r="B316" s="126"/>
      <c r="C316" s="607">
        <v>72</v>
      </c>
      <c r="D316" s="561" t="str">
        <f t="shared" si="17"/>
        <v/>
      </c>
      <c r="E316" s="561" t="str">
        <f t="shared" si="18"/>
        <v/>
      </c>
      <c r="F316" s="561" t="str">
        <f t="shared" si="19"/>
        <v/>
      </c>
      <c r="G316" s="561" t="str">
        <f t="shared" si="14"/>
        <v/>
      </c>
      <c r="H316" s="561" t="str">
        <f t="shared" si="20"/>
        <v/>
      </c>
      <c r="I316" s="561" t="str">
        <f t="shared" ca="1" si="21"/>
        <v/>
      </c>
      <c r="J316" s="561" t="str">
        <f t="shared" ca="1" si="22"/>
        <v/>
      </c>
      <c r="K316" s="561" t="str">
        <f t="shared" ca="1" si="23"/>
        <v/>
      </c>
      <c r="L316" s="561" t="str">
        <f t="shared" ca="1" si="24"/>
        <v/>
      </c>
      <c r="M316" s="560" t="str">
        <f t="shared" si="15"/>
        <v/>
      </c>
      <c r="N316" s="560" t="str">
        <f t="shared" ca="1" si="16"/>
        <v/>
      </c>
      <c r="O316" s="636" t="str">
        <f t="shared" ca="1" si="25"/>
        <v/>
      </c>
      <c r="Q316" s="1133"/>
    </row>
    <row r="317" spans="2:17" x14ac:dyDescent="0.3">
      <c r="B317" s="126"/>
      <c r="C317" s="607">
        <v>73</v>
      </c>
      <c r="D317" s="561" t="str">
        <f t="shared" si="17"/>
        <v/>
      </c>
      <c r="E317" s="561" t="str">
        <f t="shared" si="18"/>
        <v/>
      </c>
      <c r="F317" s="561" t="str">
        <f t="shared" si="19"/>
        <v/>
      </c>
      <c r="G317" s="561" t="str">
        <f t="shared" si="14"/>
        <v/>
      </c>
      <c r="H317" s="561" t="str">
        <f t="shared" si="20"/>
        <v/>
      </c>
      <c r="I317" s="561" t="str">
        <f t="shared" ca="1" si="21"/>
        <v/>
      </c>
      <c r="J317" s="561" t="str">
        <f t="shared" ca="1" si="22"/>
        <v/>
      </c>
      <c r="K317" s="561" t="str">
        <f t="shared" ca="1" si="23"/>
        <v/>
      </c>
      <c r="L317" s="561" t="str">
        <f t="shared" ca="1" si="24"/>
        <v/>
      </c>
      <c r="M317" s="560" t="str">
        <f t="shared" si="15"/>
        <v/>
      </c>
      <c r="N317" s="560" t="str">
        <f t="shared" ca="1" si="16"/>
        <v/>
      </c>
      <c r="O317" s="636" t="str">
        <f t="shared" ca="1" si="25"/>
        <v/>
      </c>
      <c r="Q317" s="1133"/>
    </row>
    <row r="318" spans="2:17" x14ac:dyDescent="0.3">
      <c r="B318" s="126"/>
      <c r="C318" s="607">
        <v>74</v>
      </c>
      <c r="D318" s="561" t="str">
        <f t="shared" si="17"/>
        <v/>
      </c>
      <c r="E318" s="561" t="str">
        <f t="shared" si="18"/>
        <v/>
      </c>
      <c r="F318" s="561" t="str">
        <f t="shared" si="19"/>
        <v/>
      </c>
      <c r="G318" s="561" t="str">
        <f t="shared" si="14"/>
        <v/>
      </c>
      <c r="H318" s="561" t="str">
        <f t="shared" si="20"/>
        <v/>
      </c>
      <c r="I318" s="561" t="str">
        <f t="shared" ca="1" si="21"/>
        <v/>
      </c>
      <c r="J318" s="561" t="str">
        <f t="shared" ca="1" si="22"/>
        <v/>
      </c>
      <c r="K318" s="561" t="str">
        <f t="shared" ca="1" si="23"/>
        <v/>
      </c>
      <c r="L318" s="561" t="str">
        <f t="shared" ca="1" si="24"/>
        <v/>
      </c>
      <c r="M318" s="560" t="str">
        <f t="shared" si="15"/>
        <v/>
      </c>
      <c r="N318" s="560" t="str">
        <f t="shared" ca="1" si="16"/>
        <v/>
      </c>
      <c r="O318" s="636" t="str">
        <f t="shared" ca="1" si="25"/>
        <v/>
      </c>
      <c r="Q318" s="1133"/>
    </row>
    <row r="319" spans="2:17" x14ac:dyDescent="0.3">
      <c r="B319" s="126"/>
      <c r="C319" s="607">
        <v>75</v>
      </c>
      <c r="D319" s="561" t="str">
        <f t="shared" si="17"/>
        <v/>
      </c>
      <c r="E319" s="561" t="str">
        <f t="shared" si="18"/>
        <v/>
      </c>
      <c r="F319" s="561" t="str">
        <f t="shared" si="19"/>
        <v/>
      </c>
      <c r="G319" s="561" t="str">
        <f t="shared" si="14"/>
        <v/>
      </c>
      <c r="H319" s="561" t="str">
        <f t="shared" si="20"/>
        <v/>
      </c>
      <c r="I319" s="561" t="str">
        <f t="shared" ca="1" si="21"/>
        <v/>
      </c>
      <c r="J319" s="561" t="str">
        <f t="shared" ca="1" si="22"/>
        <v/>
      </c>
      <c r="K319" s="561" t="str">
        <f t="shared" ca="1" si="23"/>
        <v/>
      </c>
      <c r="L319" s="561" t="str">
        <f t="shared" ca="1" si="24"/>
        <v/>
      </c>
      <c r="M319" s="560" t="str">
        <f t="shared" si="15"/>
        <v/>
      </c>
      <c r="N319" s="560" t="str">
        <f t="shared" ca="1" si="16"/>
        <v/>
      </c>
      <c r="O319" s="636" t="str">
        <f t="shared" ca="1" si="25"/>
        <v/>
      </c>
      <c r="Q319" s="1133"/>
    </row>
    <row r="320" spans="2:17" x14ac:dyDescent="0.3">
      <c r="B320" s="126"/>
      <c r="C320" s="607">
        <v>76</v>
      </c>
      <c r="D320" s="561" t="str">
        <f t="shared" si="17"/>
        <v/>
      </c>
      <c r="E320" s="561" t="str">
        <f t="shared" si="18"/>
        <v/>
      </c>
      <c r="F320" s="561" t="str">
        <f t="shared" si="19"/>
        <v/>
      </c>
      <c r="G320" s="561" t="str">
        <f t="shared" si="14"/>
        <v/>
      </c>
      <c r="H320" s="561" t="str">
        <f t="shared" si="20"/>
        <v/>
      </c>
      <c r="I320" s="561" t="str">
        <f t="shared" ca="1" si="21"/>
        <v/>
      </c>
      <c r="J320" s="561" t="str">
        <f t="shared" ca="1" si="22"/>
        <v/>
      </c>
      <c r="K320" s="561" t="str">
        <f t="shared" ca="1" si="23"/>
        <v/>
      </c>
      <c r="L320" s="561" t="str">
        <f t="shared" ca="1" si="24"/>
        <v/>
      </c>
      <c r="M320" s="560" t="str">
        <f t="shared" si="15"/>
        <v/>
      </c>
      <c r="N320" s="560" t="str">
        <f t="shared" ca="1" si="16"/>
        <v/>
      </c>
      <c r="O320" s="636" t="str">
        <f t="shared" ca="1" si="25"/>
        <v/>
      </c>
      <c r="Q320" s="1133"/>
    </row>
    <row r="321" spans="2:17" x14ac:dyDescent="0.3">
      <c r="B321" s="126"/>
      <c r="C321" s="607">
        <v>77</v>
      </c>
      <c r="D321" s="561" t="str">
        <f t="shared" si="17"/>
        <v/>
      </c>
      <c r="E321" s="561" t="str">
        <f t="shared" si="18"/>
        <v/>
      </c>
      <c r="F321" s="561" t="str">
        <f t="shared" si="19"/>
        <v/>
      </c>
      <c r="G321" s="561" t="str">
        <f t="shared" si="14"/>
        <v/>
      </c>
      <c r="H321" s="561" t="str">
        <f t="shared" si="20"/>
        <v/>
      </c>
      <c r="I321" s="561" t="str">
        <f t="shared" ca="1" si="21"/>
        <v/>
      </c>
      <c r="J321" s="561" t="str">
        <f t="shared" ca="1" si="22"/>
        <v/>
      </c>
      <c r="K321" s="561" t="str">
        <f t="shared" ca="1" si="23"/>
        <v/>
      </c>
      <c r="L321" s="561" t="str">
        <f t="shared" ca="1" si="24"/>
        <v/>
      </c>
      <c r="M321" s="560" t="str">
        <f t="shared" si="15"/>
        <v/>
      </c>
      <c r="N321" s="560" t="str">
        <f t="shared" ca="1" si="16"/>
        <v/>
      </c>
      <c r="O321" s="636" t="str">
        <f t="shared" ca="1" si="25"/>
        <v/>
      </c>
      <c r="Q321" s="1133"/>
    </row>
    <row r="322" spans="2:17" x14ac:dyDescent="0.3">
      <c r="B322" s="126"/>
      <c r="C322" s="607">
        <v>78</v>
      </c>
      <c r="D322" s="561" t="str">
        <f t="shared" si="17"/>
        <v/>
      </c>
      <c r="E322" s="561" t="str">
        <f t="shared" si="18"/>
        <v/>
      </c>
      <c r="F322" s="561" t="str">
        <f t="shared" si="19"/>
        <v/>
      </c>
      <c r="G322" s="561" t="str">
        <f t="shared" si="14"/>
        <v/>
      </c>
      <c r="H322" s="561" t="str">
        <f t="shared" si="20"/>
        <v/>
      </c>
      <c r="I322" s="561" t="str">
        <f t="shared" ca="1" si="21"/>
        <v/>
      </c>
      <c r="J322" s="561" t="str">
        <f t="shared" ca="1" si="22"/>
        <v/>
      </c>
      <c r="K322" s="561" t="str">
        <f t="shared" ca="1" si="23"/>
        <v/>
      </c>
      <c r="L322" s="561" t="str">
        <f t="shared" ca="1" si="24"/>
        <v/>
      </c>
      <c r="M322" s="560" t="str">
        <f t="shared" si="15"/>
        <v/>
      </c>
      <c r="N322" s="560" t="str">
        <f t="shared" ca="1" si="16"/>
        <v/>
      </c>
      <c r="O322" s="636" t="str">
        <f t="shared" ca="1" si="25"/>
        <v/>
      </c>
      <c r="Q322" s="1133"/>
    </row>
    <row r="323" spans="2:17" x14ac:dyDescent="0.3">
      <c r="B323" s="126"/>
      <c r="C323" s="607">
        <v>79</v>
      </c>
      <c r="D323" s="561" t="str">
        <f t="shared" si="17"/>
        <v/>
      </c>
      <c r="E323" s="561" t="str">
        <f t="shared" si="18"/>
        <v/>
      </c>
      <c r="F323" s="561" t="str">
        <f t="shared" si="19"/>
        <v/>
      </c>
      <c r="G323" s="561" t="str">
        <f t="shared" si="14"/>
        <v/>
      </c>
      <c r="H323" s="561" t="str">
        <f t="shared" si="20"/>
        <v/>
      </c>
      <c r="I323" s="561" t="str">
        <f t="shared" ca="1" si="21"/>
        <v/>
      </c>
      <c r="J323" s="561" t="str">
        <f t="shared" ca="1" si="22"/>
        <v/>
      </c>
      <c r="K323" s="561" t="str">
        <f t="shared" ca="1" si="23"/>
        <v/>
      </c>
      <c r="L323" s="561" t="str">
        <f t="shared" ca="1" si="24"/>
        <v/>
      </c>
      <c r="M323" s="560" t="str">
        <f t="shared" si="15"/>
        <v/>
      </c>
      <c r="N323" s="560" t="str">
        <f t="shared" ca="1" si="16"/>
        <v/>
      </c>
      <c r="O323" s="636" t="str">
        <f t="shared" ca="1" si="25"/>
        <v/>
      </c>
      <c r="Q323" s="1133"/>
    </row>
    <row r="324" spans="2:17" x14ac:dyDescent="0.3">
      <c r="B324" s="126"/>
      <c r="C324" s="607">
        <v>80</v>
      </c>
      <c r="D324" s="561" t="str">
        <f t="shared" si="17"/>
        <v/>
      </c>
      <c r="E324" s="561" t="str">
        <f t="shared" si="18"/>
        <v/>
      </c>
      <c r="F324" s="561" t="str">
        <f t="shared" si="19"/>
        <v/>
      </c>
      <c r="G324" s="561" t="str">
        <f t="shared" si="14"/>
        <v/>
      </c>
      <c r="H324" s="561" t="str">
        <f t="shared" si="20"/>
        <v/>
      </c>
      <c r="I324" s="561" t="str">
        <f t="shared" ca="1" si="21"/>
        <v/>
      </c>
      <c r="J324" s="561" t="str">
        <f t="shared" ca="1" si="22"/>
        <v/>
      </c>
      <c r="K324" s="561" t="str">
        <f t="shared" ca="1" si="23"/>
        <v/>
      </c>
      <c r="L324" s="561" t="str">
        <f t="shared" ca="1" si="24"/>
        <v/>
      </c>
      <c r="M324" s="560" t="str">
        <f t="shared" si="15"/>
        <v/>
      </c>
      <c r="N324" s="560" t="str">
        <f t="shared" ca="1" si="16"/>
        <v/>
      </c>
      <c r="O324" s="636" t="str">
        <f t="shared" ca="1" si="25"/>
        <v/>
      </c>
      <c r="Q324" s="1133"/>
    </row>
    <row r="325" spans="2:17" x14ac:dyDescent="0.3">
      <c r="B325" s="126"/>
      <c r="C325" s="607">
        <v>81</v>
      </c>
      <c r="D325" s="561" t="str">
        <f t="shared" si="17"/>
        <v/>
      </c>
      <c r="E325" s="561" t="str">
        <f t="shared" si="18"/>
        <v/>
      </c>
      <c r="F325" s="561" t="str">
        <f t="shared" si="19"/>
        <v/>
      </c>
      <c r="G325" s="561" t="str">
        <f t="shared" si="14"/>
        <v/>
      </c>
      <c r="H325" s="561" t="str">
        <f t="shared" si="20"/>
        <v/>
      </c>
      <c r="I325" s="561" t="str">
        <f t="shared" ca="1" si="21"/>
        <v/>
      </c>
      <c r="J325" s="561" t="str">
        <f t="shared" ca="1" si="22"/>
        <v/>
      </c>
      <c r="K325" s="561" t="str">
        <f t="shared" ca="1" si="23"/>
        <v/>
      </c>
      <c r="L325" s="561" t="str">
        <f t="shared" ca="1" si="24"/>
        <v/>
      </c>
      <c r="M325" s="560" t="str">
        <f t="shared" si="15"/>
        <v/>
      </c>
      <c r="N325" s="560" t="str">
        <f t="shared" ca="1" si="16"/>
        <v/>
      </c>
      <c r="O325" s="636" t="str">
        <f t="shared" ca="1" si="25"/>
        <v/>
      </c>
      <c r="Q325" s="1133"/>
    </row>
    <row r="326" spans="2:17" x14ac:dyDescent="0.3">
      <c r="B326" s="126"/>
      <c r="C326" s="607">
        <v>82</v>
      </c>
      <c r="D326" s="561" t="str">
        <f t="shared" si="17"/>
        <v/>
      </c>
      <c r="E326" s="561" t="str">
        <f t="shared" si="18"/>
        <v/>
      </c>
      <c r="F326" s="561" t="str">
        <f t="shared" si="19"/>
        <v/>
      </c>
      <c r="G326" s="561" t="str">
        <f t="shared" si="14"/>
        <v/>
      </c>
      <c r="H326" s="561" t="str">
        <f t="shared" si="20"/>
        <v/>
      </c>
      <c r="I326" s="561" t="str">
        <f t="shared" ca="1" si="21"/>
        <v/>
      </c>
      <c r="J326" s="561" t="str">
        <f t="shared" ca="1" si="22"/>
        <v/>
      </c>
      <c r="K326" s="561" t="str">
        <f t="shared" ca="1" si="23"/>
        <v/>
      </c>
      <c r="L326" s="561" t="str">
        <f t="shared" ca="1" si="24"/>
        <v/>
      </c>
      <c r="M326" s="560" t="str">
        <f t="shared" si="15"/>
        <v/>
      </c>
      <c r="N326" s="560" t="str">
        <f t="shared" ca="1" si="16"/>
        <v/>
      </c>
      <c r="O326" s="636" t="str">
        <f t="shared" ca="1" si="25"/>
        <v/>
      </c>
      <c r="Q326" s="1133"/>
    </row>
    <row r="327" spans="2:17" x14ac:dyDescent="0.3">
      <c r="B327" s="126"/>
      <c r="C327" s="607">
        <v>83</v>
      </c>
      <c r="D327" s="561" t="str">
        <f t="shared" si="17"/>
        <v/>
      </c>
      <c r="E327" s="561" t="str">
        <f t="shared" si="18"/>
        <v/>
      </c>
      <c r="F327" s="561" t="str">
        <f t="shared" si="19"/>
        <v/>
      </c>
      <c r="G327" s="561" t="str">
        <f t="shared" si="14"/>
        <v/>
      </c>
      <c r="H327" s="561" t="str">
        <f t="shared" si="20"/>
        <v/>
      </c>
      <c r="I327" s="561" t="str">
        <f t="shared" ca="1" si="21"/>
        <v/>
      </c>
      <c r="J327" s="561" t="str">
        <f t="shared" ca="1" si="22"/>
        <v/>
      </c>
      <c r="K327" s="561" t="str">
        <f t="shared" ca="1" si="23"/>
        <v/>
      </c>
      <c r="L327" s="561" t="str">
        <f t="shared" ca="1" si="24"/>
        <v/>
      </c>
      <c r="M327" s="560" t="str">
        <f t="shared" si="15"/>
        <v/>
      </c>
      <c r="N327" s="560" t="str">
        <f t="shared" ca="1" si="16"/>
        <v/>
      </c>
      <c r="O327" s="636" t="str">
        <f t="shared" ca="1" si="25"/>
        <v/>
      </c>
      <c r="Q327" s="1133"/>
    </row>
    <row r="328" spans="2:17" x14ac:dyDescent="0.3">
      <c r="B328" s="126"/>
      <c r="C328" s="607">
        <v>84</v>
      </c>
      <c r="D328" s="561" t="str">
        <f t="shared" si="17"/>
        <v/>
      </c>
      <c r="E328" s="561" t="str">
        <f t="shared" si="18"/>
        <v/>
      </c>
      <c r="F328" s="561" t="str">
        <f t="shared" si="19"/>
        <v/>
      </c>
      <c r="G328" s="561" t="str">
        <f t="shared" si="14"/>
        <v/>
      </c>
      <c r="H328" s="561" t="str">
        <f t="shared" si="20"/>
        <v/>
      </c>
      <c r="I328" s="561" t="str">
        <f t="shared" ca="1" si="21"/>
        <v/>
      </c>
      <c r="J328" s="561" t="str">
        <f t="shared" ca="1" si="22"/>
        <v/>
      </c>
      <c r="K328" s="561" t="str">
        <f t="shared" ca="1" si="23"/>
        <v/>
      </c>
      <c r="L328" s="561" t="str">
        <f t="shared" ca="1" si="24"/>
        <v/>
      </c>
      <c r="M328" s="560" t="str">
        <f t="shared" si="15"/>
        <v/>
      </c>
      <c r="N328" s="560" t="str">
        <f t="shared" ca="1" si="16"/>
        <v/>
      </c>
      <c r="O328" s="636" t="str">
        <f t="shared" ca="1" si="25"/>
        <v/>
      </c>
      <c r="Q328" s="1133"/>
    </row>
    <row r="329" spans="2:17" x14ac:dyDescent="0.3">
      <c r="B329" s="126"/>
      <c r="C329" s="607">
        <v>85</v>
      </c>
      <c r="D329" s="561" t="str">
        <f t="shared" si="17"/>
        <v/>
      </c>
      <c r="E329" s="561" t="str">
        <f t="shared" si="18"/>
        <v/>
      </c>
      <c r="F329" s="561" t="str">
        <f t="shared" si="19"/>
        <v/>
      </c>
      <c r="G329" s="561" t="str">
        <f t="shared" si="14"/>
        <v/>
      </c>
      <c r="H329" s="561" t="str">
        <f t="shared" si="20"/>
        <v/>
      </c>
      <c r="I329" s="561" t="str">
        <f t="shared" ca="1" si="21"/>
        <v/>
      </c>
      <c r="J329" s="561" t="str">
        <f t="shared" ca="1" si="22"/>
        <v/>
      </c>
      <c r="K329" s="561" t="str">
        <f t="shared" ca="1" si="23"/>
        <v/>
      </c>
      <c r="L329" s="561" t="str">
        <f t="shared" ca="1" si="24"/>
        <v/>
      </c>
      <c r="M329" s="560" t="str">
        <f t="shared" si="15"/>
        <v/>
      </c>
      <c r="N329" s="560" t="str">
        <f t="shared" ca="1" si="16"/>
        <v/>
      </c>
      <c r="O329" s="636" t="str">
        <f t="shared" ca="1" si="25"/>
        <v/>
      </c>
      <c r="Q329" s="1133"/>
    </row>
    <row r="330" spans="2:17" x14ac:dyDescent="0.3">
      <c r="B330" s="126"/>
      <c r="C330" s="607">
        <v>86</v>
      </c>
      <c r="D330" s="561" t="str">
        <f t="shared" si="17"/>
        <v/>
      </c>
      <c r="E330" s="561" t="str">
        <f t="shared" si="18"/>
        <v/>
      </c>
      <c r="F330" s="561" t="str">
        <f t="shared" si="19"/>
        <v/>
      </c>
      <c r="G330" s="561" t="str">
        <f t="shared" si="14"/>
        <v/>
      </c>
      <c r="H330" s="561" t="str">
        <f t="shared" si="20"/>
        <v/>
      </c>
      <c r="I330" s="561" t="str">
        <f t="shared" ca="1" si="21"/>
        <v/>
      </c>
      <c r="J330" s="561" t="str">
        <f t="shared" ca="1" si="22"/>
        <v/>
      </c>
      <c r="K330" s="561" t="str">
        <f t="shared" ca="1" si="23"/>
        <v/>
      </c>
      <c r="L330" s="561" t="str">
        <f t="shared" ca="1" si="24"/>
        <v/>
      </c>
      <c r="M330" s="560" t="str">
        <f t="shared" si="15"/>
        <v/>
      </c>
      <c r="N330" s="560" t="str">
        <f t="shared" ca="1" si="16"/>
        <v/>
      </c>
      <c r="O330" s="636" t="str">
        <f t="shared" ca="1" si="25"/>
        <v/>
      </c>
      <c r="Q330" s="1133"/>
    </row>
    <row r="331" spans="2:17" x14ac:dyDescent="0.3">
      <c r="B331" s="126"/>
      <c r="C331" s="607">
        <v>87</v>
      </c>
      <c r="D331" s="561" t="str">
        <f t="shared" si="17"/>
        <v/>
      </c>
      <c r="E331" s="561" t="str">
        <f t="shared" si="18"/>
        <v/>
      </c>
      <c r="F331" s="561" t="str">
        <f t="shared" si="19"/>
        <v/>
      </c>
      <c r="G331" s="561" t="str">
        <f t="shared" si="14"/>
        <v/>
      </c>
      <c r="H331" s="561" t="str">
        <f t="shared" si="20"/>
        <v/>
      </c>
      <c r="I331" s="561" t="str">
        <f t="shared" ca="1" si="21"/>
        <v/>
      </c>
      <c r="J331" s="561" t="str">
        <f t="shared" ca="1" si="22"/>
        <v/>
      </c>
      <c r="K331" s="561" t="str">
        <f t="shared" ca="1" si="23"/>
        <v/>
      </c>
      <c r="L331" s="561" t="str">
        <f t="shared" ca="1" si="24"/>
        <v/>
      </c>
      <c r="M331" s="560" t="str">
        <f t="shared" si="15"/>
        <v/>
      </c>
      <c r="N331" s="560" t="str">
        <f t="shared" ca="1" si="16"/>
        <v/>
      </c>
      <c r="O331" s="636" t="str">
        <f t="shared" ca="1" si="25"/>
        <v/>
      </c>
      <c r="Q331" s="1133"/>
    </row>
    <row r="332" spans="2:17" x14ac:dyDescent="0.3">
      <c r="B332" s="126"/>
      <c r="C332" s="607">
        <v>88</v>
      </c>
      <c r="D332" s="561" t="str">
        <f t="shared" si="17"/>
        <v/>
      </c>
      <c r="E332" s="561" t="str">
        <f t="shared" si="18"/>
        <v/>
      </c>
      <c r="F332" s="561" t="str">
        <f t="shared" si="19"/>
        <v/>
      </c>
      <c r="G332" s="561" t="str">
        <f t="shared" si="14"/>
        <v/>
      </c>
      <c r="H332" s="561" t="str">
        <f t="shared" si="20"/>
        <v/>
      </c>
      <c r="I332" s="561" t="str">
        <f t="shared" ca="1" si="21"/>
        <v/>
      </c>
      <c r="J332" s="561" t="str">
        <f t="shared" ca="1" si="22"/>
        <v/>
      </c>
      <c r="K332" s="561" t="str">
        <f t="shared" ca="1" si="23"/>
        <v/>
      </c>
      <c r="L332" s="561" t="str">
        <f t="shared" ca="1" si="24"/>
        <v/>
      </c>
      <c r="M332" s="560" t="str">
        <f t="shared" si="15"/>
        <v/>
      </c>
      <c r="N332" s="560" t="str">
        <f t="shared" ca="1" si="16"/>
        <v/>
      </c>
      <c r="O332" s="636" t="str">
        <f t="shared" ca="1" si="25"/>
        <v/>
      </c>
      <c r="Q332" s="1133"/>
    </row>
    <row r="333" spans="2:17" x14ac:dyDescent="0.3">
      <c r="B333" s="126"/>
      <c r="C333" s="607">
        <v>89</v>
      </c>
      <c r="D333" s="561" t="str">
        <f t="shared" si="17"/>
        <v/>
      </c>
      <c r="E333" s="561" t="str">
        <f t="shared" si="18"/>
        <v/>
      </c>
      <c r="F333" s="561" t="str">
        <f t="shared" si="19"/>
        <v/>
      </c>
      <c r="G333" s="561" t="str">
        <f t="shared" si="14"/>
        <v/>
      </c>
      <c r="H333" s="561" t="str">
        <f t="shared" si="20"/>
        <v/>
      </c>
      <c r="I333" s="561" t="str">
        <f t="shared" ca="1" si="21"/>
        <v/>
      </c>
      <c r="J333" s="561" t="str">
        <f t="shared" ca="1" si="22"/>
        <v/>
      </c>
      <c r="K333" s="561" t="str">
        <f t="shared" ca="1" si="23"/>
        <v/>
      </c>
      <c r="L333" s="561" t="str">
        <f t="shared" ca="1" si="24"/>
        <v/>
      </c>
      <c r="M333" s="560" t="str">
        <f t="shared" si="15"/>
        <v/>
      </c>
      <c r="N333" s="560" t="str">
        <f t="shared" ca="1" si="16"/>
        <v/>
      </c>
      <c r="O333" s="636" t="str">
        <f t="shared" ca="1" si="25"/>
        <v/>
      </c>
      <c r="Q333" s="1133"/>
    </row>
    <row r="334" spans="2:17" x14ac:dyDescent="0.3">
      <c r="B334" s="126"/>
      <c r="C334" s="607">
        <v>90</v>
      </c>
      <c r="D334" s="561" t="str">
        <f t="shared" si="17"/>
        <v/>
      </c>
      <c r="E334" s="561" t="str">
        <f t="shared" si="18"/>
        <v/>
      </c>
      <c r="F334" s="561" t="str">
        <f t="shared" si="19"/>
        <v/>
      </c>
      <c r="G334" s="561" t="str">
        <f t="shared" si="14"/>
        <v/>
      </c>
      <c r="H334" s="561" t="str">
        <f t="shared" si="20"/>
        <v/>
      </c>
      <c r="I334" s="561" t="str">
        <f t="shared" ca="1" si="21"/>
        <v/>
      </c>
      <c r="J334" s="561" t="str">
        <f t="shared" ca="1" si="22"/>
        <v/>
      </c>
      <c r="K334" s="561" t="str">
        <f t="shared" ca="1" si="23"/>
        <v/>
      </c>
      <c r="L334" s="561" t="str">
        <f t="shared" ca="1" si="24"/>
        <v/>
      </c>
      <c r="M334" s="560" t="str">
        <f t="shared" si="15"/>
        <v/>
      </c>
      <c r="N334" s="560" t="str">
        <f t="shared" ca="1" si="16"/>
        <v/>
      </c>
      <c r="O334" s="636" t="str">
        <f t="shared" ca="1" si="25"/>
        <v/>
      </c>
      <c r="Q334" s="1133"/>
    </row>
    <row r="335" spans="2:17" x14ac:dyDescent="0.3">
      <c r="B335" s="126"/>
      <c r="C335" s="607">
        <v>91</v>
      </c>
      <c r="D335" s="561" t="str">
        <f t="shared" si="17"/>
        <v/>
      </c>
      <c r="E335" s="561" t="str">
        <f t="shared" si="18"/>
        <v/>
      </c>
      <c r="F335" s="561" t="str">
        <f t="shared" si="19"/>
        <v/>
      </c>
      <c r="G335" s="561" t="str">
        <f t="shared" si="14"/>
        <v/>
      </c>
      <c r="H335" s="561" t="str">
        <f t="shared" si="20"/>
        <v/>
      </c>
      <c r="I335" s="561" t="str">
        <f t="shared" ca="1" si="21"/>
        <v/>
      </c>
      <c r="J335" s="561" t="str">
        <f t="shared" ca="1" si="22"/>
        <v/>
      </c>
      <c r="K335" s="561" t="str">
        <f t="shared" ca="1" si="23"/>
        <v/>
      </c>
      <c r="L335" s="561" t="str">
        <f t="shared" ca="1" si="24"/>
        <v/>
      </c>
      <c r="M335" s="560" t="str">
        <f t="shared" si="15"/>
        <v/>
      </c>
      <c r="N335" s="560" t="str">
        <f t="shared" ca="1" si="16"/>
        <v/>
      </c>
      <c r="O335" s="636" t="str">
        <f t="shared" ca="1" si="25"/>
        <v/>
      </c>
      <c r="Q335" s="1133"/>
    </row>
    <row r="336" spans="2:17" x14ac:dyDescent="0.3">
      <c r="B336" s="126"/>
      <c r="C336" s="607">
        <v>92</v>
      </c>
      <c r="D336" s="561" t="str">
        <f t="shared" si="17"/>
        <v/>
      </c>
      <c r="E336" s="561" t="str">
        <f t="shared" si="18"/>
        <v/>
      </c>
      <c r="F336" s="561" t="str">
        <f t="shared" si="19"/>
        <v/>
      </c>
      <c r="G336" s="561" t="str">
        <f t="shared" si="14"/>
        <v/>
      </c>
      <c r="H336" s="561" t="str">
        <f t="shared" si="20"/>
        <v/>
      </c>
      <c r="I336" s="561" t="str">
        <f t="shared" ca="1" si="21"/>
        <v/>
      </c>
      <c r="J336" s="561" t="str">
        <f t="shared" ca="1" si="22"/>
        <v/>
      </c>
      <c r="K336" s="561" t="str">
        <f t="shared" ca="1" si="23"/>
        <v/>
      </c>
      <c r="L336" s="561" t="str">
        <f t="shared" ca="1" si="24"/>
        <v/>
      </c>
      <c r="M336" s="560" t="str">
        <f t="shared" si="15"/>
        <v/>
      </c>
      <c r="N336" s="560" t="str">
        <f t="shared" ca="1" si="16"/>
        <v/>
      </c>
      <c r="O336" s="636" t="str">
        <f t="shared" ca="1" si="25"/>
        <v/>
      </c>
      <c r="Q336" s="1133"/>
    </row>
    <row r="337" spans="2:17" x14ac:dyDescent="0.3">
      <c r="B337" s="126"/>
      <c r="C337" s="607">
        <v>93</v>
      </c>
      <c r="D337" s="561" t="str">
        <f t="shared" si="17"/>
        <v/>
      </c>
      <c r="E337" s="561" t="str">
        <f t="shared" si="18"/>
        <v/>
      </c>
      <c r="F337" s="561" t="str">
        <f t="shared" si="19"/>
        <v/>
      </c>
      <c r="G337" s="561" t="str">
        <f t="shared" si="14"/>
        <v/>
      </c>
      <c r="H337" s="561" t="str">
        <f t="shared" si="20"/>
        <v/>
      </c>
      <c r="I337" s="561" t="str">
        <f t="shared" ca="1" si="21"/>
        <v/>
      </c>
      <c r="J337" s="561" t="str">
        <f t="shared" ca="1" si="22"/>
        <v/>
      </c>
      <c r="K337" s="561" t="str">
        <f t="shared" ca="1" si="23"/>
        <v/>
      </c>
      <c r="L337" s="561" t="str">
        <f t="shared" ca="1" si="24"/>
        <v/>
      </c>
      <c r="M337" s="560" t="str">
        <f t="shared" si="15"/>
        <v/>
      </c>
      <c r="N337" s="560" t="str">
        <f t="shared" ca="1" si="16"/>
        <v/>
      </c>
      <c r="O337" s="636" t="str">
        <f t="shared" ca="1" si="25"/>
        <v/>
      </c>
      <c r="Q337" s="1133"/>
    </row>
    <row r="338" spans="2:17" x14ac:dyDescent="0.3">
      <c r="B338" s="126"/>
      <c r="C338" s="607">
        <v>94</v>
      </c>
      <c r="D338" s="561" t="str">
        <f t="shared" si="17"/>
        <v/>
      </c>
      <c r="E338" s="561" t="str">
        <f t="shared" si="18"/>
        <v/>
      </c>
      <c r="F338" s="561" t="str">
        <f t="shared" si="19"/>
        <v/>
      </c>
      <c r="G338" s="561" t="str">
        <f t="shared" si="14"/>
        <v/>
      </c>
      <c r="H338" s="561" t="str">
        <f t="shared" si="20"/>
        <v/>
      </c>
      <c r="I338" s="561" t="str">
        <f t="shared" ca="1" si="21"/>
        <v/>
      </c>
      <c r="J338" s="561" t="str">
        <f t="shared" ca="1" si="22"/>
        <v/>
      </c>
      <c r="K338" s="561" t="str">
        <f t="shared" ca="1" si="23"/>
        <v/>
      </c>
      <c r="L338" s="561" t="str">
        <f t="shared" ca="1" si="24"/>
        <v/>
      </c>
      <c r="M338" s="560" t="str">
        <f t="shared" si="15"/>
        <v/>
      </c>
      <c r="N338" s="560" t="str">
        <f t="shared" ca="1" si="16"/>
        <v/>
      </c>
      <c r="O338" s="636" t="str">
        <f t="shared" ca="1" si="25"/>
        <v/>
      </c>
      <c r="Q338" s="1133"/>
    </row>
    <row r="339" spans="2:17" x14ac:dyDescent="0.3">
      <c r="B339" s="126"/>
      <c r="C339" s="607">
        <v>95</v>
      </c>
      <c r="D339" s="561" t="str">
        <f t="shared" si="17"/>
        <v/>
      </c>
      <c r="E339" s="561" t="str">
        <f t="shared" si="18"/>
        <v/>
      </c>
      <c r="F339" s="561" t="str">
        <f t="shared" si="19"/>
        <v/>
      </c>
      <c r="G339" s="561" t="str">
        <f t="shared" si="14"/>
        <v/>
      </c>
      <c r="H339" s="561" t="str">
        <f t="shared" si="20"/>
        <v/>
      </c>
      <c r="I339" s="561" t="str">
        <f t="shared" ca="1" si="21"/>
        <v/>
      </c>
      <c r="J339" s="561" t="str">
        <f t="shared" ca="1" si="22"/>
        <v/>
      </c>
      <c r="K339" s="561" t="str">
        <f t="shared" ca="1" si="23"/>
        <v/>
      </c>
      <c r="L339" s="561" t="str">
        <f t="shared" ca="1" si="24"/>
        <v/>
      </c>
      <c r="M339" s="560" t="str">
        <f t="shared" si="15"/>
        <v/>
      </c>
      <c r="N339" s="560" t="str">
        <f t="shared" ca="1" si="16"/>
        <v/>
      </c>
      <c r="O339" s="636" t="str">
        <f t="shared" ca="1" si="25"/>
        <v/>
      </c>
      <c r="Q339" s="1133"/>
    </row>
    <row r="340" spans="2:17" x14ac:dyDescent="0.3">
      <c r="B340" s="126"/>
      <c r="C340" s="607">
        <v>96</v>
      </c>
      <c r="D340" s="561" t="str">
        <f t="shared" si="17"/>
        <v/>
      </c>
      <c r="E340" s="561" t="str">
        <f t="shared" si="18"/>
        <v/>
      </c>
      <c r="F340" s="561" t="str">
        <f t="shared" si="19"/>
        <v/>
      </c>
      <c r="G340" s="561" t="str">
        <f t="shared" si="14"/>
        <v/>
      </c>
      <c r="H340" s="561" t="str">
        <f t="shared" si="20"/>
        <v/>
      </c>
      <c r="I340" s="561" t="str">
        <f t="shared" ca="1" si="21"/>
        <v/>
      </c>
      <c r="J340" s="561" t="str">
        <f t="shared" ca="1" si="22"/>
        <v/>
      </c>
      <c r="K340" s="561" t="str">
        <f t="shared" ca="1" si="23"/>
        <v/>
      </c>
      <c r="L340" s="561" t="str">
        <f t="shared" ca="1" si="24"/>
        <v/>
      </c>
      <c r="M340" s="560" t="str">
        <f t="shared" si="15"/>
        <v/>
      </c>
      <c r="N340" s="560" t="str">
        <f t="shared" ca="1" si="16"/>
        <v/>
      </c>
      <c r="O340" s="636" t="str">
        <f t="shared" ca="1" si="25"/>
        <v/>
      </c>
      <c r="Q340" s="1133"/>
    </row>
    <row r="341" spans="2:17" x14ac:dyDescent="0.3">
      <c r="B341" s="126"/>
      <c r="C341" s="607">
        <v>97</v>
      </c>
      <c r="D341" s="561" t="str">
        <f t="shared" si="17"/>
        <v/>
      </c>
      <c r="E341" s="561" t="str">
        <f t="shared" si="18"/>
        <v/>
      </c>
      <c r="F341" s="561" t="str">
        <f t="shared" si="19"/>
        <v/>
      </c>
      <c r="G341" s="561" t="str">
        <f t="shared" si="14"/>
        <v/>
      </c>
      <c r="H341" s="561" t="str">
        <f t="shared" si="20"/>
        <v/>
      </c>
      <c r="I341" s="561" t="str">
        <f t="shared" ca="1" si="21"/>
        <v/>
      </c>
      <c r="J341" s="561" t="str">
        <f t="shared" ca="1" si="22"/>
        <v/>
      </c>
      <c r="K341" s="561" t="str">
        <f t="shared" ca="1" si="23"/>
        <v/>
      </c>
      <c r="L341" s="561" t="str">
        <f t="shared" ca="1" si="24"/>
        <v/>
      </c>
      <c r="M341" s="560" t="str">
        <f t="shared" si="15"/>
        <v/>
      </c>
      <c r="N341" s="560" t="str">
        <f t="shared" ca="1" si="16"/>
        <v/>
      </c>
      <c r="O341" s="636" t="str">
        <f t="shared" ca="1" si="25"/>
        <v/>
      </c>
      <c r="Q341" s="1133"/>
    </row>
    <row r="342" spans="2:17" x14ac:dyDescent="0.3">
      <c r="B342" s="126"/>
      <c r="C342" s="607">
        <v>98</v>
      </c>
      <c r="D342" s="561" t="str">
        <f t="shared" si="17"/>
        <v/>
      </c>
      <c r="E342" s="561" t="str">
        <f t="shared" si="18"/>
        <v/>
      </c>
      <c r="F342" s="561" t="str">
        <f t="shared" si="19"/>
        <v/>
      </c>
      <c r="G342" s="561" t="str">
        <f t="shared" si="14"/>
        <v/>
      </c>
      <c r="H342" s="561" t="str">
        <f t="shared" si="20"/>
        <v/>
      </c>
      <c r="I342" s="561" t="str">
        <f t="shared" ca="1" si="21"/>
        <v/>
      </c>
      <c r="J342" s="561" t="str">
        <f t="shared" ca="1" si="22"/>
        <v/>
      </c>
      <c r="K342" s="561" t="str">
        <f t="shared" ca="1" si="23"/>
        <v/>
      </c>
      <c r="L342" s="561" t="str">
        <f t="shared" ca="1" si="24"/>
        <v/>
      </c>
      <c r="M342" s="560" t="str">
        <f t="shared" si="15"/>
        <v/>
      </c>
      <c r="N342" s="560" t="str">
        <f t="shared" ca="1" si="16"/>
        <v/>
      </c>
      <c r="O342" s="636" t="str">
        <f t="shared" ca="1" si="25"/>
        <v/>
      </c>
      <c r="Q342" s="1133"/>
    </row>
    <row r="343" spans="2:17" x14ac:dyDescent="0.3">
      <c r="B343" s="126"/>
      <c r="C343" s="607">
        <v>99</v>
      </c>
      <c r="D343" s="561" t="str">
        <f t="shared" si="17"/>
        <v/>
      </c>
      <c r="E343" s="561" t="str">
        <f t="shared" si="18"/>
        <v/>
      </c>
      <c r="F343" s="561" t="str">
        <f t="shared" si="19"/>
        <v/>
      </c>
      <c r="G343" s="561" t="str">
        <f t="shared" si="14"/>
        <v/>
      </c>
      <c r="H343" s="561" t="str">
        <f t="shared" si="20"/>
        <v/>
      </c>
      <c r="I343" s="561" t="str">
        <f t="shared" ca="1" si="21"/>
        <v/>
      </c>
      <c r="J343" s="561" t="str">
        <f t="shared" ca="1" si="22"/>
        <v/>
      </c>
      <c r="K343" s="561" t="str">
        <f t="shared" ca="1" si="23"/>
        <v/>
      </c>
      <c r="L343" s="561" t="str">
        <f t="shared" ca="1" si="24"/>
        <v/>
      </c>
      <c r="M343" s="560" t="str">
        <f t="shared" si="15"/>
        <v/>
      </c>
      <c r="N343" s="560" t="str">
        <f t="shared" ca="1" si="16"/>
        <v/>
      </c>
      <c r="O343" s="636" t="str">
        <f t="shared" ca="1" si="25"/>
        <v/>
      </c>
      <c r="Q343" s="1133"/>
    </row>
    <row r="344" spans="2:17" ht="17.25" thickBot="1" x14ac:dyDescent="0.35">
      <c r="B344" s="126"/>
      <c r="C344" s="609">
        <v>100</v>
      </c>
      <c r="D344" s="561" t="str">
        <f t="shared" si="17"/>
        <v/>
      </c>
      <c r="E344" s="561" t="str">
        <f t="shared" si="18"/>
        <v/>
      </c>
      <c r="F344" s="561" t="str">
        <f t="shared" si="19"/>
        <v/>
      </c>
      <c r="G344" s="561" t="str">
        <f t="shared" si="14"/>
        <v/>
      </c>
      <c r="H344" s="561" t="str">
        <f t="shared" si="20"/>
        <v/>
      </c>
      <c r="I344" s="561" t="str">
        <f t="shared" ca="1" si="21"/>
        <v/>
      </c>
      <c r="J344" s="561" t="str">
        <f t="shared" ca="1" si="22"/>
        <v/>
      </c>
      <c r="K344" s="561" t="str">
        <f t="shared" ca="1" si="23"/>
        <v/>
      </c>
      <c r="L344" s="561" t="str">
        <f t="shared" ca="1" si="24"/>
        <v/>
      </c>
      <c r="M344" s="560" t="str">
        <f t="shared" si="15"/>
        <v/>
      </c>
      <c r="N344" s="560" t="str">
        <f t="shared" ca="1" si="16"/>
        <v/>
      </c>
      <c r="O344" s="636" t="str">
        <f t="shared" ca="1" si="25"/>
        <v/>
      </c>
      <c r="Q344" s="1133"/>
    </row>
    <row r="345" spans="2:17" x14ac:dyDescent="0.3">
      <c r="B345" s="126"/>
      <c r="C345" s="126"/>
      <c r="D345" s="126"/>
      <c r="E345" s="577"/>
      <c r="F345" s="577"/>
      <c r="G345" s="577"/>
      <c r="H345" s="577"/>
      <c r="I345" s="577"/>
      <c r="J345" s="122"/>
      <c r="K345" s="122"/>
      <c r="O345" s="1134"/>
      <c r="Q345" s="1133"/>
    </row>
    <row r="346" spans="2:17" ht="17.25" thickBot="1" x14ac:dyDescent="0.35">
      <c r="B346" s="126"/>
      <c r="C346" s="126"/>
      <c r="D346" s="126"/>
      <c r="E346" s="577"/>
      <c r="F346" s="577"/>
      <c r="G346" s="577"/>
      <c r="H346" s="577"/>
      <c r="I346" s="577"/>
      <c r="J346" s="122"/>
      <c r="K346" s="122"/>
      <c r="O346" s="1134"/>
      <c r="Q346" s="1133"/>
    </row>
    <row r="347" spans="2:17" ht="18" thickBot="1" x14ac:dyDescent="0.35">
      <c r="B347" s="126"/>
      <c r="C347" s="487" t="str">
        <f>"ANSI/ASHRAE Sections " &amp; D14 &amp; ".9.19 and " &amp; D14 &amp; ".9.20: Off-Cycle Sensible and Infiltration Heat Loss Integration Factors"</f>
        <v>ANSI/ASHRAE Sections Unknown.9.19 and Unknown.9.20: Off-Cycle Sensible and Infiltration Heat Loss Integration Factors</v>
      </c>
      <c r="D347" s="540"/>
      <c r="E347" s="540"/>
      <c r="F347" s="540"/>
      <c r="G347" s="540"/>
      <c r="H347" s="540"/>
      <c r="I347" s="540"/>
      <c r="J347" s="540"/>
      <c r="K347" s="541"/>
      <c r="O347" s="1134"/>
      <c r="Q347" s="1133"/>
    </row>
    <row r="348" spans="2:17" ht="17.25" thickBot="1" x14ac:dyDescent="0.35">
      <c r="B348" s="126"/>
      <c r="C348" s="1863" t="s">
        <v>536</v>
      </c>
      <c r="D348" s="1864"/>
      <c r="E348" s="1864"/>
      <c r="F348" s="1864"/>
      <c r="G348" s="1864"/>
      <c r="H348" s="1864"/>
      <c r="I348" s="1864"/>
      <c r="J348" s="1864"/>
      <c r="K348" s="1865"/>
      <c r="O348" s="1134"/>
      <c r="Q348" s="1133"/>
    </row>
    <row r="349" spans="2:17" ht="34.5" x14ac:dyDescent="0.3">
      <c r="B349" s="126"/>
      <c r="C349" s="611" t="s">
        <v>488</v>
      </c>
      <c r="D349" s="1193" t="s">
        <v>489</v>
      </c>
      <c r="E349" s="612" t="s">
        <v>136</v>
      </c>
      <c r="F349" s="1195" t="s">
        <v>33</v>
      </c>
      <c r="G349" s="1866" t="s">
        <v>71</v>
      </c>
      <c r="H349" s="1866"/>
      <c r="I349" s="1866"/>
      <c r="J349" s="1866"/>
      <c r="K349" s="1867"/>
      <c r="O349" s="1134"/>
      <c r="Q349" s="1133"/>
    </row>
    <row r="350" spans="2:17" x14ac:dyDescent="0.3">
      <c r="B350" s="126"/>
      <c r="C350" s="580" t="str">
        <f>System_Number_Max</f>
        <v>N/A</v>
      </c>
      <c r="D350" s="578" t="str">
        <f>System_Number_Reduced</f>
        <v>N/A</v>
      </c>
      <c r="E350" s="558" t="s">
        <v>175</v>
      </c>
      <c r="F350" s="558" t="s">
        <v>175</v>
      </c>
      <c r="G350" s="1857" t="s">
        <v>39</v>
      </c>
      <c r="H350" s="1857"/>
      <c r="I350" s="1857"/>
      <c r="J350" s="1857"/>
      <c r="K350" s="1858"/>
      <c r="O350" s="1134"/>
      <c r="Q350" s="1133"/>
    </row>
    <row r="351" spans="2:17" x14ac:dyDescent="0.3">
      <c r="B351" s="126"/>
      <c r="C351" s="580" t="str">
        <f>Post_Purge_Max?</f>
        <v>N/A</v>
      </c>
      <c r="D351" s="578" t="str">
        <f>Post_Purge_Reduced?</f>
        <v>N/A</v>
      </c>
      <c r="E351" s="558" t="s">
        <v>175</v>
      </c>
      <c r="F351" s="558" t="s">
        <v>175</v>
      </c>
      <c r="G351" s="1857" t="s">
        <v>386</v>
      </c>
      <c r="H351" s="1857"/>
      <c r="I351" s="1857"/>
      <c r="J351" s="1857"/>
      <c r="K351" s="1858"/>
      <c r="O351" s="1134"/>
      <c r="Q351" s="1133"/>
    </row>
    <row r="352" spans="2:17" ht="18" x14ac:dyDescent="0.3">
      <c r="B352" s="126"/>
      <c r="C352" s="581" t="str">
        <f>tp_Max</f>
        <v>N/A</v>
      </c>
      <c r="D352" s="561" t="str">
        <f>tp_Reduced</f>
        <v>N/A</v>
      </c>
      <c r="E352" s="558" t="s">
        <v>36</v>
      </c>
      <c r="F352" s="558" t="s">
        <v>608</v>
      </c>
      <c r="G352" s="1857" t="s">
        <v>431</v>
      </c>
      <c r="H352" s="1857"/>
      <c r="I352" s="1857"/>
      <c r="J352" s="1857"/>
      <c r="K352" s="1858"/>
      <c r="O352" s="1134"/>
      <c r="Q352" s="1133"/>
    </row>
    <row r="353" spans="2:17" ht="18" x14ac:dyDescent="0.3">
      <c r="B353" s="126"/>
      <c r="C353" s="581" t="str">
        <f>t.OFF_Max</f>
        <v>N/A</v>
      </c>
      <c r="D353" s="561" t="str">
        <f>t.OFF_Reduced</f>
        <v>N/A</v>
      </c>
      <c r="E353" s="558" t="s">
        <v>36</v>
      </c>
      <c r="F353" s="558" t="s">
        <v>628</v>
      </c>
      <c r="G353" s="1857" t="s">
        <v>443</v>
      </c>
      <c r="H353" s="1857"/>
      <c r="I353" s="1857"/>
      <c r="J353" s="1857"/>
      <c r="K353" s="1858"/>
      <c r="O353" s="1134"/>
      <c r="Q353" s="1133"/>
    </row>
    <row r="354" spans="2:17" ht="18" x14ac:dyDescent="0.3">
      <c r="B354" s="126"/>
      <c r="C354" s="581" t="str">
        <f>Tau.OFF_Max</f>
        <v>N/A</v>
      </c>
      <c r="D354" s="561" t="str">
        <f>Tau.OFF_Reduced</f>
        <v>N/A</v>
      </c>
      <c r="E354" s="558" t="s">
        <v>36</v>
      </c>
      <c r="F354" s="558" t="s">
        <v>612</v>
      </c>
      <c r="G354" s="1857" t="s">
        <v>435</v>
      </c>
      <c r="H354" s="1857"/>
      <c r="I354" s="1857"/>
      <c r="J354" s="1857"/>
      <c r="K354" s="1858"/>
      <c r="O354" s="1134"/>
      <c r="Q354" s="1133"/>
    </row>
    <row r="355" spans="2:17" ht="18" x14ac:dyDescent="0.3">
      <c r="B355" s="126"/>
      <c r="C355" s="581" t="str">
        <f>R.OFF_Max</f>
        <v>N/A</v>
      </c>
      <c r="D355" s="561" t="str">
        <f>R.OFF_Reduced</f>
        <v>N/A</v>
      </c>
      <c r="E355" s="558" t="s">
        <v>175</v>
      </c>
      <c r="F355" s="558" t="s">
        <v>629</v>
      </c>
      <c r="G355" s="1857" t="s">
        <v>444</v>
      </c>
      <c r="H355" s="1857"/>
      <c r="I355" s="1857"/>
      <c r="J355" s="1857"/>
      <c r="K355" s="1858"/>
      <c r="O355" s="1134"/>
      <c r="Q355" s="1133"/>
    </row>
    <row r="356" spans="2:17" ht="18" x14ac:dyDescent="0.3">
      <c r="B356" s="126"/>
      <c r="C356" s="579" t="str">
        <f>IF(C351="Yes",(C353-C352)/C354,"N/A")</f>
        <v>N/A</v>
      </c>
      <c r="D356" s="579" t="str">
        <f>IF(D351="Yes",(D353-D352)/D354,"N/A")</f>
        <v>N/A</v>
      </c>
      <c r="E356" s="558" t="s">
        <v>175</v>
      </c>
      <c r="F356" s="558" t="s">
        <v>666</v>
      </c>
      <c r="G356" s="1857" t="s">
        <v>532</v>
      </c>
      <c r="H356" s="1857"/>
      <c r="I356" s="1857"/>
      <c r="J356" s="1857"/>
      <c r="K356" s="1858"/>
      <c r="O356" s="1134"/>
      <c r="Q356" s="1133"/>
    </row>
    <row r="357" spans="2:17" ht="18" x14ac:dyDescent="0.3">
      <c r="B357" s="577"/>
      <c r="C357" s="581" t="str">
        <f>Psi.FO_Max</f>
        <v>N/A</v>
      </c>
      <c r="D357" s="561" t="str">
        <f>Psi.FO_Reduced</f>
        <v>N/A</v>
      </c>
      <c r="E357" s="558" t="s">
        <v>51</v>
      </c>
      <c r="F357" s="558" t="s">
        <v>634</v>
      </c>
      <c r="G357" s="1859" t="s">
        <v>449</v>
      </c>
      <c r="H357" s="1859"/>
      <c r="I357" s="1859"/>
      <c r="J357" s="1859"/>
      <c r="K357" s="1860"/>
      <c r="O357" s="1134"/>
      <c r="Q357" s="1133"/>
    </row>
    <row r="358" spans="2:17" ht="18" x14ac:dyDescent="0.3">
      <c r="B358" s="577"/>
      <c r="C358" s="581" t="str">
        <f>Psi.SO_Max</f>
        <v>N/A</v>
      </c>
      <c r="D358" s="561" t="str">
        <f>Psi.SO_Reduced</f>
        <v>N/A</v>
      </c>
      <c r="E358" s="558" t="s">
        <v>51</v>
      </c>
      <c r="F358" s="558" t="s">
        <v>636</v>
      </c>
      <c r="G358" s="1859" t="s">
        <v>450</v>
      </c>
      <c r="H358" s="1859"/>
      <c r="I358" s="1859"/>
      <c r="J358" s="1859"/>
      <c r="K358" s="1860"/>
      <c r="O358" s="1134"/>
      <c r="Q358" s="1133"/>
    </row>
    <row r="359" spans="2:17" x14ac:dyDescent="0.3">
      <c r="B359" s="126"/>
      <c r="C359" s="583">
        <f>COUNT(C381:C1381)-1</f>
        <v>1000</v>
      </c>
      <c r="D359" s="578">
        <f>COUNT(C381:C1381)-1</f>
        <v>1000</v>
      </c>
      <c r="E359" s="558" t="s">
        <v>175</v>
      </c>
      <c r="F359" s="558" t="s">
        <v>175</v>
      </c>
      <c r="G359" s="1857" t="s">
        <v>531</v>
      </c>
      <c r="H359" s="1857"/>
      <c r="I359" s="1857"/>
      <c r="J359" s="1857"/>
      <c r="K359" s="1858"/>
      <c r="O359" s="1134"/>
      <c r="Q359" s="1133"/>
    </row>
    <row r="360" spans="2:17" ht="17.25" thickBot="1" x14ac:dyDescent="0.35">
      <c r="B360" s="126"/>
      <c r="C360" s="613" t="e">
        <f>(C355-0)/C359</f>
        <v>#VALUE!</v>
      </c>
      <c r="D360" s="593" t="e">
        <f>(D355-0)/D359</f>
        <v>#VALUE!</v>
      </c>
      <c r="E360" s="605" t="s">
        <v>175</v>
      </c>
      <c r="F360" s="605" t="s">
        <v>667</v>
      </c>
      <c r="G360" s="1861" t="s">
        <v>525</v>
      </c>
      <c r="H360" s="1861"/>
      <c r="I360" s="1861"/>
      <c r="J360" s="1861"/>
      <c r="K360" s="1862"/>
      <c r="O360" s="1134"/>
      <c r="Q360" s="1133"/>
    </row>
    <row r="361" spans="2:17" ht="17.25" thickBot="1" x14ac:dyDescent="0.35">
      <c r="B361" s="577"/>
      <c r="C361" s="584"/>
      <c r="D361" s="585"/>
      <c r="E361" s="585"/>
      <c r="F361" s="585"/>
      <c r="G361" s="585"/>
      <c r="H361" s="585"/>
      <c r="I361" s="585"/>
      <c r="J361" s="135"/>
      <c r="K361" s="542"/>
      <c r="O361" s="1134"/>
      <c r="Q361" s="1133"/>
    </row>
    <row r="362" spans="2:17" ht="17.25" x14ac:dyDescent="0.3">
      <c r="B362" s="577"/>
      <c r="C362" s="614" t="s">
        <v>488</v>
      </c>
      <c r="D362" s="615"/>
      <c r="E362" s="615"/>
      <c r="F362" s="615"/>
      <c r="G362" s="615"/>
      <c r="H362" s="616"/>
      <c r="I362" s="585"/>
      <c r="J362" s="135"/>
      <c r="K362" s="542"/>
      <c r="O362" s="1134"/>
      <c r="Q362" s="1133"/>
    </row>
    <row r="363" spans="2:17" ht="18.75" x14ac:dyDescent="0.35">
      <c r="B363" s="577"/>
      <c r="C363" s="586" t="s">
        <v>668</v>
      </c>
      <c r="D363" s="545" t="s">
        <v>669</v>
      </c>
      <c r="E363" s="587" t="s">
        <v>534</v>
      </c>
      <c r="F363" s="1192" t="str">
        <f>"f(" &amp; C359 &amp; ")"</f>
        <v>f(1000)</v>
      </c>
      <c r="G363" s="1868" t="s">
        <v>535</v>
      </c>
      <c r="H363" s="1869"/>
      <c r="I363" s="585"/>
      <c r="J363" s="135"/>
      <c r="K363" s="542"/>
      <c r="O363" s="1134"/>
      <c r="Q363" s="1133"/>
    </row>
    <row r="364" spans="2:17" x14ac:dyDescent="0.3">
      <c r="B364" s="577"/>
      <c r="C364" s="582">
        <f>IF($C$350&gt;4,0,IF($C$350=1,$C$355,IF($C$351="Yes",$C$356,$C$355)))</f>
        <v>0</v>
      </c>
      <c r="D364" s="579">
        <f>IF($C$350&gt;4,0,$C$357)</f>
        <v>0</v>
      </c>
      <c r="E364" s="588" t="e">
        <f>(($D364*EXP(-$D$381))^1.56)/(($D364*EXP(-$D$381)+530)^1.19)</f>
        <v>#VALUE!</v>
      </c>
      <c r="F364" s="588" t="e">
        <f>(($D364*EXP(-$D$1381))^1.56)/(($D364*EXP(-$D$1381)+530)^1.19)</f>
        <v>#VALUE!</v>
      </c>
      <c r="G364" s="589">
        <f>IF($C$350&lt;=4,
$C$360/3*
(4*SUMPRODUCT(((($D364*EXP(-$D$381:$D$1381))^1.56)/(($D364*EXP(-$D$381:$D$1381)+530)^1.19))*(MOD($C$381:$C$1381,2)=1))+
2*SUMPRODUCT(((($D364*EXP(-$D$381:$D$1381))^1.56)/(($D364*EXP(-$D$381:$D$1381)+530)^1.19))*(MOD($C$381:$C$1381,2)=0))
-$F364-$E364)/$C364,0)</f>
        <v>0</v>
      </c>
      <c r="H364" s="617" t="s">
        <v>454</v>
      </c>
      <c r="I364" s="585"/>
      <c r="J364" s="135"/>
      <c r="K364" s="542"/>
      <c r="O364" s="1134"/>
      <c r="Q364" s="1133"/>
    </row>
    <row r="365" spans="2:17" x14ac:dyDescent="0.3">
      <c r="B365" s="577"/>
      <c r="C365" s="582">
        <f>C364</f>
        <v>0</v>
      </c>
      <c r="D365" s="579">
        <f>D364</f>
        <v>0</v>
      </c>
      <c r="E365" s="588" t="e">
        <f>(($D365*EXP(-$D$381)+100)^1.56)/(($D365*EXP(-$D$381)+630)^1.19)-(($D365*EXP(-$D$381))^1.56)/(($D365*EXP(-$D$381)+530)^1.19)</f>
        <v>#VALUE!</v>
      </c>
      <c r="F365" s="588" t="e">
        <f>(($D365*EXP(-$D$1381)+100)^1.56)/(($D365*EXP(-$D$1381)+630)^1.19)-(($D365*EXP(-$D$1381))^1.56)/(($D365*EXP(-$D$1381)+530)^1.19)</f>
        <v>#VALUE!</v>
      </c>
      <c r="G365" s="589">
        <f>IF($C$350&lt;=4,
$C$360/3*
(4*SUMPRODUCT(((($D365*EXP(-$D$381:$D$1381)+100)^1.56)/(($D365*EXP(-$D$381:$D$1381)+630)^1.19)-(($D365*EXP(-$D$381:$D$1381))^1.56)/(($D365*EXP(-$D$381:$D$1381)+530)^1.19))*(MOD($C$381:$C$1381,2)=1))+
2*SUMPRODUCT(((($D365*EXP(-$D$381:$D$1381)+100)^1.56)/(($D365*EXP(-$D$381:$D$1381)+630)^1.19)-(($D365*EXP(-$D$381:$D$1381))^1.56)/(($D365*EXP(-$D$381:$D$1381)+530)^1.19))*(MOD($C$381:$C$1381,2)=0))-
$F365-$E365)/(100*$C365),0)</f>
        <v>0</v>
      </c>
      <c r="H365" s="617" t="s">
        <v>455</v>
      </c>
      <c r="I365" s="585"/>
      <c r="J365" s="135"/>
      <c r="K365" s="542"/>
      <c r="O365" s="1134"/>
      <c r="Q365" s="1133"/>
    </row>
    <row r="366" spans="2:17" x14ac:dyDescent="0.3">
      <c r="B366" s="577"/>
      <c r="C366" s="582" t="str">
        <f>IF($C$350&lt;=4,0,IF(AND($C$350=10,$C$351="Yes"),$C$356,$C$355))</f>
        <v>N/A</v>
      </c>
      <c r="D366" s="579" t="str">
        <f>IF($C$350&lt;=4,0,IF($C$350&lt;=8,$C$358,$C$357))</f>
        <v>N/A</v>
      </c>
      <c r="E366" s="588" t="e">
        <f>((($D366*EXP(-$D$381)+28)^0.56)*($D366*EXP(-$D$381)))/
(($D366*EXP(-$D$381)+530)^1.19)</f>
        <v>#VALUE!</v>
      </c>
      <c r="F366" s="588" t="e">
        <f>((($D366*EXP(-$D$1381)+28)^0.56)*($D366*EXP(-$D$1381)))/
(($D366*EXP(-$D$1381)+530)^1.19)</f>
        <v>#VALUE!</v>
      </c>
      <c r="G366" s="589" t="e">
        <f>IF($C$350&gt;4,
$C$360/3*
(4*SUMPRODUCT((((($D366*EXP(-$D$381:$D$1381)+28)^0.56)*($D366*EXP(-$D$381:$D$1381)))/(($D366*EXP(-$D$381:$D$1381)+530)^1.19))*(MOD($C$381:$C$1381,2)=1))+
2*SUMPRODUCT((((($D366*EXP(-$D$381:$D$1381)+28)^0.56)*($D366*EXP(-$D$381:$D$1381)))/(($D366*EXP(-$D$381:$D$1381)+530)^1.19))*(MOD($C$381:$C$1381,2)=0))-
$E366-$F366)/($C366),0)</f>
        <v>#VALUE!</v>
      </c>
      <c r="H366" s="617" t="s">
        <v>456</v>
      </c>
      <c r="I366" s="585"/>
      <c r="J366" s="135"/>
      <c r="K366" s="542"/>
      <c r="O366" s="1134"/>
      <c r="Q366" s="1133"/>
    </row>
    <row r="367" spans="2:17" x14ac:dyDescent="0.3">
      <c r="B367" s="577"/>
      <c r="C367" s="582" t="str">
        <f>C366</f>
        <v>N/A</v>
      </c>
      <c r="D367" s="579" t="str">
        <f>D366</f>
        <v>N/A</v>
      </c>
      <c r="E367" s="588" t="e">
        <f>((($D367*EXP(-$D$381)+128)^0.56)*($D367*EXP(-$D$381)+100))/(($D367*EXP(-$D$381)+630)^1.19)-((($D367*EXP(-$D$381)+28)^0.56)*($D367*EXP(-$D$381)))/(($D367*EXP(-$D$381)+530)^1.19)</f>
        <v>#VALUE!</v>
      </c>
      <c r="F367" s="588" t="e">
        <f>((($D367*EXP(-$D$1381)+128)^0.56)*($D367*EXP(-$D$1381)+100))/(($D367*EXP(-$D$1381)+630)^1.19)-((($D367*EXP(-$D$1381)+28)^0.56)*($D367*EXP(-$D$1381)))/(($D367*EXP(-$D$1381)+530)^1.19)</f>
        <v>#VALUE!</v>
      </c>
      <c r="G367" s="589" t="e">
        <f>IF($C$350&gt;4,
$C$360/3*
(4*SUMPRODUCT((((($D367*EXP(-$D$381:$D$1381)+128)^0.56)*($D367*EXP(-$D$381:$D$1381)+100))/(($D367*EXP(-$D$381:$D$1381)+630)^1.19)-((($D367*EXP(-$D$381:$D$1381)+28)^0.56)*($D367*EXP(-$D$381:$D$1381)))/(($D367*EXP(-$D$381:$D$1381)+530)^1.19))*(MOD($C$381:$C$1381,2)=1))+
2*SUMPRODUCT((((($D367*EXP(-$D$381:$D$1381)+128)^0.56)*($D367*EXP(-$D$381:$D$1381)+100))/(($D367*EXP(-$D$381:$D$1381)+630)^1.19)-((($D367*EXP(-$D$381:$D$1381)+28)^0.56)*($D367*EXP(-$D$381:$D$1381)))/(($D367*EXP(-$D$381:$D$1381)+530)^1.19))*(MOD($C$381:$C$1381,2)=0))-
$F367-$E367)/(100*$C367),0)</f>
        <v>#VALUE!</v>
      </c>
      <c r="H367" s="617" t="s">
        <v>457</v>
      </c>
      <c r="I367" s="585"/>
      <c r="J367" s="135"/>
      <c r="K367" s="542"/>
      <c r="O367" s="1134"/>
      <c r="Q367" s="1133"/>
    </row>
    <row r="368" spans="2:17" x14ac:dyDescent="0.3">
      <c r="B368" s="577"/>
      <c r="C368" s="582">
        <f>IF($C$350&gt;=9,0,IF(AND($C$350&gt;=2,$C$350&lt;=4,$C$351="Yes"),$C$356,$C$355))</f>
        <v>0</v>
      </c>
      <c r="D368" s="579">
        <f>IF($C$350&gt;=9,0,IF($C$350=3,$C$357,$C$358))</f>
        <v>0</v>
      </c>
      <c r="E368" s="588" t="e">
        <f>(($D368*EXP(-$D$381)+28)^0.56)/(($D368*EXP(-$D$381)+530)^1.19)</f>
        <v>#VALUE!</v>
      </c>
      <c r="F368" s="588" t="e">
        <f>(($D368*EXP(-$D$1381)+28)^0.56)/(($D368*EXP(-$D$1381)+530)^1.19)</f>
        <v>#VALUE!</v>
      </c>
      <c r="G368" s="589">
        <f>IF($C$350&gt;=9,0,
$C$360/3*
(4*SUMPRODUCT(((($D368*EXP(-$D$381:$D$1381)+28)^0.56)/(($D368*EXP(-$D$381:$D$1381)+530)^1.19))*(MOD($C$381:$C$1381,2)=1))+
2*SUMPRODUCT(((($D368*EXP(-$D$381:$D$1381)+28)^0.56)/(($D368*EXP(-$D$381:$D$1381)+530)^1.19))*(MOD($C$381:$C$1381,2)=0))-
$F368-$E368)/($C368))</f>
        <v>0</v>
      </c>
      <c r="H368" s="617" t="s">
        <v>458</v>
      </c>
      <c r="I368" s="585"/>
      <c r="J368" s="135"/>
      <c r="K368" s="542"/>
      <c r="O368" s="1134"/>
      <c r="Q368" s="1133"/>
    </row>
    <row r="369" spans="2:17" ht="17.25" thickBot="1" x14ac:dyDescent="0.35">
      <c r="B369" s="577"/>
      <c r="C369" s="618">
        <f>C368</f>
        <v>0</v>
      </c>
      <c r="D369" s="619">
        <f>D368</f>
        <v>0</v>
      </c>
      <c r="E369" s="620" t="e">
        <f>(($D369*EXP(-$D$381)+128)^0.56)/(($D369*EXP(-$D$381)+630)^1.19)-(($D369*EXP(-$D$381)+28)^0.56)/(($D369*EXP(-$D$381)+530)^1.19)</f>
        <v>#VALUE!</v>
      </c>
      <c r="F369" s="620" t="e">
        <f>(($D369*EXP(-$D$1381)+128)^0.56)/(($D369*EXP(-$D$1381)+630)^1.19)-(($D369*EXP(-$D$1381)+28)^0.56)/(($D369*EXP(-$D$1381)+530)^1.19)</f>
        <v>#VALUE!</v>
      </c>
      <c r="G369" s="621">
        <f>IF($C$350&gt;=9,0,
$C$360/3*
(4*SUMPRODUCT(((($D369*EXP(-$D$381:$D$1381)+128)^0.56)/(($D369*EXP(-$D$381:$D$1381)+630)^1.19)-(($D369*EXP(-$D$381:$D$1381)+28)^0.56)/(($D369*EXP(-$D$381:$D$1381)+530)^1.19))*(MOD($C$381:$C$1381,2)=1))+
2*SUMPRODUCT(((($D369*EXP(-$D$381:$D$1381)+128)^0.56)/(($D369*EXP(-$D$381:$D$1381)+630)^1.19)-(($D369*EXP(-$D$381:$D$1381)+28)^0.56)/(($D369*EXP(-$D$381:$D$1381)+530)^1.19))*(MOD($C$381:$C$1381,2)=0))-
$F369-$E369)/(100*$C369))</f>
        <v>0</v>
      </c>
      <c r="H369" s="622" t="s">
        <v>460</v>
      </c>
      <c r="I369" s="585"/>
      <c r="J369" s="135"/>
      <c r="K369" s="542"/>
      <c r="O369" s="1134"/>
      <c r="Q369" s="1133"/>
    </row>
    <row r="370" spans="2:17" ht="17.25" thickBot="1" x14ac:dyDescent="0.35">
      <c r="B370" s="577"/>
      <c r="C370" s="584"/>
      <c r="D370" s="585"/>
      <c r="E370" s="585"/>
      <c r="F370" s="585"/>
      <c r="G370" s="585"/>
      <c r="H370" s="585"/>
      <c r="I370" s="585"/>
      <c r="J370" s="135"/>
      <c r="K370" s="542"/>
      <c r="O370" s="1134"/>
      <c r="Q370" s="1133"/>
    </row>
    <row r="371" spans="2:17" ht="17.25" x14ac:dyDescent="0.3">
      <c r="B371" s="577"/>
      <c r="C371" s="614" t="s">
        <v>489</v>
      </c>
      <c r="D371" s="615"/>
      <c r="E371" s="615"/>
      <c r="F371" s="615"/>
      <c r="G371" s="615"/>
      <c r="H371" s="616"/>
      <c r="I371" s="585"/>
      <c r="J371" s="135"/>
      <c r="K371" s="542"/>
      <c r="O371" s="1134"/>
      <c r="Q371" s="1133"/>
    </row>
    <row r="372" spans="2:17" ht="18.75" x14ac:dyDescent="0.35">
      <c r="B372" s="577"/>
      <c r="C372" s="586" t="s">
        <v>668</v>
      </c>
      <c r="D372" s="545" t="s">
        <v>669</v>
      </c>
      <c r="E372" s="587" t="s">
        <v>534</v>
      </c>
      <c r="F372" s="1192" t="str">
        <f>"f(" &amp; D359 &amp; ")"</f>
        <v>f(1000)</v>
      </c>
      <c r="G372" s="1868" t="s">
        <v>535</v>
      </c>
      <c r="H372" s="1869"/>
      <c r="I372" s="585"/>
      <c r="J372" s="135"/>
      <c r="K372" s="542"/>
      <c r="O372" s="1134"/>
      <c r="Q372" s="1133"/>
    </row>
    <row r="373" spans="2:17" x14ac:dyDescent="0.3">
      <c r="B373" s="577"/>
      <c r="C373" s="582">
        <f>IF($D$350&gt;4,0,IF($D$350=1,$D$355,IF($D$351="Yes",$D$356,$D$355)))</f>
        <v>0</v>
      </c>
      <c r="D373" s="579">
        <f>IF($D$350&gt;4,0,$D$357)</f>
        <v>0</v>
      </c>
      <c r="E373" s="588" t="e">
        <f>(($D373*EXP(-$D$381))^1.56)/(($D373*EXP(-$D$381)+530)^1.19)</f>
        <v>#VALUE!</v>
      </c>
      <c r="F373" s="588" t="e">
        <f>(($D373*EXP(-$D$1381))^1.56)/(($D373*EXP(-$D$1381)+530)^1.19)</f>
        <v>#VALUE!</v>
      </c>
      <c r="G373" s="589">
        <f>IF($D$350&lt;=4,
$D$360/3*
(4*SUMPRODUCT(((($D373*EXP(-$D$381:$D$1381))^1.56)/(($D373*EXP(-$D$381:$D$1381)+530)^1.19))*(MOD($C$381:$C$1381,2)=1))+
2*SUMPRODUCT(((($D373*EXP(-$D$381:$D$1381))^1.56)/(($D373*EXP(-$D$381:$D$1381)+530)^1.19))*(MOD($C$381:$C$1381,2)=0))
-$F373-$E373)/$C373,0)</f>
        <v>0</v>
      </c>
      <c r="H373" s="617" t="s">
        <v>454</v>
      </c>
      <c r="I373" s="585"/>
      <c r="J373" s="135"/>
      <c r="K373" s="542"/>
      <c r="O373" s="1134"/>
      <c r="Q373" s="1133"/>
    </row>
    <row r="374" spans="2:17" x14ac:dyDescent="0.3">
      <c r="B374" s="577"/>
      <c r="C374" s="582">
        <f>C373</f>
        <v>0</v>
      </c>
      <c r="D374" s="579">
        <f>D373</f>
        <v>0</v>
      </c>
      <c r="E374" s="588" t="e">
        <f>(($D374*EXP(-$D$381)+100)^1.56)/(($D374*EXP(-$D$381)+630)^1.19)-(($D374*EXP(-$D$381))^1.56)/(($D374*EXP(-$D$381)+530)^1.19)</f>
        <v>#VALUE!</v>
      </c>
      <c r="F374" s="588" t="e">
        <f>(($D374*EXP(-$D$1381)+100)^1.56)/(($D374*EXP(-$D$1381)+630)^1.19)-(($D374*EXP(-$D$1381))^1.56)/(($D374*EXP(-$D$1381)+530)^1.19)</f>
        <v>#VALUE!</v>
      </c>
      <c r="G374" s="589">
        <f>IF($D$350&lt;=4,
$D$360/3*
(4*SUMPRODUCT(((($D374*EXP(-$D$381:$D$1381)+100)^1.56)/(($D374*EXP(-$D$381:$D$1381)+630)^1.19)-(($D374*EXP(-$D$381:$D$1381))^1.56)/(($D374*EXP(-$D$381:$D$1381)+530)^1.19))*(MOD($C$381:$C$1381,2)=1))+
2*SUMPRODUCT(((($D374*EXP(-$D$381:$D$1381)+100)^1.56)/(($D374*EXP(-$D$381:$D$1381)+630)^1.19)-(($D374*EXP(-$D$381:$D$1381))^1.56)/(($D374*EXP(-$D$381:$D$1381)+530)^1.19))*(MOD($C$381:$C$1381,2)=0))-
$F374-$E374)/(100*$C374),0)</f>
        <v>0</v>
      </c>
      <c r="H374" s="617" t="s">
        <v>455</v>
      </c>
      <c r="I374" s="585"/>
      <c r="J374" s="135"/>
      <c r="K374" s="542"/>
      <c r="O374" s="1134"/>
      <c r="Q374" s="1133"/>
    </row>
    <row r="375" spans="2:17" x14ac:dyDescent="0.3">
      <c r="B375" s="577"/>
      <c r="C375" s="582" t="str">
        <f>IF($D$350&lt;=4,0,IF(AND($D$350=10,$D$351="Yes"),$D$356,$D$355))</f>
        <v>N/A</v>
      </c>
      <c r="D375" s="579" t="str">
        <f>IF($D$350&lt;=4,0,IF($D$350&lt;=8,$D$358,$D$357))</f>
        <v>N/A</v>
      </c>
      <c r="E375" s="588" t="e">
        <f>((($D375*EXP(-$D$381)+28)^0.56)*($D375*EXP(-$D$381)))/
(($D375*EXP(-$D$381)+530)^1.19)</f>
        <v>#VALUE!</v>
      </c>
      <c r="F375" s="588" t="e">
        <f>((($D375*EXP(-$D$1381)+28)^0.56)*($D375*EXP(-$D$1381)))/
(($D375*EXP(-$D$1381)+530)^1.19)</f>
        <v>#VALUE!</v>
      </c>
      <c r="G375" s="589" t="e">
        <f>IF($D$350&gt;4,
$D$360/3*
(4*SUMPRODUCT((((($D375*EXP(-$D$381:$D$1381)+28)^0.56)*($D375*EXP(-$D$381:$D$1381)))/(($D375*EXP(-$D$381:$D$1381)+530)^1.19))*(MOD($C$381:$C$1381,2)=1))+
2*SUMPRODUCT((((($D375*EXP(-$D$381:$D$1381)+28)^0.56)*($D375*EXP(-$D$381:$D$1381)))/(($D375*EXP(-$D$381:$D$1381)+530)^1.19))*(MOD($C$381:$C$1381,2)=0))-
$E375-$F375)/($C375),0)</f>
        <v>#VALUE!</v>
      </c>
      <c r="H375" s="617" t="s">
        <v>456</v>
      </c>
      <c r="I375" s="585"/>
      <c r="J375" s="135"/>
      <c r="K375" s="542"/>
      <c r="O375" s="1134"/>
      <c r="Q375" s="1133"/>
    </row>
    <row r="376" spans="2:17" x14ac:dyDescent="0.3">
      <c r="B376" s="577"/>
      <c r="C376" s="582" t="str">
        <f>C375</f>
        <v>N/A</v>
      </c>
      <c r="D376" s="579" t="str">
        <f>D375</f>
        <v>N/A</v>
      </c>
      <c r="E376" s="588" t="e">
        <f>((($D376*EXP(-$D$381)+128)^0.56)*($D376*EXP(-$D$381)+100))/(($D376*EXP(-$D$381)+630)^1.19)-((($D376*EXP(-$D$381)+28)^0.56)*($D376*EXP(-$D$381)))/(($D376*EXP(-$D$381)+530)^1.19)</f>
        <v>#VALUE!</v>
      </c>
      <c r="F376" s="588" t="e">
        <f>((($D376*EXP(-$D$1381)+128)^0.56)*($D376*EXP(-$D$1381)+100))/(($D376*EXP(-$D$1381)+630)^1.19)-((($D376*EXP(-$D$1381)+28)^0.56)*($D376*EXP(-$D$1381)))/(($D376*EXP(-$D$1381)+530)^1.19)</f>
        <v>#VALUE!</v>
      </c>
      <c r="G376" s="589" t="e">
        <f>IF($D$350&gt;4,
$D$360/3*
(4*SUMPRODUCT((((($D376*EXP(-$D$381:$D$1381)+128)^0.56)*($D376*EXP(-$D$381:$D$1381)+100))/(($D376*EXP(-$D$381:$D$1381)+630)^1.19)-((($D376*EXP(-$D$381:$D$1381)+28)^0.56)*($D376*EXP(-$D$381:$D$1381)))/(($D376*EXP(-$D$381:$D$1381)+530)^1.19))*(MOD($C$381:$C$1381,2)=1))+
2*SUMPRODUCT((((($D376*EXP(-$D$381:$D$1381)+128)^0.56)*($D376*EXP(-$D$381:$D$1381)+100))/(($D376*EXP(-$D$381:$D$1381)+630)^1.19)-((($D376*EXP(-$D$381:$D$1381)+28)^0.56)*($D376*EXP(-$D$381:$D$1381)))/(($D376*EXP(-$D$381:$D$1381)+530)^1.19))*(MOD($C$381:$C$1381,2)=0))-
$F376-$E376)/(100*$C376),0)</f>
        <v>#VALUE!</v>
      </c>
      <c r="H376" s="617" t="s">
        <v>457</v>
      </c>
      <c r="I376" s="585"/>
      <c r="J376" s="135"/>
      <c r="K376" s="542"/>
      <c r="O376" s="1134"/>
      <c r="Q376" s="1133"/>
    </row>
    <row r="377" spans="2:17" x14ac:dyDescent="0.3">
      <c r="B377" s="577"/>
      <c r="C377" s="582">
        <f>IF($D$350&gt;=9,0,IF(AND($D$350&gt;=2,$D$350&lt;=4,$D$351="Yes"),$D$356,$D$355))</f>
        <v>0</v>
      </c>
      <c r="D377" s="579">
        <f>IF($D$350&gt;=9,0,IF($D$350=3,$D$357,$D$358))</f>
        <v>0</v>
      </c>
      <c r="E377" s="588" t="e">
        <f>(($D377*EXP(-$D$381)+28)^0.56)/(($D377*EXP(-$D$381)+530)^1.19)</f>
        <v>#VALUE!</v>
      </c>
      <c r="F377" s="588" t="e">
        <f>(($D377*EXP(-$D$1381)+28)^0.56)/(($D377*EXP(-$D$1381)+530)^1.19)</f>
        <v>#VALUE!</v>
      </c>
      <c r="G377" s="589">
        <f>IF($D$350&gt;=9,0,
$D$360/3*
(4*SUMPRODUCT(((($D377*EXP(-$D$381:$D$1381)+28)^0.56)/(($D377*EXP(-$D$381:$D$1381)+530)^1.19))*(MOD($C$381:$C$1381,2)=1))+
2*SUMPRODUCT(((($D377*EXP(-$D$381:$D$1381)+28)^0.56)/(($D377*EXP(-$D$381:$D$1381)+530)^1.19))*(MOD($C$381:$C$1381,2)=0))-
$F377-$E377)/($C377))</f>
        <v>0</v>
      </c>
      <c r="H377" s="617" t="s">
        <v>458</v>
      </c>
      <c r="I377" s="585"/>
      <c r="J377" s="135"/>
      <c r="K377" s="542"/>
      <c r="O377" s="1134"/>
      <c r="Q377" s="1133"/>
    </row>
    <row r="378" spans="2:17" ht="17.25" thickBot="1" x14ac:dyDescent="0.35">
      <c r="B378" s="577"/>
      <c r="C378" s="618">
        <f>C377</f>
        <v>0</v>
      </c>
      <c r="D378" s="619">
        <f>D377</f>
        <v>0</v>
      </c>
      <c r="E378" s="620" t="e">
        <f>(($D378*EXP(-$D$381)+128)^0.56)/(($D378*EXP(-$D$381)+630)^1.19)-(($D378*EXP(-$D$381)+28)^0.56)/(($D378*EXP(-$D$381)+530)^1.19)</f>
        <v>#VALUE!</v>
      </c>
      <c r="F378" s="620" t="e">
        <f>(($D378*EXP(-$D$1381)+128)^0.56)/(($D378*EXP(-$D$1381)+630)^1.19)-(($D378*EXP(-$D$1381)+28)^0.56)/(($D378*EXP(-$D$1381)+530)^1.19)</f>
        <v>#VALUE!</v>
      </c>
      <c r="G378" s="621">
        <f>IF($D$350&gt;=9,0,
$D$360/3*
(4*SUMPRODUCT(((($D378*EXP(-$D$381:$D$1381)+128)^0.56)/(($D378*EXP(-$D$381:$D$1381)+630)^1.19)-(($D378*EXP(-$D$381:$D$1381)+28)^0.56)/(($D378*EXP(-$D$381:$D$1381)+530)^1.19))*(MOD($C$381:$C$1381,2)=1))+
2*SUMPRODUCT(((($D378*EXP(-$D$381:$D$1381)+128)^0.56)/(($D378*EXP(-$D$381:$D$1381)+630)^1.19)-(($D378*EXP(-$D$381:$D$1381)+28)^0.56)/(($D378*EXP(-$D$381:$D$1381)+530)^1.19))*(MOD($C$381:$C$1381,2)=0))-
$F378-$E378)/(100*$C378))</f>
        <v>0</v>
      </c>
      <c r="H378" s="622" t="s">
        <v>460</v>
      </c>
      <c r="I378" s="585"/>
      <c r="J378" s="135"/>
      <c r="K378" s="542"/>
      <c r="O378" s="1134"/>
      <c r="Q378" s="1133"/>
    </row>
    <row r="379" spans="2:17" ht="17.25" thickBot="1" x14ac:dyDescent="0.35">
      <c r="B379" s="577"/>
      <c r="C379" s="584"/>
      <c r="D379" s="585"/>
      <c r="E379" s="585"/>
      <c r="F379" s="585"/>
      <c r="G379" s="585"/>
      <c r="H379" s="585"/>
      <c r="I379" s="585"/>
      <c r="J379" s="135"/>
      <c r="K379" s="542"/>
      <c r="O379" s="1134"/>
      <c r="Q379" s="1133"/>
    </row>
    <row r="380" spans="2:17" ht="18" x14ac:dyDescent="0.3">
      <c r="B380" s="577"/>
      <c r="C380" s="623" t="s">
        <v>525</v>
      </c>
      <c r="D380" s="624" t="s">
        <v>670</v>
      </c>
      <c r="E380" s="585"/>
      <c r="F380" s="585"/>
      <c r="G380" s="585"/>
      <c r="H380" s="585"/>
      <c r="I380" s="585"/>
      <c r="J380" s="135"/>
      <c r="K380" s="542"/>
      <c r="O380" s="1134"/>
      <c r="Q380" s="1133"/>
    </row>
    <row r="381" spans="2:17" x14ac:dyDescent="0.3">
      <c r="B381" s="577"/>
      <c r="C381" s="583">
        <v>0</v>
      </c>
      <c r="D381" s="625" t="e">
        <f t="shared" ref="D381:D444" si="26">$C$360*C381</f>
        <v>#VALUE!</v>
      </c>
      <c r="E381" s="585"/>
      <c r="F381" s="585"/>
      <c r="G381" s="585"/>
      <c r="H381" s="585"/>
      <c r="I381" s="585"/>
      <c r="J381" s="135"/>
      <c r="K381" s="542"/>
      <c r="O381" s="1134"/>
      <c r="Q381" s="1133"/>
    </row>
    <row r="382" spans="2:17" x14ac:dyDescent="0.3">
      <c r="B382" s="577"/>
      <c r="C382" s="583">
        <v>1</v>
      </c>
      <c r="D382" s="625" t="e">
        <f t="shared" si="26"/>
        <v>#VALUE!</v>
      </c>
      <c r="E382" s="585"/>
      <c r="F382" s="585"/>
      <c r="G382" s="585"/>
      <c r="H382" s="585"/>
      <c r="I382" s="585"/>
      <c r="J382" s="135"/>
      <c r="K382" s="542"/>
      <c r="O382" s="1134"/>
      <c r="Q382" s="1133"/>
    </row>
    <row r="383" spans="2:17" x14ac:dyDescent="0.3">
      <c r="B383" s="577"/>
      <c r="C383" s="583">
        <v>2</v>
      </c>
      <c r="D383" s="625" t="e">
        <f t="shared" si="26"/>
        <v>#VALUE!</v>
      </c>
      <c r="E383" s="585"/>
      <c r="F383" s="585"/>
      <c r="G383" s="585"/>
      <c r="H383" s="585"/>
      <c r="I383" s="585"/>
      <c r="J383" s="135"/>
      <c r="K383" s="542"/>
      <c r="O383" s="1134"/>
      <c r="Q383" s="1133"/>
    </row>
    <row r="384" spans="2:17" x14ac:dyDescent="0.3">
      <c r="B384" s="577"/>
      <c r="C384" s="583">
        <v>3</v>
      </c>
      <c r="D384" s="625" t="e">
        <f>$C$360*C384</f>
        <v>#VALUE!</v>
      </c>
      <c r="E384" s="585"/>
      <c r="F384" s="585"/>
      <c r="G384" s="585"/>
      <c r="H384" s="585"/>
      <c r="I384" s="585"/>
      <c r="J384" s="135"/>
      <c r="K384" s="542"/>
      <c r="O384" s="1134"/>
      <c r="Q384" s="1133"/>
    </row>
    <row r="385" spans="2:17" x14ac:dyDescent="0.3">
      <c r="B385" s="577"/>
      <c r="C385" s="583">
        <v>4</v>
      </c>
      <c r="D385" s="625" t="e">
        <f t="shared" si="26"/>
        <v>#VALUE!</v>
      </c>
      <c r="E385" s="585"/>
      <c r="F385" s="585"/>
      <c r="G385" s="585"/>
      <c r="H385" s="585"/>
      <c r="I385" s="585"/>
      <c r="J385" s="135"/>
      <c r="K385" s="542"/>
      <c r="O385" s="1134"/>
      <c r="Q385" s="1133"/>
    </row>
    <row r="386" spans="2:17" x14ac:dyDescent="0.3">
      <c r="B386" s="577"/>
      <c r="C386" s="583">
        <v>5</v>
      </c>
      <c r="D386" s="625" t="e">
        <f t="shared" si="26"/>
        <v>#VALUE!</v>
      </c>
      <c r="E386" s="585"/>
      <c r="F386" s="585"/>
      <c r="G386" s="585"/>
      <c r="H386" s="585"/>
      <c r="I386" s="585"/>
      <c r="J386" s="135"/>
      <c r="K386" s="542"/>
      <c r="O386" s="1134"/>
      <c r="Q386" s="1133"/>
    </row>
    <row r="387" spans="2:17" x14ac:dyDescent="0.3">
      <c r="B387" s="577"/>
      <c r="C387" s="583">
        <v>6</v>
      </c>
      <c r="D387" s="625" t="e">
        <f t="shared" si="26"/>
        <v>#VALUE!</v>
      </c>
      <c r="E387" s="585"/>
      <c r="F387" s="585"/>
      <c r="G387" s="585"/>
      <c r="H387" s="585"/>
      <c r="I387" s="585"/>
      <c r="J387" s="135"/>
      <c r="K387" s="542"/>
      <c r="O387" s="1134"/>
      <c r="Q387" s="1133"/>
    </row>
    <row r="388" spans="2:17" x14ac:dyDescent="0.3">
      <c r="B388" s="577"/>
      <c r="C388" s="583">
        <v>7</v>
      </c>
      <c r="D388" s="625" t="e">
        <f t="shared" si="26"/>
        <v>#VALUE!</v>
      </c>
      <c r="E388" s="585"/>
      <c r="F388" s="585"/>
      <c r="G388" s="585"/>
      <c r="H388" s="585"/>
      <c r="I388" s="585"/>
      <c r="J388" s="135"/>
      <c r="K388" s="542"/>
      <c r="O388" s="1134"/>
      <c r="Q388" s="1133"/>
    </row>
    <row r="389" spans="2:17" x14ac:dyDescent="0.3">
      <c r="B389" s="126"/>
      <c r="C389" s="583">
        <v>8</v>
      </c>
      <c r="D389" s="625" t="e">
        <f t="shared" si="26"/>
        <v>#VALUE!</v>
      </c>
      <c r="E389" s="590"/>
      <c r="F389" s="590"/>
      <c r="G389" s="590"/>
      <c r="H389" s="590"/>
      <c r="I389" s="590"/>
      <c r="J389" s="590"/>
      <c r="K389" s="542"/>
      <c r="O389" s="1134"/>
      <c r="Q389" s="1133"/>
    </row>
    <row r="390" spans="2:17" x14ac:dyDescent="0.3">
      <c r="B390" s="126"/>
      <c r="C390" s="583">
        <v>9</v>
      </c>
      <c r="D390" s="625" t="e">
        <f t="shared" si="26"/>
        <v>#VALUE!</v>
      </c>
      <c r="E390" s="591"/>
      <c r="F390" s="591"/>
      <c r="G390" s="591"/>
      <c r="H390" s="591"/>
      <c r="I390" s="591"/>
      <c r="J390" s="591"/>
      <c r="K390" s="542"/>
      <c r="O390" s="1134"/>
      <c r="Q390" s="1133"/>
    </row>
    <row r="391" spans="2:17" x14ac:dyDescent="0.3">
      <c r="B391" s="126"/>
      <c r="C391" s="583">
        <v>10</v>
      </c>
      <c r="D391" s="625" t="e">
        <f t="shared" si="26"/>
        <v>#VALUE!</v>
      </c>
      <c r="E391" s="591"/>
      <c r="F391" s="591"/>
      <c r="G391" s="591"/>
      <c r="H391" s="591"/>
      <c r="I391" s="591"/>
      <c r="J391" s="591"/>
      <c r="K391" s="542"/>
      <c r="O391" s="1134"/>
      <c r="Q391" s="1133"/>
    </row>
    <row r="392" spans="2:17" x14ac:dyDescent="0.3">
      <c r="B392" s="126"/>
      <c r="C392" s="583">
        <v>11</v>
      </c>
      <c r="D392" s="625" t="e">
        <f t="shared" si="26"/>
        <v>#VALUE!</v>
      </c>
      <c r="E392" s="591"/>
      <c r="F392" s="591"/>
      <c r="G392" s="591"/>
      <c r="H392" s="591"/>
      <c r="I392" s="591"/>
      <c r="J392" s="591"/>
      <c r="K392" s="542"/>
      <c r="O392" s="1134"/>
      <c r="Q392" s="1133"/>
    </row>
    <row r="393" spans="2:17" x14ac:dyDescent="0.3">
      <c r="B393" s="126"/>
      <c r="C393" s="583">
        <v>12</v>
      </c>
      <c r="D393" s="625" t="e">
        <f t="shared" si="26"/>
        <v>#VALUE!</v>
      </c>
      <c r="E393" s="591"/>
      <c r="F393" s="591"/>
      <c r="G393" s="591"/>
      <c r="H393" s="591"/>
      <c r="I393" s="591"/>
      <c r="J393" s="591"/>
      <c r="K393" s="542"/>
      <c r="O393" s="1134"/>
      <c r="Q393" s="1133"/>
    </row>
    <row r="394" spans="2:17" x14ac:dyDescent="0.3">
      <c r="B394" s="126"/>
      <c r="C394" s="583">
        <v>13</v>
      </c>
      <c r="D394" s="625" t="e">
        <f t="shared" si="26"/>
        <v>#VALUE!</v>
      </c>
      <c r="E394" s="591"/>
      <c r="F394" s="591"/>
      <c r="G394" s="591"/>
      <c r="H394" s="591"/>
      <c r="I394" s="591"/>
      <c r="J394" s="591"/>
      <c r="K394" s="542"/>
      <c r="O394" s="1134"/>
      <c r="Q394" s="1133"/>
    </row>
    <row r="395" spans="2:17" x14ac:dyDescent="0.3">
      <c r="B395" s="126"/>
      <c r="C395" s="583">
        <v>14</v>
      </c>
      <c r="D395" s="625" t="e">
        <f t="shared" si="26"/>
        <v>#VALUE!</v>
      </c>
      <c r="E395" s="591"/>
      <c r="F395" s="591"/>
      <c r="G395" s="591"/>
      <c r="H395" s="591"/>
      <c r="I395" s="591"/>
      <c r="J395" s="591"/>
      <c r="K395" s="542"/>
      <c r="O395" s="1134"/>
      <c r="Q395" s="1133"/>
    </row>
    <row r="396" spans="2:17" x14ac:dyDescent="0.3">
      <c r="B396" s="126"/>
      <c r="C396" s="583">
        <v>15</v>
      </c>
      <c r="D396" s="625" t="e">
        <f t="shared" si="26"/>
        <v>#VALUE!</v>
      </c>
      <c r="E396" s="591"/>
      <c r="F396" s="591"/>
      <c r="G396" s="591"/>
      <c r="H396" s="591"/>
      <c r="I396" s="591"/>
      <c r="J396" s="591"/>
      <c r="K396" s="542"/>
      <c r="O396" s="1134"/>
      <c r="Q396" s="1133"/>
    </row>
    <row r="397" spans="2:17" x14ac:dyDescent="0.3">
      <c r="B397" s="126"/>
      <c r="C397" s="583">
        <v>16</v>
      </c>
      <c r="D397" s="625" t="e">
        <f t="shared" si="26"/>
        <v>#VALUE!</v>
      </c>
      <c r="E397" s="591"/>
      <c r="F397" s="591"/>
      <c r="G397" s="591"/>
      <c r="H397" s="591"/>
      <c r="I397" s="591"/>
      <c r="J397" s="591"/>
      <c r="K397" s="542"/>
      <c r="O397" s="1134"/>
      <c r="Q397" s="1133"/>
    </row>
    <row r="398" spans="2:17" x14ac:dyDescent="0.3">
      <c r="B398" s="126"/>
      <c r="C398" s="583">
        <v>17</v>
      </c>
      <c r="D398" s="625" t="e">
        <f t="shared" si="26"/>
        <v>#VALUE!</v>
      </c>
      <c r="E398" s="591"/>
      <c r="F398" s="591"/>
      <c r="G398" s="591"/>
      <c r="H398" s="591"/>
      <c r="I398" s="591"/>
      <c r="J398" s="591"/>
      <c r="K398" s="542"/>
      <c r="O398" s="1134"/>
      <c r="Q398" s="1133"/>
    </row>
    <row r="399" spans="2:17" x14ac:dyDescent="0.3">
      <c r="B399" s="126"/>
      <c r="C399" s="583">
        <v>18</v>
      </c>
      <c r="D399" s="625" t="e">
        <f t="shared" si="26"/>
        <v>#VALUE!</v>
      </c>
      <c r="E399" s="591"/>
      <c r="F399" s="591"/>
      <c r="G399" s="591"/>
      <c r="H399" s="591"/>
      <c r="I399" s="591"/>
      <c r="J399" s="591"/>
      <c r="K399" s="542"/>
      <c r="O399" s="1134"/>
      <c r="Q399" s="1133"/>
    </row>
    <row r="400" spans="2:17" x14ac:dyDescent="0.3">
      <c r="B400" s="126"/>
      <c r="C400" s="583">
        <v>19</v>
      </c>
      <c r="D400" s="625" t="e">
        <f t="shared" si="26"/>
        <v>#VALUE!</v>
      </c>
      <c r="E400" s="591"/>
      <c r="F400" s="591"/>
      <c r="G400" s="591"/>
      <c r="H400" s="591"/>
      <c r="I400" s="591"/>
      <c r="J400" s="591"/>
      <c r="K400" s="542"/>
      <c r="O400" s="1134"/>
      <c r="Q400" s="1133"/>
    </row>
    <row r="401" spans="2:17" x14ac:dyDescent="0.3">
      <c r="B401" s="126"/>
      <c r="C401" s="583">
        <v>20</v>
      </c>
      <c r="D401" s="625" t="e">
        <f t="shared" si="26"/>
        <v>#VALUE!</v>
      </c>
      <c r="E401" s="591"/>
      <c r="F401" s="591"/>
      <c r="G401" s="591"/>
      <c r="H401" s="591"/>
      <c r="I401" s="591"/>
      <c r="J401" s="591"/>
      <c r="K401" s="542"/>
      <c r="O401" s="1134"/>
      <c r="Q401" s="1133"/>
    </row>
    <row r="402" spans="2:17" x14ac:dyDescent="0.3">
      <c r="B402" s="126"/>
      <c r="C402" s="583">
        <v>21</v>
      </c>
      <c r="D402" s="625" t="e">
        <f t="shared" si="26"/>
        <v>#VALUE!</v>
      </c>
      <c r="E402" s="591"/>
      <c r="F402" s="591"/>
      <c r="G402" s="591"/>
      <c r="H402" s="591"/>
      <c r="I402" s="591"/>
      <c r="J402" s="591"/>
      <c r="K402" s="542"/>
      <c r="O402" s="1134"/>
      <c r="Q402" s="1133"/>
    </row>
    <row r="403" spans="2:17" x14ac:dyDescent="0.3">
      <c r="B403" s="126"/>
      <c r="C403" s="583">
        <v>22</v>
      </c>
      <c r="D403" s="625" t="e">
        <f t="shared" si="26"/>
        <v>#VALUE!</v>
      </c>
      <c r="E403" s="591"/>
      <c r="F403" s="591"/>
      <c r="G403" s="591"/>
      <c r="H403" s="591"/>
      <c r="I403" s="591"/>
      <c r="J403" s="591"/>
      <c r="K403" s="542"/>
      <c r="O403" s="1134"/>
      <c r="Q403" s="1133"/>
    </row>
    <row r="404" spans="2:17" x14ac:dyDescent="0.3">
      <c r="B404" s="126"/>
      <c r="C404" s="583">
        <v>23</v>
      </c>
      <c r="D404" s="625" t="e">
        <f t="shared" si="26"/>
        <v>#VALUE!</v>
      </c>
      <c r="E404" s="591"/>
      <c r="F404" s="591"/>
      <c r="G404" s="591"/>
      <c r="H404" s="591"/>
      <c r="I404" s="591"/>
      <c r="J404" s="591"/>
      <c r="K404" s="542"/>
      <c r="O404" s="1134"/>
      <c r="Q404" s="1133"/>
    </row>
    <row r="405" spans="2:17" x14ac:dyDescent="0.3">
      <c r="B405" s="126"/>
      <c r="C405" s="583">
        <v>24</v>
      </c>
      <c r="D405" s="625" t="e">
        <f t="shared" si="26"/>
        <v>#VALUE!</v>
      </c>
      <c r="E405" s="591"/>
      <c r="F405" s="591"/>
      <c r="G405" s="591"/>
      <c r="H405" s="591"/>
      <c r="I405" s="591"/>
      <c r="J405" s="591"/>
      <c r="K405" s="542"/>
      <c r="O405" s="1134"/>
      <c r="Q405" s="1133"/>
    </row>
    <row r="406" spans="2:17" x14ac:dyDescent="0.3">
      <c r="B406" s="126"/>
      <c r="C406" s="583">
        <v>25</v>
      </c>
      <c r="D406" s="625" t="e">
        <f t="shared" si="26"/>
        <v>#VALUE!</v>
      </c>
      <c r="E406" s="591"/>
      <c r="F406" s="591"/>
      <c r="G406" s="591"/>
      <c r="H406" s="591"/>
      <c r="I406" s="591"/>
      <c r="J406" s="591"/>
      <c r="K406" s="542"/>
      <c r="O406" s="1134"/>
      <c r="Q406" s="1133"/>
    </row>
    <row r="407" spans="2:17" x14ac:dyDescent="0.3">
      <c r="B407" s="126"/>
      <c r="C407" s="583">
        <v>26</v>
      </c>
      <c r="D407" s="625" t="e">
        <f t="shared" si="26"/>
        <v>#VALUE!</v>
      </c>
      <c r="E407" s="591"/>
      <c r="F407" s="591"/>
      <c r="G407" s="591"/>
      <c r="H407" s="591"/>
      <c r="I407" s="591"/>
      <c r="J407" s="591"/>
      <c r="K407" s="542"/>
      <c r="O407" s="1134"/>
      <c r="Q407" s="1133"/>
    </row>
    <row r="408" spans="2:17" x14ac:dyDescent="0.3">
      <c r="B408" s="126"/>
      <c r="C408" s="583">
        <v>27</v>
      </c>
      <c r="D408" s="625" t="e">
        <f t="shared" si="26"/>
        <v>#VALUE!</v>
      </c>
      <c r="E408" s="591"/>
      <c r="F408" s="591"/>
      <c r="G408" s="591"/>
      <c r="H408" s="591"/>
      <c r="I408" s="591"/>
      <c r="J408" s="591"/>
      <c r="K408" s="542"/>
      <c r="O408" s="1134"/>
      <c r="Q408" s="1133"/>
    </row>
    <row r="409" spans="2:17" x14ac:dyDescent="0.3">
      <c r="B409" s="126"/>
      <c r="C409" s="583">
        <v>28</v>
      </c>
      <c r="D409" s="625" t="e">
        <f t="shared" si="26"/>
        <v>#VALUE!</v>
      </c>
      <c r="E409" s="591"/>
      <c r="F409" s="591"/>
      <c r="G409" s="591"/>
      <c r="H409" s="591"/>
      <c r="I409" s="591"/>
      <c r="J409" s="591"/>
      <c r="K409" s="542"/>
      <c r="O409" s="1134"/>
      <c r="Q409" s="1133"/>
    </row>
    <row r="410" spans="2:17" x14ac:dyDescent="0.3">
      <c r="B410" s="126"/>
      <c r="C410" s="583">
        <v>29</v>
      </c>
      <c r="D410" s="625" t="e">
        <f t="shared" si="26"/>
        <v>#VALUE!</v>
      </c>
      <c r="E410" s="591"/>
      <c r="F410" s="591"/>
      <c r="G410" s="591"/>
      <c r="H410" s="591"/>
      <c r="I410" s="591"/>
      <c r="J410" s="591"/>
      <c r="K410" s="542"/>
      <c r="O410" s="1134"/>
      <c r="Q410" s="1133"/>
    </row>
    <row r="411" spans="2:17" x14ac:dyDescent="0.3">
      <c r="B411" s="126"/>
      <c r="C411" s="583">
        <v>30</v>
      </c>
      <c r="D411" s="625" t="e">
        <f t="shared" si="26"/>
        <v>#VALUE!</v>
      </c>
      <c r="E411" s="591"/>
      <c r="F411" s="591"/>
      <c r="G411" s="591"/>
      <c r="H411" s="591"/>
      <c r="I411" s="591"/>
      <c r="J411" s="591"/>
      <c r="K411" s="542"/>
      <c r="O411" s="1134"/>
      <c r="Q411" s="1133"/>
    </row>
    <row r="412" spans="2:17" x14ac:dyDescent="0.3">
      <c r="B412" s="126"/>
      <c r="C412" s="583">
        <v>31</v>
      </c>
      <c r="D412" s="625" t="e">
        <f t="shared" si="26"/>
        <v>#VALUE!</v>
      </c>
      <c r="E412" s="591"/>
      <c r="F412" s="591"/>
      <c r="G412" s="591"/>
      <c r="H412" s="591"/>
      <c r="I412" s="591"/>
      <c r="J412" s="591"/>
      <c r="K412" s="542"/>
      <c r="O412" s="1134"/>
      <c r="Q412" s="1133"/>
    </row>
    <row r="413" spans="2:17" x14ac:dyDescent="0.3">
      <c r="B413" s="126"/>
      <c r="C413" s="583">
        <v>32</v>
      </c>
      <c r="D413" s="625" t="e">
        <f t="shared" si="26"/>
        <v>#VALUE!</v>
      </c>
      <c r="E413" s="591"/>
      <c r="F413" s="591"/>
      <c r="G413" s="591"/>
      <c r="H413" s="591"/>
      <c r="I413" s="591"/>
      <c r="J413" s="591"/>
      <c r="K413" s="542"/>
      <c r="O413" s="1134"/>
      <c r="Q413" s="1133"/>
    </row>
    <row r="414" spans="2:17" x14ac:dyDescent="0.3">
      <c r="B414" s="126"/>
      <c r="C414" s="583">
        <v>33</v>
      </c>
      <c r="D414" s="625" t="e">
        <f t="shared" si="26"/>
        <v>#VALUE!</v>
      </c>
      <c r="E414" s="591"/>
      <c r="F414" s="591"/>
      <c r="G414" s="591"/>
      <c r="H414" s="591"/>
      <c r="I414" s="591"/>
      <c r="J414" s="591"/>
      <c r="K414" s="542"/>
      <c r="O414" s="1134"/>
      <c r="Q414" s="1133"/>
    </row>
    <row r="415" spans="2:17" x14ac:dyDescent="0.3">
      <c r="B415" s="126"/>
      <c r="C415" s="583">
        <v>34</v>
      </c>
      <c r="D415" s="625" t="e">
        <f t="shared" si="26"/>
        <v>#VALUE!</v>
      </c>
      <c r="E415" s="591"/>
      <c r="F415" s="591"/>
      <c r="G415" s="591"/>
      <c r="H415" s="591"/>
      <c r="I415" s="591"/>
      <c r="J415" s="591"/>
      <c r="K415" s="542"/>
      <c r="O415" s="1134"/>
      <c r="Q415" s="1133"/>
    </row>
    <row r="416" spans="2:17" x14ac:dyDescent="0.3">
      <c r="B416" s="126"/>
      <c r="C416" s="583">
        <v>35</v>
      </c>
      <c r="D416" s="625" t="e">
        <f t="shared" si="26"/>
        <v>#VALUE!</v>
      </c>
      <c r="E416" s="591"/>
      <c r="F416" s="591"/>
      <c r="G416" s="591"/>
      <c r="H416" s="591"/>
      <c r="I416" s="591"/>
      <c r="J416" s="591"/>
      <c r="K416" s="542"/>
      <c r="O416" s="1134"/>
      <c r="Q416" s="1133"/>
    </row>
    <row r="417" spans="2:17" x14ac:dyDescent="0.3">
      <c r="B417" s="126"/>
      <c r="C417" s="583">
        <v>36</v>
      </c>
      <c r="D417" s="625" t="e">
        <f t="shared" si="26"/>
        <v>#VALUE!</v>
      </c>
      <c r="E417" s="591"/>
      <c r="F417" s="591"/>
      <c r="G417" s="591"/>
      <c r="H417" s="591"/>
      <c r="I417" s="591"/>
      <c r="J417" s="591"/>
      <c r="K417" s="542"/>
      <c r="O417" s="1134"/>
      <c r="Q417" s="1133"/>
    </row>
    <row r="418" spans="2:17" x14ac:dyDescent="0.3">
      <c r="B418" s="126"/>
      <c r="C418" s="583">
        <v>37</v>
      </c>
      <c r="D418" s="625" t="e">
        <f t="shared" si="26"/>
        <v>#VALUE!</v>
      </c>
      <c r="E418" s="591"/>
      <c r="F418" s="591"/>
      <c r="G418" s="591"/>
      <c r="H418" s="591"/>
      <c r="I418" s="591"/>
      <c r="J418" s="591"/>
      <c r="K418" s="542"/>
      <c r="O418" s="1134"/>
      <c r="Q418" s="1133"/>
    </row>
    <row r="419" spans="2:17" x14ac:dyDescent="0.3">
      <c r="B419" s="126"/>
      <c r="C419" s="583">
        <v>38</v>
      </c>
      <c r="D419" s="625" t="e">
        <f t="shared" si="26"/>
        <v>#VALUE!</v>
      </c>
      <c r="E419" s="591"/>
      <c r="F419" s="591"/>
      <c r="G419" s="591"/>
      <c r="H419" s="591"/>
      <c r="I419" s="591"/>
      <c r="J419" s="591"/>
      <c r="K419" s="542"/>
      <c r="O419" s="1134"/>
      <c r="Q419" s="1133"/>
    </row>
    <row r="420" spans="2:17" x14ac:dyDescent="0.3">
      <c r="B420" s="126"/>
      <c r="C420" s="583">
        <v>39</v>
      </c>
      <c r="D420" s="625" t="e">
        <f t="shared" si="26"/>
        <v>#VALUE!</v>
      </c>
      <c r="E420" s="591"/>
      <c r="F420" s="591"/>
      <c r="G420" s="591"/>
      <c r="H420" s="591"/>
      <c r="I420" s="591"/>
      <c r="J420" s="591"/>
      <c r="K420" s="542"/>
      <c r="O420" s="1134"/>
      <c r="Q420" s="1133"/>
    </row>
    <row r="421" spans="2:17" x14ac:dyDescent="0.3">
      <c r="B421" s="126"/>
      <c r="C421" s="583">
        <v>40</v>
      </c>
      <c r="D421" s="625" t="e">
        <f t="shared" si="26"/>
        <v>#VALUE!</v>
      </c>
      <c r="E421" s="591"/>
      <c r="F421" s="591"/>
      <c r="G421" s="591"/>
      <c r="H421" s="591"/>
      <c r="I421" s="591"/>
      <c r="J421" s="591"/>
      <c r="K421" s="542"/>
      <c r="O421" s="1134"/>
      <c r="Q421" s="1133"/>
    </row>
    <row r="422" spans="2:17" x14ac:dyDescent="0.3">
      <c r="B422" s="126"/>
      <c r="C422" s="583">
        <v>41</v>
      </c>
      <c r="D422" s="625" t="e">
        <f t="shared" si="26"/>
        <v>#VALUE!</v>
      </c>
      <c r="E422" s="591"/>
      <c r="F422" s="591"/>
      <c r="G422" s="591"/>
      <c r="H422" s="591"/>
      <c r="I422" s="591"/>
      <c r="J422" s="591"/>
      <c r="K422" s="542"/>
      <c r="O422" s="1134"/>
      <c r="Q422" s="1133"/>
    </row>
    <row r="423" spans="2:17" x14ac:dyDescent="0.3">
      <c r="B423" s="126"/>
      <c r="C423" s="583">
        <v>42</v>
      </c>
      <c r="D423" s="625" t="e">
        <f t="shared" si="26"/>
        <v>#VALUE!</v>
      </c>
      <c r="E423" s="591"/>
      <c r="F423" s="591"/>
      <c r="G423" s="591"/>
      <c r="H423" s="591"/>
      <c r="I423" s="591"/>
      <c r="J423" s="591"/>
      <c r="K423" s="542"/>
      <c r="O423" s="1134"/>
      <c r="Q423" s="1133"/>
    </row>
    <row r="424" spans="2:17" x14ac:dyDescent="0.3">
      <c r="B424" s="126"/>
      <c r="C424" s="583">
        <v>43</v>
      </c>
      <c r="D424" s="625" t="e">
        <f t="shared" si="26"/>
        <v>#VALUE!</v>
      </c>
      <c r="E424" s="591"/>
      <c r="F424" s="591"/>
      <c r="G424" s="591"/>
      <c r="H424" s="591"/>
      <c r="I424" s="591"/>
      <c r="J424" s="591"/>
      <c r="K424" s="542"/>
      <c r="O424" s="1134"/>
      <c r="Q424" s="1133"/>
    </row>
    <row r="425" spans="2:17" x14ac:dyDescent="0.3">
      <c r="B425" s="126"/>
      <c r="C425" s="583">
        <v>44</v>
      </c>
      <c r="D425" s="625" t="e">
        <f t="shared" si="26"/>
        <v>#VALUE!</v>
      </c>
      <c r="E425" s="591"/>
      <c r="F425" s="591"/>
      <c r="G425" s="591"/>
      <c r="H425" s="591"/>
      <c r="I425" s="591"/>
      <c r="J425" s="591"/>
      <c r="K425" s="542"/>
      <c r="O425" s="1134"/>
      <c r="Q425" s="1133"/>
    </row>
    <row r="426" spans="2:17" x14ac:dyDescent="0.3">
      <c r="B426" s="126"/>
      <c r="C426" s="583">
        <v>45</v>
      </c>
      <c r="D426" s="625" t="e">
        <f t="shared" si="26"/>
        <v>#VALUE!</v>
      </c>
      <c r="E426" s="591"/>
      <c r="F426" s="591"/>
      <c r="G426" s="591"/>
      <c r="H426" s="591"/>
      <c r="I426" s="591"/>
      <c r="J426" s="591"/>
      <c r="K426" s="542"/>
      <c r="O426" s="1134"/>
      <c r="Q426" s="1133"/>
    </row>
    <row r="427" spans="2:17" x14ac:dyDescent="0.3">
      <c r="B427" s="126"/>
      <c r="C427" s="583">
        <v>46</v>
      </c>
      <c r="D427" s="625" t="e">
        <f t="shared" si="26"/>
        <v>#VALUE!</v>
      </c>
      <c r="E427" s="591"/>
      <c r="F427" s="591"/>
      <c r="G427" s="591"/>
      <c r="H427" s="591"/>
      <c r="I427" s="591"/>
      <c r="J427" s="591"/>
      <c r="K427" s="542"/>
      <c r="O427" s="1134"/>
      <c r="Q427" s="1133"/>
    </row>
    <row r="428" spans="2:17" x14ac:dyDescent="0.3">
      <c r="B428" s="126"/>
      <c r="C428" s="583">
        <v>47</v>
      </c>
      <c r="D428" s="625" t="e">
        <f t="shared" si="26"/>
        <v>#VALUE!</v>
      </c>
      <c r="E428" s="591"/>
      <c r="F428" s="591"/>
      <c r="G428" s="591"/>
      <c r="H428" s="591"/>
      <c r="I428" s="591"/>
      <c r="J428" s="591"/>
      <c r="K428" s="542"/>
      <c r="O428" s="1134"/>
      <c r="Q428" s="1133"/>
    </row>
    <row r="429" spans="2:17" x14ac:dyDescent="0.3">
      <c r="B429" s="126"/>
      <c r="C429" s="583">
        <v>48</v>
      </c>
      <c r="D429" s="625" t="e">
        <f t="shared" si="26"/>
        <v>#VALUE!</v>
      </c>
      <c r="E429" s="591"/>
      <c r="F429" s="591"/>
      <c r="G429" s="591"/>
      <c r="H429" s="591"/>
      <c r="I429" s="591"/>
      <c r="J429" s="591"/>
      <c r="K429" s="542"/>
      <c r="O429" s="1134"/>
      <c r="Q429" s="1133"/>
    </row>
    <row r="430" spans="2:17" x14ac:dyDescent="0.3">
      <c r="B430" s="126"/>
      <c r="C430" s="583">
        <v>49</v>
      </c>
      <c r="D430" s="625" t="e">
        <f t="shared" si="26"/>
        <v>#VALUE!</v>
      </c>
      <c r="E430" s="591"/>
      <c r="F430" s="591"/>
      <c r="G430" s="591"/>
      <c r="H430" s="591"/>
      <c r="I430" s="591"/>
      <c r="J430" s="591"/>
      <c r="K430" s="542"/>
      <c r="O430" s="1134"/>
      <c r="Q430" s="1133"/>
    </row>
    <row r="431" spans="2:17" x14ac:dyDescent="0.3">
      <c r="B431" s="126"/>
      <c r="C431" s="583">
        <v>50</v>
      </c>
      <c r="D431" s="625" t="e">
        <f t="shared" si="26"/>
        <v>#VALUE!</v>
      </c>
      <c r="E431" s="591"/>
      <c r="F431" s="591"/>
      <c r="G431" s="591"/>
      <c r="H431" s="591"/>
      <c r="I431" s="591"/>
      <c r="J431" s="591"/>
      <c r="K431" s="542"/>
      <c r="O431" s="1134"/>
      <c r="Q431" s="1133"/>
    </row>
    <row r="432" spans="2:17" x14ac:dyDescent="0.3">
      <c r="B432" s="126"/>
      <c r="C432" s="583">
        <v>51</v>
      </c>
      <c r="D432" s="625" t="e">
        <f t="shared" si="26"/>
        <v>#VALUE!</v>
      </c>
      <c r="E432" s="591"/>
      <c r="F432" s="591"/>
      <c r="G432" s="591"/>
      <c r="H432" s="591"/>
      <c r="I432" s="591"/>
      <c r="J432" s="591"/>
      <c r="K432" s="542"/>
      <c r="O432" s="1134"/>
      <c r="Q432" s="1133"/>
    </row>
    <row r="433" spans="2:17" x14ac:dyDescent="0.3">
      <c r="B433" s="126"/>
      <c r="C433" s="583">
        <v>52</v>
      </c>
      <c r="D433" s="625" t="e">
        <f t="shared" si="26"/>
        <v>#VALUE!</v>
      </c>
      <c r="E433" s="591"/>
      <c r="F433" s="591"/>
      <c r="G433" s="591"/>
      <c r="H433" s="591"/>
      <c r="I433" s="591"/>
      <c r="J433" s="591"/>
      <c r="K433" s="542"/>
      <c r="O433" s="1134"/>
      <c r="Q433" s="1133"/>
    </row>
    <row r="434" spans="2:17" x14ac:dyDescent="0.3">
      <c r="B434" s="126"/>
      <c r="C434" s="583">
        <v>53</v>
      </c>
      <c r="D434" s="625" t="e">
        <f t="shared" si="26"/>
        <v>#VALUE!</v>
      </c>
      <c r="E434" s="591"/>
      <c r="F434" s="591"/>
      <c r="G434" s="591"/>
      <c r="H434" s="591"/>
      <c r="I434" s="591"/>
      <c r="J434" s="591"/>
      <c r="K434" s="542"/>
      <c r="O434" s="1134"/>
      <c r="Q434" s="1133"/>
    </row>
    <row r="435" spans="2:17" x14ac:dyDescent="0.3">
      <c r="B435" s="126"/>
      <c r="C435" s="583">
        <v>54</v>
      </c>
      <c r="D435" s="625" t="e">
        <f t="shared" si="26"/>
        <v>#VALUE!</v>
      </c>
      <c r="E435" s="591"/>
      <c r="F435" s="591"/>
      <c r="G435" s="591"/>
      <c r="H435" s="591"/>
      <c r="I435" s="591"/>
      <c r="J435" s="591"/>
      <c r="K435" s="542"/>
      <c r="O435" s="1134"/>
      <c r="Q435" s="1133"/>
    </row>
    <row r="436" spans="2:17" x14ac:dyDescent="0.3">
      <c r="B436" s="126"/>
      <c r="C436" s="583">
        <v>55</v>
      </c>
      <c r="D436" s="625" t="e">
        <f t="shared" si="26"/>
        <v>#VALUE!</v>
      </c>
      <c r="E436" s="591"/>
      <c r="F436" s="591"/>
      <c r="G436" s="591"/>
      <c r="H436" s="591"/>
      <c r="I436" s="591"/>
      <c r="J436" s="591"/>
      <c r="K436" s="542"/>
      <c r="O436" s="1134"/>
      <c r="Q436" s="1133"/>
    </row>
    <row r="437" spans="2:17" x14ac:dyDescent="0.3">
      <c r="B437" s="126"/>
      <c r="C437" s="583">
        <v>56</v>
      </c>
      <c r="D437" s="625" t="e">
        <f t="shared" si="26"/>
        <v>#VALUE!</v>
      </c>
      <c r="E437" s="591"/>
      <c r="F437" s="591"/>
      <c r="G437" s="591"/>
      <c r="H437" s="591"/>
      <c r="I437" s="591"/>
      <c r="J437" s="591"/>
      <c r="K437" s="542"/>
      <c r="O437" s="1134"/>
      <c r="Q437" s="1133"/>
    </row>
    <row r="438" spans="2:17" x14ac:dyDescent="0.3">
      <c r="B438" s="126"/>
      <c r="C438" s="583">
        <v>57</v>
      </c>
      <c r="D438" s="625" t="e">
        <f t="shared" si="26"/>
        <v>#VALUE!</v>
      </c>
      <c r="E438" s="591"/>
      <c r="F438" s="591"/>
      <c r="G438" s="591"/>
      <c r="H438" s="591"/>
      <c r="I438" s="591"/>
      <c r="J438" s="591"/>
      <c r="K438" s="542"/>
      <c r="O438" s="1134"/>
      <c r="Q438" s="1133"/>
    </row>
    <row r="439" spans="2:17" x14ac:dyDescent="0.3">
      <c r="B439" s="126"/>
      <c r="C439" s="583">
        <v>58</v>
      </c>
      <c r="D439" s="625" t="e">
        <f t="shared" si="26"/>
        <v>#VALUE!</v>
      </c>
      <c r="E439" s="591"/>
      <c r="F439" s="591"/>
      <c r="G439" s="591"/>
      <c r="H439" s="591"/>
      <c r="I439" s="591"/>
      <c r="J439" s="591"/>
      <c r="K439" s="542"/>
      <c r="O439" s="1134"/>
      <c r="Q439" s="1133"/>
    </row>
    <row r="440" spans="2:17" x14ac:dyDescent="0.3">
      <c r="B440" s="126"/>
      <c r="C440" s="583">
        <v>59</v>
      </c>
      <c r="D440" s="625" t="e">
        <f t="shared" si="26"/>
        <v>#VALUE!</v>
      </c>
      <c r="E440" s="591"/>
      <c r="F440" s="591"/>
      <c r="G440" s="591"/>
      <c r="H440" s="591"/>
      <c r="I440" s="591"/>
      <c r="J440" s="591"/>
      <c r="K440" s="542"/>
      <c r="O440" s="1134"/>
      <c r="Q440" s="1133"/>
    </row>
    <row r="441" spans="2:17" x14ac:dyDescent="0.3">
      <c r="B441" s="126"/>
      <c r="C441" s="583">
        <v>60</v>
      </c>
      <c r="D441" s="625" t="e">
        <f t="shared" si="26"/>
        <v>#VALUE!</v>
      </c>
      <c r="E441" s="591"/>
      <c r="F441" s="591"/>
      <c r="G441" s="591"/>
      <c r="H441" s="591"/>
      <c r="I441" s="591"/>
      <c r="J441" s="591"/>
      <c r="K441" s="542"/>
      <c r="O441" s="1134"/>
      <c r="Q441" s="1133"/>
    </row>
    <row r="442" spans="2:17" x14ac:dyDescent="0.3">
      <c r="B442" s="126"/>
      <c r="C442" s="583">
        <v>61</v>
      </c>
      <c r="D442" s="625" t="e">
        <f t="shared" si="26"/>
        <v>#VALUE!</v>
      </c>
      <c r="E442" s="591"/>
      <c r="F442" s="591"/>
      <c r="G442" s="591"/>
      <c r="H442" s="591"/>
      <c r="I442" s="591"/>
      <c r="J442" s="591"/>
      <c r="K442" s="542"/>
      <c r="O442" s="1134"/>
      <c r="Q442" s="1133"/>
    </row>
    <row r="443" spans="2:17" x14ac:dyDescent="0.3">
      <c r="B443" s="126"/>
      <c r="C443" s="583">
        <v>62</v>
      </c>
      <c r="D443" s="625" t="e">
        <f t="shared" si="26"/>
        <v>#VALUE!</v>
      </c>
      <c r="E443" s="591"/>
      <c r="F443" s="591"/>
      <c r="G443" s="591"/>
      <c r="H443" s="591"/>
      <c r="I443" s="591"/>
      <c r="J443" s="591"/>
      <c r="K443" s="542"/>
      <c r="O443" s="1134"/>
      <c r="Q443" s="1133"/>
    </row>
    <row r="444" spans="2:17" x14ac:dyDescent="0.3">
      <c r="B444" s="126"/>
      <c r="C444" s="583">
        <v>63</v>
      </c>
      <c r="D444" s="625" t="e">
        <f t="shared" si="26"/>
        <v>#VALUE!</v>
      </c>
      <c r="E444" s="591"/>
      <c r="F444" s="591"/>
      <c r="G444" s="591"/>
      <c r="H444" s="591"/>
      <c r="I444" s="591"/>
      <c r="J444" s="591"/>
      <c r="K444" s="542"/>
      <c r="O444" s="1134"/>
      <c r="Q444" s="1133"/>
    </row>
    <row r="445" spans="2:17" x14ac:dyDescent="0.3">
      <c r="B445" s="126"/>
      <c r="C445" s="583">
        <v>64</v>
      </c>
      <c r="D445" s="625" t="e">
        <f t="shared" ref="D445:D508" si="27">$C$360*C445</f>
        <v>#VALUE!</v>
      </c>
      <c r="E445" s="591"/>
      <c r="F445" s="591"/>
      <c r="G445" s="591"/>
      <c r="H445" s="591"/>
      <c r="I445" s="591"/>
      <c r="J445" s="591"/>
      <c r="K445" s="542"/>
      <c r="O445" s="1134"/>
      <c r="Q445" s="1133"/>
    </row>
    <row r="446" spans="2:17" x14ac:dyDescent="0.3">
      <c r="B446" s="126"/>
      <c r="C446" s="583">
        <v>65</v>
      </c>
      <c r="D446" s="625" t="e">
        <f t="shared" si="27"/>
        <v>#VALUE!</v>
      </c>
      <c r="E446" s="591"/>
      <c r="F446" s="591"/>
      <c r="G446" s="591"/>
      <c r="H446" s="591"/>
      <c r="I446" s="591"/>
      <c r="J446" s="591"/>
      <c r="K446" s="542"/>
      <c r="O446" s="1134"/>
      <c r="Q446" s="1133"/>
    </row>
    <row r="447" spans="2:17" x14ac:dyDescent="0.3">
      <c r="B447" s="126"/>
      <c r="C447" s="583">
        <v>66</v>
      </c>
      <c r="D447" s="625" t="e">
        <f t="shared" si="27"/>
        <v>#VALUE!</v>
      </c>
      <c r="E447" s="591"/>
      <c r="F447" s="591"/>
      <c r="G447" s="591"/>
      <c r="H447" s="591"/>
      <c r="I447" s="591"/>
      <c r="J447" s="591"/>
      <c r="K447" s="542"/>
      <c r="O447" s="1134"/>
      <c r="Q447" s="1133"/>
    </row>
    <row r="448" spans="2:17" x14ac:dyDescent="0.3">
      <c r="B448" s="126"/>
      <c r="C448" s="583">
        <v>67</v>
      </c>
      <c r="D448" s="625" t="e">
        <f t="shared" si="27"/>
        <v>#VALUE!</v>
      </c>
      <c r="E448" s="591"/>
      <c r="F448" s="591"/>
      <c r="G448" s="591"/>
      <c r="H448" s="591"/>
      <c r="I448" s="591"/>
      <c r="J448" s="591"/>
      <c r="K448" s="542"/>
      <c r="O448" s="1134"/>
      <c r="Q448" s="1133"/>
    </row>
    <row r="449" spans="2:17" x14ac:dyDescent="0.3">
      <c r="B449" s="126"/>
      <c r="C449" s="583">
        <v>68</v>
      </c>
      <c r="D449" s="625" t="e">
        <f t="shared" si="27"/>
        <v>#VALUE!</v>
      </c>
      <c r="E449" s="591"/>
      <c r="F449" s="591"/>
      <c r="G449" s="591"/>
      <c r="H449" s="591"/>
      <c r="I449" s="591"/>
      <c r="J449" s="591"/>
      <c r="K449" s="542"/>
      <c r="O449" s="1134"/>
      <c r="Q449" s="1133"/>
    </row>
    <row r="450" spans="2:17" x14ac:dyDescent="0.3">
      <c r="B450" s="126"/>
      <c r="C450" s="583">
        <v>69</v>
      </c>
      <c r="D450" s="625" t="e">
        <f t="shared" si="27"/>
        <v>#VALUE!</v>
      </c>
      <c r="E450" s="591"/>
      <c r="F450" s="591"/>
      <c r="G450" s="591"/>
      <c r="H450" s="591"/>
      <c r="I450" s="591"/>
      <c r="J450" s="591"/>
      <c r="K450" s="542"/>
      <c r="O450" s="1134"/>
      <c r="Q450" s="1133"/>
    </row>
    <row r="451" spans="2:17" x14ac:dyDescent="0.3">
      <c r="B451" s="126"/>
      <c r="C451" s="583">
        <v>70</v>
      </c>
      <c r="D451" s="625" t="e">
        <f t="shared" si="27"/>
        <v>#VALUE!</v>
      </c>
      <c r="E451" s="591"/>
      <c r="F451" s="591"/>
      <c r="G451" s="591"/>
      <c r="H451" s="591"/>
      <c r="I451" s="591"/>
      <c r="J451" s="591"/>
      <c r="K451" s="542"/>
      <c r="O451" s="1134"/>
      <c r="Q451" s="1133"/>
    </row>
    <row r="452" spans="2:17" x14ac:dyDescent="0.3">
      <c r="B452" s="126"/>
      <c r="C452" s="583">
        <v>71</v>
      </c>
      <c r="D452" s="625" t="e">
        <f t="shared" si="27"/>
        <v>#VALUE!</v>
      </c>
      <c r="E452" s="591"/>
      <c r="F452" s="591"/>
      <c r="G452" s="591"/>
      <c r="H452" s="591"/>
      <c r="I452" s="591"/>
      <c r="J452" s="591"/>
      <c r="K452" s="542"/>
      <c r="O452" s="1134"/>
      <c r="Q452" s="1133"/>
    </row>
    <row r="453" spans="2:17" x14ac:dyDescent="0.3">
      <c r="B453" s="126"/>
      <c r="C453" s="583">
        <v>72</v>
      </c>
      <c r="D453" s="625" t="e">
        <f t="shared" si="27"/>
        <v>#VALUE!</v>
      </c>
      <c r="E453" s="591"/>
      <c r="F453" s="591"/>
      <c r="G453" s="591"/>
      <c r="H453" s="591"/>
      <c r="I453" s="591"/>
      <c r="J453" s="591"/>
      <c r="K453" s="542"/>
      <c r="O453" s="1134"/>
      <c r="Q453" s="1133"/>
    </row>
    <row r="454" spans="2:17" x14ac:dyDescent="0.3">
      <c r="B454" s="126"/>
      <c r="C454" s="583">
        <v>73</v>
      </c>
      <c r="D454" s="625" t="e">
        <f t="shared" si="27"/>
        <v>#VALUE!</v>
      </c>
      <c r="E454" s="591"/>
      <c r="F454" s="591"/>
      <c r="G454" s="591"/>
      <c r="H454" s="591"/>
      <c r="I454" s="591"/>
      <c r="J454" s="591"/>
      <c r="K454" s="542"/>
      <c r="O454" s="1134"/>
      <c r="Q454" s="1133"/>
    </row>
    <row r="455" spans="2:17" x14ac:dyDescent="0.3">
      <c r="B455" s="126"/>
      <c r="C455" s="583">
        <v>74</v>
      </c>
      <c r="D455" s="625" t="e">
        <f t="shared" si="27"/>
        <v>#VALUE!</v>
      </c>
      <c r="E455" s="591"/>
      <c r="F455" s="591"/>
      <c r="G455" s="591"/>
      <c r="H455" s="591"/>
      <c r="I455" s="591"/>
      <c r="J455" s="591"/>
      <c r="K455" s="542"/>
      <c r="O455" s="1134"/>
      <c r="Q455" s="1133"/>
    </row>
    <row r="456" spans="2:17" x14ac:dyDescent="0.3">
      <c r="B456" s="126"/>
      <c r="C456" s="583">
        <v>75</v>
      </c>
      <c r="D456" s="625" t="e">
        <f t="shared" si="27"/>
        <v>#VALUE!</v>
      </c>
      <c r="E456" s="591"/>
      <c r="F456" s="591"/>
      <c r="G456" s="591"/>
      <c r="H456" s="591"/>
      <c r="I456" s="591"/>
      <c r="J456" s="591"/>
      <c r="K456" s="542"/>
      <c r="O456" s="1134"/>
      <c r="Q456" s="1133"/>
    </row>
    <row r="457" spans="2:17" x14ac:dyDescent="0.3">
      <c r="B457" s="126"/>
      <c r="C457" s="583">
        <v>76</v>
      </c>
      <c r="D457" s="625" t="e">
        <f t="shared" si="27"/>
        <v>#VALUE!</v>
      </c>
      <c r="E457" s="591"/>
      <c r="F457" s="591"/>
      <c r="G457" s="591"/>
      <c r="H457" s="591"/>
      <c r="I457" s="591"/>
      <c r="J457" s="591"/>
      <c r="K457" s="542"/>
      <c r="O457" s="1134"/>
      <c r="Q457" s="1133"/>
    </row>
    <row r="458" spans="2:17" x14ac:dyDescent="0.3">
      <c r="B458" s="126"/>
      <c r="C458" s="583">
        <v>77</v>
      </c>
      <c r="D458" s="625" t="e">
        <f t="shared" si="27"/>
        <v>#VALUE!</v>
      </c>
      <c r="E458" s="591"/>
      <c r="F458" s="591"/>
      <c r="G458" s="591"/>
      <c r="H458" s="591"/>
      <c r="I458" s="591"/>
      <c r="J458" s="591"/>
      <c r="K458" s="542"/>
      <c r="O458" s="1134"/>
      <c r="Q458" s="1133"/>
    </row>
    <row r="459" spans="2:17" x14ac:dyDescent="0.3">
      <c r="B459" s="126"/>
      <c r="C459" s="583">
        <v>78</v>
      </c>
      <c r="D459" s="625" t="e">
        <f t="shared" si="27"/>
        <v>#VALUE!</v>
      </c>
      <c r="E459" s="591"/>
      <c r="F459" s="591"/>
      <c r="G459" s="591"/>
      <c r="H459" s="591"/>
      <c r="I459" s="591"/>
      <c r="J459" s="591"/>
      <c r="K459" s="542"/>
      <c r="O459" s="1134"/>
      <c r="Q459" s="1133"/>
    </row>
    <row r="460" spans="2:17" x14ac:dyDescent="0.3">
      <c r="B460" s="126"/>
      <c r="C460" s="583">
        <v>79</v>
      </c>
      <c r="D460" s="625" t="e">
        <f t="shared" si="27"/>
        <v>#VALUE!</v>
      </c>
      <c r="E460" s="591"/>
      <c r="F460" s="591"/>
      <c r="G460" s="591"/>
      <c r="H460" s="591"/>
      <c r="I460" s="591"/>
      <c r="J460" s="591"/>
      <c r="K460" s="542"/>
      <c r="O460" s="1134"/>
      <c r="Q460" s="1133"/>
    </row>
    <row r="461" spans="2:17" x14ac:dyDescent="0.3">
      <c r="B461" s="126"/>
      <c r="C461" s="583">
        <v>80</v>
      </c>
      <c r="D461" s="625" t="e">
        <f t="shared" si="27"/>
        <v>#VALUE!</v>
      </c>
      <c r="E461" s="591"/>
      <c r="F461" s="591"/>
      <c r="G461" s="591"/>
      <c r="H461" s="591"/>
      <c r="I461" s="591"/>
      <c r="J461" s="591"/>
      <c r="K461" s="542"/>
      <c r="O461" s="1134"/>
      <c r="Q461" s="1133"/>
    </row>
    <row r="462" spans="2:17" x14ac:dyDescent="0.3">
      <c r="B462" s="126"/>
      <c r="C462" s="583">
        <v>81</v>
      </c>
      <c r="D462" s="625" t="e">
        <f t="shared" si="27"/>
        <v>#VALUE!</v>
      </c>
      <c r="E462" s="591"/>
      <c r="F462" s="591"/>
      <c r="G462" s="591"/>
      <c r="H462" s="591"/>
      <c r="I462" s="591"/>
      <c r="J462" s="591"/>
      <c r="K462" s="542"/>
      <c r="O462" s="1134"/>
      <c r="Q462" s="1133"/>
    </row>
    <row r="463" spans="2:17" x14ac:dyDescent="0.3">
      <c r="B463" s="126"/>
      <c r="C463" s="583">
        <v>82</v>
      </c>
      <c r="D463" s="625" t="e">
        <f t="shared" si="27"/>
        <v>#VALUE!</v>
      </c>
      <c r="E463" s="591"/>
      <c r="F463" s="591"/>
      <c r="G463" s="591"/>
      <c r="H463" s="591"/>
      <c r="I463" s="591"/>
      <c r="J463" s="591"/>
      <c r="K463" s="542"/>
      <c r="O463" s="1134"/>
      <c r="Q463" s="1133"/>
    </row>
    <row r="464" spans="2:17" x14ac:dyDescent="0.3">
      <c r="B464" s="126"/>
      <c r="C464" s="583">
        <v>83</v>
      </c>
      <c r="D464" s="625" t="e">
        <f t="shared" si="27"/>
        <v>#VALUE!</v>
      </c>
      <c r="E464" s="591"/>
      <c r="F464" s="591"/>
      <c r="G464" s="591"/>
      <c r="H464" s="591"/>
      <c r="I464" s="591"/>
      <c r="J464" s="591"/>
      <c r="K464" s="542"/>
      <c r="O464" s="1134"/>
      <c r="Q464" s="1133"/>
    </row>
    <row r="465" spans="2:17" x14ac:dyDescent="0.3">
      <c r="B465" s="126"/>
      <c r="C465" s="583">
        <v>84</v>
      </c>
      <c r="D465" s="625" t="e">
        <f t="shared" si="27"/>
        <v>#VALUE!</v>
      </c>
      <c r="E465" s="591"/>
      <c r="F465" s="591"/>
      <c r="G465" s="591"/>
      <c r="H465" s="591"/>
      <c r="I465" s="591"/>
      <c r="J465" s="591"/>
      <c r="K465" s="542"/>
      <c r="O465" s="1134"/>
      <c r="Q465" s="1133"/>
    </row>
    <row r="466" spans="2:17" x14ac:dyDescent="0.3">
      <c r="B466" s="126"/>
      <c r="C466" s="583">
        <v>85</v>
      </c>
      <c r="D466" s="625" t="e">
        <f t="shared" si="27"/>
        <v>#VALUE!</v>
      </c>
      <c r="E466" s="591"/>
      <c r="F466" s="591"/>
      <c r="G466" s="591"/>
      <c r="H466" s="591"/>
      <c r="I466" s="591"/>
      <c r="J466" s="591"/>
      <c r="K466" s="542"/>
      <c r="O466" s="1134"/>
      <c r="Q466" s="1133"/>
    </row>
    <row r="467" spans="2:17" x14ac:dyDescent="0.3">
      <c r="B467" s="126"/>
      <c r="C467" s="583">
        <v>86</v>
      </c>
      <c r="D467" s="625" t="e">
        <f t="shared" si="27"/>
        <v>#VALUE!</v>
      </c>
      <c r="E467" s="591"/>
      <c r="F467" s="591"/>
      <c r="G467" s="591"/>
      <c r="H467" s="591"/>
      <c r="I467" s="591"/>
      <c r="J467" s="591"/>
      <c r="K467" s="542"/>
      <c r="O467" s="1134"/>
      <c r="Q467" s="1133"/>
    </row>
    <row r="468" spans="2:17" x14ac:dyDescent="0.3">
      <c r="B468" s="126"/>
      <c r="C468" s="583">
        <v>87</v>
      </c>
      <c r="D468" s="625" t="e">
        <f t="shared" si="27"/>
        <v>#VALUE!</v>
      </c>
      <c r="E468" s="591"/>
      <c r="F468" s="591"/>
      <c r="G468" s="591"/>
      <c r="H468" s="591"/>
      <c r="I468" s="591"/>
      <c r="J468" s="591"/>
      <c r="K468" s="542"/>
      <c r="O468" s="1134"/>
      <c r="Q468" s="1133"/>
    </row>
    <row r="469" spans="2:17" x14ac:dyDescent="0.3">
      <c r="B469" s="126"/>
      <c r="C469" s="583">
        <v>88</v>
      </c>
      <c r="D469" s="625" t="e">
        <f t="shared" si="27"/>
        <v>#VALUE!</v>
      </c>
      <c r="E469" s="591"/>
      <c r="F469" s="591"/>
      <c r="G469" s="591"/>
      <c r="H469" s="591"/>
      <c r="I469" s="591"/>
      <c r="J469" s="591"/>
      <c r="K469" s="542"/>
      <c r="O469" s="1134"/>
      <c r="Q469" s="1133"/>
    </row>
    <row r="470" spans="2:17" x14ac:dyDescent="0.3">
      <c r="B470" s="126"/>
      <c r="C470" s="583">
        <v>89</v>
      </c>
      <c r="D470" s="625" t="e">
        <f t="shared" si="27"/>
        <v>#VALUE!</v>
      </c>
      <c r="E470" s="591"/>
      <c r="F470" s="591"/>
      <c r="G470" s="591"/>
      <c r="H470" s="591"/>
      <c r="I470" s="591"/>
      <c r="J470" s="591"/>
      <c r="K470" s="542"/>
      <c r="O470" s="1134"/>
      <c r="Q470" s="1133"/>
    </row>
    <row r="471" spans="2:17" x14ac:dyDescent="0.3">
      <c r="B471" s="126"/>
      <c r="C471" s="583">
        <v>90</v>
      </c>
      <c r="D471" s="625" t="e">
        <f t="shared" si="27"/>
        <v>#VALUE!</v>
      </c>
      <c r="E471" s="591"/>
      <c r="F471" s="591"/>
      <c r="G471" s="591"/>
      <c r="H471" s="591"/>
      <c r="I471" s="591"/>
      <c r="J471" s="591"/>
      <c r="K471" s="542"/>
      <c r="O471" s="1134"/>
      <c r="Q471" s="1133"/>
    </row>
    <row r="472" spans="2:17" x14ac:dyDescent="0.3">
      <c r="B472" s="126"/>
      <c r="C472" s="583">
        <v>91</v>
      </c>
      <c r="D472" s="625" t="e">
        <f t="shared" si="27"/>
        <v>#VALUE!</v>
      </c>
      <c r="E472" s="591"/>
      <c r="F472" s="591"/>
      <c r="G472" s="591"/>
      <c r="H472" s="591"/>
      <c r="I472" s="591"/>
      <c r="J472" s="591"/>
      <c r="K472" s="542"/>
      <c r="O472" s="1134"/>
      <c r="Q472" s="1133"/>
    </row>
    <row r="473" spans="2:17" x14ac:dyDescent="0.3">
      <c r="B473" s="126"/>
      <c r="C473" s="583">
        <v>92</v>
      </c>
      <c r="D473" s="625" t="e">
        <f t="shared" si="27"/>
        <v>#VALUE!</v>
      </c>
      <c r="E473" s="591"/>
      <c r="F473" s="591"/>
      <c r="G473" s="591"/>
      <c r="H473" s="591"/>
      <c r="I473" s="591"/>
      <c r="J473" s="591"/>
      <c r="K473" s="542"/>
      <c r="O473" s="1134"/>
      <c r="Q473" s="1133"/>
    </row>
    <row r="474" spans="2:17" x14ac:dyDescent="0.3">
      <c r="B474" s="126"/>
      <c r="C474" s="583">
        <v>93</v>
      </c>
      <c r="D474" s="625" t="e">
        <f t="shared" si="27"/>
        <v>#VALUE!</v>
      </c>
      <c r="E474" s="591"/>
      <c r="F474" s="591"/>
      <c r="G474" s="591"/>
      <c r="H474" s="591"/>
      <c r="I474" s="591"/>
      <c r="J474" s="591"/>
      <c r="K474" s="542"/>
      <c r="O474" s="1134"/>
      <c r="Q474" s="1133"/>
    </row>
    <row r="475" spans="2:17" x14ac:dyDescent="0.3">
      <c r="B475" s="126"/>
      <c r="C475" s="583">
        <v>94</v>
      </c>
      <c r="D475" s="625" t="e">
        <f t="shared" si="27"/>
        <v>#VALUE!</v>
      </c>
      <c r="E475" s="591"/>
      <c r="F475" s="591"/>
      <c r="G475" s="591"/>
      <c r="H475" s="591"/>
      <c r="I475" s="591"/>
      <c r="J475" s="591"/>
      <c r="K475" s="542"/>
      <c r="O475" s="1134"/>
      <c r="Q475" s="1133"/>
    </row>
    <row r="476" spans="2:17" x14ac:dyDescent="0.3">
      <c r="B476" s="126"/>
      <c r="C476" s="583">
        <v>95</v>
      </c>
      <c r="D476" s="625" t="e">
        <f t="shared" si="27"/>
        <v>#VALUE!</v>
      </c>
      <c r="E476" s="591"/>
      <c r="F476" s="591"/>
      <c r="G476" s="591"/>
      <c r="H476" s="591"/>
      <c r="I476" s="591"/>
      <c r="J476" s="591"/>
      <c r="K476" s="542"/>
      <c r="O476" s="1134"/>
      <c r="Q476" s="1133"/>
    </row>
    <row r="477" spans="2:17" x14ac:dyDescent="0.3">
      <c r="B477" s="126"/>
      <c r="C477" s="583">
        <v>96</v>
      </c>
      <c r="D477" s="625" t="e">
        <f t="shared" si="27"/>
        <v>#VALUE!</v>
      </c>
      <c r="E477" s="591"/>
      <c r="F477" s="591"/>
      <c r="G477" s="591"/>
      <c r="H477" s="591"/>
      <c r="I477" s="591"/>
      <c r="J477" s="591"/>
      <c r="K477" s="542"/>
      <c r="O477" s="1134"/>
      <c r="Q477" s="1133"/>
    </row>
    <row r="478" spans="2:17" x14ac:dyDescent="0.3">
      <c r="B478" s="126"/>
      <c r="C478" s="583">
        <v>97</v>
      </c>
      <c r="D478" s="625" t="e">
        <f t="shared" si="27"/>
        <v>#VALUE!</v>
      </c>
      <c r="E478" s="591"/>
      <c r="F478" s="591"/>
      <c r="G478" s="591"/>
      <c r="H478" s="591"/>
      <c r="I478" s="591"/>
      <c r="J478" s="591"/>
      <c r="K478" s="542"/>
      <c r="O478" s="1134"/>
      <c r="Q478" s="1133"/>
    </row>
    <row r="479" spans="2:17" x14ac:dyDescent="0.3">
      <c r="B479" s="126"/>
      <c r="C479" s="583">
        <v>98</v>
      </c>
      <c r="D479" s="625" t="e">
        <f t="shared" si="27"/>
        <v>#VALUE!</v>
      </c>
      <c r="E479" s="591"/>
      <c r="F479" s="591"/>
      <c r="G479" s="591"/>
      <c r="H479" s="591"/>
      <c r="I479" s="591"/>
      <c r="J479" s="591"/>
      <c r="K479" s="542"/>
      <c r="O479" s="1134"/>
      <c r="Q479" s="1133"/>
    </row>
    <row r="480" spans="2:17" x14ac:dyDescent="0.3">
      <c r="B480" s="126"/>
      <c r="C480" s="583">
        <v>99</v>
      </c>
      <c r="D480" s="625" t="e">
        <f t="shared" si="27"/>
        <v>#VALUE!</v>
      </c>
      <c r="E480" s="591"/>
      <c r="F480" s="591"/>
      <c r="G480" s="591"/>
      <c r="H480" s="591"/>
      <c r="I480" s="591"/>
      <c r="J480" s="591"/>
      <c r="K480" s="542"/>
      <c r="O480" s="1134"/>
      <c r="Q480" s="1133"/>
    </row>
    <row r="481" spans="2:17" x14ac:dyDescent="0.3">
      <c r="B481" s="126"/>
      <c r="C481" s="583">
        <v>100</v>
      </c>
      <c r="D481" s="625" t="e">
        <f t="shared" si="27"/>
        <v>#VALUE!</v>
      </c>
      <c r="E481" s="591"/>
      <c r="F481" s="591"/>
      <c r="G481" s="591"/>
      <c r="H481" s="591"/>
      <c r="I481" s="591"/>
      <c r="J481" s="591"/>
      <c r="K481" s="542"/>
      <c r="O481" s="1134"/>
      <c r="Q481" s="1133"/>
    </row>
    <row r="482" spans="2:17" x14ac:dyDescent="0.3">
      <c r="B482" s="126"/>
      <c r="C482" s="583">
        <v>101</v>
      </c>
      <c r="D482" s="625" t="e">
        <f t="shared" si="27"/>
        <v>#VALUE!</v>
      </c>
      <c r="E482" s="591"/>
      <c r="F482" s="591"/>
      <c r="G482" s="591"/>
      <c r="H482" s="591"/>
      <c r="I482" s="591"/>
      <c r="J482" s="591"/>
      <c r="K482" s="542"/>
      <c r="O482" s="1134"/>
      <c r="Q482" s="1133"/>
    </row>
    <row r="483" spans="2:17" x14ac:dyDescent="0.3">
      <c r="B483" s="126"/>
      <c r="C483" s="583">
        <v>102</v>
      </c>
      <c r="D483" s="625" t="e">
        <f t="shared" si="27"/>
        <v>#VALUE!</v>
      </c>
      <c r="E483" s="591"/>
      <c r="F483" s="591"/>
      <c r="G483" s="591"/>
      <c r="H483" s="591"/>
      <c r="I483" s="591"/>
      <c r="J483" s="591"/>
      <c r="K483" s="542"/>
      <c r="O483" s="1134"/>
      <c r="Q483" s="1133"/>
    </row>
    <row r="484" spans="2:17" x14ac:dyDescent="0.3">
      <c r="B484" s="126"/>
      <c r="C484" s="583">
        <v>103</v>
      </c>
      <c r="D484" s="625" t="e">
        <f t="shared" si="27"/>
        <v>#VALUE!</v>
      </c>
      <c r="E484" s="591"/>
      <c r="F484" s="591"/>
      <c r="G484" s="591"/>
      <c r="H484" s="591"/>
      <c r="I484" s="591"/>
      <c r="J484" s="591"/>
      <c r="K484" s="542"/>
      <c r="O484" s="1134"/>
      <c r="Q484" s="1133"/>
    </row>
    <row r="485" spans="2:17" x14ac:dyDescent="0.3">
      <c r="B485" s="126"/>
      <c r="C485" s="583">
        <v>104</v>
      </c>
      <c r="D485" s="625" t="e">
        <f t="shared" si="27"/>
        <v>#VALUE!</v>
      </c>
      <c r="E485" s="591"/>
      <c r="F485" s="591"/>
      <c r="G485" s="591"/>
      <c r="H485" s="591"/>
      <c r="I485" s="591"/>
      <c r="J485" s="591"/>
      <c r="K485" s="542"/>
      <c r="O485" s="1134"/>
      <c r="Q485" s="1133"/>
    </row>
    <row r="486" spans="2:17" x14ac:dyDescent="0.3">
      <c r="B486" s="126"/>
      <c r="C486" s="583">
        <v>105</v>
      </c>
      <c r="D486" s="625" t="e">
        <f t="shared" si="27"/>
        <v>#VALUE!</v>
      </c>
      <c r="E486" s="591"/>
      <c r="F486" s="591"/>
      <c r="G486" s="591"/>
      <c r="H486" s="591"/>
      <c r="I486" s="591"/>
      <c r="J486" s="591"/>
      <c r="K486" s="542"/>
      <c r="O486" s="1134"/>
      <c r="Q486" s="1133"/>
    </row>
    <row r="487" spans="2:17" x14ac:dyDescent="0.3">
      <c r="B487" s="126"/>
      <c r="C487" s="583">
        <v>106</v>
      </c>
      <c r="D487" s="625" t="e">
        <f t="shared" si="27"/>
        <v>#VALUE!</v>
      </c>
      <c r="E487" s="591"/>
      <c r="F487" s="591"/>
      <c r="G487" s="591"/>
      <c r="H487" s="591"/>
      <c r="I487" s="591"/>
      <c r="J487" s="591"/>
      <c r="K487" s="542"/>
      <c r="O487" s="1134"/>
      <c r="Q487" s="1133"/>
    </row>
    <row r="488" spans="2:17" x14ac:dyDescent="0.3">
      <c r="B488" s="126"/>
      <c r="C488" s="583">
        <v>107</v>
      </c>
      <c r="D488" s="625" t="e">
        <f t="shared" si="27"/>
        <v>#VALUE!</v>
      </c>
      <c r="E488" s="591"/>
      <c r="F488" s="591"/>
      <c r="G488" s="591"/>
      <c r="H488" s="591"/>
      <c r="I488" s="591"/>
      <c r="J488" s="591"/>
      <c r="K488" s="542"/>
      <c r="O488" s="1134"/>
      <c r="Q488" s="1133"/>
    </row>
    <row r="489" spans="2:17" x14ac:dyDescent="0.3">
      <c r="B489" s="126"/>
      <c r="C489" s="583">
        <v>108</v>
      </c>
      <c r="D489" s="625" t="e">
        <f t="shared" si="27"/>
        <v>#VALUE!</v>
      </c>
      <c r="E489" s="591"/>
      <c r="F489" s="591"/>
      <c r="G489" s="591"/>
      <c r="H489" s="591"/>
      <c r="I489" s="591"/>
      <c r="J489" s="591"/>
      <c r="K489" s="542"/>
      <c r="O489" s="1134"/>
      <c r="Q489" s="1133"/>
    </row>
    <row r="490" spans="2:17" x14ac:dyDescent="0.3">
      <c r="B490" s="126"/>
      <c r="C490" s="583">
        <v>109</v>
      </c>
      <c r="D490" s="625" t="e">
        <f t="shared" si="27"/>
        <v>#VALUE!</v>
      </c>
      <c r="E490" s="591"/>
      <c r="F490" s="591"/>
      <c r="G490" s="591"/>
      <c r="H490" s="591"/>
      <c r="I490" s="591"/>
      <c r="J490" s="591"/>
      <c r="K490" s="542"/>
      <c r="O490" s="1134"/>
      <c r="Q490" s="1133"/>
    </row>
    <row r="491" spans="2:17" x14ac:dyDescent="0.3">
      <c r="B491" s="126"/>
      <c r="C491" s="583">
        <v>110</v>
      </c>
      <c r="D491" s="625" t="e">
        <f t="shared" si="27"/>
        <v>#VALUE!</v>
      </c>
      <c r="E491" s="591"/>
      <c r="F491" s="591"/>
      <c r="G491" s="591"/>
      <c r="H491" s="591"/>
      <c r="I491" s="591"/>
      <c r="J491" s="591"/>
      <c r="K491" s="542"/>
      <c r="O491" s="1134"/>
      <c r="Q491" s="1133"/>
    </row>
    <row r="492" spans="2:17" x14ac:dyDescent="0.3">
      <c r="B492" s="126"/>
      <c r="C492" s="583">
        <v>111</v>
      </c>
      <c r="D492" s="625" t="e">
        <f t="shared" si="27"/>
        <v>#VALUE!</v>
      </c>
      <c r="E492" s="591"/>
      <c r="F492" s="591"/>
      <c r="G492" s="591"/>
      <c r="H492" s="591"/>
      <c r="I492" s="591"/>
      <c r="J492" s="591"/>
      <c r="K492" s="542"/>
      <c r="O492" s="1134"/>
      <c r="Q492" s="1133"/>
    </row>
    <row r="493" spans="2:17" x14ac:dyDescent="0.3">
      <c r="B493" s="126"/>
      <c r="C493" s="583">
        <v>112</v>
      </c>
      <c r="D493" s="625" t="e">
        <f t="shared" si="27"/>
        <v>#VALUE!</v>
      </c>
      <c r="E493" s="591"/>
      <c r="F493" s="591"/>
      <c r="G493" s="591"/>
      <c r="H493" s="591"/>
      <c r="I493" s="591"/>
      <c r="J493" s="591"/>
      <c r="K493" s="542"/>
      <c r="O493" s="1134"/>
      <c r="Q493" s="1133"/>
    </row>
    <row r="494" spans="2:17" x14ac:dyDescent="0.3">
      <c r="B494" s="126"/>
      <c r="C494" s="583">
        <v>113</v>
      </c>
      <c r="D494" s="625" t="e">
        <f t="shared" si="27"/>
        <v>#VALUE!</v>
      </c>
      <c r="E494" s="591"/>
      <c r="F494" s="591"/>
      <c r="G494" s="591"/>
      <c r="H494" s="591"/>
      <c r="I494" s="591"/>
      <c r="J494" s="591"/>
      <c r="K494" s="542"/>
      <c r="O494" s="1134"/>
      <c r="Q494" s="1133"/>
    </row>
    <row r="495" spans="2:17" x14ac:dyDescent="0.3">
      <c r="B495" s="126"/>
      <c r="C495" s="583">
        <v>114</v>
      </c>
      <c r="D495" s="625" t="e">
        <f t="shared" si="27"/>
        <v>#VALUE!</v>
      </c>
      <c r="E495" s="591"/>
      <c r="F495" s="591"/>
      <c r="G495" s="591"/>
      <c r="H495" s="591"/>
      <c r="I495" s="591"/>
      <c r="J495" s="591"/>
      <c r="K495" s="542"/>
      <c r="O495" s="1134"/>
      <c r="Q495" s="1133"/>
    </row>
    <row r="496" spans="2:17" x14ac:dyDescent="0.3">
      <c r="B496" s="126"/>
      <c r="C496" s="583">
        <v>115</v>
      </c>
      <c r="D496" s="625" t="e">
        <f t="shared" si="27"/>
        <v>#VALUE!</v>
      </c>
      <c r="E496" s="591"/>
      <c r="F496" s="591"/>
      <c r="G496" s="591"/>
      <c r="H496" s="591"/>
      <c r="I496" s="591"/>
      <c r="J496" s="591"/>
      <c r="K496" s="542"/>
      <c r="O496" s="1134"/>
      <c r="Q496" s="1133"/>
    </row>
    <row r="497" spans="2:17" x14ac:dyDescent="0.3">
      <c r="B497" s="126"/>
      <c r="C497" s="583">
        <v>116</v>
      </c>
      <c r="D497" s="625" t="e">
        <f t="shared" si="27"/>
        <v>#VALUE!</v>
      </c>
      <c r="E497" s="591"/>
      <c r="F497" s="591"/>
      <c r="G497" s="591"/>
      <c r="H497" s="591"/>
      <c r="I497" s="591"/>
      <c r="J497" s="591"/>
      <c r="K497" s="542"/>
      <c r="O497" s="1134"/>
      <c r="Q497" s="1133"/>
    </row>
    <row r="498" spans="2:17" x14ac:dyDescent="0.3">
      <c r="B498" s="126"/>
      <c r="C498" s="583">
        <v>117</v>
      </c>
      <c r="D498" s="625" t="e">
        <f t="shared" si="27"/>
        <v>#VALUE!</v>
      </c>
      <c r="E498" s="591"/>
      <c r="F498" s="591"/>
      <c r="G498" s="591"/>
      <c r="H498" s="591"/>
      <c r="I498" s="591"/>
      <c r="J498" s="591"/>
      <c r="K498" s="542"/>
      <c r="O498" s="1134"/>
      <c r="Q498" s="1133"/>
    </row>
    <row r="499" spans="2:17" x14ac:dyDescent="0.3">
      <c r="B499" s="126"/>
      <c r="C499" s="583">
        <v>118</v>
      </c>
      <c r="D499" s="625" t="e">
        <f t="shared" si="27"/>
        <v>#VALUE!</v>
      </c>
      <c r="E499" s="591"/>
      <c r="F499" s="591"/>
      <c r="G499" s="591"/>
      <c r="H499" s="591"/>
      <c r="I499" s="591"/>
      <c r="J499" s="591"/>
      <c r="K499" s="542"/>
      <c r="O499" s="1134"/>
      <c r="Q499" s="1133"/>
    </row>
    <row r="500" spans="2:17" x14ac:dyDescent="0.3">
      <c r="B500" s="126"/>
      <c r="C500" s="583">
        <v>119</v>
      </c>
      <c r="D500" s="625" t="e">
        <f t="shared" si="27"/>
        <v>#VALUE!</v>
      </c>
      <c r="E500" s="591"/>
      <c r="F500" s="591"/>
      <c r="G500" s="591"/>
      <c r="H500" s="591"/>
      <c r="I500" s="591"/>
      <c r="J500" s="591"/>
      <c r="K500" s="542"/>
      <c r="O500" s="1134"/>
      <c r="Q500" s="1133"/>
    </row>
    <row r="501" spans="2:17" x14ac:dyDescent="0.3">
      <c r="B501" s="126"/>
      <c r="C501" s="583">
        <v>120</v>
      </c>
      <c r="D501" s="625" t="e">
        <f t="shared" si="27"/>
        <v>#VALUE!</v>
      </c>
      <c r="E501" s="591"/>
      <c r="F501" s="591"/>
      <c r="G501" s="591"/>
      <c r="H501" s="591"/>
      <c r="I501" s="591"/>
      <c r="J501" s="591"/>
      <c r="K501" s="542"/>
      <c r="O501" s="1134"/>
      <c r="Q501" s="1133"/>
    </row>
    <row r="502" spans="2:17" x14ac:dyDescent="0.3">
      <c r="B502" s="126"/>
      <c r="C502" s="583">
        <v>121</v>
      </c>
      <c r="D502" s="625" t="e">
        <f t="shared" si="27"/>
        <v>#VALUE!</v>
      </c>
      <c r="E502" s="591"/>
      <c r="F502" s="591"/>
      <c r="G502" s="591"/>
      <c r="H502" s="591"/>
      <c r="I502" s="591"/>
      <c r="J502" s="591"/>
      <c r="K502" s="542"/>
      <c r="O502" s="1134"/>
      <c r="Q502" s="1133"/>
    </row>
    <row r="503" spans="2:17" x14ac:dyDescent="0.3">
      <c r="B503" s="126"/>
      <c r="C503" s="583">
        <v>122</v>
      </c>
      <c r="D503" s="625" t="e">
        <f t="shared" si="27"/>
        <v>#VALUE!</v>
      </c>
      <c r="E503" s="591"/>
      <c r="F503" s="591"/>
      <c r="G503" s="591"/>
      <c r="H503" s="591"/>
      <c r="I503" s="591"/>
      <c r="J503" s="591"/>
      <c r="K503" s="542"/>
      <c r="O503" s="1134"/>
      <c r="Q503" s="1133"/>
    </row>
    <row r="504" spans="2:17" x14ac:dyDescent="0.3">
      <c r="B504" s="126"/>
      <c r="C504" s="583">
        <v>123</v>
      </c>
      <c r="D504" s="625" t="e">
        <f t="shared" si="27"/>
        <v>#VALUE!</v>
      </c>
      <c r="E504" s="591"/>
      <c r="F504" s="591"/>
      <c r="G504" s="591"/>
      <c r="H504" s="591"/>
      <c r="I504" s="591"/>
      <c r="J504" s="591"/>
      <c r="K504" s="542"/>
      <c r="O504" s="1134"/>
      <c r="Q504" s="1133"/>
    </row>
    <row r="505" spans="2:17" x14ac:dyDescent="0.3">
      <c r="B505" s="126"/>
      <c r="C505" s="583">
        <v>124</v>
      </c>
      <c r="D505" s="625" t="e">
        <f t="shared" si="27"/>
        <v>#VALUE!</v>
      </c>
      <c r="E505" s="591"/>
      <c r="F505" s="591"/>
      <c r="G505" s="591"/>
      <c r="H505" s="591"/>
      <c r="I505" s="591"/>
      <c r="J505" s="591"/>
      <c r="K505" s="542"/>
      <c r="O505" s="1134"/>
      <c r="Q505" s="1133"/>
    </row>
    <row r="506" spans="2:17" x14ac:dyDescent="0.3">
      <c r="B506" s="126"/>
      <c r="C506" s="583">
        <v>125</v>
      </c>
      <c r="D506" s="625" t="e">
        <f t="shared" si="27"/>
        <v>#VALUE!</v>
      </c>
      <c r="E506" s="591"/>
      <c r="F506" s="591"/>
      <c r="G506" s="591"/>
      <c r="H506" s="591"/>
      <c r="I506" s="591"/>
      <c r="J506" s="591"/>
      <c r="K506" s="542"/>
      <c r="O506" s="1134"/>
      <c r="Q506" s="1133"/>
    </row>
    <row r="507" spans="2:17" x14ac:dyDescent="0.3">
      <c r="B507" s="126"/>
      <c r="C507" s="583">
        <v>126</v>
      </c>
      <c r="D507" s="625" t="e">
        <f t="shared" si="27"/>
        <v>#VALUE!</v>
      </c>
      <c r="E507" s="591"/>
      <c r="F507" s="591"/>
      <c r="G507" s="591"/>
      <c r="H507" s="591"/>
      <c r="I507" s="591"/>
      <c r="J507" s="591"/>
      <c r="K507" s="542"/>
      <c r="O507" s="1134"/>
      <c r="Q507" s="1133"/>
    </row>
    <row r="508" spans="2:17" x14ac:dyDescent="0.3">
      <c r="B508" s="126"/>
      <c r="C508" s="583">
        <v>127</v>
      </c>
      <c r="D508" s="625" t="e">
        <f t="shared" si="27"/>
        <v>#VALUE!</v>
      </c>
      <c r="E508" s="591"/>
      <c r="F508" s="591"/>
      <c r="G508" s="591"/>
      <c r="H508" s="591"/>
      <c r="I508" s="591"/>
      <c r="J508" s="591"/>
      <c r="K508" s="542"/>
      <c r="O508" s="1134"/>
      <c r="Q508" s="1133"/>
    </row>
    <row r="509" spans="2:17" x14ac:dyDescent="0.3">
      <c r="B509" s="126"/>
      <c r="C509" s="583">
        <v>128</v>
      </c>
      <c r="D509" s="625" t="e">
        <f t="shared" ref="D509:D572" si="28">$C$360*C509</f>
        <v>#VALUE!</v>
      </c>
      <c r="E509" s="591"/>
      <c r="F509" s="591"/>
      <c r="G509" s="591"/>
      <c r="H509" s="591"/>
      <c r="I509" s="591"/>
      <c r="J509" s="591"/>
      <c r="K509" s="542"/>
      <c r="O509" s="1134"/>
      <c r="Q509" s="1133"/>
    </row>
    <row r="510" spans="2:17" x14ac:dyDescent="0.3">
      <c r="B510" s="126"/>
      <c r="C510" s="583">
        <v>129</v>
      </c>
      <c r="D510" s="625" t="e">
        <f t="shared" si="28"/>
        <v>#VALUE!</v>
      </c>
      <c r="E510" s="591"/>
      <c r="F510" s="591"/>
      <c r="G510" s="591"/>
      <c r="H510" s="591"/>
      <c r="I510" s="591"/>
      <c r="J510" s="591"/>
      <c r="K510" s="542"/>
      <c r="O510" s="1134"/>
      <c r="Q510" s="1133"/>
    </row>
    <row r="511" spans="2:17" x14ac:dyDescent="0.3">
      <c r="B511" s="126"/>
      <c r="C511" s="583">
        <v>130</v>
      </c>
      <c r="D511" s="625" t="e">
        <f t="shared" si="28"/>
        <v>#VALUE!</v>
      </c>
      <c r="E511" s="591"/>
      <c r="F511" s="591"/>
      <c r="G511" s="591"/>
      <c r="H511" s="591"/>
      <c r="I511" s="591"/>
      <c r="J511" s="591"/>
      <c r="K511" s="542"/>
      <c r="O511" s="1134"/>
      <c r="Q511" s="1133"/>
    </row>
    <row r="512" spans="2:17" x14ac:dyDescent="0.3">
      <c r="B512" s="126"/>
      <c r="C512" s="583">
        <v>131</v>
      </c>
      <c r="D512" s="625" t="e">
        <f t="shared" si="28"/>
        <v>#VALUE!</v>
      </c>
      <c r="E512" s="591"/>
      <c r="F512" s="591"/>
      <c r="G512" s="591"/>
      <c r="H512" s="591"/>
      <c r="I512" s="591"/>
      <c r="J512" s="591"/>
      <c r="K512" s="542"/>
      <c r="O512" s="1134"/>
      <c r="Q512" s="1133"/>
    </row>
    <row r="513" spans="2:17" x14ac:dyDescent="0.3">
      <c r="B513" s="126"/>
      <c r="C513" s="583">
        <v>132</v>
      </c>
      <c r="D513" s="625" t="e">
        <f t="shared" si="28"/>
        <v>#VALUE!</v>
      </c>
      <c r="E513" s="591"/>
      <c r="F513" s="591"/>
      <c r="G513" s="591"/>
      <c r="H513" s="591"/>
      <c r="I513" s="591"/>
      <c r="J513" s="591"/>
      <c r="K513" s="542"/>
      <c r="O513" s="1134"/>
      <c r="Q513" s="1133"/>
    </row>
    <row r="514" spans="2:17" x14ac:dyDescent="0.3">
      <c r="B514" s="126"/>
      <c r="C514" s="583">
        <v>133</v>
      </c>
      <c r="D514" s="625" t="e">
        <f t="shared" si="28"/>
        <v>#VALUE!</v>
      </c>
      <c r="E514" s="591"/>
      <c r="F514" s="591"/>
      <c r="G514" s="591"/>
      <c r="H514" s="591"/>
      <c r="I514" s="591"/>
      <c r="J514" s="591"/>
      <c r="K514" s="542"/>
      <c r="O514" s="1134"/>
      <c r="Q514" s="1133"/>
    </row>
    <row r="515" spans="2:17" x14ac:dyDescent="0.3">
      <c r="B515" s="126"/>
      <c r="C515" s="583">
        <v>134</v>
      </c>
      <c r="D515" s="625" t="e">
        <f t="shared" si="28"/>
        <v>#VALUE!</v>
      </c>
      <c r="E515" s="591"/>
      <c r="F515" s="591"/>
      <c r="G515" s="591"/>
      <c r="H515" s="591"/>
      <c r="I515" s="591"/>
      <c r="J515" s="591"/>
      <c r="K515" s="542"/>
      <c r="O515" s="1134"/>
      <c r="Q515" s="1133"/>
    </row>
    <row r="516" spans="2:17" x14ac:dyDescent="0.3">
      <c r="B516" s="126"/>
      <c r="C516" s="583">
        <v>135</v>
      </c>
      <c r="D516" s="625" t="e">
        <f t="shared" si="28"/>
        <v>#VALUE!</v>
      </c>
      <c r="E516" s="591"/>
      <c r="F516" s="591"/>
      <c r="G516" s="591"/>
      <c r="H516" s="591"/>
      <c r="I516" s="591"/>
      <c r="J516" s="591"/>
      <c r="K516" s="542"/>
      <c r="O516" s="1134"/>
      <c r="Q516" s="1133"/>
    </row>
    <row r="517" spans="2:17" x14ac:dyDescent="0.3">
      <c r="B517" s="126"/>
      <c r="C517" s="583">
        <v>136</v>
      </c>
      <c r="D517" s="625" t="e">
        <f t="shared" si="28"/>
        <v>#VALUE!</v>
      </c>
      <c r="E517" s="591"/>
      <c r="F517" s="591"/>
      <c r="G517" s="591"/>
      <c r="H517" s="591"/>
      <c r="I517" s="591"/>
      <c r="J517" s="591"/>
      <c r="K517" s="542"/>
      <c r="O517" s="1134"/>
      <c r="Q517" s="1133"/>
    </row>
    <row r="518" spans="2:17" x14ac:dyDescent="0.3">
      <c r="B518" s="126"/>
      <c r="C518" s="583">
        <v>137</v>
      </c>
      <c r="D518" s="625" t="e">
        <f t="shared" si="28"/>
        <v>#VALUE!</v>
      </c>
      <c r="E518" s="591"/>
      <c r="F518" s="591"/>
      <c r="G518" s="591"/>
      <c r="H518" s="591"/>
      <c r="I518" s="591"/>
      <c r="J518" s="591"/>
      <c r="K518" s="542"/>
      <c r="O518" s="1134"/>
      <c r="Q518" s="1133"/>
    </row>
    <row r="519" spans="2:17" x14ac:dyDescent="0.3">
      <c r="B519" s="126"/>
      <c r="C519" s="583">
        <v>138</v>
      </c>
      <c r="D519" s="625" t="e">
        <f t="shared" si="28"/>
        <v>#VALUE!</v>
      </c>
      <c r="E519" s="591"/>
      <c r="F519" s="591"/>
      <c r="G519" s="591"/>
      <c r="H519" s="591"/>
      <c r="I519" s="591"/>
      <c r="J519" s="591"/>
      <c r="K519" s="542"/>
      <c r="O519" s="1134"/>
      <c r="Q519" s="1133"/>
    </row>
    <row r="520" spans="2:17" x14ac:dyDescent="0.3">
      <c r="B520" s="126"/>
      <c r="C520" s="583">
        <v>139</v>
      </c>
      <c r="D520" s="625" t="e">
        <f t="shared" si="28"/>
        <v>#VALUE!</v>
      </c>
      <c r="E520" s="591"/>
      <c r="F520" s="591"/>
      <c r="G520" s="591"/>
      <c r="H520" s="591"/>
      <c r="I520" s="591"/>
      <c r="J520" s="591"/>
      <c r="K520" s="542"/>
      <c r="O520" s="1134"/>
      <c r="Q520" s="1133"/>
    </row>
    <row r="521" spans="2:17" x14ac:dyDescent="0.3">
      <c r="B521" s="126"/>
      <c r="C521" s="583">
        <v>140</v>
      </c>
      <c r="D521" s="625" t="e">
        <f t="shared" si="28"/>
        <v>#VALUE!</v>
      </c>
      <c r="E521" s="591"/>
      <c r="F521" s="591"/>
      <c r="G521" s="591"/>
      <c r="H521" s="591"/>
      <c r="I521" s="591"/>
      <c r="J521" s="591"/>
      <c r="K521" s="542"/>
      <c r="O521" s="1134"/>
      <c r="Q521" s="1133"/>
    </row>
    <row r="522" spans="2:17" x14ac:dyDescent="0.3">
      <c r="B522" s="126"/>
      <c r="C522" s="583">
        <v>141</v>
      </c>
      <c r="D522" s="625" t="e">
        <f t="shared" si="28"/>
        <v>#VALUE!</v>
      </c>
      <c r="E522" s="591"/>
      <c r="F522" s="591"/>
      <c r="G522" s="591"/>
      <c r="H522" s="591"/>
      <c r="I522" s="591"/>
      <c r="J522" s="591"/>
      <c r="K522" s="542"/>
      <c r="O522" s="1134"/>
      <c r="Q522" s="1133"/>
    </row>
    <row r="523" spans="2:17" x14ac:dyDescent="0.3">
      <c r="B523" s="126"/>
      <c r="C523" s="583">
        <v>142</v>
      </c>
      <c r="D523" s="625" t="e">
        <f t="shared" si="28"/>
        <v>#VALUE!</v>
      </c>
      <c r="E523" s="591"/>
      <c r="F523" s="591"/>
      <c r="G523" s="591"/>
      <c r="H523" s="591"/>
      <c r="I523" s="591"/>
      <c r="J523" s="591"/>
      <c r="K523" s="542"/>
      <c r="O523" s="1134"/>
      <c r="Q523" s="1133"/>
    </row>
    <row r="524" spans="2:17" x14ac:dyDescent="0.3">
      <c r="B524" s="126"/>
      <c r="C524" s="583">
        <v>143</v>
      </c>
      <c r="D524" s="625" t="e">
        <f t="shared" si="28"/>
        <v>#VALUE!</v>
      </c>
      <c r="E524" s="591"/>
      <c r="F524" s="591"/>
      <c r="G524" s="591"/>
      <c r="H524" s="591"/>
      <c r="I524" s="591"/>
      <c r="J524" s="591"/>
      <c r="K524" s="542"/>
      <c r="O524" s="1134"/>
      <c r="Q524" s="1133"/>
    </row>
    <row r="525" spans="2:17" x14ac:dyDescent="0.3">
      <c r="B525" s="126"/>
      <c r="C525" s="583">
        <v>144</v>
      </c>
      <c r="D525" s="625" t="e">
        <f t="shared" si="28"/>
        <v>#VALUE!</v>
      </c>
      <c r="E525" s="591"/>
      <c r="F525" s="591"/>
      <c r="G525" s="591"/>
      <c r="H525" s="591"/>
      <c r="I525" s="591"/>
      <c r="J525" s="591"/>
      <c r="K525" s="542"/>
      <c r="O525" s="1134"/>
      <c r="Q525" s="1133"/>
    </row>
    <row r="526" spans="2:17" x14ac:dyDescent="0.3">
      <c r="B526" s="126"/>
      <c r="C526" s="583">
        <v>145</v>
      </c>
      <c r="D526" s="625" t="e">
        <f t="shared" si="28"/>
        <v>#VALUE!</v>
      </c>
      <c r="E526" s="591"/>
      <c r="F526" s="591"/>
      <c r="G526" s="591"/>
      <c r="H526" s="591"/>
      <c r="I526" s="591"/>
      <c r="J526" s="591"/>
      <c r="K526" s="542"/>
      <c r="O526" s="1134"/>
      <c r="Q526" s="1133"/>
    </row>
    <row r="527" spans="2:17" x14ac:dyDescent="0.3">
      <c r="B527" s="126"/>
      <c r="C527" s="583">
        <v>146</v>
      </c>
      <c r="D527" s="625" t="e">
        <f t="shared" si="28"/>
        <v>#VALUE!</v>
      </c>
      <c r="E527" s="591"/>
      <c r="F527" s="591"/>
      <c r="G527" s="591"/>
      <c r="H527" s="591"/>
      <c r="I527" s="591"/>
      <c r="J527" s="591"/>
      <c r="K527" s="542"/>
      <c r="O527" s="1134"/>
      <c r="Q527" s="1133"/>
    </row>
    <row r="528" spans="2:17" x14ac:dyDescent="0.3">
      <c r="B528" s="126"/>
      <c r="C528" s="583">
        <v>147</v>
      </c>
      <c r="D528" s="625" t="e">
        <f t="shared" si="28"/>
        <v>#VALUE!</v>
      </c>
      <c r="E528" s="591"/>
      <c r="F528" s="591"/>
      <c r="G528" s="591"/>
      <c r="H528" s="591"/>
      <c r="I528" s="591"/>
      <c r="J528" s="591"/>
      <c r="K528" s="542"/>
      <c r="O528" s="1134"/>
      <c r="Q528" s="1133"/>
    </row>
    <row r="529" spans="2:17" x14ac:dyDescent="0.3">
      <c r="B529" s="126"/>
      <c r="C529" s="583">
        <v>148</v>
      </c>
      <c r="D529" s="625" t="e">
        <f t="shared" si="28"/>
        <v>#VALUE!</v>
      </c>
      <c r="E529" s="591"/>
      <c r="F529" s="591"/>
      <c r="G529" s="591"/>
      <c r="H529" s="591"/>
      <c r="I529" s="591"/>
      <c r="J529" s="591"/>
      <c r="K529" s="542"/>
      <c r="O529" s="1134"/>
      <c r="Q529" s="1133"/>
    </row>
    <row r="530" spans="2:17" x14ac:dyDescent="0.3">
      <c r="B530" s="126"/>
      <c r="C530" s="583">
        <v>149</v>
      </c>
      <c r="D530" s="625" t="e">
        <f t="shared" si="28"/>
        <v>#VALUE!</v>
      </c>
      <c r="E530" s="591"/>
      <c r="F530" s="591"/>
      <c r="G530" s="591"/>
      <c r="H530" s="591"/>
      <c r="I530" s="591"/>
      <c r="J530" s="591"/>
      <c r="K530" s="542"/>
      <c r="O530" s="1134"/>
      <c r="Q530" s="1133"/>
    </row>
    <row r="531" spans="2:17" x14ac:dyDescent="0.3">
      <c r="B531" s="126"/>
      <c r="C531" s="583">
        <v>150</v>
      </c>
      <c r="D531" s="625" t="e">
        <f t="shared" si="28"/>
        <v>#VALUE!</v>
      </c>
      <c r="E531" s="591"/>
      <c r="F531" s="591"/>
      <c r="G531" s="591"/>
      <c r="H531" s="591"/>
      <c r="I531" s="591"/>
      <c r="J531" s="591"/>
      <c r="K531" s="542"/>
      <c r="O531" s="1134"/>
      <c r="Q531" s="1133"/>
    </row>
    <row r="532" spans="2:17" x14ac:dyDescent="0.3">
      <c r="B532" s="126"/>
      <c r="C532" s="583">
        <v>151</v>
      </c>
      <c r="D532" s="625" t="e">
        <f t="shared" si="28"/>
        <v>#VALUE!</v>
      </c>
      <c r="E532" s="591"/>
      <c r="F532" s="591"/>
      <c r="G532" s="591"/>
      <c r="H532" s="591"/>
      <c r="I532" s="591"/>
      <c r="J532" s="591"/>
      <c r="K532" s="542"/>
      <c r="O532" s="1134"/>
      <c r="Q532" s="1133"/>
    </row>
    <row r="533" spans="2:17" x14ac:dyDescent="0.3">
      <c r="B533" s="126"/>
      <c r="C533" s="583">
        <v>152</v>
      </c>
      <c r="D533" s="625" t="e">
        <f t="shared" si="28"/>
        <v>#VALUE!</v>
      </c>
      <c r="E533" s="591"/>
      <c r="F533" s="591"/>
      <c r="G533" s="591"/>
      <c r="H533" s="591"/>
      <c r="I533" s="591"/>
      <c r="J533" s="591"/>
      <c r="K533" s="542"/>
      <c r="O533" s="1134"/>
      <c r="Q533" s="1133"/>
    </row>
    <row r="534" spans="2:17" x14ac:dyDescent="0.3">
      <c r="B534" s="126"/>
      <c r="C534" s="583">
        <v>153</v>
      </c>
      <c r="D534" s="625" t="e">
        <f t="shared" si="28"/>
        <v>#VALUE!</v>
      </c>
      <c r="E534" s="591"/>
      <c r="F534" s="591"/>
      <c r="G534" s="591"/>
      <c r="H534" s="591"/>
      <c r="I534" s="591"/>
      <c r="J534" s="591"/>
      <c r="K534" s="542"/>
      <c r="O534" s="1134"/>
      <c r="Q534" s="1133"/>
    </row>
    <row r="535" spans="2:17" x14ac:dyDescent="0.3">
      <c r="B535" s="126"/>
      <c r="C535" s="583">
        <v>154</v>
      </c>
      <c r="D535" s="625" t="e">
        <f t="shared" si="28"/>
        <v>#VALUE!</v>
      </c>
      <c r="E535" s="591"/>
      <c r="F535" s="591"/>
      <c r="G535" s="591"/>
      <c r="H535" s="591"/>
      <c r="I535" s="591"/>
      <c r="J535" s="591"/>
      <c r="K535" s="542"/>
      <c r="O535" s="1134"/>
      <c r="Q535" s="1133"/>
    </row>
    <row r="536" spans="2:17" x14ac:dyDescent="0.3">
      <c r="B536" s="126"/>
      <c r="C536" s="583">
        <v>155</v>
      </c>
      <c r="D536" s="625" t="e">
        <f t="shared" si="28"/>
        <v>#VALUE!</v>
      </c>
      <c r="E536" s="591"/>
      <c r="F536" s="591"/>
      <c r="G536" s="591"/>
      <c r="H536" s="591"/>
      <c r="I536" s="591"/>
      <c r="J536" s="591"/>
      <c r="K536" s="542"/>
      <c r="O536" s="1134"/>
      <c r="Q536" s="1133"/>
    </row>
    <row r="537" spans="2:17" x14ac:dyDescent="0.3">
      <c r="B537" s="126"/>
      <c r="C537" s="583">
        <v>156</v>
      </c>
      <c r="D537" s="625" t="e">
        <f t="shared" si="28"/>
        <v>#VALUE!</v>
      </c>
      <c r="E537" s="591"/>
      <c r="F537" s="591"/>
      <c r="G537" s="591"/>
      <c r="H537" s="591"/>
      <c r="I537" s="591"/>
      <c r="J537" s="591"/>
      <c r="K537" s="542"/>
      <c r="O537" s="1134"/>
      <c r="Q537" s="1133"/>
    </row>
    <row r="538" spans="2:17" x14ac:dyDescent="0.3">
      <c r="B538" s="126"/>
      <c r="C538" s="583">
        <v>157</v>
      </c>
      <c r="D538" s="625" t="e">
        <f t="shared" si="28"/>
        <v>#VALUE!</v>
      </c>
      <c r="E538" s="591"/>
      <c r="F538" s="591"/>
      <c r="G538" s="591"/>
      <c r="H538" s="591"/>
      <c r="I538" s="591"/>
      <c r="J538" s="591"/>
      <c r="K538" s="542"/>
      <c r="O538" s="1134"/>
      <c r="Q538" s="1133"/>
    </row>
    <row r="539" spans="2:17" x14ac:dyDescent="0.3">
      <c r="B539" s="126"/>
      <c r="C539" s="583">
        <v>158</v>
      </c>
      <c r="D539" s="625" t="e">
        <f t="shared" si="28"/>
        <v>#VALUE!</v>
      </c>
      <c r="E539" s="591"/>
      <c r="F539" s="591"/>
      <c r="G539" s="591"/>
      <c r="H539" s="591"/>
      <c r="I539" s="591"/>
      <c r="J539" s="591"/>
      <c r="K539" s="542"/>
      <c r="O539" s="1134"/>
      <c r="Q539" s="1133"/>
    </row>
    <row r="540" spans="2:17" x14ac:dyDescent="0.3">
      <c r="B540" s="126"/>
      <c r="C540" s="583">
        <v>159</v>
      </c>
      <c r="D540" s="625" t="e">
        <f t="shared" si="28"/>
        <v>#VALUE!</v>
      </c>
      <c r="E540" s="591"/>
      <c r="F540" s="591"/>
      <c r="G540" s="591"/>
      <c r="H540" s="591"/>
      <c r="I540" s="591"/>
      <c r="J540" s="591"/>
      <c r="K540" s="542"/>
      <c r="O540" s="1134"/>
      <c r="Q540" s="1133"/>
    </row>
    <row r="541" spans="2:17" x14ac:dyDescent="0.3">
      <c r="B541" s="126"/>
      <c r="C541" s="583">
        <v>160</v>
      </c>
      <c r="D541" s="625" t="e">
        <f t="shared" si="28"/>
        <v>#VALUE!</v>
      </c>
      <c r="E541" s="591"/>
      <c r="F541" s="591"/>
      <c r="G541" s="591"/>
      <c r="H541" s="591"/>
      <c r="I541" s="591"/>
      <c r="J541" s="591"/>
      <c r="K541" s="542"/>
      <c r="O541" s="1134"/>
      <c r="Q541" s="1133"/>
    </row>
    <row r="542" spans="2:17" x14ac:dyDescent="0.3">
      <c r="B542" s="126"/>
      <c r="C542" s="583">
        <v>161</v>
      </c>
      <c r="D542" s="625" t="e">
        <f t="shared" si="28"/>
        <v>#VALUE!</v>
      </c>
      <c r="E542" s="591"/>
      <c r="F542" s="591"/>
      <c r="G542" s="591"/>
      <c r="H542" s="591"/>
      <c r="I542" s="591"/>
      <c r="J542" s="591"/>
      <c r="K542" s="542"/>
      <c r="O542" s="1134"/>
      <c r="Q542" s="1133"/>
    </row>
    <row r="543" spans="2:17" x14ac:dyDescent="0.3">
      <c r="B543" s="126"/>
      <c r="C543" s="583">
        <v>162</v>
      </c>
      <c r="D543" s="625" t="e">
        <f t="shared" si="28"/>
        <v>#VALUE!</v>
      </c>
      <c r="E543" s="591"/>
      <c r="F543" s="591"/>
      <c r="G543" s="591"/>
      <c r="H543" s="591"/>
      <c r="I543" s="591"/>
      <c r="J543" s="591"/>
      <c r="K543" s="542"/>
      <c r="O543" s="1134"/>
      <c r="Q543" s="1133"/>
    </row>
    <row r="544" spans="2:17" x14ac:dyDescent="0.3">
      <c r="B544" s="126"/>
      <c r="C544" s="583">
        <v>163</v>
      </c>
      <c r="D544" s="625" t="e">
        <f t="shared" si="28"/>
        <v>#VALUE!</v>
      </c>
      <c r="E544" s="591"/>
      <c r="F544" s="591"/>
      <c r="G544" s="591"/>
      <c r="H544" s="591"/>
      <c r="I544" s="591"/>
      <c r="J544" s="591"/>
      <c r="K544" s="542"/>
      <c r="O544" s="1134"/>
      <c r="Q544" s="1133"/>
    </row>
    <row r="545" spans="2:17" x14ac:dyDescent="0.3">
      <c r="B545" s="126"/>
      <c r="C545" s="583">
        <v>164</v>
      </c>
      <c r="D545" s="625" t="e">
        <f t="shared" si="28"/>
        <v>#VALUE!</v>
      </c>
      <c r="E545" s="591"/>
      <c r="F545" s="591"/>
      <c r="G545" s="591"/>
      <c r="H545" s="591"/>
      <c r="I545" s="591"/>
      <c r="J545" s="591"/>
      <c r="K545" s="542"/>
      <c r="O545" s="1134"/>
      <c r="Q545" s="1133"/>
    </row>
    <row r="546" spans="2:17" x14ac:dyDescent="0.3">
      <c r="B546" s="126"/>
      <c r="C546" s="583">
        <v>165</v>
      </c>
      <c r="D546" s="625" t="e">
        <f t="shared" si="28"/>
        <v>#VALUE!</v>
      </c>
      <c r="E546" s="591"/>
      <c r="F546" s="591"/>
      <c r="G546" s="591"/>
      <c r="H546" s="591"/>
      <c r="I546" s="591"/>
      <c r="J546" s="591"/>
      <c r="K546" s="542"/>
      <c r="O546" s="1134"/>
      <c r="Q546" s="1133"/>
    </row>
    <row r="547" spans="2:17" x14ac:dyDescent="0.3">
      <c r="B547" s="126"/>
      <c r="C547" s="583">
        <v>166</v>
      </c>
      <c r="D547" s="625" t="e">
        <f t="shared" si="28"/>
        <v>#VALUE!</v>
      </c>
      <c r="E547" s="591"/>
      <c r="F547" s="591"/>
      <c r="G547" s="591"/>
      <c r="H547" s="591"/>
      <c r="I547" s="591"/>
      <c r="J547" s="591"/>
      <c r="K547" s="542"/>
      <c r="O547" s="1134"/>
      <c r="Q547" s="1133"/>
    </row>
    <row r="548" spans="2:17" x14ac:dyDescent="0.3">
      <c r="B548" s="126"/>
      <c r="C548" s="583">
        <v>167</v>
      </c>
      <c r="D548" s="625" t="e">
        <f t="shared" si="28"/>
        <v>#VALUE!</v>
      </c>
      <c r="E548" s="591"/>
      <c r="F548" s="591"/>
      <c r="G548" s="591"/>
      <c r="H548" s="591"/>
      <c r="I548" s="591"/>
      <c r="J548" s="591"/>
      <c r="K548" s="542"/>
      <c r="O548" s="1134"/>
      <c r="Q548" s="1133"/>
    </row>
    <row r="549" spans="2:17" x14ac:dyDescent="0.3">
      <c r="B549" s="126"/>
      <c r="C549" s="583">
        <v>168</v>
      </c>
      <c r="D549" s="625" t="e">
        <f t="shared" si="28"/>
        <v>#VALUE!</v>
      </c>
      <c r="E549" s="591"/>
      <c r="F549" s="591"/>
      <c r="G549" s="591"/>
      <c r="H549" s="591"/>
      <c r="I549" s="591"/>
      <c r="J549" s="591"/>
      <c r="K549" s="542"/>
      <c r="O549" s="1134"/>
      <c r="Q549" s="1133"/>
    </row>
    <row r="550" spans="2:17" x14ac:dyDescent="0.3">
      <c r="B550" s="126"/>
      <c r="C550" s="583">
        <v>169</v>
      </c>
      <c r="D550" s="625" t="e">
        <f t="shared" si="28"/>
        <v>#VALUE!</v>
      </c>
      <c r="E550" s="591"/>
      <c r="F550" s="591"/>
      <c r="G550" s="591"/>
      <c r="H550" s="591"/>
      <c r="I550" s="591"/>
      <c r="J550" s="591"/>
      <c r="K550" s="542"/>
      <c r="O550" s="1134"/>
      <c r="Q550" s="1133"/>
    </row>
    <row r="551" spans="2:17" x14ac:dyDescent="0.3">
      <c r="B551" s="126"/>
      <c r="C551" s="583">
        <v>170</v>
      </c>
      <c r="D551" s="625" t="e">
        <f t="shared" si="28"/>
        <v>#VALUE!</v>
      </c>
      <c r="E551" s="591"/>
      <c r="F551" s="591"/>
      <c r="G551" s="591"/>
      <c r="H551" s="591"/>
      <c r="I551" s="591"/>
      <c r="J551" s="591"/>
      <c r="K551" s="542"/>
      <c r="O551" s="1134"/>
      <c r="Q551" s="1133"/>
    </row>
    <row r="552" spans="2:17" x14ac:dyDescent="0.3">
      <c r="B552" s="126"/>
      <c r="C552" s="583">
        <v>171</v>
      </c>
      <c r="D552" s="625" t="e">
        <f t="shared" si="28"/>
        <v>#VALUE!</v>
      </c>
      <c r="E552" s="591"/>
      <c r="F552" s="591"/>
      <c r="G552" s="591"/>
      <c r="H552" s="591"/>
      <c r="I552" s="591"/>
      <c r="J552" s="591"/>
      <c r="K552" s="542"/>
      <c r="O552" s="1134"/>
      <c r="Q552" s="1133"/>
    </row>
    <row r="553" spans="2:17" x14ac:dyDescent="0.3">
      <c r="B553" s="126"/>
      <c r="C553" s="583">
        <v>172</v>
      </c>
      <c r="D553" s="625" t="e">
        <f t="shared" si="28"/>
        <v>#VALUE!</v>
      </c>
      <c r="E553" s="591"/>
      <c r="F553" s="591"/>
      <c r="G553" s="591"/>
      <c r="H553" s="591"/>
      <c r="I553" s="591"/>
      <c r="J553" s="591"/>
      <c r="K553" s="542"/>
      <c r="O553" s="1134"/>
      <c r="Q553" s="1133"/>
    </row>
    <row r="554" spans="2:17" x14ac:dyDescent="0.3">
      <c r="B554" s="126"/>
      <c r="C554" s="583">
        <v>173</v>
      </c>
      <c r="D554" s="625" t="e">
        <f t="shared" si="28"/>
        <v>#VALUE!</v>
      </c>
      <c r="E554" s="591"/>
      <c r="F554" s="591"/>
      <c r="G554" s="591"/>
      <c r="H554" s="591"/>
      <c r="I554" s="591"/>
      <c r="J554" s="591"/>
      <c r="K554" s="542"/>
      <c r="O554" s="1134"/>
      <c r="Q554" s="1133"/>
    </row>
    <row r="555" spans="2:17" x14ac:dyDescent="0.3">
      <c r="B555" s="126"/>
      <c r="C555" s="583">
        <v>174</v>
      </c>
      <c r="D555" s="625" t="e">
        <f t="shared" si="28"/>
        <v>#VALUE!</v>
      </c>
      <c r="E555" s="591"/>
      <c r="F555" s="591"/>
      <c r="G555" s="591"/>
      <c r="H555" s="591"/>
      <c r="I555" s="591"/>
      <c r="J555" s="591"/>
      <c r="K555" s="542"/>
      <c r="O555" s="1134"/>
      <c r="Q555" s="1133"/>
    </row>
    <row r="556" spans="2:17" x14ac:dyDescent="0.3">
      <c r="B556" s="126"/>
      <c r="C556" s="583">
        <v>175</v>
      </c>
      <c r="D556" s="625" t="e">
        <f t="shared" si="28"/>
        <v>#VALUE!</v>
      </c>
      <c r="E556" s="591"/>
      <c r="F556" s="591"/>
      <c r="G556" s="591"/>
      <c r="H556" s="591"/>
      <c r="I556" s="591"/>
      <c r="J556" s="591"/>
      <c r="K556" s="542"/>
      <c r="O556" s="1134"/>
      <c r="Q556" s="1133"/>
    </row>
    <row r="557" spans="2:17" x14ac:dyDescent="0.3">
      <c r="B557" s="126"/>
      <c r="C557" s="583">
        <v>176</v>
      </c>
      <c r="D557" s="625" t="e">
        <f t="shared" si="28"/>
        <v>#VALUE!</v>
      </c>
      <c r="E557" s="591"/>
      <c r="F557" s="591"/>
      <c r="G557" s="591"/>
      <c r="H557" s="591"/>
      <c r="I557" s="591"/>
      <c r="J557" s="591"/>
      <c r="K557" s="542"/>
      <c r="O557" s="1134"/>
      <c r="Q557" s="1133"/>
    </row>
    <row r="558" spans="2:17" x14ac:dyDescent="0.3">
      <c r="B558" s="126"/>
      <c r="C558" s="583">
        <v>177</v>
      </c>
      <c r="D558" s="625" t="e">
        <f t="shared" si="28"/>
        <v>#VALUE!</v>
      </c>
      <c r="E558" s="591"/>
      <c r="F558" s="591"/>
      <c r="G558" s="591"/>
      <c r="H558" s="591"/>
      <c r="I558" s="591"/>
      <c r="J558" s="591"/>
      <c r="K558" s="542"/>
      <c r="O558" s="1134"/>
      <c r="Q558" s="1133"/>
    </row>
    <row r="559" spans="2:17" x14ac:dyDescent="0.3">
      <c r="B559" s="126"/>
      <c r="C559" s="583">
        <v>178</v>
      </c>
      <c r="D559" s="625" t="e">
        <f t="shared" si="28"/>
        <v>#VALUE!</v>
      </c>
      <c r="E559" s="591"/>
      <c r="F559" s="591"/>
      <c r="G559" s="591"/>
      <c r="H559" s="591"/>
      <c r="I559" s="591"/>
      <c r="J559" s="591"/>
      <c r="K559" s="542"/>
      <c r="O559" s="1134"/>
      <c r="Q559" s="1133"/>
    </row>
    <row r="560" spans="2:17" x14ac:dyDescent="0.3">
      <c r="B560" s="126"/>
      <c r="C560" s="583">
        <v>179</v>
      </c>
      <c r="D560" s="625" t="e">
        <f t="shared" si="28"/>
        <v>#VALUE!</v>
      </c>
      <c r="E560" s="591"/>
      <c r="F560" s="591"/>
      <c r="G560" s="591"/>
      <c r="H560" s="591"/>
      <c r="I560" s="591"/>
      <c r="J560" s="591"/>
      <c r="K560" s="542"/>
      <c r="O560" s="1134"/>
      <c r="Q560" s="1133"/>
    </row>
    <row r="561" spans="2:17" x14ac:dyDescent="0.3">
      <c r="B561" s="126"/>
      <c r="C561" s="583">
        <v>180</v>
      </c>
      <c r="D561" s="625" t="e">
        <f t="shared" si="28"/>
        <v>#VALUE!</v>
      </c>
      <c r="E561" s="591"/>
      <c r="F561" s="591"/>
      <c r="G561" s="591"/>
      <c r="H561" s="591"/>
      <c r="I561" s="591"/>
      <c r="J561" s="591"/>
      <c r="K561" s="542"/>
      <c r="O561" s="1134"/>
      <c r="Q561" s="1133"/>
    </row>
    <row r="562" spans="2:17" x14ac:dyDescent="0.3">
      <c r="B562" s="126"/>
      <c r="C562" s="583">
        <v>181</v>
      </c>
      <c r="D562" s="625" t="e">
        <f t="shared" si="28"/>
        <v>#VALUE!</v>
      </c>
      <c r="E562" s="591"/>
      <c r="F562" s="591"/>
      <c r="G562" s="591"/>
      <c r="H562" s="591"/>
      <c r="I562" s="591"/>
      <c r="J562" s="591"/>
      <c r="K562" s="542"/>
      <c r="O562" s="1134"/>
      <c r="Q562" s="1133"/>
    </row>
    <row r="563" spans="2:17" x14ac:dyDescent="0.3">
      <c r="B563" s="126"/>
      <c r="C563" s="583">
        <v>182</v>
      </c>
      <c r="D563" s="625" t="e">
        <f t="shared" si="28"/>
        <v>#VALUE!</v>
      </c>
      <c r="E563" s="591"/>
      <c r="F563" s="591"/>
      <c r="G563" s="591"/>
      <c r="H563" s="591"/>
      <c r="I563" s="591"/>
      <c r="J563" s="591"/>
      <c r="K563" s="542"/>
      <c r="O563" s="1134"/>
      <c r="Q563" s="1133"/>
    </row>
    <row r="564" spans="2:17" x14ac:dyDescent="0.3">
      <c r="B564" s="126"/>
      <c r="C564" s="583">
        <v>183</v>
      </c>
      <c r="D564" s="625" t="e">
        <f t="shared" si="28"/>
        <v>#VALUE!</v>
      </c>
      <c r="E564" s="591"/>
      <c r="F564" s="591"/>
      <c r="G564" s="591"/>
      <c r="H564" s="591"/>
      <c r="I564" s="591"/>
      <c r="J564" s="591"/>
      <c r="K564" s="542"/>
      <c r="O564" s="1134"/>
      <c r="Q564" s="1133"/>
    </row>
    <row r="565" spans="2:17" x14ac:dyDescent="0.3">
      <c r="B565" s="126"/>
      <c r="C565" s="583">
        <v>184</v>
      </c>
      <c r="D565" s="625" t="e">
        <f t="shared" si="28"/>
        <v>#VALUE!</v>
      </c>
      <c r="E565" s="591"/>
      <c r="F565" s="591"/>
      <c r="G565" s="591"/>
      <c r="H565" s="591"/>
      <c r="I565" s="591"/>
      <c r="J565" s="591"/>
      <c r="K565" s="542"/>
      <c r="O565" s="1134"/>
      <c r="Q565" s="1133"/>
    </row>
    <row r="566" spans="2:17" x14ac:dyDescent="0.3">
      <c r="B566" s="126"/>
      <c r="C566" s="583">
        <v>185</v>
      </c>
      <c r="D566" s="625" t="e">
        <f t="shared" si="28"/>
        <v>#VALUE!</v>
      </c>
      <c r="E566" s="591"/>
      <c r="F566" s="591"/>
      <c r="G566" s="591"/>
      <c r="H566" s="591"/>
      <c r="I566" s="591"/>
      <c r="J566" s="591"/>
      <c r="K566" s="542"/>
      <c r="O566" s="1134"/>
      <c r="Q566" s="1133"/>
    </row>
    <row r="567" spans="2:17" x14ac:dyDescent="0.3">
      <c r="B567" s="126"/>
      <c r="C567" s="583">
        <v>186</v>
      </c>
      <c r="D567" s="625" t="e">
        <f t="shared" si="28"/>
        <v>#VALUE!</v>
      </c>
      <c r="E567" s="591"/>
      <c r="F567" s="591"/>
      <c r="G567" s="591"/>
      <c r="H567" s="591"/>
      <c r="I567" s="591"/>
      <c r="J567" s="591"/>
      <c r="K567" s="542"/>
      <c r="O567" s="1134"/>
      <c r="Q567" s="1133"/>
    </row>
    <row r="568" spans="2:17" x14ac:dyDescent="0.3">
      <c r="B568" s="126"/>
      <c r="C568" s="583">
        <v>187</v>
      </c>
      <c r="D568" s="625" t="e">
        <f t="shared" si="28"/>
        <v>#VALUE!</v>
      </c>
      <c r="E568" s="591"/>
      <c r="F568" s="591"/>
      <c r="G568" s="591"/>
      <c r="H568" s="591"/>
      <c r="I568" s="591"/>
      <c r="J568" s="591"/>
      <c r="K568" s="542"/>
      <c r="O568" s="1134"/>
      <c r="Q568" s="1133"/>
    </row>
    <row r="569" spans="2:17" x14ac:dyDescent="0.3">
      <c r="B569" s="126"/>
      <c r="C569" s="583">
        <v>188</v>
      </c>
      <c r="D569" s="625" t="e">
        <f t="shared" si="28"/>
        <v>#VALUE!</v>
      </c>
      <c r="E569" s="591"/>
      <c r="F569" s="591"/>
      <c r="G569" s="591"/>
      <c r="H569" s="591"/>
      <c r="I569" s="591"/>
      <c r="J569" s="591"/>
      <c r="K569" s="542"/>
      <c r="O569" s="1134"/>
      <c r="Q569" s="1133"/>
    </row>
    <row r="570" spans="2:17" x14ac:dyDescent="0.3">
      <c r="B570" s="126"/>
      <c r="C570" s="583">
        <v>189</v>
      </c>
      <c r="D570" s="625" t="e">
        <f t="shared" si="28"/>
        <v>#VALUE!</v>
      </c>
      <c r="E570" s="591"/>
      <c r="F570" s="591"/>
      <c r="G570" s="591"/>
      <c r="H570" s="591"/>
      <c r="I570" s="591"/>
      <c r="J570" s="591"/>
      <c r="K570" s="542"/>
      <c r="O570" s="1134"/>
      <c r="Q570" s="1133"/>
    </row>
    <row r="571" spans="2:17" x14ac:dyDescent="0.3">
      <c r="B571" s="126"/>
      <c r="C571" s="583">
        <v>190</v>
      </c>
      <c r="D571" s="625" t="e">
        <f t="shared" si="28"/>
        <v>#VALUE!</v>
      </c>
      <c r="E571" s="591"/>
      <c r="F571" s="591"/>
      <c r="G571" s="591"/>
      <c r="H571" s="591"/>
      <c r="I571" s="591"/>
      <c r="J571" s="591"/>
      <c r="K571" s="542"/>
      <c r="O571" s="1134"/>
      <c r="Q571" s="1133"/>
    </row>
    <row r="572" spans="2:17" x14ac:dyDescent="0.3">
      <c r="B572" s="126"/>
      <c r="C572" s="583">
        <v>191</v>
      </c>
      <c r="D572" s="625" t="e">
        <f t="shared" si="28"/>
        <v>#VALUE!</v>
      </c>
      <c r="E572" s="591"/>
      <c r="F572" s="591"/>
      <c r="G572" s="591"/>
      <c r="H572" s="591"/>
      <c r="I572" s="591"/>
      <c r="J572" s="591"/>
      <c r="K572" s="542"/>
      <c r="O572" s="1134"/>
      <c r="Q572" s="1133"/>
    </row>
    <row r="573" spans="2:17" x14ac:dyDescent="0.3">
      <c r="B573" s="126"/>
      <c r="C573" s="583">
        <v>192</v>
      </c>
      <c r="D573" s="625" t="e">
        <f t="shared" ref="D573:D636" si="29">$C$360*C573</f>
        <v>#VALUE!</v>
      </c>
      <c r="E573" s="591"/>
      <c r="F573" s="591"/>
      <c r="G573" s="591"/>
      <c r="H573" s="591"/>
      <c r="I573" s="591"/>
      <c r="J573" s="591"/>
      <c r="K573" s="542"/>
      <c r="O573" s="1134"/>
      <c r="Q573" s="1133"/>
    </row>
    <row r="574" spans="2:17" x14ac:dyDescent="0.3">
      <c r="B574" s="126"/>
      <c r="C574" s="583">
        <v>193</v>
      </c>
      <c r="D574" s="625" t="e">
        <f t="shared" si="29"/>
        <v>#VALUE!</v>
      </c>
      <c r="E574" s="591"/>
      <c r="F574" s="591"/>
      <c r="G574" s="591"/>
      <c r="H574" s="591"/>
      <c r="I574" s="591"/>
      <c r="J574" s="591"/>
      <c r="K574" s="542"/>
      <c r="O574" s="1134"/>
      <c r="Q574" s="1133"/>
    </row>
    <row r="575" spans="2:17" x14ac:dyDescent="0.3">
      <c r="B575" s="126"/>
      <c r="C575" s="583">
        <v>194</v>
      </c>
      <c r="D575" s="625" t="e">
        <f t="shared" si="29"/>
        <v>#VALUE!</v>
      </c>
      <c r="E575" s="591"/>
      <c r="F575" s="591"/>
      <c r="G575" s="591"/>
      <c r="H575" s="591"/>
      <c r="I575" s="591"/>
      <c r="J575" s="591"/>
      <c r="K575" s="542"/>
      <c r="O575" s="1134"/>
      <c r="Q575" s="1133"/>
    </row>
    <row r="576" spans="2:17" x14ac:dyDescent="0.3">
      <c r="B576" s="126"/>
      <c r="C576" s="583">
        <v>195</v>
      </c>
      <c r="D576" s="625" t="e">
        <f t="shared" si="29"/>
        <v>#VALUE!</v>
      </c>
      <c r="E576" s="591"/>
      <c r="F576" s="591"/>
      <c r="G576" s="591"/>
      <c r="H576" s="591"/>
      <c r="I576" s="591"/>
      <c r="J576" s="591"/>
      <c r="K576" s="542"/>
      <c r="O576" s="1134"/>
      <c r="Q576" s="1133"/>
    </row>
    <row r="577" spans="2:17" x14ac:dyDescent="0.3">
      <c r="B577" s="126"/>
      <c r="C577" s="583">
        <v>196</v>
      </c>
      <c r="D577" s="625" t="e">
        <f t="shared" si="29"/>
        <v>#VALUE!</v>
      </c>
      <c r="E577" s="591"/>
      <c r="F577" s="591"/>
      <c r="G577" s="591"/>
      <c r="H577" s="591"/>
      <c r="I577" s="591"/>
      <c r="J577" s="591"/>
      <c r="K577" s="542"/>
      <c r="O577" s="1134"/>
      <c r="Q577" s="1133"/>
    </row>
    <row r="578" spans="2:17" x14ac:dyDescent="0.3">
      <c r="B578" s="126"/>
      <c r="C578" s="583">
        <v>197</v>
      </c>
      <c r="D578" s="625" t="e">
        <f t="shared" si="29"/>
        <v>#VALUE!</v>
      </c>
      <c r="E578" s="591"/>
      <c r="F578" s="591"/>
      <c r="G578" s="591"/>
      <c r="H578" s="591"/>
      <c r="I578" s="591"/>
      <c r="J578" s="591"/>
      <c r="K578" s="542"/>
      <c r="O578" s="1134"/>
      <c r="Q578" s="1133"/>
    </row>
    <row r="579" spans="2:17" x14ac:dyDescent="0.3">
      <c r="B579" s="126"/>
      <c r="C579" s="583">
        <v>198</v>
      </c>
      <c r="D579" s="625" t="e">
        <f t="shared" si="29"/>
        <v>#VALUE!</v>
      </c>
      <c r="E579" s="591"/>
      <c r="F579" s="591"/>
      <c r="G579" s="591"/>
      <c r="H579" s="591"/>
      <c r="I579" s="591"/>
      <c r="J579" s="591"/>
      <c r="K579" s="542"/>
      <c r="O579" s="1134"/>
      <c r="Q579" s="1133"/>
    </row>
    <row r="580" spans="2:17" x14ac:dyDescent="0.3">
      <c r="B580" s="126"/>
      <c r="C580" s="583">
        <v>199</v>
      </c>
      <c r="D580" s="625" t="e">
        <f t="shared" si="29"/>
        <v>#VALUE!</v>
      </c>
      <c r="E580" s="591"/>
      <c r="F580" s="591"/>
      <c r="G580" s="591"/>
      <c r="H580" s="591"/>
      <c r="I580" s="591"/>
      <c r="J580" s="591"/>
      <c r="K580" s="542"/>
      <c r="O580" s="1134"/>
      <c r="Q580" s="1133"/>
    </row>
    <row r="581" spans="2:17" x14ac:dyDescent="0.3">
      <c r="B581" s="126"/>
      <c r="C581" s="583">
        <v>200</v>
      </c>
      <c r="D581" s="625" t="e">
        <f t="shared" si="29"/>
        <v>#VALUE!</v>
      </c>
      <c r="E581" s="591"/>
      <c r="F581" s="591"/>
      <c r="G581" s="591"/>
      <c r="H581" s="591"/>
      <c r="I581" s="591"/>
      <c r="J581" s="591"/>
      <c r="K581" s="542"/>
      <c r="O581" s="1134"/>
      <c r="Q581" s="1133"/>
    </row>
    <row r="582" spans="2:17" x14ac:dyDescent="0.3">
      <c r="B582" s="126"/>
      <c r="C582" s="583">
        <v>201</v>
      </c>
      <c r="D582" s="625" t="e">
        <f t="shared" si="29"/>
        <v>#VALUE!</v>
      </c>
      <c r="E582" s="591"/>
      <c r="F582" s="591"/>
      <c r="G582" s="591"/>
      <c r="H582" s="591"/>
      <c r="I582" s="591"/>
      <c r="J582" s="591"/>
      <c r="K582" s="542"/>
      <c r="O582" s="1134"/>
      <c r="Q582" s="1133"/>
    </row>
    <row r="583" spans="2:17" x14ac:dyDescent="0.3">
      <c r="B583" s="126"/>
      <c r="C583" s="583">
        <v>202</v>
      </c>
      <c r="D583" s="625" t="e">
        <f t="shared" si="29"/>
        <v>#VALUE!</v>
      </c>
      <c r="E583" s="591"/>
      <c r="F583" s="591"/>
      <c r="G583" s="591"/>
      <c r="H583" s="591"/>
      <c r="I583" s="591"/>
      <c r="J583" s="591"/>
      <c r="K583" s="542"/>
      <c r="O583" s="1134"/>
      <c r="Q583" s="1133"/>
    </row>
    <row r="584" spans="2:17" x14ac:dyDescent="0.3">
      <c r="B584" s="126"/>
      <c r="C584" s="583">
        <v>203</v>
      </c>
      <c r="D584" s="625" t="e">
        <f t="shared" si="29"/>
        <v>#VALUE!</v>
      </c>
      <c r="E584" s="591"/>
      <c r="F584" s="591"/>
      <c r="G584" s="591"/>
      <c r="H584" s="591"/>
      <c r="I584" s="591"/>
      <c r="J584" s="591"/>
      <c r="K584" s="542"/>
      <c r="O584" s="1134"/>
      <c r="Q584" s="1133"/>
    </row>
    <row r="585" spans="2:17" x14ac:dyDescent="0.3">
      <c r="B585" s="126"/>
      <c r="C585" s="583">
        <v>204</v>
      </c>
      <c r="D585" s="625" t="e">
        <f t="shared" si="29"/>
        <v>#VALUE!</v>
      </c>
      <c r="E585" s="591"/>
      <c r="F585" s="591"/>
      <c r="G585" s="591"/>
      <c r="H585" s="591"/>
      <c r="I585" s="591"/>
      <c r="J585" s="591"/>
      <c r="K585" s="542"/>
      <c r="O585" s="1134"/>
      <c r="Q585" s="1133"/>
    </row>
    <row r="586" spans="2:17" x14ac:dyDescent="0.3">
      <c r="B586" s="126"/>
      <c r="C586" s="583">
        <v>205</v>
      </c>
      <c r="D586" s="625" t="e">
        <f t="shared" si="29"/>
        <v>#VALUE!</v>
      </c>
      <c r="E586" s="591"/>
      <c r="F586" s="591"/>
      <c r="G586" s="591"/>
      <c r="H586" s="591"/>
      <c r="I586" s="591"/>
      <c r="J586" s="591"/>
      <c r="K586" s="542"/>
      <c r="O586" s="1134"/>
      <c r="Q586" s="1133"/>
    </row>
    <row r="587" spans="2:17" x14ac:dyDescent="0.3">
      <c r="B587" s="126"/>
      <c r="C587" s="583">
        <v>206</v>
      </c>
      <c r="D587" s="625" t="e">
        <f t="shared" si="29"/>
        <v>#VALUE!</v>
      </c>
      <c r="E587" s="591"/>
      <c r="F587" s="591"/>
      <c r="G587" s="591"/>
      <c r="H587" s="591"/>
      <c r="I587" s="591"/>
      <c r="J587" s="591"/>
      <c r="K587" s="542"/>
      <c r="O587" s="1134"/>
      <c r="Q587" s="1133"/>
    </row>
    <row r="588" spans="2:17" x14ac:dyDescent="0.3">
      <c r="B588" s="126"/>
      <c r="C588" s="583">
        <v>207</v>
      </c>
      <c r="D588" s="625" t="e">
        <f t="shared" si="29"/>
        <v>#VALUE!</v>
      </c>
      <c r="E588" s="591"/>
      <c r="F588" s="591"/>
      <c r="G588" s="591"/>
      <c r="H588" s="591"/>
      <c r="I588" s="591"/>
      <c r="J588" s="591"/>
      <c r="K588" s="542"/>
      <c r="O588" s="1134"/>
      <c r="Q588" s="1133"/>
    </row>
    <row r="589" spans="2:17" x14ac:dyDescent="0.3">
      <c r="B589" s="126"/>
      <c r="C589" s="583">
        <v>208</v>
      </c>
      <c r="D589" s="625" t="e">
        <f t="shared" si="29"/>
        <v>#VALUE!</v>
      </c>
      <c r="E589" s="591"/>
      <c r="F589" s="591"/>
      <c r="G589" s="591"/>
      <c r="H589" s="591"/>
      <c r="I589" s="591"/>
      <c r="J589" s="591"/>
      <c r="K589" s="542"/>
      <c r="O589" s="1134"/>
      <c r="Q589" s="1133"/>
    </row>
    <row r="590" spans="2:17" x14ac:dyDescent="0.3">
      <c r="B590" s="126"/>
      <c r="C590" s="583">
        <v>209</v>
      </c>
      <c r="D590" s="625" t="e">
        <f t="shared" si="29"/>
        <v>#VALUE!</v>
      </c>
      <c r="E590" s="591"/>
      <c r="F590" s="591"/>
      <c r="G590" s="591"/>
      <c r="H590" s="591"/>
      <c r="I590" s="591"/>
      <c r="J590" s="591"/>
      <c r="K590" s="542"/>
      <c r="O590" s="1134"/>
      <c r="Q590" s="1133"/>
    </row>
    <row r="591" spans="2:17" x14ac:dyDescent="0.3">
      <c r="B591" s="126"/>
      <c r="C591" s="583">
        <v>210</v>
      </c>
      <c r="D591" s="625" t="e">
        <f t="shared" si="29"/>
        <v>#VALUE!</v>
      </c>
      <c r="E591" s="591"/>
      <c r="F591" s="591"/>
      <c r="G591" s="591"/>
      <c r="H591" s="591"/>
      <c r="I591" s="591"/>
      <c r="J591" s="591"/>
      <c r="K591" s="542"/>
      <c r="O591" s="1134"/>
      <c r="Q591" s="1133"/>
    </row>
    <row r="592" spans="2:17" x14ac:dyDescent="0.3">
      <c r="B592" s="126"/>
      <c r="C592" s="583">
        <v>211</v>
      </c>
      <c r="D592" s="625" t="e">
        <f t="shared" si="29"/>
        <v>#VALUE!</v>
      </c>
      <c r="E592" s="591"/>
      <c r="F592" s="591"/>
      <c r="G592" s="591"/>
      <c r="H592" s="591"/>
      <c r="I592" s="591"/>
      <c r="J592" s="591"/>
      <c r="K592" s="542"/>
      <c r="O592" s="1134"/>
      <c r="Q592" s="1133"/>
    </row>
    <row r="593" spans="2:17" x14ac:dyDescent="0.3">
      <c r="B593" s="126"/>
      <c r="C593" s="583">
        <v>212</v>
      </c>
      <c r="D593" s="625" t="e">
        <f t="shared" si="29"/>
        <v>#VALUE!</v>
      </c>
      <c r="E593" s="591"/>
      <c r="F593" s="591"/>
      <c r="G593" s="591"/>
      <c r="H593" s="591"/>
      <c r="I593" s="591"/>
      <c r="J593" s="591"/>
      <c r="K593" s="542"/>
      <c r="O593" s="1134"/>
      <c r="Q593" s="1133"/>
    </row>
    <row r="594" spans="2:17" x14ac:dyDescent="0.3">
      <c r="B594" s="126"/>
      <c r="C594" s="583">
        <v>213</v>
      </c>
      <c r="D594" s="625" t="e">
        <f t="shared" si="29"/>
        <v>#VALUE!</v>
      </c>
      <c r="E594" s="591"/>
      <c r="F594" s="591"/>
      <c r="G594" s="591"/>
      <c r="H594" s="591"/>
      <c r="I594" s="591"/>
      <c r="J594" s="591"/>
      <c r="K594" s="542"/>
      <c r="O594" s="1134"/>
      <c r="Q594" s="1133"/>
    </row>
    <row r="595" spans="2:17" x14ac:dyDescent="0.3">
      <c r="B595" s="126"/>
      <c r="C595" s="583">
        <v>214</v>
      </c>
      <c r="D595" s="625" t="e">
        <f t="shared" si="29"/>
        <v>#VALUE!</v>
      </c>
      <c r="E595" s="591"/>
      <c r="F595" s="591"/>
      <c r="G595" s="591"/>
      <c r="H595" s="591"/>
      <c r="I595" s="591"/>
      <c r="J595" s="591"/>
      <c r="K595" s="542"/>
      <c r="O595" s="1134"/>
      <c r="Q595" s="1133"/>
    </row>
    <row r="596" spans="2:17" x14ac:dyDescent="0.3">
      <c r="B596" s="126"/>
      <c r="C596" s="583">
        <v>215</v>
      </c>
      <c r="D596" s="625" t="e">
        <f t="shared" si="29"/>
        <v>#VALUE!</v>
      </c>
      <c r="E596" s="591"/>
      <c r="F596" s="591"/>
      <c r="G596" s="591"/>
      <c r="H596" s="591"/>
      <c r="I596" s="591"/>
      <c r="J596" s="591"/>
      <c r="K596" s="542"/>
      <c r="O596" s="1134"/>
      <c r="Q596" s="1133"/>
    </row>
    <row r="597" spans="2:17" x14ac:dyDescent="0.3">
      <c r="B597" s="126"/>
      <c r="C597" s="583">
        <v>216</v>
      </c>
      <c r="D597" s="625" t="e">
        <f t="shared" si="29"/>
        <v>#VALUE!</v>
      </c>
      <c r="E597" s="591"/>
      <c r="F597" s="591"/>
      <c r="G597" s="591"/>
      <c r="H597" s="591"/>
      <c r="I597" s="591"/>
      <c r="J597" s="591"/>
      <c r="K597" s="542"/>
      <c r="O597" s="1134"/>
      <c r="Q597" s="1133"/>
    </row>
    <row r="598" spans="2:17" x14ac:dyDescent="0.3">
      <c r="B598" s="126"/>
      <c r="C598" s="583">
        <v>217</v>
      </c>
      <c r="D598" s="625" t="e">
        <f t="shared" si="29"/>
        <v>#VALUE!</v>
      </c>
      <c r="E598" s="591"/>
      <c r="F598" s="591"/>
      <c r="G598" s="591"/>
      <c r="H598" s="591"/>
      <c r="I598" s="591"/>
      <c r="J598" s="591"/>
      <c r="K598" s="542"/>
      <c r="O598" s="1134"/>
      <c r="Q598" s="1133"/>
    </row>
    <row r="599" spans="2:17" x14ac:dyDescent="0.3">
      <c r="B599" s="126"/>
      <c r="C599" s="583">
        <v>218</v>
      </c>
      <c r="D599" s="625" t="e">
        <f t="shared" si="29"/>
        <v>#VALUE!</v>
      </c>
      <c r="E599" s="591"/>
      <c r="F599" s="591"/>
      <c r="G599" s="591"/>
      <c r="H599" s="591"/>
      <c r="I599" s="591"/>
      <c r="J599" s="591"/>
      <c r="K599" s="542"/>
      <c r="O599" s="1134"/>
      <c r="Q599" s="1133"/>
    </row>
    <row r="600" spans="2:17" x14ac:dyDescent="0.3">
      <c r="B600" s="126"/>
      <c r="C600" s="583">
        <v>219</v>
      </c>
      <c r="D600" s="625" t="e">
        <f t="shared" si="29"/>
        <v>#VALUE!</v>
      </c>
      <c r="E600" s="591"/>
      <c r="F600" s="591"/>
      <c r="G600" s="591"/>
      <c r="H600" s="591"/>
      <c r="I600" s="591"/>
      <c r="J600" s="591"/>
      <c r="K600" s="542"/>
      <c r="O600" s="1134"/>
      <c r="Q600" s="1133"/>
    </row>
    <row r="601" spans="2:17" x14ac:dyDescent="0.3">
      <c r="B601" s="126"/>
      <c r="C601" s="583">
        <v>220</v>
      </c>
      <c r="D601" s="625" t="e">
        <f t="shared" si="29"/>
        <v>#VALUE!</v>
      </c>
      <c r="E601" s="591"/>
      <c r="F601" s="591"/>
      <c r="G601" s="591"/>
      <c r="H601" s="591"/>
      <c r="I601" s="591"/>
      <c r="J601" s="591"/>
      <c r="K601" s="542"/>
      <c r="O601" s="1134"/>
      <c r="Q601" s="1133"/>
    </row>
    <row r="602" spans="2:17" x14ac:dyDescent="0.3">
      <c r="B602" s="126"/>
      <c r="C602" s="583">
        <v>221</v>
      </c>
      <c r="D602" s="625" t="e">
        <f t="shared" si="29"/>
        <v>#VALUE!</v>
      </c>
      <c r="E602" s="591"/>
      <c r="F602" s="591"/>
      <c r="G602" s="591"/>
      <c r="H602" s="591"/>
      <c r="I602" s="591"/>
      <c r="J602" s="591"/>
      <c r="K602" s="542"/>
      <c r="O602" s="1134"/>
      <c r="Q602" s="1133"/>
    </row>
    <row r="603" spans="2:17" x14ac:dyDescent="0.3">
      <c r="B603" s="126"/>
      <c r="C603" s="583">
        <v>222</v>
      </c>
      <c r="D603" s="625" t="e">
        <f t="shared" si="29"/>
        <v>#VALUE!</v>
      </c>
      <c r="E603" s="591"/>
      <c r="F603" s="591"/>
      <c r="G603" s="591"/>
      <c r="H603" s="591"/>
      <c r="I603" s="591"/>
      <c r="J603" s="591"/>
      <c r="K603" s="542"/>
      <c r="O603" s="1134"/>
      <c r="Q603" s="1133"/>
    </row>
    <row r="604" spans="2:17" x14ac:dyDescent="0.3">
      <c r="B604" s="126"/>
      <c r="C604" s="583">
        <v>223</v>
      </c>
      <c r="D604" s="625" t="e">
        <f t="shared" si="29"/>
        <v>#VALUE!</v>
      </c>
      <c r="E604" s="591"/>
      <c r="F604" s="591"/>
      <c r="G604" s="591"/>
      <c r="H604" s="591"/>
      <c r="I604" s="591"/>
      <c r="J604" s="591"/>
      <c r="K604" s="542"/>
      <c r="O604" s="1134"/>
      <c r="Q604" s="1133"/>
    </row>
    <row r="605" spans="2:17" x14ac:dyDescent="0.3">
      <c r="B605" s="126"/>
      <c r="C605" s="583">
        <v>224</v>
      </c>
      <c r="D605" s="625" t="e">
        <f t="shared" si="29"/>
        <v>#VALUE!</v>
      </c>
      <c r="E605" s="591"/>
      <c r="F605" s="591"/>
      <c r="G605" s="591"/>
      <c r="H605" s="591"/>
      <c r="I605" s="591"/>
      <c r="J605" s="591"/>
      <c r="K605" s="542"/>
      <c r="O605" s="1134"/>
      <c r="Q605" s="1133"/>
    </row>
    <row r="606" spans="2:17" x14ac:dyDescent="0.3">
      <c r="B606" s="126"/>
      <c r="C606" s="583">
        <v>225</v>
      </c>
      <c r="D606" s="625" t="e">
        <f t="shared" si="29"/>
        <v>#VALUE!</v>
      </c>
      <c r="E606" s="591"/>
      <c r="F606" s="591"/>
      <c r="G606" s="591"/>
      <c r="H606" s="591"/>
      <c r="I606" s="591"/>
      <c r="J606" s="591"/>
      <c r="K606" s="542"/>
      <c r="O606" s="1134"/>
      <c r="Q606" s="1133"/>
    </row>
    <row r="607" spans="2:17" x14ac:dyDescent="0.3">
      <c r="B607" s="126"/>
      <c r="C607" s="583">
        <v>226</v>
      </c>
      <c r="D607" s="625" t="e">
        <f t="shared" si="29"/>
        <v>#VALUE!</v>
      </c>
      <c r="E607" s="591"/>
      <c r="F607" s="591"/>
      <c r="G607" s="591"/>
      <c r="H607" s="591"/>
      <c r="I607" s="591"/>
      <c r="J607" s="591"/>
      <c r="K607" s="542"/>
      <c r="O607" s="1134"/>
      <c r="Q607" s="1133"/>
    </row>
    <row r="608" spans="2:17" x14ac:dyDescent="0.3">
      <c r="B608" s="126"/>
      <c r="C608" s="583">
        <v>227</v>
      </c>
      <c r="D608" s="625" t="e">
        <f t="shared" si="29"/>
        <v>#VALUE!</v>
      </c>
      <c r="E608" s="591"/>
      <c r="F608" s="591"/>
      <c r="G608" s="591"/>
      <c r="H608" s="591"/>
      <c r="I608" s="591"/>
      <c r="J608" s="591"/>
      <c r="K608" s="542"/>
      <c r="O608" s="1134"/>
      <c r="Q608" s="1133"/>
    </row>
    <row r="609" spans="2:17" x14ac:dyDescent="0.3">
      <c r="B609" s="126"/>
      <c r="C609" s="583">
        <v>228</v>
      </c>
      <c r="D609" s="625" t="e">
        <f t="shared" si="29"/>
        <v>#VALUE!</v>
      </c>
      <c r="E609" s="591"/>
      <c r="F609" s="591"/>
      <c r="G609" s="591"/>
      <c r="H609" s="591"/>
      <c r="I609" s="591"/>
      <c r="J609" s="591"/>
      <c r="K609" s="542"/>
      <c r="O609" s="1134"/>
      <c r="Q609" s="1133"/>
    </row>
    <row r="610" spans="2:17" x14ac:dyDescent="0.3">
      <c r="B610" s="126"/>
      <c r="C610" s="583">
        <v>229</v>
      </c>
      <c r="D610" s="625" t="e">
        <f t="shared" si="29"/>
        <v>#VALUE!</v>
      </c>
      <c r="E610" s="591"/>
      <c r="F610" s="591"/>
      <c r="G610" s="591"/>
      <c r="H610" s="591"/>
      <c r="I610" s="591"/>
      <c r="J610" s="591"/>
      <c r="K610" s="542"/>
      <c r="O610" s="1134"/>
      <c r="Q610" s="1133"/>
    </row>
    <row r="611" spans="2:17" x14ac:dyDescent="0.3">
      <c r="B611" s="126"/>
      <c r="C611" s="583">
        <v>230</v>
      </c>
      <c r="D611" s="625" t="e">
        <f t="shared" si="29"/>
        <v>#VALUE!</v>
      </c>
      <c r="E611" s="591"/>
      <c r="F611" s="591"/>
      <c r="G611" s="591"/>
      <c r="H611" s="591"/>
      <c r="I611" s="591"/>
      <c r="J611" s="591"/>
      <c r="K611" s="542"/>
      <c r="O611" s="1134"/>
      <c r="Q611" s="1133"/>
    </row>
    <row r="612" spans="2:17" x14ac:dyDescent="0.3">
      <c r="B612" s="126"/>
      <c r="C612" s="583">
        <v>231</v>
      </c>
      <c r="D612" s="625" t="e">
        <f t="shared" si="29"/>
        <v>#VALUE!</v>
      </c>
      <c r="E612" s="591"/>
      <c r="F612" s="591"/>
      <c r="G612" s="591"/>
      <c r="H612" s="591"/>
      <c r="I612" s="591"/>
      <c r="J612" s="591"/>
      <c r="K612" s="542"/>
      <c r="O612" s="1134"/>
      <c r="Q612" s="1133"/>
    </row>
    <row r="613" spans="2:17" x14ac:dyDescent="0.3">
      <c r="B613" s="126"/>
      <c r="C613" s="583">
        <v>232</v>
      </c>
      <c r="D613" s="625" t="e">
        <f t="shared" si="29"/>
        <v>#VALUE!</v>
      </c>
      <c r="E613" s="591"/>
      <c r="F613" s="591"/>
      <c r="G613" s="591"/>
      <c r="H613" s="591"/>
      <c r="I613" s="591"/>
      <c r="J613" s="591"/>
      <c r="K613" s="542"/>
      <c r="O613" s="1134"/>
      <c r="Q613" s="1133"/>
    </row>
    <row r="614" spans="2:17" x14ac:dyDescent="0.3">
      <c r="B614" s="126"/>
      <c r="C614" s="583">
        <v>233</v>
      </c>
      <c r="D614" s="625" t="e">
        <f t="shared" si="29"/>
        <v>#VALUE!</v>
      </c>
      <c r="E614" s="591"/>
      <c r="F614" s="591"/>
      <c r="G614" s="591"/>
      <c r="H614" s="591"/>
      <c r="I614" s="591"/>
      <c r="J614" s="591"/>
      <c r="K614" s="542"/>
      <c r="O614" s="1134"/>
      <c r="Q614" s="1133"/>
    </row>
    <row r="615" spans="2:17" x14ac:dyDescent="0.3">
      <c r="B615" s="126"/>
      <c r="C615" s="583">
        <v>234</v>
      </c>
      <c r="D615" s="625" t="e">
        <f t="shared" si="29"/>
        <v>#VALUE!</v>
      </c>
      <c r="E615" s="591"/>
      <c r="F615" s="591"/>
      <c r="G615" s="591"/>
      <c r="H615" s="591"/>
      <c r="I615" s="591"/>
      <c r="J615" s="591"/>
      <c r="K615" s="542"/>
      <c r="O615" s="1134"/>
      <c r="Q615" s="1133"/>
    </row>
    <row r="616" spans="2:17" x14ac:dyDescent="0.3">
      <c r="B616" s="126"/>
      <c r="C616" s="583">
        <v>235</v>
      </c>
      <c r="D616" s="625" t="e">
        <f t="shared" si="29"/>
        <v>#VALUE!</v>
      </c>
      <c r="E616" s="591"/>
      <c r="F616" s="591"/>
      <c r="G616" s="591"/>
      <c r="H616" s="591"/>
      <c r="I616" s="591"/>
      <c r="J616" s="591"/>
      <c r="K616" s="542"/>
      <c r="O616" s="1134"/>
      <c r="Q616" s="1133"/>
    </row>
    <row r="617" spans="2:17" x14ac:dyDescent="0.3">
      <c r="B617" s="126"/>
      <c r="C617" s="583">
        <v>236</v>
      </c>
      <c r="D617" s="625" t="e">
        <f t="shared" si="29"/>
        <v>#VALUE!</v>
      </c>
      <c r="E617" s="591"/>
      <c r="F617" s="591"/>
      <c r="G617" s="591"/>
      <c r="H617" s="591"/>
      <c r="I617" s="591"/>
      <c r="J617" s="591"/>
      <c r="K617" s="542"/>
      <c r="O617" s="1134"/>
      <c r="Q617" s="1133"/>
    </row>
    <row r="618" spans="2:17" x14ac:dyDescent="0.3">
      <c r="B618" s="126"/>
      <c r="C618" s="583">
        <v>237</v>
      </c>
      <c r="D618" s="625" t="e">
        <f t="shared" si="29"/>
        <v>#VALUE!</v>
      </c>
      <c r="E618" s="591"/>
      <c r="F618" s="591"/>
      <c r="G618" s="591"/>
      <c r="H618" s="591"/>
      <c r="I618" s="591"/>
      <c r="J618" s="591"/>
      <c r="K618" s="542"/>
      <c r="O618" s="1134"/>
      <c r="Q618" s="1133"/>
    </row>
    <row r="619" spans="2:17" x14ac:dyDescent="0.3">
      <c r="B619" s="126"/>
      <c r="C619" s="583">
        <v>238</v>
      </c>
      <c r="D619" s="625" t="e">
        <f t="shared" si="29"/>
        <v>#VALUE!</v>
      </c>
      <c r="E619" s="591"/>
      <c r="F619" s="591"/>
      <c r="G619" s="591"/>
      <c r="H619" s="591"/>
      <c r="I619" s="591"/>
      <c r="J619" s="591"/>
      <c r="K619" s="542"/>
      <c r="O619" s="1134"/>
      <c r="Q619" s="1133"/>
    </row>
    <row r="620" spans="2:17" x14ac:dyDescent="0.3">
      <c r="B620" s="126"/>
      <c r="C620" s="583">
        <v>239</v>
      </c>
      <c r="D620" s="625" t="e">
        <f t="shared" si="29"/>
        <v>#VALUE!</v>
      </c>
      <c r="E620" s="591"/>
      <c r="F620" s="591"/>
      <c r="G620" s="591"/>
      <c r="H620" s="591"/>
      <c r="I620" s="591"/>
      <c r="J620" s="591"/>
      <c r="K620" s="542"/>
      <c r="O620" s="1134"/>
      <c r="Q620" s="1133"/>
    </row>
    <row r="621" spans="2:17" x14ac:dyDescent="0.3">
      <c r="B621" s="126"/>
      <c r="C621" s="583">
        <v>240</v>
      </c>
      <c r="D621" s="625" t="e">
        <f t="shared" si="29"/>
        <v>#VALUE!</v>
      </c>
      <c r="E621" s="591"/>
      <c r="F621" s="591"/>
      <c r="G621" s="591"/>
      <c r="H621" s="591"/>
      <c r="I621" s="591"/>
      <c r="J621" s="591"/>
      <c r="K621" s="542"/>
      <c r="O621" s="1134"/>
      <c r="Q621" s="1133"/>
    </row>
    <row r="622" spans="2:17" x14ac:dyDescent="0.3">
      <c r="B622" s="126"/>
      <c r="C622" s="583">
        <v>241</v>
      </c>
      <c r="D622" s="625" t="e">
        <f t="shared" si="29"/>
        <v>#VALUE!</v>
      </c>
      <c r="E622" s="591"/>
      <c r="F622" s="591"/>
      <c r="G622" s="591"/>
      <c r="H622" s="591"/>
      <c r="I622" s="591"/>
      <c r="J622" s="591"/>
      <c r="K622" s="542"/>
      <c r="O622" s="1134"/>
      <c r="Q622" s="1133"/>
    </row>
    <row r="623" spans="2:17" x14ac:dyDescent="0.3">
      <c r="B623" s="126"/>
      <c r="C623" s="583">
        <v>242</v>
      </c>
      <c r="D623" s="625" t="e">
        <f t="shared" si="29"/>
        <v>#VALUE!</v>
      </c>
      <c r="E623" s="591"/>
      <c r="F623" s="591"/>
      <c r="G623" s="591"/>
      <c r="H623" s="591"/>
      <c r="I623" s="591"/>
      <c r="J623" s="591"/>
      <c r="K623" s="542"/>
      <c r="O623" s="1134"/>
      <c r="Q623" s="1133"/>
    </row>
    <row r="624" spans="2:17" x14ac:dyDescent="0.3">
      <c r="B624" s="126"/>
      <c r="C624" s="583">
        <v>243</v>
      </c>
      <c r="D624" s="625" t="e">
        <f t="shared" si="29"/>
        <v>#VALUE!</v>
      </c>
      <c r="E624" s="591"/>
      <c r="F624" s="591"/>
      <c r="G624" s="591"/>
      <c r="H624" s="591"/>
      <c r="I624" s="591"/>
      <c r="J624" s="591"/>
      <c r="K624" s="542"/>
      <c r="O624" s="1134"/>
      <c r="Q624" s="1133"/>
    </row>
    <row r="625" spans="2:17" x14ac:dyDescent="0.3">
      <c r="B625" s="126"/>
      <c r="C625" s="583">
        <v>244</v>
      </c>
      <c r="D625" s="625" t="e">
        <f t="shared" si="29"/>
        <v>#VALUE!</v>
      </c>
      <c r="E625" s="591"/>
      <c r="F625" s="591"/>
      <c r="G625" s="591"/>
      <c r="H625" s="591"/>
      <c r="I625" s="591"/>
      <c r="J625" s="591"/>
      <c r="K625" s="542"/>
      <c r="O625" s="1134"/>
      <c r="Q625" s="1133"/>
    </row>
    <row r="626" spans="2:17" x14ac:dyDescent="0.3">
      <c r="B626" s="126"/>
      <c r="C626" s="583">
        <v>245</v>
      </c>
      <c r="D626" s="625" t="e">
        <f t="shared" si="29"/>
        <v>#VALUE!</v>
      </c>
      <c r="E626" s="591"/>
      <c r="F626" s="591"/>
      <c r="G626" s="591"/>
      <c r="H626" s="591"/>
      <c r="I626" s="591"/>
      <c r="J626" s="591"/>
      <c r="K626" s="542"/>
      <c r="O626" s="1134"/>
      <c r="Q626" s="1133"/>
    </row>
    <row r="627" spans="2:17" x14ac:dyDescent="0.3">
      <c r="B627" s="126"/>
      <c r="C627" s="583">
        <v>246</v>
      </c>
      <c r="D627" s="625" t="e">
        <f t="shared" si="29"/>
        <v>#VALUE!</v>
      </c>
      <c r="E627" s="591"/>
      <c r="F627" s="591"/>
      <c r="G627" s="591"/>
      <c r="H627" s="591"/>
      <c r="I627" s="591"/>
      <c r="J627" s="591"/>
      <c r="K627" s="542"/>
      <c r="O627" s="1134"/>
      <c r="Q627" s="1133"/>
    </row>
    <row r="628" spans="2:17" x14ac:dyDescent="0.3">
      <c r="B628" s="126"/>
      <c r="C628" s="583">
        <v>247</v>
      </c>
      <c r="D628" s="625" t="e">
        <f t="shared" si="29"/>
        <v>#VALUE!</v>
      </c>
      <c r="E628" s="591"/>
      <c r="F628" s="591"/>
      <c r="G628" s="591"/>
      <c r="H628" s="591"/>
      <c r="I628" s="591"/>
      <c r="J628" s="591"/>
      <c r="K628" s="542"/>
      <c r="O628" s="1134"/>
      <c r="Q628" s="1133"/>
    </row>
    <row r="629" spans="2:17" x14ac:dyDescent="0.3">
      <c r="B629" s="126"/>
      <c r="C629" s="583">
        <v>248</v>
      </c>
      <c r="D629" s="625" t="e">
        <f t="shared" si="29"/>
        <v>#VALUE!</v>
      </c>
      <c r="E629" s="591"/>
      <c r="F629" s="591"/>
      <c r="G629" s="591"/>
      <c r="H629" s="591"/>
      <c r="I629" s="591"/>
      <c r="J629" s="591"/>
      <c r="K629" s="542"/>
      <c r="O629" s="1134"/>
      <c r="Q629" s="1133"/>
    </row>
    <row r="630" spans="2:17" x14ac:dyDescent="0.3">
      <c r="B630" s="126"/>
      <c r="C630" s="583">
        <v>249</v>
      </c>
      <c r="D630" s="625" t="e">
        <f t="shared" si="29"/>
        <v>#VALUE!</v>
      </c>
      <c r="E630" s="591"/>
      <c r="F630" s="591"/>
      <c r="G630" s="591"/>
      <c r="H630" s="591"/>
      <c r="I630" s="591"/>
      <c r="J630" s="591"/>
      <c r="K630" s="542"/>
      <c r="O630" s="1134"/>
      <c r="Q630" s="1133"/>
    </row>
    <row r="631" spans="2:17" x14ac:dyDescent="0.3">
      <c r="B631" s="126"/>
      <c r="C631" s="583">
        <v>250</v>
      </c>
      <c r="D631" s="625" t="e">
        <f t="shared" si="29"/>
        <v>#VALUE!</v>
      </c>
      <c r="E631" s="591"/>
      <c r="F631" s="591"/>
      <c r="G631" s="591"/>
      <c r="H631" s="591"/>
      <c r="I631" s="591"/>
      <c r="J631" s="591"/>
      <c r="K631" s="542"/>
      <c r="O631" s="1134"/>
      <c r="Q631" s="1133"/>
    </row>
    <row r="632" spans="2:17" x14ac:dyDescent="0.3">
      <c r="B632" s="126"/>
      <c r="C632" s="583">
        <v>251</v>
      </c>
      <c r="D632" s="625" t="e">
        <f t="shared" si="29"/>
        <v>#VALUE!</v>
      </c>
      <c r="E632" s="591"/>
      <c r="F632" s="591"/>
      <c r="G632" s="591"/>
      <c r="H632" s="591"/>
      <c r="I632" s="591"/>
      <c r="J632" s="591"/>
      <c r="K632" s="542"/>
      <c r="O632" s="1134"/>
      <c r="Q632" s="1133"/>
    </row>
    <row r="633" spans="2:17" x14ac:dyDescent="0.3">
      <c r="B633" s="126"/>
      <c r="C633" s="583">
        <v>252</v>
      </c>
      <c r="D633" s="625" t="e">
        <f t="shared" si="29"/>
        <v>#VALUE!</v>
      </c>
      <c r="E633" s="591"/>
      <c r="F633" s="591"/>
      <c r="G633" s="591"/>
      <c r="H633" s="591"/>
      <c r="I633" s="591"/>
      <c r="J633" s="591"/>
      <c r="K633" s="542"/>
      <c r="O633" s="1134"/>
      <c r="Q633" s="1133"/>
    </row>
    <row r="634" spans="2:17" x14ac:dyDescent="0.3">
      <c r="B634" s="126"/>
      <c r="C634" s="583">
        <v>253</v>
      </c>
      <c r="D634" s="625" t="e">
        <f t="shared" si="29"/>
        <v>#VALUE!</v>
      </c>
      <c r="E634" s="591"/>
      <c r="F634" s="591"/>
      <c r="G634" s="591"/>
      <c r="H634" s="591"/>
      <c r="I634" s="591"/>
      <c r="J634" s="591"/>
      <c r="K634" s="542"/>
      <c r="O634" s="1134"/>
      <c r="Q634" s="1133"/>
    </row>
    <row r="635" spans="2:17" x14ac:dyDescent="0.3">
      <c r="B635" s="126"/>
      <c r="C635" s="583">
        <v>254</v>
      </c>
      <c r="D635" s="625" t="e">
        <f t="shared" si="29"/>
        <v>#VALUE!</v>
      </c>
      <c r="E635" s="591"/>
      <c r="F635" s="591"/>
      <c r="G635" s="591"/>
      <c r="H635" s="591"/>
      <c r="I635" s="591"/>
      <c r="J635" s="591"/>
      <c r="K635" s="542"/>
      <c r="O635" s="1134"/>
      <c r="Q635" s="1133"/>
    </row>
    <row r="636" spans="2:17" x14ac:dyDescent="0.3">
      <c r="B636" s="126"/>
      <c r="C636" s="583">
        <v>255</v>
      </c>
      <c r="D636" s="625" t="e">
        <f t="shared" si="29"/>
        <v>#VALUE!</v>
      </c>
      <c r="E636" s="591"/>
      <c r="F636" s="591"/>
      <c r="G636" s="591"/>
      <c r="H636" s="591"/>
      <c r="I636" s="591"/>
      <c r="J636" s="591"/>
      <c r="K636" s="542"/>
      <c r="O636" s="1134"/>
      <c r="Q636" s="1133"/>
    </row>
    <row r="637" spans="2:17" x14ac:dyDescent="0.3">
      <c r="B637" s="126"/>
      <c r="C637" s="583">
        <v>256</v>
      </c>
      <c r="D637" s="625" t="e">
        <f t="shared" ref="D637:D700" si="30">$C$360*C637</f>
        <v>#VALUE!</v>
      </c>
      <c r="E637" s="591"/>
      <c r="F637" s="591"/>
      <c r="G637" s="591"/>
      <c r="H637" s="591"/>
      <c r="I637" s="591"/>
      <c r="J637" s="591"/>
      <c r="K637" s="542"/>
      <c r="O637" s="1134"/>
      <c r="Q637" s="1133"/>
    </row>
    <row r="638" spans="2:17" x14ac:dyDescent="0.3">
      <c r="B638" s="126"/>
      <c r="C638" s="583">
        <v>257</v>
      </c>
      <c r="D638" s="625" t="e">
        <f t="shared" si="30"/>
        <v>#VALUE!</v>
      </c>
      <c r="E638" s="591"/>
      <c r="F638" s="591"/>
      <c r="G638" s="591"/>
      <c r="H638" s="591"/>
      <c r="I638" s="591"/>
      <c r="J638" s="591"/>
      <c r="K638" s="542"/>
      <c r="O638" s="1134"/>
      <c r="Q638" s="1133"/>
    </row>
    <row r="639" spans="2:17" x14ac:dyDescent="0.3">
      <c r="B639" s="126"/>
      <c r="C639" s="583">
        <v>258</v>
      </c>
      <c r="D639" s="625" t="e">
        <f t="shared" si="30"/>
        <v>#VALUE!</v>
      </c>
      <c r="E639" s="591"/>
      <c r="F639" s="591"/>
      <c r="G639" s="591"/>
      <c r="H639" s="591"/>
      <c r="I639" s="591"/>
      <c r="J639" s="591"/>
      <c r="K639" s="542"/>
      <c r="O639" s="1134"/>
      <c r="Q639" s="1133"/>
    </row>
    <row r="640" spans="2:17" x14ac:dyDescent="0.3">
      <c r="B640" s="126"/>
      <c r="C640" s="583">
        <v>259</v>
      </c>
      <c r="D640" s="625" t="e">
        <f t="shared" si="30"/>
        <v>#VALUE!</v>
      </c>
      <c r="E640" s="591"/>
      <c r="F640" s="591"/>
      <c r="G640" s="591"/>
      <c r="H640" s="591"/>
      <c r="I640" s="591"/>
      <c r="J640" s="591"/>
      <c r="K640" s="542"/>
      <c r="O640" s="1134"/>
      <c r="Q640" s="1133"/>
    </row>
    <row r="641" spans="2:17" x14ac:dyDescent="0.3">
      <c r="B641" s="126"/>
      <c r="C641" s="583">
        <v>260</v>
      </c>
      <c r="D641" s="625" t="e">
        <f t="shared" si="30"/>
        <v>#VALUE!</v>
      </c>
      <c r="E641" s="591"/>
      <c r="F641" s="591"/>
      <c r="G641" s="591"/>
      <c r="H641" s="591"/>
      <c r="I641" s="591"/>
      <c r="J641" s="591"/>
      <c r="K641" s="542"/>
      <c r="O641" s="1134"/>
      <c r="Q641" s="1133"/>
    </row>
    <row r="642" spans="2:17" x14ac:dyDescent="0.3">
      <c r="B642" s="126"/>
      <c r="C642" s="583">
        <v>261</v>
      </c>
      <c r="D642" s="625" t="e">
        <f t="shared" si="30"/>
        <v>#VALUE!</v>
      </c>
      <c r="E642" s="591"/>
      <c r="F642" s="591"/>
      <c r="G642" s="591"/>
      <c r="H642" s="591"/>
      <c r="I642" s="591"/>
      <c r="J642" s="591"/>
      <c r="K642" s="542"/>
      <c r="O642" s="1134"/>
      <c r="Q642" s="1133"/>
    </row>
    <row r="643" spans="2:17" x14ac:dyDescent="0.3">
      <c r="B643" s="126"/>
      <c r="C643" s="583">
        <v>262</v>
      </c>
      <c r="D643" s="625" t="e">
        <f t="shared" si="30"/>
        <v>#VALUE!</v>
      </c>
      <c r="E643" s="591"/>
      <c r="F643" s="591"/>
      <c r="G643" s="591"/>
      <c r="H643" s="591"/>
      <c r="I643" s="591"/>
      <c r="J643" s="591"/>
      <c r="K643" s="542"/>
      <c r="O643" s="1134"/>
      <c r="Q643" s="1133"/>
    </row>
    <row r="644" spans="2:17" x14ac:dyDescent="0.3">
      <c r="B644" s="126"/>
      <c r="C644" s="583">
        <v>263</v>
      </c>
      <c r="D644" s="625" t="e">
        <f t="shared" si="30"/>
        <v>#VALUE!</v>
      </c>
      <c r="E644" s="591"/>
      <c r="F644" s="591"/>
      <c r="G644" s="591"/>
      <c r="H644" s="591"/>
      <c r="I644" s="591"/>
      <c r="J644" s="591"/>
      <c r="K644" s="542"/>
      <c r="O644" s="1134"/>
      <c r="Q644" s="1133"/>
    </row>
    <row r="645" spans="2:17" x14ac:dyDescent="0.3">
      <c r="B645" s="126"/>
      <c r="C645" s="583">
        <v>264</v>
      </c>
      <c r="D645" s="625" t="e">
        <f t="shared" si="30"/>
        <v>#VALUE!</v>
      </c>
      <c r="E645" s="591"/>
      <c r="F645" s="591"/>
      <c r="G645" s="591"/>
      <c r="H645" s="591"/>
      <c r="I645" s="591"/>
      <c r="J645" s="591"/>
      <c r="K645" s="542"/>
      <c r="O645" s="1134"/>
      <c r="Q645" s="1133"/>
    </row>
    <row r="646" spans="2:17" x14ac:dyDescent="0.3">
      <c r="B646" s="126"/>
      <c r="C646" s="583">
        <v>265</v>
      </c>
      <c r="D646" s="625" t="e">
        <f t="shared" si="30"/>
        <v>#VALUE!</v>
      </c>
      <c r="E646" s="591"/>
      <c r="F646" s="591"/>
      <c r="G646" s="591"/>
      <c r="H646" s="591"/>
      <c r="I646" s="591"/>
      <c r="J646" s="591"/>
      <c r="K646" s="542"/>
      <c r="O646" s="1134"/>
      <c r="Q646" s="1133"/>
    </row>
    <row r="647" spans="2:17" x14ac:dyDescent="0.3">
      <c r="B647" s="126"/>
      <c r="C647" s="583">
        <v>266</v>
      </c>
      <c r="D647" s="625" t="e">
        <f t="shared" si="30"/>
        <v>#VALUE!</v>
      </c>
      <c r="E647" s="591"/>
      <c r="F647" s="591"/>
      <c r="G647" s="591"/>
      <c r="H647" s="591"/>
      <c r="I647" s="591"/>
      <c r="J647" s="591"/>
      <c r="K647" s="542"/>
      <c r="O647" s="1134"/>
      <c r="Q647" s="1133"/>
    </row>
    <row r="648" spans="2:17" x14ac:dyDescent="0.3">
      <c r="B648" s="126"/>
      <c r="C648" s="583">
        <v>267</v>
      </c>
      <c r="D648" s="625" t="e">
        <f t="shared" si="30"/>
        <v>#VALUE!</v>
      </c>
      <c r="E648" s="591"/>
      <c r="F648" s="591"/>
      <c r="G648" s="591"/>
      <c r="H648" s="591"/>
      <c r="I648" s="591"/>
      <c r="J648" s="591"/>
      <c r="K648" s="542"/>
      <c r="O648" s="1134"/>
      <c r="Q648" s="1133"/>
    </row>
    <row r="649" spans="2:17" x14ac:dyDescent="0.3">
      <c r="B649" s="126"/>
      <c r="C649" s="583">
        <v>268</v>
      </c>
      <c r="D649" s="625" t="e">
        <f t="shared" si="30"/>
        <v>#VALUE!</v>
      </c>
      <c r="E649" s="591"/>
      <c r="F649" s="591"/>
      <c r="G649" s="591"/>
      <c r="H649" s="591"/>
      <c r="I649" s="591"/>
      <c r="J649" s="591"/>
      <c r="K649" s="542"/>
      <c r="O649" s="1134"/>
      <c r="Q649" s="1133"/>
    </row>
    <row r="650" spans="2:17" x14ac:dyDescent="0.3">
      <c r="B650" s="126"/>
      <c r="C650" s="583">
        <v>269</v>
      </c>
      <c r="D650" s="625" t="e">
        <f t="shared" si="30"/>
        <v>#VALUE!</v>
      </c>
      <c r="E650" s="591"/>
      <c r="F650" s="591"/>
      <c r="G650" s="591"/>
      <c r="H650" s="591"/>
      <c r="I650" s="591"/>
      <c r="J650" s="591"/>
      <c r="K650" s="542"/>
      <c r="O650" s="1134"/>
      <c r="Q650" s="1133"/>
    </row>
    <row r="651" spans="2:17" x14ac:dyDescent="0.3">
      <c r="B651" s="126"/>
      <c r="C651" s="583">
        <v>270</v>
      </c>
      <c r="D651" s="625" t="e">
        <f t="shared" si="30"/>
        <v>#VALUE!</v>
      </c>
      <c r="E651" s="591"/>
      <c r="F651" s="591"/>
      <c r="G651" s="591"/>
      <c r="H651" s="591"/>
      <c r="I651" s="591"/>
      <c r="J651" s="591"/>
      <c r="K651" s="542"/>
      <c r="O651" s="1134"/>
      <c r="Q651" s="1133"/>
    </row>
    <row r="652" spans="2:17" x14ac:dyDescent="0.3">
      <c r="B652" s="126"/>
      <c r="C652" s="583">
        <v>271</v>
      </c>
      <c r="D652" s="625" t="e">
        <f t="shared" si="30"/>
        <v>#VALUE!</v>
      </c>
      <c r="E652" s="591"/>
      <c r="F652" s="591"/>
      <c r="G652" s="591"/>
      <c r="H652" s="591"/>
      <c r="I652" s="591"/>
      <c r="J652" s="591"/>
      <c r="K652" s="542"/>
      <c r="O652" s="1134"/>
      <c r="Q652" s="1133"/>
    </row>
    <row r="653" spans="2:17" x14ac:dyDescent="0.3">
      <c r="B653" s="126"/>
      <c r="C653" s="583">
        <v>272</v>
      </c>
      <c r="D653" s="625" t="e">
        <f t="shared" si="30"/>
        <v>#VALUE!</v>
      </c>
      <c r="E653" s="591"/>
      <c r="F653" s="591"/>
      <c r="G653" s="591"/>
      <c r="H653" s="591"/>
      <c r="I653" s="591"/>
      <c r="J653" s="591"/>
      <c r="K653" s="542"/>
      <c r="O653" s="1134"/>
      <c r="Q653" s="1133"/>
    </row>
    <row r="654" spans="2:17" x14ac:dyDescent="0.3">
      <c r="B654" s="126"/>
      <c r="C654" s="583">
        <v>273</v>
      </c>
      <c r="D654" s="625" t="e">
        <f t="shared" si="30"/>
        <v>#VALUE!</v>
      </c>
      <c r="E654" s="591"/>
      <c r="F654" s="591"/>
      <c r="G654" s="591"/>
      <c r="H654" s="591"/>
      <c r="I654" s="591"/>
      <c r="J654" s="591"/>
      <c r="K654" s="542"/>
      <c r="O654" s="1134"/>
      <c r="Q654" s="1133"/>
    </row>
    <row r="655" spans="2:17" x14ac:dyDescent="0.3">
      <c r="B655" s="126"/>
      <c r="C655" s="583">
        <v>274</v>
      </c>
      <c r="D655" s="625" t="e">
        <f t="shared" si="30"/>
        <v>#VALUE!</v>
      </c>
      <c r="E655" s="591"/>
      <c r="F655" s="591"/>
      <c r="G655" s="591"/>
      <c r="H655" s="591"/>
      <c r="I655" s="591"/>
      <c r="J655" s="591"/>
      <c r="K655" s="542"/>
      <c r="O655" s="1134"/>
      <c r="Q655" s="1133"/>
    </row>
    <row r="656" spans="2:17" x14ac:dyDescent="0.3">
      <c r="B656" s="126"/>
      <c r="C656" s="583">
        <v>275</v>
      </c>
      <c r="D656" s="625" t="e">
        <f t="shared" si="30"/>
        <v>#VALUE!</v>
      </c>
      <c r="E656" s="591"/>
      <c r="F656" s="591"/>
      <c r="G656" s="591"/>
      <c r="H656" s="591"/>
      <c r="I656" s="591"/>
      <c r="J656" s="591"/>
      <c r="K656" s="542"/>
      <c r="O656" s="1134"/>
      <c r="Q656" s="1133"/>
    </row>
    <row r="657" spans="2:17" x14ac:dyDescent="0.3">
      <c r="B657" s="126"/>
      <c r="C657" s="583">
        <v>276</v>
      </c>
      <c r="D657" s="625" t="e">
        <f t="shared" si="30"/>
        <v>#VALUE!</v>
      </c>
      <c r="E657" s="591"/>
      <c r="F657" s="591"/>
      <c r="G657" s="591"/>
      <c r="H657" s="591"/>
      <c r="I657" s="591"/>
      <c r="J657" s="591"/>
      <c r="K657" s="542"/>
      <c r="O657" s="1134"/>
      <c r="Q657" s="1133"/>
    </row>
    <row r="658" spans="2:17" x14ac:dyDescent="0.3">
      <c r="B658" s="126"/>
      <c r="C658" s="583">
        <v>277</v>
      </c>
      <c r="D658" s="625" t="e">
        <f t="shared" si="30"/>
        <v>#VALUE!</v>
      </c>
      <c r="E658" s="591"/>
      <c r="F658" s="591"/>
      <c r="G658" s="591"/>
      <c r="H658" s="591"/>
      <c r="I658" s="591"/>
      <c r="J658" s="591"/>
      <c r="K658" s="542"/>
      <c r="O658" s="1134"/>
      <c r="Q658" s="1133"/>
    </row>
    <row r="659" spans="2:17" x14ac:dyDescent="0.3">
      <c r="B659" s="126"/>
      <c r="C659" s="583">
        <v>278</v>
      </c>
      <c r="D659" s="625" t="e">
        <f t="shared" si="30"/>
        <v>#VALUE!</v>
      </c>
      <c r="E659" s="591"/>
      <c r="F659" s="591"/>
      <c r="G659" s="591"/>
      <c r="H659" s="591"/>
      <c r="I659" s="591"/>
      <c r="J659" s="591"/>
      <c r="K659" s="542"/>
      <c r="O659" s="1134"/>
      <c r="Q659" s="1133"/>
    </row>
    <row r="660" spans="2:17" x14ac:dyDescent="0.3">
      <c r="B660" s="126"/>
      <c r="C660" s="583">
        <v>279</v>
      </c>
      <c r="D660" s="625" t="e">
        <f t="shared" si="30"/>
        <v>#VALUE!</v>
      </c>
      <c r="E660" s="591"/>
      <c r="F660" s="591"/>
      <c r="G660" s="591"/>
      <c r="H660" s="591"/>
      <c r="I660" s="591"/>
      <c r="J660" s="591"/>
      <c r="K660" s="542"/>
      <c r="O660" s="1134"/>
      <c r="Q660" s="1133"/>
    </row>
    <row r="661" spans="2:17" x14ac:dyDescent="0.3">
      <c r="B661" s="126"/>
      <c r="C661" s="583">
        <v>280</v>
      </c>
      <c r="D661" s="625" t="e">
        <f t="shared" si="30"/>
        <v>#VALUE!</v>
      </c>
      <c r="E661" s="591"/>
      <c r="F661" s="591"/>
      <c r="G661" s="591"/>
      <c r="H661" s="591"/>
      <c r="I661" s="591"/>
      <c r="J661" s="591"/>
      <c r="K661" s="542"/>
      <c r="O661" s="1134"/>
      <c r="Q661" s="1133"/>
    </row>
    <row r="662" spans="2:17" x14ac:dyDescent="0.3">
      <c r="B662" s="126"/>
      <c r="C662" s="583">
        <v>281</v>
      </c>
      <c r="D662" s="625" t="e">
        <f t="shared" si="30"/>
        <v>#VALUE!</v>
      </c>
      <c r="E662" s="591"/>
      <c r="F662" s="591"/>
      <c r="G662" s="591"/>
      <c r="H662" s="591"/>
      <c r="I662" s="591"/>
      <c r="J662" s="591"/>
      <c r="K662" s="542"/>
      <c r="O662" s="1134"/>
      <c r="Q662" s="1133"/>
    </row>
    <row r="663" spans="2:17" x14ac:dyDescent="0.3">
      <c r="B663" s="126"/>
      <c r="C663" s="583">
        <v>282</v>
      </c>
      <c r="D663" s="625" t="e">
        <f t="shared" si="30"/>
        <v>#VALUE!</v>
      </c>
      <c r="E663" s="591"/>
      <c r="F663" s="591"/>
      <c r="G663" s="591"/>
      <c r="H663" s="591"/>
      <c r="I663" s="591"/>
      <c r="J663" s="591"/>
      <c r="K663" s="542"/>
      <c r="O663" s="1134"/>
      <c r="Q663" s="1133"/>
    </row>
    <row r="664" spans="2:17" x14ac:dyDescent="0.3">
      <c r="B664" s="126"/>
      <c r="C664" s="583">
        <v>283</v>
      </c>
      <c r="D664" s="625" t="e">
        <f t="shared" si="30"/>
        <v>#VALUE!</v>
      </c>
      <c r="E664" s="591"/>
      <c r="F664" s="591"/>
      <c r="G664" s="591"/>
      <c r="H664" s="591"/>
      <c r="I664" s="591"/>
      <c r="J664" s="591"/>
      <c r="K664" s="542"/>
      <c r="O664" s="1134"/>
      <c r="Q664" s="1133"/>
    </row>
    <row r="665" spans="2:17" x14ac:dyDescent="0.3">
      <c r="B665" s="126"/>
      <c r="C665" s="583">
        <v>284</v>
      </c>
      <c r="D665" s="625" t="e">
        <f t="shared" si="30"/>
        <v>#VALUE!</v>
      </c>
      <c r="E665" s="591"/>
      <c r="F665" s="591"/>
      <c r="G665" s="591"/>
      <c r="H665" s="591"/>
      <c r="I665" s="591"/>
      <c r="J665" s="591"/>
      <c r="K665" s="542"/>
      <c r="O665" s="1134"/>
      <c r="Q665" s="1133"/>
    </row>
    <row r="666" spans="2:17" x14ac:dyDescent="0.3">
      <c r="B666" s="126"/>
      <c r="C666" s="583">
        <v>285</v>
      </c>
      <c r="D666" s="625" t="e">
        <f t="shared" si="30"/>
        <v>#VALUE!</v>
      </c>
      <c r="E666" s="591"/>
      <c r="F666" s="591"/>
      <c r="G666" s="591"/>
      <c r="H666" s="591"/>
      <c r="I666" s="591"/>
      <c r="J666" s="591"/>
      <c r="K666" s="542"/>
      <c r="O666" s="1134"/>
      <c r="Q666" s="1133"/>
    </row>
    <row r="667" spans="2:17" x14ac:dyDescent="0.3">
      <c r="B667" s="126"/>
      <c r="C667" s="583">
        <v>286</v>
      </c>
      <c r="D667" s="625" t="e">
        <f t="shared" si="30"/>
        <v>#VALUE!</v>
      </c>
      <c r="E667" s="591"/>
      <c r="F667" s="591"/>
      <c r="G667" s="591"/>
      <c r="H667" s="591"/>
      <c r="I667" s="591"/>
      <c r="J667" s="591"/>
      <c r="K667" s="542"/>
      <c r="O667" s="1134"/>
      <c r="Q667" s="1133"/>
    </row>
    <row r="668" spans="2:17" x14ac:dyDescent="0.3">
      <c r="B668" s="126"/>
      <c r="C668" s="583">
        <v>287</v>
      </c>
      <c r="D668" s="625" t="e">
        <f t="shared" si="30"/>
        <v>#VALUE!</v>
      </c>
      <c r="E668" s="591"/>
      <c r="F668" s="591"/>
      <c r="G668" s="591"/>
      <c r="H668" s="591"/>
      <c r="I668" s="591"/>
      <c r="J668" s="591"/>
      <c r="K668" s="542"/>
      <c r="O668" s="1134"/>
      <c r="Q668" s="1133"/>
    </row>
    <row r="669" spans="2:17" x14ac:dyDescent="0.3">
      <c r="B669" s="126"/>
      <c r="C669" s="583">
        <v>288</v>
      </c>
      <c r="D669" s="625" t="e">
        <f t="shared" si="30"/>
        <v>#VALUE!</v>
      </c>
      <c r="E669" s="591"/>
      <c r="F669" s="591"/>
      <c r="G669" s="591"/>
      <c r="H669" s="591"/>
      <c r="I669" s="591"/>
      <c r="J669" s="591"/>
      <c r="K669" s="542"/>
      <c r="O669" s="1134"/>
      <c r="Q669" s="1133"/>
    </row>
    <row r="670" spans="2:17" x14ac:dyDescent="0.3">
      <c r="B670" s="126"/>
      <c r="C670" s="583">
        <v>289</v>
      </c>
      <c r="D670" s="625" t="e">
        <f t="shared" si="30"/>
        <v>#VALUE!</v>
      </c>
      <c r="E670" s="591"/>
      <c r="F670" s="591"/>
      <c r="G670" s="591"/>
      <c r="H670" s="591"/>
      <c r="I670" s="591"/>
      <c r="J670" s="591"/>
      <c r="K670" s="542"/>
      <c r="O670" s="1134"/>
      <c r="Q670" s="1133"/>
    </row>
    <row r="671" spans="2:17" x14ac:dyDescent="0.3">
      <c r="B671" s="126"/>
      <c r="C671" s="583">
        <v>290</v>
      </c>
      <c r="D671" s="625" t="e">
        <f t="shared" si="30"/>
        <v>#VALUE!</v>
      </c>
      <c r="E671" s="591"/>
      <c r="F671" s="591"/>
      <c r="G671" s="591"/>
      <c r="H671" s="591"/>
      <c r="I671" s="591"/>
      <c r="J671" s="591"/>
      <c r="K671" s="542"/>
      <c r="O671" s="1134"/>
      <c r="Q671" s="1133"/>
    </row>
    <row r="672" spans="2:17" x14ac:dyDescent="0.3">
      <c r="B672" s="126"/>
      <c r="C672" s="583">
        <v>291</v>
      </c>
      <c r="D672" s="625" t="e">
        <f t="shared" si="30"/>
        <v>#VALUE!</v>
      </c>
      <c r="E672" s="591"/>
      <c r="F672" s="591"/>
      <c r="G672" s="591"/>
      <c r="H672" s="591"/>
      <c r="I672" s="591"/>
      <c r="J672" s="591"/>
      <c r="K672" s="542"/>
      <c r="O672" s="1134"/>
      <c r="Q672" s="1133"/>
    </row>
    <row r="673" spans="2:17" x14ac:dyDescent="0.3">
      <c r="B673" s="126"/>
      <c r="C673" s="583">
        <v>292</v>
      </c>
      <c r="D673" s="625" t="e">
        <f t="shared" si="30"/>
        <v>#VALUE!</v>
      </c>
      <c r="E673" s="591"/>
      <c r="F673" s="591"/>
      <c r="G673" s="591"/>
      <c r="H673" s="591"/>
      <c r="I673" s="591"/>
      <c r="J673" s="591"/>
      <c r="K673" s="542"/>
      <c r="O673" s="1134"/>
      <c r="Q673" s="1133"/>
    </row>
    <row r="674" spans="2:17" x14ac:dyDescent="0.3">
      <c r="B674" s="126"/>
      <c r="C674" s="583">
        <v>293</v>
      </c>
      <c r="D674" s="625" t="e">
        <f t="shared" si="30"/>
        <v>#VALUE!</v>
      </c>
      <c r="E674" s="591"/>
      <c r="F674" s="591"/>
      <c r="G674" s="591"/>
      <c r="H674" s="591"/>
      <c r="I674" s="591"/>
      <c r="J674" s="591"/>
      <c r="K674" s="542"/>
      <c r="O674" s="1134"/>
      <c r="Q674" s="1133"/>
    </row>
    <row r="675" spans="2:17" x14ac:dyDescent="0.3">
      <c r="B675" s="126"/>
      <c r="C675" s="583">
        <v>294</v>
      </c>
      <c r="D675" s="625" t="e">
        <f t="shared" si="30"/>
        <v>#VALUE!</v>
      </c>
      <c r="E675" s="591"/>
      <c r="F675" s="591"/>
      <c r="G675" s="591"/>
      <c r="H675" s="591"/>
      <c r="I675" s="591"/>
      <c r="J675" s="591"/>
      <c r="K675" s="542"/>
      <c r="O675" s="1134"/>
      <c r="Q675" s="1133"/>
    </row>
    <row r="676" spans="2:17" x14ac:dyDescent="0.3">
      <c r="B676" s="126"/>
      <c r="C676" s="583">
        <v>295</v>
      </c>
      <c r="D676" s="625" t="e">
        <f t="shared" si="30"/>
        <v>#VALUE!</v>
      </c>
      <c r="E676" s="591"/>
      <c r="F676" s="591"/>
      <c r="G676" s="591"/>
      <c r="H676" s="591"/>
      <c r="I676" s="591"/>
      <c r="J676" s="591"/>
      <c r="K676" s="542"/>
      <c r="O676" s="1134"/>
      <c r="Q676" s="1133"/>
    </row>
    <row r="677" spans="2:17" x14ac:dyDescent="0.3">
      <c r="B677" s="126"/>
      <c r="C677" s="583">
        <v>296</v>
      </c>
      <c r="D677" s="625" t="e">
        <f t="shared" si="30"/>
        <v>#VALUE!</v>
      </c>
      <c r="E677" s="591"/>
      <c r="F677" s="591"/>
      <c r="G677" s="591"/>
      <c r="H677" s="591"/>
      <c r="I677" s="591"/>
      <c r="J677" s="591"/>
      <c r="K677" s="542"/>
      <c r="O677" s="1134"/>
      <c r="Q677" s="1133"/>
    </row>
    <row r="678" spans="2:17" x14ac:dyDescent="0.3">
      <c r="B678" s="126"/>
      <c r="C678" s="583">
        <v>297</v>
      </c>
      <c r="D678" s="625" t="e">
        <f t="shared" si="30"/>
        <v>#VALUE!</v>
      </c>
      <c r="E678" s="591"/>
      <c r="F678" s="591"/>
      <c r="G678" s="591"/>
      <c r="H678" s="591"/>
      <c r="I678" s="591"/>
      <c r="J678" s="591"/>
      <c r="K678" s="542"/>
      <c r="O678" s="1134"/>
      <c r="Q678" s="1133"/>
    </row>
    <row r="679" spans="2:17" x14ac:dyDescent="0.3">
      <c r="B679" s="126"/>
      <c r="C679" s="583">
        <v>298</v>
      </c>
      <c r="D679" s="625" t="e">
        <f t="shared" si="30"/>
        <v>#VALUE!</v>
      </c>
      <c r="E679" s="591"/>
      <c r="F679" s="591"/>
      <c r="G679" s="591"/>
      <c r="H679" s="591"/>
      <c r="I679" s="591"/>
      <c r="J679" s="591"/>
      <c r="K679" s="542"/>
      <c r="O679" s="1134"/>
      <c r="Q679" s="1133"/>
    </row>
    <row r="680" spans="2:17" x14ac:dyDescent="0.3">
      <c r="B680" s="126"/>
      <c r="C680" s="583">
        <v>299</v>
      </c>
      <c r="D680" s="625" t="e">
        <f t="shared" si="30"/>
        <v>#VALUE!</v>
      </c>
      <c r="E680" s="591"/>
      <c r="F680" s="591"/>
      <c r="G680" s="591"/>
      <c r="H680" s="591"/>
      <c r="I680" s="591"/>
      <c r="J680" s="591"/>
      <c r="K680" s="542"/>
      <c r="O680" s="1134"/>
      <c r="Q680" s="1133"/>
    </row>
    <row r="681" spans="2:17" x14ac:dyDescent="0.3">
      <c r="B681" s="126"/>
      <c r="C681" s="583">
        <v>300</v>
      </c>
      <c r="D681" s="625" t="e">
        <f t="shared" si="30"/>
        <v>#VALUE!</v>
      </c>
      <c r="E681" s="591"/>
      <c r="F681" s="591"/>
      <c r="G681" s="591"/>
      <c r="H681" s="591"/>
      <c r="I681" s="591"/>
      <c r="J681" s="591"/>
      <c r="K681" s="542"/>
      <c r="O681" s="1134"/>
      <c r="Q681" s="1133"/>
    </row>
    <row r="682" spans="2:17" x14ac:dyDescent="0.3">
      <c r="B682" s="126"/>
      <c r="C682" s="583">
        <v>301</v>
      </c>
      <c r="D682" s="625" t="e">
        <f t="shared" si="30"/>
        <v>#VALUE!</v>
      </c>
      <c r="E682" s="591"/>
      <c r="F682" s="591"/>
      <c r="G682" s="591"/>
      <c r="H682" s="591"/>
      <c r="I682" s="591"/>
      <c r="J682" s="591"/>
      <c r="K682" s="542"/>
      <c r="O682" s="1134"/>
      <c r="Q682" s="1133"/>
    </row>
    <row r="683" spans="2:17" x14ac:dyDescent="0.3">
      <c r="B683" s="126"/>
      <c r="C683" s="583">
        <v>302</v>
      </c>
      <c r="D683" s="625" t="e">
        <f t="shared" si="30"/>
        <v>#VALUE!</v>
      </c>
      <c r="E683" s="591"/>
      <c r="F683" s="591"/>
      <c r="G683" s="591"/>
      <c r="H683" s="591"/>
      <c r="I683" s="591"/>
      <c r="J683" s="591"/>
      <c r="K683" s="542"/>
      <c r="O683" s="1134"/>
      <c r="Q683" s="1133"/>
    </row>
    <row r="684" spans="2:17" x14ac:dyDescent="0.3">
      <c r="B684" s="126"/>
      <c r="C684" s="583">
        <v>303</v>
      </c>
      <c r="D684" s="625" t="e">
        <f t="shared" si="30"/>
        <v>#VALUE!</v>
      </c>
      <c r="E684" s="591"/>
      <c r="F684" s="591"/>
      <c r="G684" s="591"/>
      <c r="H684" s="591"/>
      <c r="I684" s="591"/>
      <c r="J684" s="591"/>
      <c r="K684" s="542"/>
      <c r="O684" s="1134"/>
      <c r="Q684" s="1133"/>
    </row>
    <row r="685" spans="2:17" x14ac:dyDescent="0.3">
      <c r="B685" s="126"/>
      <c r="C685" s="583">
        <v>304</v>
      </c>
      <c r="D685" s="625" t="e">
        <f t="shared" si="30"/>
        <v>#VALUE!</v>
      </c>
      <c r="E685" s="591"/>
      <c r="F685" s="591"/>
      <c r="G685" s="591"/>
      <c r="H685" s="591"/>
      <c r="I685" s="591"/>
      <c r="J685" s="591"/>
      <c r="K685" s="542"/>
      <c r="O685" s="1134"/>
      <c r="Q685" s="1133"/>
    </row>
    <row r="686" spans="2:17" x14ac:dyDescent="0.3">
      <c r="B686" s="126"/>
      <c r="C686" s="583">
        <v>305</v>
      </c>
      <c r="D686" s="625" t="e">
        <f t="shared" si="30"/>
        <v>#VALUE!</v>
      </c>
      <c r="E686" s="591"/>
      <c r="F686" s="591"/>
      <c r="G686" s="591"/>
      <c r="H686" s="591"/>
      <c r="I686" s="591"/>
      <c r="J686" s="591"/>
      <c r="K686" s="542"/>
      <c r="O686" s="1134"/>
      <c r="Q686" s="1133"/>
    </row>
    <row r="687" spans="2:17" x14ac:dyDescent="0.3">
      <c r="B687" s="126"/>
      <c r="C687" s="583">
        <v>306</v>
      </c>
      <c r="D687" s="625" t="e">
        <f t="shared" si="30"/>
        <v>#VALUE!</v>
      </c>
      <c r="E687" s="591"/>
      <c r="F687" s="591"/>
      <c r="G687" s="591"/>
      <c r="H687" s="591"/>
      <c r="I687" s="591"/>
      <c r="J687" s="591"/>
      <c r="K687" s="542"/>
      <c r="O687" s="1134"/>
      <c r="Q687" s="1133"/>
    </row>
    <row r="688" spans="2:17" x14ac:dyDescent="0.3">
      <c r="B688" s="126"/>
      <c r="C688" s="583">
        <v>307</v>
      </c>
      <c r="D688" s="625" t="e">
        <f t="shared" si="30"/>
        <v>#VALUE!</v>
      </c>
      <c r="E688" s="591"/>
      <c r="F688" s="591"/>
      <c r="G688" s="591"/>
      <c r="H688" s="591"/>
      <c r="I688" s="591"/>
      <c r="J688" s="591"/>
      <c r="K688" s="542"/>
      <c r="O688" s="1134"/>
      <c r="Q688" s="1133"/>
    </row>
    <row r="689" spans="2:17" x14ac:dyDescent="0.3">
      <c r="B689" s="126"/>
      <c r="C689" s="583">
        <v>308</v>
      </c>
      <c r="D689" s="625" t="e">
        <f t="shared" si="30"/>
        <v>#VALUE!</v>
      </c>
      <c r="E689" s="591"/>
      <c r="F689" s="591"/>
      <c r="G689" s="591"/>
      <c r="H689" s="591"/>
      <c r="I689" s="591"/>
      <c r="J689" s="591"/>
      <c r="K689" s="542"/>
      <c r="O689" s="1134"/>
      <c r="Q689" s="1133"/>
    </row>
    <row r="690" spans="2:17" x14ac:dyDescent="0.3">
      <c r="B690" s="126"/>
      <c r="C690" s="583">
        <v>309</v>
      </c>
      <c r="D690" s="625" t="e">
        <f t="shared" si="30"/>
        <v>#VALUE!</v>
      </c>
      <c r="E690" s="591"/>
      <c r="F690" s="591"/>
      <c r="G690" s="591"/>
      <c r="H690" s="591"/>
      <c r="I690" s="591"/>
      <c r="J690" s="591"/>
      <c r="K690" s="542"/>
      <c r="O690" s="1134"/>
      <c r="Q690" s="1133"/>
    </row>
    <row r="691" spans="2:17" x14ac:dyDescent="0.3">
      <c r="B691" s="126"/>
      <c r="C691" s="583">
        <v>310</v>
      </c>
      <c r="D691" s="625" t="e">
        <f t="shared" si="30"/>
        <v>#VALUE!</v>
      </c>
      <c r="E691" s="591"/>
      <c r="F691" s="591"/>
      <c r="G691" s="591"/>
      <c r="H691" s="591"/>
      <c r="I691" s="591"/>
      <c r="J691" s="591"/>
      <c r="K691" s="542"/>
      <c r="O691" s="1134"/>
      <c r="Q691" s="1133"/>
    </row>
    <row r="692" spans="2:17" x14ac:dyDescent="0.3">
      <c r="B692" s="126"/>
      <c r="C692" s="583">
        <v>311</v>
      </c>
      <c r="D692" s="625" t="e">
        <f t="shared" si="30"/>
        <v>#VALUE!</v>
      </c>
      <c r="E692" s="591"/>
      <c r="F692" s="591"/>
      <c r="G692" s="591"/>
      <c r="H692" s="591"/>
      <c r="I692" s="591"/>
      <c r="J692" s="591"/>
      <c r="K692" s="542"/>
      <c r="O692" s="1134"/>
      <c r="Q692" s="1133"/>
    </row>
    <row r="693" spans="2:17" x14ac:dyDescent="0.3">
      <c r="B693" s="126"/>
      <c r="C693" s="583">
        <v>312</v>
      </c>
      <c r="D693" s="625" t="e">
        <f t="shared" si="30"/>
        <v>#VALUE!</v>
      </c>
      <c r="E693" s="591"/>
      <c r="F693" s="591"/>
      <c r="G693" s="591"/>
      <c r="H693" s="591"/>
      <c r="I693" s="591"/>
      <c r="J693" s="591"/>
      <c r="K693" s="542"/>
      <c r="O693" s="1134"/>
      <c r="Q693" s="1133"/>
    </row>
    <row r="694" spans="2:17" x14ac:dyDescent="0.3">
      <c r="B694" s="126"/>
      <c r="C694" s="583">
        <v>313</v>
      </c>
      <c r="D694" s="625" t="e">
        <f t="shared" si="30"/>
        <v>#VALUE!</v>
      </c>
      <c r="E694" s="591"/>
      <c r="F694" s="591"/>
      <c r="G694" s="591"/>
      <c r="H694" s="591"/>
      <c r="I694" s="591"/>
      <c r="J694" s="591"/>
      <c r="K694" s="542"/>
      <c r="O694" s="1134"/>
      <c r="Q694" s="1133"/>
    </row>
    <row r="695" spans="2:17" x14ac:dyDescent="0.3">
      <c r="B695" s="126"/>
      <c r="C695" s="583">
        <v>314</v>
      </c>
      <c r="D695" s="625" t="e">
        <f t="shared" si="30"/>
        <v>#VALUE!</v>
      </c>
      <c r="E695" s="591"/>
      <c r="F695" s="591"/>
      <c r="G695" s="591"/>
      <c r="H695" s="591"/>
      <c r="I695" s="591"/>
      <c r="J695" s="591"/>
      <c r="K695" s="542"/>
      <c r="O695" s="1134"/>
      <c r="Q695" s="1133"/>
    </row>
    <row r="696" spans="2:17" x14ac:dyDescent="0.3">
      <c r="B696" s="126"/>
      <c r="C696" s="583">
        <v>315</v>
      </c>
      <c r="D696" s="625" t="e">
        <f t="shared" si="30"/>
        <v>#VALUE!</v>
      </c>
      <c r="E696" s="591"/>
      <c r="F696" s="591"/>
      <c r="G696" s="591"/>
      <c r="H696" s="591"/>
      <c r="I696" s="591"/>
      <c r="J696" s="591"/>
      <c r="K696" s="542"/>
      <c r="O696" s="1134"/>
      <c r="Q696" s="1133"/>
    </row>
    <row r="697" spans="2:17" x14ac:dyDescent="0.3">
      <c r="B697" s="126"/>
      <c r="C697" s="583">
        <v>316</v>
      </c>
      <c r="D697" s="625" t="e">
        <f t="shared" si="30"/>
        <v>#VALUE!</v>
      </c>
      <c r="E697" s="591"/>
      <c r="F697" s="591"/>
      <c r="G697" s="591"/>
      <c r="H697" s="591"/>
      <c r="I697" s="591"/>
      <c r="J697" s="591"/>
      <c r="K697" s="542"/>
      <c r="O697" s="1134"/>
      <c r="Q697" s="1133"/>
    </row>
    <row r="698" spans="2:17" x14ac:dyDescent="0.3">
      <c r="B698" s="126"/>
      <c r="C698" s="583">
        <v>317</v>
      </c>
      <c r="D698" s="625" t="e">
        <f t="shared" si="30"/>
        <v>#VALUE!</v>
      </c>
      <c r="E698" s="591"/>
      <c r="F698" s="591"/>
      <c r="G698" s="591"/>
      <c r="H698" s="591"/>
      <c r="I698" s="591"/>
      <c r="J698" s="591"/>
      <c r="K698" s="542"/>
      <c r="O698" s="1134"/>
      <c r="Q698" s="1133"/>
    </row>
    <row r="699" spans="2:17" x14ac:dyDescent="0.3">
      <c r="B699" s="126"/>
      <c r="C699" s="583">
        <v>318</v>
      </c>
      <c r="D699" s="625" t="e">
        <f t="shared" si="30"/>
        <v>#VALUE!</v>
      </c>
      <c r="E699" s="591"/>
      <c r="F699" s="591"/>
      <c r="G699" s="591"/>
      <c r="H699" s="591"/>
      <c r="I699" s="591"/>
      <c r="J699" s="591"/>
      <c r="K699" s="542"/>
      <c r="O699" s="1134"/>
      <c r="Q699" s="1133"/>
    </row>
    <row r="700" spans="2:17" x14ac:dyDescent="0.3">
      <c r="B700" s="126"/>
      <c r="C700" s="583">
        <v>319</v>
      </c>
      <c r="D700" s="625" t="e">
        <f t="shared" si="30"/>
        <v>#VALUE!</v>
      </c>
      <c r="E700" s="591"/>
      <c r="F700" s="591"/>
      <c r="G700" s="591"/>
      <c r="H700" s="591"/>
      <c r="I700" s="591"/>
      <c r="J700" s="591"/>
      <c r="K700" s="542"/>
      <c r="O700" s="1134"/>
      <c r="Q700" s="1133"/>
    </row>
    <row r="701" spans="2:17" x14ac:dyDescent="0.3">
      <c r="B701" s="126"/>
      <c r="C701" s="583">
        <v>320</v>
      </c>
      <c r="D701" s="625" t="e">
        <f t="shared" ref="D701:D764" si="31">$C$360*C701</f>
        <v>#VALUE!</v>
      </c>
      <c r="E701" s="591"/>
      <c r="F701" s="591"/>
      <c r="G701" s="591"/>
      <c r="H701" s="591"/>
      <c r="I701" s="591"/>
      <c r="J701" s="591"/>
      <c r="K701" s="542"/>
      <c r="O701" s="1134"/>
      <c r="Q701" s="1133"/>
    </row>
    <row r="702" spans="2:17" x14ac:dyDescent="0.3">
      <c r="B702" s="126"/>
      <c r="C702" s="583">
        <v>321</v>
      </c>
      <c r="D702" s="625" t="e">
        <f t="shared" si="31"/>
        <v>#VALUE!</v>
      </c>
      <c r="E702" s="591"/>
      <c r="F702" s="591"/>
      <c r="G702" s="591"/>
      <c r="H702" s="591"/>
      <c r="I702" s="591"/>
      <c r="J702" s="591"/>
      <c r="K702" s="542"/>
      <c r="O702" s="1134"/>
      <c r="Q702" s="1133"/>
    </row>
    <row r="703" spans="2:17" x14ac:dyDescent="0.3">
      <c r="B703" s="126"/>
      <c r="C703" s="583">
        <v>322</v>
      </c>
      <c r="D703" s="625" t="e">
        <f t="shared" si="31"/>
        <v>#VALUE!</v>
      </c>
      <c r="E703" s="591"/>
      <c r="F703" s="591"/>
      <c r="G703" s="591"/>
      <c r="H703" s="591"/>
      <c r="I703" s="591"/>
      <c r="J703" s="591"/>
      <c r="K703" s="542"/>
      <c r="O703" s="1134"/>
      <c r="Q703" s="1133"/>
    </row>
    <row r="704" spans="2:17" x14ac:dyDescent="0.3">
      <c r="B704" s="126"/>
      <c r="C704" s="583">
        <v>323</v>
      </c>
      <c r="D704" s="625" t="e">
        <f t="shared" si="31"/>
        <v>#VALUE!</v>
      </c>
      <c r="E704" s="591"/>
      <c r="F704" s="591"/>
      <c r="G704" s="591"/>
      <c r="H704" s="591"/>
      <c r="I704" s="591"/>
      <c r="J704" s="591"/>
      <c r="K704" s="542"/>
      <c r="O704" s="1134"/>
      <c r="Q704" s="1133"/>
    </row>
    <row r="705" spans="2:17" x14ac:dyDescent="0.3">
      <c r="B705" s="126"/>
      <c r="C705" s="583">
        <v>324</v>
      </c>
      <c r="D705" s="625" t="e">
        <f t="shared" si="31"/>
        <v>#VALUE!</v>
      </c>
      <c r="E705" s="591"/>
      <c r="F705" s="591"/>
      <c r="G705" s="591"/>
      <c r="H705" s="591"/>
      <c r="I705" s="591"/>
      <c r="J705" s="591"/>
      <c r="K705" s="542"/>
      <c r="O705" s="1134"/>
      <c r="Q705" s="1133"/>
    </row>
    <row r="706" spans="2:17" x14ac:dyDescent="0.3">
      <c r="B706" s="126"/>
      <c r="C706" s="583">
        <v>325</v>
      </c>
      <c r="D706" s="625" t="e">
        <f t="shared" si="31"/>
        <v>#VALUE!</v>
      </c>
      <c r="E706" s="591"/>
      <c r="F706" s="591"/>
      <c r="G706" s="591"/>
      <c r="H706" s="591"/>
      <c r="I706" s="591"/>
      <c r="J706" s="591"/>
      <c r="K706" s="542"/>
      <c r="O706" s="1134"/>
      <c r="Q706" s="1133"/>
    </row>
    <row r="707" spans="2:17" x14ac:dyDescent="0.3">
      <c r="B707" s="126"/>
      <c r="C707" s="583">
        <v>326</v>
      </c>
      <c r="D707" s="625" t="e">
        <f t="shared" si="31"/>
        <v>#VALUE!</v>
      </c>
      <c r="E707" s="591"/>
      <c r="F707" s="591"/>
      <c r="G707" s="591"/>
      <c r="H707" s="591"/>
      <c r="I707" s="591"/>
      <c r="J707" s="591"/>
      <c r="K707" s="542"/>
      <c r="O707" s="1134"/>
      <c r="Q707" s="1133"/>
    </row>
    <row r="708" spans="2:17" x14ac:dyDescent="0.3">
      <c r="B708" s="126"/>
      <c r="C708" s="583">
        <v>327</v>
      </c>
      <c r="D708" s="625" t="e">
        <f t="shared" si="31"/>
        <v>#VALUE!</v>
      </c>
      <c r="E708" s="591"/>
      <c r="F708" s="591"/>
      <c r="G708" s="591"/>
      <c r="H708" s="591"/>
      <c r="I708" s="591"/>
      <c r="J708" s="591"/>
      <c r="K708" s="542"/>
      <c r="O708" s="1134"/>
      <c r="Q708" s="1133"/>
    </row>
    <row r="709" spans="2:17" x14ac:dyDescent="0.3">
      <c r="B709" s="126"/>
      <c r="C709" s="583">
        <v>328</v>
      </c>
      <c r="D709" s="625" t="e">
        <f t="shared" si="31"/>
        <v>#VALUE!</v>
      </c>
      <c r="E709" s="591"/>
      <c r="F709" s="591"/>
      <c r="G709" s="591"/>
      <c r="H709" s="591"/>
      <c r="I709" s="591"/>
      <c r="J709" s="591"/>
      <c r="K709" s="542"/>
      <c r="O709" s="1134"/>
      <c r="Q709" s="1133"/>
    </row>
    <row r="710" spans="2:17" x14ac:dyDescent="0.3">
      <c r="B710" s="126"/>
      <c r="C710" s="583">
        <v>329</v>
      </c>
      <c r="D710" s="625" t="e">
        <f t="shared" si="31"/>
        <v>#VALUE!</v>
      </c>
      <c r="E710" s="591"/>
      <c r="F710" s="591"/>
      <c r="G710" s="591"/>
      <c r="H710" s="591"/>
      <c r="I710" s="591"/>
      <c r="J710" s="591"/>
      <c r="K710" s="542"/>
      <c r="O710" s="1134"/>
      <c r="Q710" s="1133"/>
    </row>
    <row r="711" spans="2:17" x14ac:dyDescent="0.3">
      <c r="B711" s="126"/>
      <c r="C711" s="583">
        <v>330</v>
      </c>
      <c r="D711" s="625" t="e">
        <f t="shared" si="31"/>
        <v>#VALUE!</v>
      </c>
      <c r="E711" s="591"/>
      <c r="F711" s="591"/>
      <c r="G711" s="591"/>
      <c r="H711" s="591"/>
      <c r="I711" s="591"/>
      <c r="J711" s="591"/>
      <c r="K711" s="542"/>
      <c r="O711" s="1134"/>
      <c r="Q711" s="1133"/>
    </row>
    <row r="712" spans="2:17" x14ac:dyDescent="0.3">
      <c r="B712" s="126"/>
      <c r="C712" s="583">
        <v>331</v>
      </c>
      <c r="D712" s="625" t="e">
        <f t="shared" si="31"/>
        <v>#VALUE!</v>
      </c>
      <c r="E712" s="591"/>
      <c r="F712" s="591"/>
      <c r="G712" s="591"/>
      <c r="H712" s="591"/>
      <c r="I712" s="591"/>
      <c r="J712" s="591"/>
      <c r="K712" s="542"/>
      <c r="O712" s="1134"/>
      <c r="Q712" s="1133"/>
    </row>
    <row r="713" spans="2:17" x14ac:dyDescent="0.3">
      <c r="B713" s="126"/>
      <c r="C713" s="583">
        <v>332</v>
      </c>
      <c r="D713" s="625" t="e">
        <f t="shared" si="31"/>
        <v>#VALUE!</v>
      </c>
      <c r="E713" s="591"/>
      <c r="F713" s="591"/>
      <c r="G713" s="591"/>
      <c r="H713" s="591"/>
      <c r="I713" s="591"/>
      <c r="J713" s="591"/>
      <c r="K713" s="542"/>
      <c r="O713" s="1134"/>
      <c r="Q713" s="1133"/>
    </row>
    <row r="714" spans="2:17" x14ac:dyDescent="0.3">
      <c r="B714" s="126"/>
      <c r="C714" s="583">
        <v>333</v>
      </c>
      <c r="D714" s="625" t="e">
        <f t="shared" si="31"/>
        <v>#VALUE!</v>
      </c>
      <c r="E714" s="591"/>
      <c r="F714" s="591"/>
      <c r="G714" s="591"/>
      <c r="H714" s="591"/>
      <c r="I714" s="591"/>
      <c r="J714" s="591"/>
      <c r="K714" s="542"/>
      <c r="O714" s="1134"/>
      <c r="Q714" s="1133"/>
    </row>
    <row r="715" spans="2:17" x14ac:dyDescent="0.3">
      <c r="B715" s="126"/>
      <c r="C715" s="583">
        <v>334</v>
      </c>
      <c r="D715" s="625" t="e">
        <f t="shared" si="31"/>
        <v>#VALUE!</v>
      </c>
      <c r="E715" s="591"/>
      <c r="F715" s="591"/>
      <c r="G715" s="591"/>
      <c r="H715" s="591"/>
      <c r="I715" s="591"/>
      <c r="J715" s="591"/>
      <c r="K715" s="542"/>
      <c r="O715" s="1134"/>
      <c r="Q715" s="1133"/>
    </row>
    <row r="716" spans="2:17" x14ac:dyDescent="0.3">
      <c r="B716" s="126"/>
      <c r="C716" s="583">
        <v>335</v>
      </c>
      <c r="D716" s="625" t="e">
        <f t="shared" si="31"/>
        <v>#VALUE!</v>
      </c>
      <c r="E716" s="591"/>
      <c r="F716" s="591"/>
      <c r="G716" s="591"/>
      <c r="H716" s="591"/>
      <c r="I716" s="591"/>
      <c r="J716" s="591"/>
      <c r="K716" s="542"/>
      <c r="O716" s="1134"/>
      <c r="Q716" s="1133"/>
    </row>
    <row r="717" spans="2:17" x14ac:dyDescent="0.3">
      <c r="B717" s="126"/>
      <c r="C717" s="583">
        <v>336</v>
      </c>
      <c r="D717" s="625" t="e">
        <f t="shared" si="31"/>
        <v>#VALUE!</v>
      </c>
      <c r="E717" s="591"/>
      <c r="F717" s="591"/>
      <c r="G717" s="591"/>
      <c r="H717" s="591"/>
      <c r="I717" s="591"/>
      <c r="J717" s="591"/>
      <c r="K717" s="542"/>
      <c r="O717" s="1134"/>
      <c r="Q717" s="1133"/>
    </row>
    <row r="718" spans="2:17" x14ac:dyDescent="0.3">
      <c r="B718" s="126"/>
      <c r="C718" s="583">
        <v>337</v>
      </c>
      <c r="D718" s="625" t="e">
        <f t="shared" si="31"/>
        <v>#VALUE!</v>
      </c>
      <c r="E718" s="591"/>
      <c r="F718" s="591"/>
      <c r="G718" s="591"/>
      <c r="H718" s="591"/>
      <c r="I718" s="591"/>
      <c r="J718" s="591"/>
      <c r="K718" s="542"/>
      <c r="O718" s="1134"/>
      <c r="Q718" s="1133"/>
    </row>
    <row r="719" spans="2:17" x14ac:dyDescent="0.3">
      <c r="B719" s="126"/>
      <c r="C719" s="583">
        <v>338</v>
      </c>
      <c r="D719" s="625" t="e">
        <f t="shared" si="31"/>
        <v>#VALUE!</v>
      </c>
      <c r="E719" s="591"/>
      <c r="F719" s="591"/>
      <c r="G719" s="591"/>
      <c r="H719" s="591"/>
      <c r="I719" s="591"/>
      <c r="J719" s="591"/>
      <c r="K719" s="542"/>
      <c r="O719" s="1134"/>
      <c r="Q719" s="1133"/>
    </row>
    <row r="720" spans="2:17" x14ac:dyDescent="0.3">
      <c r="B720" s="126"/>
      <c r="C720" s="583">
        <v>339</v>
      </c>
      <c r="D720" s="625" t="e">
        <f t="shared" si="31"/>
        <v>#VALUE!</v>
      </c>
      <c r="E720" s="591"/>
      <c r="F720" s="591"/>
      <c r="G720" s="591"/>
      <c r="H720" s="591"/>
      <c r="I720" s="591"/>
      <c r="J720" s="591"/>
      <c r="K720" s="542"/>
      <c r="O720" s="1134"/>
      <c r="Q720" s="1133"/>
    </row>
    <row r="721" spans="2:17" x14ac:dyDescent="0.3">
      <c r="B721" s="126"/>
      <c r="C721" s="583">
        <v>340</v>
      </c>
      <c r="D721" s="625" t="e">
        <f t="shared" si="31"/>
        <v>#VALUE!</v>
      </c>
      <c r="E721" s="591"/>
      <c r="F721" s="591"/>
      <c r="G721" s="591"/>
      <c r="H721" s="591"/>
      <c r="I721" s="591"/>
      <c r="J721" s="591"/>
      <c r="K721" s="542"/>
      <c r="O721" s="1134"/>
      <c r="Q721" s="1133"/>
    </row>
    <row r="722" spans="2:17" x14ac:dyDescent="0.3">
      <c r="B722" s="126"/>
      <c r="C722" s="583">
        <v>341</v>
      </c>
      <c r="D722" s="625" t="e">
        <f t="shared" si="31"/>
        <v>#VALUE!</v>
      </c>
      <c r="E722" s="591"/>
      <c r="F722" s="591"/>
      <c r="G722" s="591"/>
      <c r="H722" s="591"/>
      <c r="I722" s="591"/>
      <c r="J722" s="591"/>
      <c r="K722" s="542"/>
      <c r="O722" s="1134"/>
      <c r="Q722" s="1133"/>
    </row>
    <row r="723" spans="2:17" x14ac:dyDescent="0.3">
      <c r="B723" s="126"/>
      <c r="C723" s="583">
        <v>342</v>
      </c>
      <c r="D723" s="625" t="e">
        <f t="shared" si="31"/>
        <v>#VALUE!</v>
      </c>
      <c r="E723" s="591"/>
      <c r="F723" s="591"/>
      <c r="G723" s="591"/>
      <c r="H723" s="591"/>
      <c r="I723" s="591"/>
      <c r="J723" s="591"/>
      <c r="K723" s="542"/>
      <c r="O723" s="1134"/>
      <c r="Q723" s="1133"/>
    </row>
    <row r="724" spans="2:17" x14ac:dyDescent="0.3">
      <c r="B724" s="126"/>
      <c r="C724" s="583">
        <v>343</v>
      </c>
      <c r="D724" s="625" t="e">
        <f t="shared" si="31"/>
        <v>#VALUE!</v>
      </c>
      <c r="E724" s="591"/>
      <c r="F724" s="591"/>
      <c r="G724" s="591"/>
      <c r="H724" s="591"/>
      <c r="I724" s="591"/>
      <c r="J724" s="591"/>
      <c r="K724" s="542"/>
      <c r="O724" s="1134"/>
      <c r="Q724" s="1133"/>
    </row>
    <row r="725" spans="2:17" x14ac:dyDescent="0.3">
      <c r="B725" s="126"/>
      <c r="C725" s="583">
        <v>344</v>
      </c>
      <c r="D725" s="625" t="e">
        <f t="shared" si="31"/>
        <v>#VALUE!</v>
      </c>
      <c r="E725" s="591"/>
      <c r="F725" s="591"/>
      <c r="G725" s="591"/>
      <c r="H725" s="591"/>
      <c r="I725" s="591"/>
      <c r="J725" s="591"/>
      <c r="K725" s="542"/>
      <c r="O725" s="1134"/>
      <c r="Q725" s="1133"/>
    </row>
    <row r="726" spans="2:17" x14ac:dyDescent="0.3">
      <c r="B726" s="126"/>
      <c r="C726" s="583">
        <v>345</v>
      </c>
      <c r="D726" s="625" t="e">
        <f t="shared" si="31"/>
        <v>#VALUE!</v>
      </c>
      <c r="E726" s="591"/>
      <c r="F726" s="591"/>
      <c r="G726" s="591"/>
      <c r="H726" s="591"/>
      <c r="I726" s="591"/>
      <c r="J726" s="591"/>
      <c r="K726" s="542"/>
      <c r="O726" s="1134"/>
      <c r="Q726" s="1133"/>
    </row>
    <row r="727" spans="2:17" x14ac:dyDescent="0.3">
      <c r="B727" s="126"/>
      <c r="C727" s="583">
        <v>346</v>
      </c>
      <c r="D727" s="625" t="e">
        <f t="shared" si="31"/>
        <v>#VALUE!</v>
      </c>
      <c r="E727" s="591"/>
      <c r="F727" s="591"/>
      <c r="G727" s="591"/>
      <c r="H727" s="591"/>
      <c r="I727" s="591"/>
      <c r="J727" s="591"/>
      <c r="K727" s="542"/>
      <c r="O727" s="1134"/>
      <c r="Q727" s="1133"/>
    </row>
    <row r="728" spans="2:17" x14ac:dyDescent="0.3">
      <c r="B728" s="126"/>
      <c r="C728" s="583">
        <v>347</v>
      </c>
      <c r="D728" s="625" t="e">
        <f t="shared" si="31"/>
        <v>#VALUE!</v>
      </c>
      <c r="E728" s="591"/>
      <c r="F728" s="591"/>
      <c r="G728" s="591"/>
      <c r="H728" s="591"/>
      <c r="I728" s="591"/>
      <c r="J728" s="591"/>
      <c r="K728" s="542"/>
      <c r="O728" s="1134"/>
      <c r="Q728" s="1133"/>
    </row>
    <row r="729" spans="2:17" x14ac:dyDescent="0.3">
      <c r="B729" s="126"/>
      <c r="C729" s="583">
        <v>348</v>
      </c>
      <c r="D729" s="625" t="e">
        <f t="shared" si="31"/>
        <v>#VALUE!</v>
      </c>
      <c r="E729" s="591"/>
      <c r="F729" s="591"/>
      <c r="G729" s="591"/>
      <c r="H729" s="591"/>
      <c r="I729" s="591"/>
      <c r="J729" s="591"/>
      <c r="K729" s="542"/>
      <c r="O729" s="1134"/>
      <c r="Q729" s="1133"/>
    </row>
    <row r="730" spans="2:17" x14ac:dyDescent="0.3">
      <c r="B730" s="126"/>
      <c r="C730" s="583">
        <v>349</v>
      </c>
      <c r="D730" s="625" t="e">
        <f t="shared" si="31"/>
        <v>#VALUE!</v>
      </c>
      <c r="E730" s="591"/>
      <c r="F730" s="591"/>
      <c r="G730" s="591"/>
      <c r="H730" s="591"/>
      <c r="I730" s="591"/>
      <c r="J730" s="591"/>
      <c r="K730" s="542"/>
      <c r="O730" s="1134"/>
      <c r="Q730" s="1133"/>
    </row>
    <row r="731" spans="2:17" x14ac:dyDescent="0.3">
      <c r="B731" s="126"/>
      <c r="C731" s="583">
        <v>350</v>
      </c>
      <c r="D731" s="625" t="e">
        <f t="shared" si="31"/>
        <v>#VALUE!</v>
      </c>
      <c r="E731" s="591"/>
      <c r="F731" s="591"/>
      <c r="G731" s="591"/>
      <c r="H731" s="591"/>
      <c r="I731" s="591"/>
      <c r="J731" s="591"/>
      <c r="K731" s="542"/>
      <c r="O731" s="1134"/>
      <c r="Q731" s="1133"/>
    </row>
    <row r="732" spans="2:17" x14ac:dyDescent="0.3">
      <c r="B732" s="126"/>
      <c r="C732" s="583">
        <v>351</v>
      </c>
      <c r="D732" s="625" t="e">
        <f t="shared" si="31"/>
        <v>#VALUE!</v>
      </c>
      <c r="E732" s="591"/>
      <c r="F732" s="591"/>
      <c r="G732" s="591"/>
      <c r="H732" s="591"/>
      <c r="I732" s="591"/>
      <c r="J732" s="591"/>
      <c r="K732" s="542"/>
      <c r="O732" s="1134"/>
      <c r="Q732" s="1133"/>
    </row>
    <row r="733" spans="2:17" x14ac:dyDescent="0.3">
      <c r="B733" s="126"/>
      <c r="C733" s="583">
        <v>352</v>
      </c>
      <c r="D733" s="625" t="e">
        <f t="shared" si="31"/>
        <v>#VALUE!</v>
      </c>
      <c r="E733" s="591"/>
      <c r="F733" s="591"/>
      <c r="G733" s="591"/>
      <c r="H733" s="591"/>
      <c r="I733" s="591"/>
      <c r="J733" s="591"/>
      <c r="K733" s="542"/>
      <c r="O733" s="1134"/>
      <c r="Q733" s="1133"/>
    </row>
    <row r="734" spans="2:17" x14ac:dyDescent="0.3">
      <c r="B734" s="126"/>
      <c r="C734" s="583">
        <v>353</v>
      </c>
      <c r="D734" s="625" t="e">
        <f t="shared" si="31"/>
        <v>#VALUE!</v>
      </c>
      <c r="E734" s="591"/>
      <c r="F734" s="591"/>
      <c r="G734" s="591"/>
      <c r="H734" s="591"/>
      <c r="I734" s="591"/>
      <c r="J734" s="591"/>
      <c r="K734" s="542"/>
      <c r="O734" s="1134"/>
      <c r="Q734" s="1133"/>
    </row>
    <row r="735" spans="2:17" x14ac:dyDescent="0.3">
      <c r="B735" s="126"/>
      <c r="C735" s="583">
        <v>354</v>
      </c>
      <c r="D735" s="625" t="e">
        <f t="shared" si="31"/>
        <v>#VALUE!</v>
      </c>
      <c r="E735" s="591"/>
      <c r="F735" s="591"/>
      <c r="G735" s="591"/>
      <c r="H735" s="591"/>
      <c r="I735" s="591"/>
      <c r="J735" s="591"/>
      <c r="K735" s="542"/>
      <c r="O735" s="1134"/>
      <c r="Q735" s="1133"/>
    </row>
    <row r="736" spans="2:17" x14ac:dyDescent="0.3">
      <c r="B736" s="126"/>
      <c r="C736" s="583">
        <v>355</v>
      </c>
      <c r="D736" s="625" t="e">
        <f t="shared" si="31"/>
        <v>#VALUE!</v>
      </c>
      <c r="E736" s="591"/>
      <c r="F736" s="591"/>
      <c r="G736" s="591"/>
      <c r="H736" s="591"/>
      <c r="I736" s="591"/>
      <c r="J736" s="591"/>
      <c r="K736" s="542"/>
      <c r="O736" s="1134"/>
      <c r="Q736" s="1133"/>
    </row>
    <row r="737" spans="2:17" x14ac:dyDescent="0.3">
      <c r="B737" s="126"/>
      <c r="C737" s="583">
        <v>356</v>
      </c>
      <c r="D737" s="625" t="e">
        <f t="shared" si="31"/>
        <v>#VALUE!</v>
      </c>
      <c r="E737" s="591"/>
      <c r="F737" s="591"/>
      <c r="G737" s="591"/>
      <c r="H737" s="591"/>
      <c r="I737" s="591"/>
      <c r="J737" s="591"/>
      <c r="K737" s="542"/>
      <c r="O737" s="1134"/>
      <c r="Q737" s="1133"/>
    </row>
    <row r="738" spans="2:17" x14ac:dyDescent="0.3">
      <c r="B738" s="126"/>
      <c r="C738" s="583">
        <v>357</v>
      </c>
      <c r="D738" s="625" t="e">
        <f t="shared" si="31"/>
        <v>#VALUE!</v>
      </c>
      <c r="E738" s="591"/>
      <c r="F738" s="591"/>
      <c r="G738" s="591"/>
      <c r="H738" s="591"/>
      <c r="I738" s="591"/>
      <c r="J738" s="591"/>
      <c r="K738" s="542"/>
      <c r="O738" s="1134"/>
      <c r="Q738" s="1133"/>
    </row>
    <row r="739" spans="2:17" x14ac:dyDescent="0.3">
      <c r="B739" s="126"/>
      <c r="C739" s="583">
        <v>358</v>
      </c>
      <c r="D739" s="625" t="e">
        <f t="shared" si="31"/>
        <v>#VALUE!</v>
      </c>
      <c r="E739" s="591"/>
      <c r="F739" s="591"/>
      <c r="G739" s="591"/>
      <c r="H739" s="591"/>
      <c r="I739" s="591"/>
      <c r="J739" s="591"/>
      <c r="K739" s="542"/>
      <c r="O739" s="1134"/>
      <c r="Q739" s="1133"/>
    </row>
    <row r="740" spans="2:17" x14ac:dyDescent="0.3">
      <c r="B740" s="126"/>
      <c r="C740" s="583">
        <v>359</v>
      </c>
      <c r="D740" s="625" t="e">
        <f t="shared" si="31"/>
        <v>#VALUE!</v>
      </c>
      <c r="E740" s="591"/>
      <c r="F740" s="591"/>
      <c r="G740" s="591"/>
      <c r="H740" s="591"/>
      <c r="I740" s="591"/>
      <c r="J740" s="591"/>
      <c r="K740" s="542"/>
      <c r="O740" s="1134"/>
      <c r="Q740" s="1133"/>
    </row>
    <row r="741" spans="2:17" x14ac:dyDescent="0.3">
      <c r="B741" s="126"/>
      <c r="C741" s="583">
        <v>360</v>
      </c>
      <c r="D741" s="625" t="e">
        <f t="shared" si="31"/>
        <v>#VALUE!</v>
      </c>
      <c r="E741" s="591"/>
      <c r="F741" s="591"/>
      <c r="G741" s="591"/>
      <c r="H741" s="591"/>
      <c r="I741" s="591"/>
      <c r="J741" s="591"/>
      <c r="K741" s="542"/>
      <c r="O741" s="1134"/>
      <c r="Q741" s="1133"/>
    </row>
    <row r="742" spans="2:17" x14ac:dyDescent="0.3">
      <c r="B742" s="126"/>
      <c r="C742" s="583">
        <v>361</v>
      </c>
      <c r="D742" s="625" t="e">
        <f t="shared" si="31"/>
        <v>#VALUE!</v>
      </c>
      <c r="E742" s="591"/>
      <c r="F742" s="591"/>
      <c r="G742" s="591"/>
      <c r="H742" s="591"/>
      <c r="I742" s="591"/>
      <c r="J742" s="591"/>
      <c r="K742" s="542"/>
      <c r="O742" s="1134"/>
      <c r="Q742" s="1133"/>
    </row>
    <row r="743" spans="2:17" x14ac:dyDescent="0.3">
      <c r="B743" s="126"/>
      <c r="C743" s="583">
        <v>362</v>
      </c>
      <c r="D743" s="625" t="e">
        <f t="shared" si="31"/>
        <v>#VALUE!</v>
      </c>
      <c r="E743" s="591"/>
      <c r="F743" s="591"/>
      <c r="G743" s="591"/>
      <c r="H743" s="591"/>
      <c r="I743" s="591"/>
      <c r="J743" s="591"/>
      <c r="K743" s="542"/>
      <c r="O743" s="1134"/>
      <c r="Q743" s="1133"/>
    </row>
    <row r="744" spans="2:17" x14ac:dyDescent="0.3">
      <c r="B744" s="126"/>
      <c r="C744" s="583">
        <v>363</v>
      </c>
      <c r="D744" s="625" t="e">
        <f t="shared" si="31"/>
        <v>#VALUE!</v>
      </c>
      <c r="E744" s="591"/>
      <c r="F744" s="591"/>
      <c r="G744" s="591"/>
      <c r="H744" s="591"/>
      <c r="I744" s="591"/>
      <c r="J744" s="591"/>
      <c r="K744" s="542"/>
      <c r="O744" s="1134"/>
      <c r="Q744" s="1133"/>
    </row>
    <row r="745" spans="2:17" x14ac:dyDescent="0.3">
      <c r="B745" s="126"/>
      <c r="C745" s="583">
        <v>364</v>
      </c>
      <c r="D745" s="625" t="e">
        <f t="shared" si="31"/>
        <v>#VALUE!</v>
      </c>
      <c r="E745" s="591"/>
      <c r="F745" s="591"/>
      <c r="G745" s="591"/>
      <c r="H745" s="591"/>
      <c r="I745" s="591"/>
      <c r="J745" s="591"/>
      <c r="K745" s="542"/>
      <c r="O745" s="1134"/>
      <c r="Q745" s="1133"/>
    </row>
    <row r="746" spans="2:17" x14ac:dyDescent="0.3">
      <c r="B746" s="126"/>
      <c r="C746" s="583">
        <v>365</v>
      </c>
      <c r="D746" s="625" t="e">
        <f t="shared" si="31"/>
        <v>#VALUE!</v>
      </c>
      <c r="E746" s="591"/>
      <c r="F746" s="591"/>
      <c r="G746" s="591"/>
      <c r="H746" s="591"/>
      <c r="I746" s="591"/>
      <c r="J746" s="591"/>
      <c r="K746" s="542"/>
      <c r="O746" s="1134"/>
      <c r="Q746" s="1133"/>
    </row>
    <row r="747" spans="2:17" x14ac:dyDescent="0.3">
      <c r="B747" s="126"/>
      <c r="C747" s="583">
        <v>366</v>
      </c>
      <c r="D747" s="625" t="e">
        <f t="shared" si="31"/>
        <v>#VALUE!</v>
      </c>
      <c r="E747" s="591"/>
      <c r="F747" s="591"/>
      <c r="G747" s="591"/>
      <c r="H747" s="591"/>
      <c r="I747" s="591"/>
      <c r="J747" s="591"/>
      <c r="K747" s="542"/>
      <c r="O747" s="1134"/>
      <c r="Q747" s="1133"/>
    </row>
    <row r="748" spans="2:17" x14ac:dyDescent="0.3">
      <c r="B748" s="126"/>
      <c r="C748" s="583">
        <v>367</v>
      </c>
      <c r="D748" s="625" t="e">
        <f t="shared" si="31"/>
        <v>#VALUE!</v>
      </c>
      <c r="E748" s="591"/>
      <c r="F748" s="591"/>
      <c r="G748" s="591"/>
      <c r="H748" s="591"/>
      <c r="I748" s="591"/>
      <c r="J748" s="591"/>
      <c r="K748" s="542"/>
      <c r="O748" s="1134"/>
      <c r="Q748" s="1133"/>
    </row>
    <row r="749" spans="2:17" x14ac:dyDescent="0.3">
      <c r="B749" s="126"/>
      <c r="C749" s="583">
        <v>368</v>
      </c>
      <c r="D749" s="625" t="e">
        <f t="shared" si="31"/>
        <v>#VALUE!</v>
      </c>
      <c r="E749" s="591"/>
      <c r="F749" s="591"/>
      <c r="G749" s="591"/>
      <c r="H749" s="591"/>
      <c r="I749" s="591"/>
      <c r="J749" s="591"/>
      <c r="K749" s="542"/>
      <c r="O749" s="1134"/>
      <c r="Q749" s="1133"/>
    </row>
    <row r="750" spans="2:17" x14ac:dyDescent="0.3">
      <c r="B750" s="126"/>
      <c r="C750" s="583">
        <v>369</v>
      </c>
      <c r="D750" s="625" t="e">
        <f t="shared" si="31"/>
        <v>#VALUE!</v>
      </c>
      <c r="E750" s="591"/>
      <c r="F750" s="591"/>
      <c r="G750" s="591"/>
      <c r="H750" s="591"/>
      <c r="I750" s="591"/>
      <c r="J750" s="591"/>
      <c r="K750" s="542"/>
      <c r="O750" s="1134"/>
      <c r="Q750" s="1133"/>
    </row>
    <row r="751" spans="2:17" x14ac:dyDescent="0.3">
      <c r="B751" s="126"/>
      <c r="C751" s="583">
        <v>370</v>
      </c>
      <c r="D751" s="625" t="e">
        <f t="shared" si="31"/>
        <v>#VALUE!</v>
      </c>
      <c r="E751" s="591"/>
      <c r="F751" s="591"/>
      <c r="G751" s="591"/>
      <c r="H751" s="591"/>
      <c r="I751" s="591"/>
      <c r="J751" s="591"/>
      <c r="K751" s="542"/>
      <c r="O751" s="1134"/>
      <c r="Q751" s="1133"/>
    </row>
    <row r="752" spans="2:17" x14ac:dyDescent="0.3">
      <c r="B752" s="126"/>
      <c r="C752" s="583">
        <v>371</v>
      </c>
      <c r="D752" s="625" t="e">
        <f t="shared" si="31"/>
        <v>#VALUE!</v>
      </c>
      <c r="E752" s="591"/>
      <c r="F752" s="591"/>
      <c r="G752" s="591"/>
      <c r="H752" s="591"/>
      <c r="I752" s="591"/>
      <c r="J752" s="591"/>
      <c r="K752" s="542"/>
      <c r="O752" s="1134"/>
      <c r="Q752" s="1133"/>
    </row>
    <row r="753" spans="2:17" x14ac:dyDescent="0.3">
      <c r="B753" s="126"/>
      <c r="C753" s="583">
        <v>372</v>
      </c>
      <c r="D753" s="625" t="e">
        <f t="shared" si="31"/>
        <v>#VALUE!</v>
      </c>
      <c r="E753" s="591"/>
      <c r="F753" s="591"/>
      <c r="G753" s="591"/>
      <c r="H753" s="591"/>
      <c r="I753" s="591"/>
      <c r="J753" s="591"/>
      <c r="K753" s="542"/>
      <c r="O753" s="1134"/>
      <c r="Q753" s="1133"/>
    </row>
    <row r="754" spans="2:17" x14ac:dyDescent="0.3">
      <c r="B754" s="126"/>
      <c r="C754" s="583">
        <v>373</v>
      </c>
      <c r="D754" s="625" t="e">
        <f t="shared" si="31"/>
        <v>#VALUE!</v>
      </c>
      <c r="E754" s="591"/>
      <c r="F754" s="591"/>
      <c r="G754" s="591"/>
      <c r="H754" s="591"/>
      <c r="I754" s="591"/>
      <c r="J754" s="591"/>
      <c r="K754" s="542"/>
      <c r="O754" s="1134"/>
      <c r="Q754" s="1133"/>
    </row>
    <row r="755" spans="2:17" x14ac:dyDescent="0.3">
      <c r="B755" s="126"/>
      <c r="C755" s="583">
        <v>374</v>
      </c>
      <c r="D755" s="625" t="e">
        <f t="shared" si="31"/>
        <v>#VALUE!</v>
      </c>
      <c r="E755" s="591"/>
      <c r="F755" s="591"/>
      <c r="G755" s="591"/>
      <c r="H755" s="591"/>
      <c r="I755" s="591"/>
      <c r="J755" s="591"/>
      <c r="K755" s="542"/>
      <c r="O755" s="1134"/>
      <c r="Q755" s="1133"/>
    </row>
    <row r="756" spans="2:17" x14ac:dyDescent="0.3">
      <c r="B756" s="126"/>
      <c r="C756" s="583">
        <v>375</v>
      </c>
      <c r="D756" s="625" t="e">
        <f t="shared" si="31"/>
        <v>#VALUE!</v>
      </c>
      <c r="E756" s="591"/>
      <c r="F756" s="591"/>
      <c r="G756" s="591"/>
      <c r="H756" s="591"/>
      <c r="I756" s="591"/>
      <c r="J756" s="591"/>
      <c r="K756" s="542"/>
      <c r="O756" s="1134"/>
      <c r="Q756" s="1133"/>
    </row>
    <row r="757" spans="2:17" x14ac:dyDescent="0.3">
      <c r="B757" s="126"/>
      <c r="C757" s="583">
        <v>376</v>
      </c>
      <c r="D757" s="625" t="e">
        <f t="shared" si="31"/>
        <v>#VALUE!</v>
      </c>
      <c r="E757" s="591"/>
      <c r="F757" s="591"/>
      <c r="G757" s="591"/>
      <c r="H757" s="591"/>
      <c r="I757" s="591"/>
      <c r="J757" s="591"/>
      <c r="K757" s="542"/>
      <c r="O757" s="1134"/>
      <c r="Q757" s="1133"/>
    </row>
    <row r="758" spans="2:17" x14ac:dyDescent="0.3">
      <c r="B758" s="126"/>
      <c r="C758" s="583">
        <v>377</v>
      </c>
      <c r="D758" s="625" t="e">
        <f t="shared" si="31"/>
        <v>#VALUE!</v>
      </c>
      <c r="E758" s="591"/>
      <c r="F758" s="591"/>
      <c r="G758" s="591"/>
      <c r="H758" s="591"/>
      <c r="I758" s="591"/>
      <c r="J758" s="591"/>
      <c r="K758" s="542"/>
      <c r="O758" s="1134"/>
      <c r="Q758" s="1133"/>
    </row>
    <row r="759" spans="2:17" x14ac:dyDescent="0.3">
      <c r="B759" s="126"/>
      <c r="C759" s="583">
        <v>378</v>
      </c>
      <c r="D759" s="625" t="e">
        <f t="shared" si="31"/>
        <v>#VALUE!</v>
      </c>
      <c r="E759" s="591"/>
      <c r="F759" s="591"/>
      <c r="G759" s="591"/>
      <c r="H759" s="591"/>
      <c r="I759" s="591"/>
      <c r="J759" s="591"/>
      <c r="K759" s="542"/>
      <c r="O759" s="1134"/>
      <c r="Q759" s="1133"/>
    </row>
    <row r="760" spans="2:17" x14ac:dyDescent="0.3">
      <c r="B760" s="126"/>
      <c r="C760" s="583">
        <v>379</v>
      </c>
      <c r="D760" s="625" t="e">
        <f t="shared" si="31"/>
        <v>#VALUE!</v>
      </c>
      <c r="E760" s="591"/>
      <c r="F760" s="591"/>
      <c r="G760" s="591"/>
      <c r="H760" s="591"/>
      <c r="I760" s="591"/>
      <c r="J760" s="591"/>
      <c r="K760" s="542"/>
      <c r="O760" s="1134"/>
      <c r="Q760" s="1133"/>
    </row>
    <row r="761" spans="2:17" x14ac:dyDescent="0.3">
      <c r="B761" s="126"/>
      <c r="C761" s="583">
        <v>380</v>
      </c>
      <c r="D761" s="625" t="e">
        <f t="shared" si="31"/>
        <v>#VALUE!</v>
      </c>
      <c r="E761" s="591"/>
      <c r="F761" s="591"/>
      <c r="G761" s="591"/>
      <c r="H761" s="591"/>
      <c r="I761" s="591"/>
      <c r="J761" s="591"/>
      <c r="K761" s="542"/>
      <c r="O761" s="1134"/>
      <c r="Q761" s="1133"/>
    </row>
    <row r="762" spans="2:17" x14ac:dyDescent="0.3">
      <c r="B762" s="126"/>
      <c r="C762" s="583">
        <v>381</v>
      </c>
      <c r="D762" s="625" t="e">
        <f t="shared" si="31"/>
        <v>#VALUE!</v>
      </c>
      <c r="E762" s="591"/>
      <c r="F762" s="591"/>
      <c r="G762" s="591"/>
      <c r="H762" s="591"/>
      <c r="I762" s="591"/>
      <c r="J762" s="591"/>
      <c r="K762" s="542"/>
      <c r="O762" s="1134"/>
      <c r="Q762" s="1133"/>
    </row>
    <row r="763" spans="2:17" x14ac:dyDescent="0.3">
      <c r="B763" s="126"/>
      <c r="C763" s="583">
        <v>382</v>
      </c>
      <c r="D763" s="625" t="e">
        <f t="shared" si="31"/>
        <v>#VALUE!</v>
      </c>
      <c r="E763" s="591"/>
      <c r="F763" s="591"/>
      <c r="G763" s="591"/>
      <c r="H763" s="591"/>
      <c r="I763" s="591"/>
      <c r="J763" s="591"/>
      <c r="K763" s="542"/>
      <c r="O763" s="1134"/>
      <c r="Q763" s="1133"/>
    </row>
    <row r="764" spans="2:17" x14ac:dyDescent="0.3">
      <c r="B764" s="126"/>
      <c r="C764" s="583">
        <v>383</v>
      </c>
      <c r="D764" s="625" t="e">
        <f t="shared" si="31"/>
        <v>#VALUE!</v>
      </c>
      <c r="E764" s="591"/>
      <c r="F764" s="591"/>
      <c r="G764" s="591"/>
      <c r="H764" s="591"/>
      <c r="I764" s="591"/>
      <c r="J764" s="591"/>
      <c r="K764" s="542"/>
      <c r="O764" s="1134"/>
      <c r="Q764" s="1133"/>
    </row>
    <row r="765" spans="2:17" x14ac:dyDescent="0.3">
      <c r="B765" s="126"/>
      <c r="C765" s="583">
        <v>384</v>
      </c>
      <c r="D765" s="625" t="e">
        <f t="shared" ref="D765:D828" si="32">$C$360*C765</f>
        <v>#VALUE!</v>
      </c>
      <c r="E765" s="591"/>
      <c r="F765" s="591"/>
      <c r="G765" s="591"/>
      <c r="H765" s="591"/>
      <c r="I765" s="591"/>
      <c r="J765" s="591"/>
      <c r="K765" s="542"/>
      <c r="O765" s="1134"/>
      <c r="Q765" s="1133"/>
    </row>
    <row r="766" spans="2:17" x14ac:dyDescent="0.3">
      <c r="B766" s="126"/>
      <c r="C766" s="583">
        <v>385</v>
      </c>
      <c r="D766" s="625" t="e">
        <f t="shared" si="32"/>
        <v>#VALUE!</v>
      </c>
      <c r="E766" s="591"/>
      <c r="F766" s="591"/>
      <c r="G766" s="591"/>
      <c r="H766" s="591"/>
      <c r="I766" s="591"/>
      <c r="J766" s="591"/>
      <c r="K766" s="542"/>
      <c r="O766" s="1134"/>
      <c r="Q766" s="1133"/>
    </row>
    <row r="767" spans="2:17" x14ac:dyDescent="0.3">
      <c r="B767" s="126"/>
      <c r="C767" s="583">
        <v>386</v>
      </c>
      <c r="D767" s="625" t="e">
        <f t="shared" si="32"/>
        <v>#VALUE!</v>
      </c>
      <c r="E767" s="591"/>
      <c r="F767" s="591"/>
      <c r="G767" s="591"/>
      <c r="H767" s="591"/>
      <c r="I767" s="591"/>
      <c r="J767" s="591"/>
      <c r="K767" s="542"/>
      <c r="O767" s="1134"/>
      <c r="Q767" s="1133"/>
    </row>
    <row r="768" spans="2:17" x14ac:dyDescent="0.3">
      <c r="B768" s="126"/>
      <c r="C768" s="583">
        <v>387</v>
      </c>
      <c r="D768" s="625" t="e">
        <f t="shared" si="32"/>
        <v>#VALUE!</v>
      </c>
      <c r="E768" s="591"/>
      <c r="F768" s="591"/>
      <c r="G768" s="591"/>
      <c r="H768" s="591"/>
      <c r="I768" s="591"/>
      <c r="J768" s="591"/>
      <c r="K768" s="542"/>
      <c r="O768" s="1134"/>
      <c r="Q768" s="1133"/>
    </row>
    <row r="769" spans="2:17" x14ac:dyDescent="0.3">
      <c r="B769" s="126"/>
      <c r="C769" s="583">
        <v>388</v>
      </c>
      <c r="D769" s="625" t="e">
        <f t="shared" si="32"/>
        <v>#VALUE!</v>
      </c>
      <c r="E769" s="591"/>
      <c r="F769" s="591"/>
      <c r="G769" s="591"/>
      <c r="H769" s="591"/>
      <c r="I769" s="591"/>
      <c r="J769" s="591"/>
      <c r="K769" s="542"/>
      <c r="O769" s="1134"/>
      <c r="Q769" s="1133"/>
    </row>
    <row r="770" spans="2:17" x14ac:dyDescent="0.3">
      <c r="B770" s="126"/>
      <c r="C770" s="583">
        <v>389</v>
      </c>
      <c r="D770" s="625" t="e">
        <f t="shared" si="32"/>
        <v>#VALUE!</v>
      </c>
      <c r="E770" s="591"/>
      <c r="F770" s="591"/>
      <c r="G770" s="591"/>
      <c r="H770" s="591"/>
      <c r="I770" s="591"/>
      <c r="J770" s="591"/>
      <c r="K770" s="542"/>
      <c r="O770" s="1134"/>
      <c r="Q770" s="1133"/>
    </row>
    <row r="771" spans="2:17" x14ac:dyDescent="0.3">
      <c r="B771" s="126"/>
      <c r="C771" s="583">
        <v>390</v>
      </c>
      <c r="D771" s="625" t="e">
        <f t="shared" si="32"/>
        <v>#VALUE!</v>
      </c>
      <c r="E771" s="591"/>
      <c r="F771" s="591"/>
      <c r="G771" s="591"/>
      <c r="H771" s="591"/>
      <c r="I771" s="591"/>
      <c r="J771" s="591"/>
      <c r="K771" s="542"/>
      <c r="O771" s="1134"/>
      <c r="Q771" s="1133"/>
    </row>
    <row r="772" spans="2:17" x14ac:dyDescent="0.3">
      <c r="B772" s="126"/>
      <c r="C772" s="583">
        <v>391</v>
      </c>
      <c r="D772" s="625" t="e">
        <f t="shared" si="32"/>
        <v>#VALUE!</v>
      </c>
      <c r="E772" s="591"/>
      <c r="F772" s="591"/>
      <c r="G772" s="591"/>
      <c r="H772" s="591"/>
      <c r="I772" s="591"/>
      <c r="J772" s="591"/>
      <c r="K772" s="542"/>
      <c r="O772" s="1134"/>
      <c r="Q772" s="1133"/>
    </row>
    <row r="773" spans="2:17" x14ac:dyDescent="0.3">
      <c r="B773" s="126"/>
      <c r="C773" s="583">
        <v>392</v>
      </c>
      <c r="D773" s="625" t="e">
        <f t="shared" si="32"/>
        <v>#VALUE!</v>
      </c>
      <c r="E773" s="591"/>
      <c r="F773" s="591"/>
      <c r="G773" s="591"/>
      <c r="H773" s="591"/>
      <c r="I773" s="591"/>
      <c r="J773" s="591"/>
      <c r="K773" s="542"/>
      <c r="O773" s="1134"/>
      <c r="Q773" s="1133"/>
    </row>
    <row r="774" spans="2:17" x14ac:dyDescent="0.3">
      <c r="B774" s="126"/>
      <c r="C774" s="583">
        <v>393</v>
      </c>
      <c r="D774" s="625" t="e">
        <f t="shared" si="32"/>
        <v>#VALUE!</v>
      </c>
      <c r="E774" s="591"/>
      <c r="F774" s="591"/>
      <c r="G774" s="591"/>
      <c r="H774" s="591"/>
      <c r="I774" s="591"/>
      <c r="J774" s="591"/>
      <c r="K774" s="542"/>
      <c r="O774" s="1134"/>
      <c r="Q774" s="1133"/>
    </row>
    <row r="775" spans="2:17" x14ac:dyDescent="0.3">
      <c r="B775" s="126"/>
      <c r="C775" s="583">
        <v>394</v>
      </c>
      <c r="D775" s="625" t="e">
        <f t="shared" si="32"/>
        <v>#VALUE!</v>
      </c>
      <c r="E775" s="591"/>
      <c r="F775" s="591"/>
      <c r="G775" s="591"/>
      <c r="H775" s="591"/>
      <c r="I775" s="591"/>
      <c r="J775" s="591"/>
      <c r="K775" s="542"/>
      <c r="O775" s="1134"/>
      <c r="Q775" s="1133"/>
    </row>
    <row r="776" spans="2:17" x14ac:dyDescent="0.3">
      <c r="B776" s="126"/>
      <c r="C776" s="583">
        <v>395</v>
      </c>
      <c r="D776" s="625" t="e">
        <f t="shared" si="32"/>
        <v>#VALUE!</v>
      </c>
      <c r="E776" s="591"/>
      <c r="F776" s="591"/>
      <c r="G776" s="591"/>
      <c r="H776" s="591"/>
      <c r="I776" s="591"/>
      <c r="J776" s="591"/>
      <c r="K776" s="542"/>
      <c r="O776" s="1134"/>
      <c r="Q776" s="1133"/>
    </row>
    <row r="777" spans="2:17" x14ac:dyDescent="0.3">
      <c r="B777" s="126"/>
      <c r="C777" s="583">
        <v>396</v>
      </c>
      <c r="D777" s="625" t="e">
        <f t="shared" si="32"/>
        <v>#VALUE!</v>
      </c>
      <c r="E777" s="591"/>
      <c r="F777" s="591"/>
      <c r="G777" s="591"/>
      <c r="H777" s="591"/>
      <c r="I777" s="591"/>
      <c r="J777" s="591"/>
      <c r="K777" s="542"/>
      <c r="O777" s="1134"/>
      <c r="Q777" s="1133"/>
    </row>
    <row r="778" spans="2:17" x14ac:dyDescent="0.3">
      <c r="B778" s="126"/>
      <c r="C778" s="583">
        <v>397</v>
      </c>
      <c r="D778" s="625" t="e">
        <f t="shared" si="32"/>
        <v>#VALUE!</v>
      </c>
      <c r="E778" s="591"/>
      <c r="F778" s="591"/>
      <c r="G778" s="591"/>
      <c r="H778" s="591"/>
      <c r="I778" s="591"/>
      <c r="J778" s="591"/>
      <c r="K778" s="542"/>
      <c r="O778" s="1134"/>
      <c r="Q778" s="1133"/>
    </row>
    <row r="779" spans="2:17" x14ac:dyDescent="0.3">
      <c r="B779" s="126"/>
      <c r="C779" s="583">
        <v>398</v>
      </c>
      <c r="D779" s="625" t="e">
        <f t="shared" si="32"/>
        <v>#VALUE!</v>
      </c>
      <c r="E779" s="591"/>
      <c r="F779" s="591"/>
      <c r="G779" s="591"/>
      <c r="H779" s="591"/>
      <c r="I779" s="591"/>
      <c r="J779" s="591"/>
      <c r="K779" s="542"/>
      <c r="O779" s="1134"/>
      <c r="Q779" s="1133"/>
    </row>
    <row r="780" spans="2:17" x14ac:dyDescent="0.3">
      <c r="B780" s="126"/>
      <c r="C780" s="583">
        <v>399</v>
      </c>
      <c r="D780" s="625" t="e">
        <f t="shared" si="32"/>
        <v>#VALUE!</v>
      </c>
      <c r="E780" s="591"/>
      <c r="F780" s="591"/>
      <c r="G780" s="591"/>
      <c r="H780" s="591"/>
      <c r="I780" s="591"/>
      <c r="J780" s="591"/>
      <c r="K780" s="542"/>
      <c r="O780" s="1134"/>
      <c r="Q780" s="1133"/>
    </row>
    <row r="781" spans="2:17" x14ac:dyDescent="0.3">
      <c r="B781" s="126"/>
      <c r="C781" s="583">
        <v>400</v>
      </c>
      <c r="D781" s="625" t="e">
        <f t="shared" si="32"/>
        <v>#VALUE!</v>
      </c>
      <c r="E781" s="591"/>
      <c r="F781" s="591"/>
      <c r="G781" s="591"/>
      <c r="H781" s="591"/>
      <c r="I781" s="591"/>
      <c r="J781" s="591"/>
      <c r="K781" s="542"/>
      <c r="O781" s="1134"/>
      <c r="Q781" s="1133"/>
    </row>
    <row r="782" spans="2:17" x14ac:dyDescent="0.3">
      <c r="B782" s="126"/>
      <c r="C782" s="583">
        <v>401</v>
      </c>
      <c r="D782" s="625" t="e">
        <f t="shared" si="32"/>
        <v>#VALUE!</v>
      </c>
      <c r="E782" s="591"/>
      <c r="F782" s="591"/>
      <c r="G782" s="591"/>
      <c r="H782" s="591"/>
      <c r="I782" s="591"/>
      <c r="J782" s="591"/>
      <c r="K782" s="542"/>
      <c r="O782" s="1134"/>
      <c r="Q782" s="1133"/>
    </row>
    <row r="783" spans="2:17" x14ac:dyDescent="0.3">
      <c r="B783" s="126"/>
      <c r="C783" s="583">
        <v>402</v>
      </c>
      <c r="D783" s="625" t="e">
        <f t="shared" si="32"/>
        <v>#VALUE!</v>
      </c>
      <c r="E783" s="591"/>
      <c r="F783" s="591"/>
      <c r="G783" s="591"/>
      <c r="H783" s="591"/>
      <c r="I783" s="591"/>
      <c r="J783" s="591"/>
      <c r="K783" s="542"/>
      <c r="O783" s="1134"/>
      <c r="Q783" s="1133"/>
    </row>
    <row r="784" spans="2:17" x14ac:dyDescent="0.3">
      <c r="B784" s="126"/>
      <c r="C784" s="583">
        <v>403</v>
      </c>
      <c r="D784" s="625" t="e">
        <f t="shared" si="32"/>
        <v>#VALUE!</v>
      </c>
      <c r="E784" s="591"/>
      <c r="F784" s="591"/>
      <c r="G784" s="591"/>
      <c r="H784" s="591"/>
      <c r="I784" s="591"/>
      <c r="J784" s="591"/>
      <c r="K784" s="542"/>
      <c r="O784" s="1134"/>
      <c r="Q784" s="1133"/>
    </row>
    <row r="785" spans="2:17" x14ac:dyDescent="0.3">
      <c r="B785" s="126"/>
      <c r="C785" s="583">
        <v>404</v>
      </c>
      <c r="D785" s="625" t="e">
        <f t="shared" si="32"/>
        <v>#VALUE!</v>
      </c>
      <c r="E785" s="591"/>
      <c r="F785" s="591"/>
      <c r="G785" s="591"/>
      <c r="H785" s="591"/>
      <c r="I785" s="591"/>
      <c r="J785" s="591"/>
      <c r="K785" s="542"/>
      <c r="O785" s="1134"/>
      <c r="Q785" s="1133"/>
    </row>
    <row r="786" spans="2:17" x14ac:dyDescent="0.3">
      <c r="B786" s="126"/>
      <c r="C786" s="583">
        <v>405</v>
      </c>
      <c r="D786" s="625" t="e">
        <f t="shared" si="32"/>
        <v>#VALUE!</v>
      </c>
      <c r="E786" s="591"/>
      <c r="F786" s="591"/>
      <c r="G786" s="591"/>
      <c r="H786" s="591"/>
      <c r="I786" s="591"/>
      <c r="J786" s="591"/>
      <c r="K786" s="542"/>
      <c r="O786" s="1134"/>
      <c r="Q786" s="1133"/>
    </row>
    <row r="787" spans="2:17" x14ac:dyDescent="0.3">
      <c r="B787" s="126"/>
      <c r="C787" s="583">
        <v>406</v>
      </c>
      <c r="D787" s="625" t="e">
        <f t="shared" si="32"/>
        <v>#VALUE!</v>
      </c>
      <c r="E787" s="591"/>
      <c r="F787" s="591"/>
      <c r="G787" s="591"/>
      <c r="H787" s="591"/>
      <c r="I787" s="591"/>
      <c r="J787" s="591"/>
      <c r="K787" s="542"/>
      <c r="O787" s="1134"/>
      <c r="Q787" s="1133"/>
    </row>
    <row r="788" spans="2:17" x14ac:dyDescent="0.3">
      <c r="B788" s="126"/>
      <c r="C788" s="583">
        <v>407</v>
      </c>
      <c r="D788" s="625" t="e">
        <f t="shared" si="32"/>
        <v>#VALUE!</v>
      </c>
      <c r="E788" s="591"/>
      <c r="F788" s="591"/>
      <c r="G788" s="591"/>
      <c r="H788" s="591"/>
      <c r="I788" s="591"/>
      <c r="J788" s="591"/>
      <c r="K788" s="542"/>
      <c r="O788" s="1134"/>
      <c r="Q788" s="1133"/>
    </row>
    <row r="789" spans="2:17" x14ac:dyDescent="0.3">
      <c r="B789" s="126"/>
      <c r="C789" s="583">
        <v>408</v>
      </c>
      <c r="D789" s="625" t="e">
        <f t="shared" si="32"/>
        <v>#VALUE!</v>
      </c>
      <c r="E789" s="591"/>
      <c r="F789" s="591"/>
      <c r="G789" s="591"/>
      <c r="H789" s="591"/>
      <c r="I789" s="591"/>
      <c r="J789" s="591"/>
      <c r="K789" s="542"/>
      <c r="O789" s="1134"/>
      <c r="Q789" s="1133"/>
    </row>
    <row r="790" spans="2:17" x14ac:dyDescent="0.3">
      <c r="B790" s="126"/>
      <c r="C790" s="583">
        <v>409</v>
      </c>
      <c r="D790" s="625" t="e">
        <f t="shared" si="32"/>
        <v>#VALUE!</v>
      </c>
      <c r="E790" s="591"/>
      <c r="F790" s="591"/>
      <c r="G790" s="591"/>
      <c r="H790" s="591"/>
      <c r="I790" s="591"/>
      <c r="J790" s="591"/>
      <c r="K790" s="542"/>
      <c r="O790" s="1134"/>
      <c r="Q790" s="1133"/>
    </row>
    <row r="791" spans="2:17" x14ac:dyDescent="0.3">
      <c r="B791" s="126"/>
      <c r="C791" s="583">
        <v>410</v>
      </c>
      <c r="D791" s="625" t="e">
        <f t="shared" si="32"/>
        <v>#VALUE!</v>
      </c>
      <c r="E791" s="591"/>
      <c r="F791" s="591"/>
      <c r="G791" s="591"/>
      <c r="H791" s="591"/>
      <c r="I791" s="591"/>
      <c r="J791" s="591"/>
      <c r="K791" s="542"/>
      <c r="O791" s="1134"/>
      <c r="Q791" s="1133"/>
    </row>
    <row r="792" spans="2:17" x14ac:dyDescent="0.3">
      <c r="B792" s="126"/>
      <c r="C792" s="583">
        <v>411</v>
      </c>
      <c r="D792" s="625" t="e">
        <f t="shared" si="32"/>
        <v>#VALUE!</v>
      </c>
      <c r="E792" s="591"/>
      <c r="F792" s="591"/>
      <c r="G792" s="591"/>
      <c r="H792" s="591"/>
      <c r="I792" s="591"/>
      <c r="J792" s="591"/>
      <c r="K792" s="542"/>
      <c r="O792" s="1134"/>
      <c r="Q792" s="1133"/>
    </row>
    <row r="793" spans="2:17" x14ac:dyDescent="0.3">
      <c r="B793" s="126"/>
      <c r="C793" s="583">
        <v>412</v>
      </c>
      <c r="D793" s="625" t="e">
        <f t="shared" si="32"/>
        <v>#VALUE!</v>
      </c>
      <c r="E793" s="591"/>
      <c r="F793" s="591"/>
      <c r="G793" s="591"/>
      <c r="H793" s="591"/>
      <c r="I793" s="591"/>
      <c r="J793" s="591"/>
      <c r="K793" s="542"/>
      <c r="O793" s="1134"/>
      <c r="Q793" s="1133"/>
    </row>
    <row r="794" spans="2:17" x14ac:dyDescent="0.3">
      <c r="B794" s="126"/>
      <c r="C794" s="583">
        <v>413</v>
      </c>
      <c r="D794" s="625" t="e">
        <f t="shared" si="32"/>
        <v>#VALUE!</v>
      </c>
      <c r="E794" s="591"/>
      <c r="F794" s="591"/>
      <c r="G794" s="591"/>
      <c r="H794" s="591"/>
      <c r="I794" s="591"/>
      <c r="J794" s="591"/>
      <c r="K794" s="542"/>
      <c r="O794" s="1134"/>
      <c r="Q794" s="1133"/>
    </row>
    <row r="795" spans="2:17" x14ac:dyDescent="0.3">
      <c r="B795" s="126"/>
      <c r="C795" s="583">
        <v>414</v>
      </c>
      <c r="D795" s="625" t="e">
        <f t="shared" si="32"/>
        <v>#VALUE!</v>
      </c>
      <c r="E795" s="591"/>
      <c r="F795" s="591"/>
      <c r="G795" s="591"/>
      <c r="H795" s="591"/>
      <c r="I795" s="591"/>
      <c r="J795" s="591"/>
      <c r="K795" s="542"/>
      <c r="O795" s="1134"/>
      <c r="Q795" s="1133"/>
    </row>
    <row r="796" spans="2:17" x14ac:dyDescent="0.3">
      <c r="B796" s="126"/>
      <c r="C796" s="583">
        <v>415</v>
      </c>
      <c r="D796" s="625" t="e">
        <f t="shared" si="32"/>
        <v>#VALUE!</v>
      </c>
      <c r="E796" s="591"/>
      <c r="F796" s="591"/>
      <c r="G796" s="591"/>
      <c r="H796" s="591"/>
      <c r="I796" s="591"/>
      <c r="J796" s="591"/>
      <c r="K796" s="542"/>
      <c r="O796" s="1134"/>
      <c r="Q796" s="1133"/>
    </row>
    <row r="797" spans="2:17" x14ac:dyDescent="0.3">
      <c r="B797" s="126"/>
      <c r="C797" s="583">
        <v>416</v>
      </c>
      <c r="D797" s="625" t="e">
        <f t="shared" si="32"/>
        <v>#VALUE!</v>
      </c>
      <c r="E797" s="591"/>
      <c r="F797" s="591"/>
      <c r="G797" s="591"/>
      <c r="H797" s="591"/>
      <c r="I797" s="591"/>
      <c r="J797" s="591"/>
      <c r="K797" s="542"/>
      <c r="O797" s="1134"/>
      <c r="Q797" s="1133"/>
    </row>
    <row r="798" spans="2:17" x14ac:dyDescent="0.3">
      <c r="B798" s="126"/>
      <c r="C798" s="583">
        <v>417</v>
      </c>
      <c r="D798" s="625" t="e">
        <f t="shared" si="32"/>
        <v>#VALUE!</v>
      </c>
      <c r="E798" s="591"/>
      <c r="F798" s="591"/>
      <c r="G798" s="591"/>
      <c r="H798" s="591"/>
      <c r="I798" s="591"/>
      <c r="J798" s="591"/>
      <c r="K798" s="542"/>
      <c r="O798" s="1134"/>
      <c r="Q798" s="1133"/>
    </row>
    <row r="799" spans="2:17" x14ac:dyDescent="0.3">
      <c r="B799" s="126"/>
      <c r="C799" s="583">
        <v>418</v>
      </c>
      <c r="D799" s="625" t="e">
        <f t="shared" si="32"/>
        <v>#VALUE!</v>
      </c>
      <c r="E799" s="591"/>
      <c r="F799" s="591"/>
      <c r="G799" s="591"/>
      <c r="H799" s="591"/>
      <c r="I799" s="591"/>
      <c r="J799" s="591"/>
      <c r="K799" s="542"/>
      <c r="O799" s="1134"/>
      <c r="Q799" s="1133"/>
    </row>
    <row r="800" spans="2:17" x14ac:dyDescent="0.3">
      <c r="B800" s="126"/>
      <c r="C800" s="583">
        <v>419</v>
      </c>
      <c r="D800" s="625" t="e">
        <f t="shared" si="32"/>
        <v>#VALUE!</v>
      </c>
      <c r="E800" s="591"/>
      <c r="F800" s="591"/>
      <c r="G800" s="591"/>
      <c r="H800" s="591"/>
      <c r="I800" s="591"/>
      <c r="J800" s="591"/>
      <c r="K800" s="542"/>
      <c r="O800" s="1134"/>
      <c r="Q800" s="1133"/>
    </row>
    <row r="801" spans="2:17" x14ac:dyDescent="0.3">
      <c r="B801" s="126"/>
      <c r="C801" s="583">
        <v>420</v>
      </c>
      <c r="D801" s="625" t="e">
        <f t="shared" si="32"/>
        <v>#VALUE!</v>
      </c>
      <c r="E801" s="591"/>
      <c r="F801" s="591"/>
      <c r="G801" s="591"/>
      <c r="H801" s="591"/>
      <c r="I801" s="591"/>
      <c r="J801" s="591"/>
      <c r="K801" s="542"/>
      <c r="O801" s="1134"/>
      <c r="Q801" s="1133"/>
    </row>
    <row r="802" spans="2:17" x14ac:dyDescent="0.3">
      <c r="B802" s="126"/>
      <c r="C802" s="583">
        <v>421</v>
      </c>
      <c r="D802" s="625" t="e">
        <f t="shared" si="32"/>
        <v>#VALUE!</v>
      </c>
      <c r="E802" s="591"/>
      <c r="F802" s="591"/>
      <c r="G802" s="591"/>
      <c r="H802" s="591"/>
      <c r="I802" s="591"/>
      <c r="J802" s="591"/>
      <c r="K802" s="542"/>
      <c r="O802" s="1134"/>
      <c r="Q802" s="1133"/>
    </row>
    <row r="803" spans="2:17" x14ac:dyDescent="0.3">
      <c r="B803" s="126"/>
      <c r="C803" s="583">
        <v>422</v>
      </c>
      <c r="D803" s="625" t="e">
        <f t="shared" si="32"/>
        <v>#VALUE!</v>
      </c>
      <c r="E803" s="591"/>
      <c r="F803" s="591"/>
      <c r="G803" s="591"/>
      <c r="H803" s="591"/>
      <c r="I803" s="591"/>
      <c r="J803" s="591"/>
      <c r="K803" s="542"/>
      <c r="O803" s="1134"/>
      <c r="Q803" s="1133"/>
    </row>
    <row r="804" spans="2:17" x14ac:dyDescent="0.3">
      <c r="B804" s="126"/>
      <c r="C804" s="583">
        <v>423</v>
      </c>
      <c r="D804" s="625" t="e">
        <f t="shared" si="32"/>
        <v>#VALUE!</v>
      </c>
      <c r="E804" s="591"/>
      <c r="F804" s="591"/>
      <c r="G804" s="591"/>
      <c r="H804" s="591"/>
      <c r="I804" s="591"/>
      <c r="J804" s="591"/>
      <c r="K804" s="542"/>
      <c r="O804" s="1134"/>
      <c r="Q804" s="1133"/>
    </row>
    <row r="805" spans="2:17" x14ac:dyDescent="0.3">
      <c r="B805" s="126"/>
      <c r="C805" s="583">
        <v>424</v>
      </c>
      <c r="D805" s="625" t="e">
        <f t="shared" si="32"/>
        <v>#VALUE!</v>
      </c>
      <c r="E805" s="591"/>
      <c r="F805" s="591"/>
      <c r="G805" s="591"/>
      <c r="H805" s="591"/>
      <c r="I805" s="591"/>
      <c r="J805" s="591"/>
      <c r="K805" s="542"/>
      <c r="O805" s="1134"/>
      <c r="Q805" s="1133"/>
    </row>
    <row r="806" spans="2:17" x14ac:dyDescent="0.3">
      <c r="B806" s="126"/>
      <c r="C806" s="583">
        <v>425</v>
      </c>
      <c r="D806" s="625" t="e">
        <f t="shared" si="32"/>
        <v>#VALUE!</v>
      </c>
      <c r="E806" s="591"/>
      <c r="F806" s="591"/>
      <c r="G806" s="591"/>
      <c r="H806" s="591"/>
      <c r="I806" s="591"/>
      <c r="J806" s="591"/>
      <c r="K806" s="542"/>
      <c r="O806" s="1134"/>
      <c r="Q806" s="1133"/>
    </row>
    <row r="807" spans="2:17" x14ac:dyDescent="0.3">
      <c r="B807" s="126"/>
      <c r="C807" s="583">
        <v>426</v>
      </c>
      <c r="D807" s="625" t="e">
        <f t="shared" si="32"/>
        <v>#VALUE!</v>
      </c>
      <c r="E807" s="591"/>
      <c r="F807" s="591"/>
      <c r="G807" s="591"/>
      <c r="H807" s="591"/>
      <c r="I807" s="591"/>
      <c r="J807" s="591"/>
      <c r="K807" s="542"/>
      <c r="O807" s="1134"/>
      <c r="Q807" s="1133"/>
    </row>
    <row r="808" spans="2:17" x14ac:dyDescent="0.3">
      <c r="B808" s="126"/>
      <c r="C808" s="583">
        <v>427</v>
      </c>
      <c r="D808" s="625" t="e">
        <f t="shared" si="32"/>
        <v>#VALUE!</v>
      </c>
      <c r="E808" s="591"/>
      <c r="F808" s="591"/>
      <c r="G808" s="591"/>
      <c r="H808" s="591"/>
      <c r="I808" s="591"/>
      <c r="J808" s="591"/>
      <c r="K808" s="542"/>
      <c r="O808" s="1134"/>
      <c r="Q808" s="1133"/>
    </row>
    <row r="809" spans="2:17" x14ac:dyDescent="0.3">
      <c r="B809" s="126"/>
      <c r="C809" s="583">
        <v>428</v>
      </c>
      <c r="D809" s="625" t="e">
        <f t="shared" si="32"/>
        <v>#VALUE!</v>
      </c>
      <c r="E809" s="591"/>
      <c r="F809" s="591"/>
      <c r="G809" s="591"/>
      <c r="H809" s="591"/>
      <c r="I809" s="591"/>
      <c r="J809" s="591"/>
      <c r="K809" s="542"/>
      <c r="O809" s="1134"/>
      <c r="Q809" s="1133"/>
    </row>
    <row r="810" spans="2:17" x14ac:dyDescent="0.3">
      <c r="B810" s="126"/>
      <c r="C810" s="583">
        <v>429</v>
      </c>
      <c r="D810" s="625" t="e">
        <f t="shared" si="32"/>
        <v>#VALUE!</v>
      </c>
      <c r="E810" s="591"/>
      <c r="F810" s="591"/>
      <c r="G810" s="591"/>
      <c r="H810" s="591"/>
      <c r="I810" s="591"/>
      <c r="J810" s="591"/>
      <c r="K810" s="542"/>
      <c r="O810" s="1134"/>
      <c r="Q810" s="1133"/>
    </row>
    <row r="811" spans="2:17" x14ac:dyDescent="0.3">
      <c r="B811" s="126"/>
      <c r="C811" s="583">
        <v>430</v>
      </c>
      <c r="D811" s="625" t="e">
        <f t="shared" si="32"/>
        <v>#VALUE!</v>
      </c>
      <c r="E811" s="591"/>
      <c r="F811" s="591"/>
      <c r="G811" s="591"/>
      <c r="H811" s="591"/>
      <c r="I811" s="591"/>
      <c r="J811" s="591"/>
      <c r="K811" s="542"/>
      <c r="O811" s="1134"/>
      <c r="Q811" s="1133"/>
    </row>
    <row r="812" spans="2:17" x14ac:dyDescent="0.3">
      <c r="B812" s="126"/>
      <c r="C812" s="583">
        <v>431</v>
      </c>
      <c r="D812" s="625" t="e">
        <f t="shared" si="32"/>
        <v>#VALUE!</v>
      </c>
      <c r="E812" s="591"/>
      <c r="F812" s="591"/>
      <c r="G812" s="591"/>
      <c r="H812" s="591"/>
      <c r="I812" s="591"/>
      <c r="J812" s="591"/>
      <c r="K812" s="542"/>
      <c r="O812" s="1134"/>
      <c r="Q812" s="1133"/>
    </row>
    <row r="813" spans="2:17" x14ac:dyDescent="0.3">
      <c r="B813" s="126"/>
      <c r="C813" s="583">
        <v>432</v>
      </c>
      <c r="D813" s="625" t="e">
        <f t="shared" si="32"/>
        <v>#VALUE!</v>
      </c>
      <c r="E813" s="591"/>
      <c r="F813" s="591"/>
      <c r="G813" s="591"/>
      <c r="H813" s="591"/>
      <c r="I813" s="591"/>
      <c r="J813" s="591"/>
      <c r="K813" s="542"/>
      <c r="O813" s="1134"/>
      <c r="Q813" s="1133"/>
    </row>
    <row r="814" spans="2:17" x14ac:dyDescent="0.3">
      <c r="B814" s="126"/>
      <c r="C814" s="583">
        <v>433</v>
      </c>
      <c r="D814" s="625" t="e">
        <f t="shared" si="32"/>
        <v>#VALUE!</v>
      </c>
      <c r="E814" s="591"/>
      <c r="F814" s="591"/>
      <c r="G814" s="591"/>
      <c r="H814" s="591"/>
      <c r="I814" s="591"/>
      <c r="J814" s="591"/>
      <c r="K814" s="542"/>
      <c r="O814" s="1134"/>
      <c r="Q814" s="1133"/>
    </row>
    <row r="815" spans="2:17" x14ac:dyDescent="0.3">
      <c r="B815" s="126"/>
      <c r="C815" s="583">
        <v>434</v>
      </c>
      <c r="D815" s="625" t="e">
        <f t="shared" si="32"/>
        <v>#VALUE!</v>
      </c>
      <c r="E815" s="591"/>
      <c r="F815" s="591"/>
      <c r="G815" s="591"/>
      <c r="H815" s="591"/>
      <c r="I815" s="591"/>
      <c r="J815" s="591"/>
      <c r="K815" s="542"/>
      <c r="O815" s="1134"/>
      <c r="Q815" s="1133"/>
    </row>
    <row r="816" spans="2:17" x14ac:dyDescent="0.3">
      <c r="B816" s="126"/>
      <c r="C816" s="583">
        <v>435</v>
      </c>
      <c r="D816" s="625" t="e">
        <f t="shared" si="32"/>
        <v>#VALUE!</v>
      </c>
      <c r="E816" s="591"/>
      <c r="F816" s="591"/>
      <c r="G816" s="591"/>
      <c r="H816" s="591"/>
      <c r="I816" s="591"/>
      <c r="J816" s="591"/>
      <c r="K816" s="542"/>
      <c r="O816" s="1134"/>
      <c r="Q816" s="1133"/>
    </row>
    <row r="817" spans="2:17" x14ac:dyDescent="0.3">
      <c r="B817" s="126"/>
      <c r="C817" s="583">
        <v>436</v>
      </c>
      <c r="D817" s="625" t="e">
        <f t="shared" si="32"/>
        <v>#VALUE!</v>
      </c>
      <c r="E817" s="591"/>
      <c r="F817" s="591"/>
      <c r="G817" s="591"/>
      <c r="H817" s="591"/>
      <c r="I817" s="591"/>
      <c r="J817" s="591"/>
      <c r="K817" s="542"/>
      <c r="O817" s="1134"/>
      <c r="Q817" s="1133"/>
    </row>
    <row r="818" spans="2:17" x14ac:dyDescent="0.3">
      <c r="B818" s="126"/>
      <c r="C818" s="583">
        <v>437</v>
      </c>
      <c r="D818" s="625" t="e">
        <f t="shared" si="32"/>
        <v>#VALUE!</v>
      </c>
      <c r="E818" s="591"/>
      <c r="F818" s="591"/>
      <c r="G818" s="591"/>
      <c r="H818" s="591"/>
      <c r="I818" s="591"/>
      <c r="J818" s="591"/>
      <c r="K818" s="542"/>
      <c r="O818" s="1134"/>
      <c r="Q818" s="1133"/>
    </row>
    <row r="819" spans="2:17" x14ac:dyDescent="0.3">
      <c r="B819" s="126"/>
      <c r="C819" s="583">
        <v>438</v>
      </c>
      <c r="D819" s="625" t="e">
        <f t="shared" si="32"/>
        <v>#VALUE!</v>
      </c>
      <c r="E819" s="591"/>
      <c r="F819" s="591"/>
      <c r="G819" s="591"/>
      <c r="H819" s="591"/>
      <c r="I819" s="591"/>
      <c r="J819" s="591"/>
      <c r="K819" s="542"/>
      <c r="O819" s="1134"/>
      <c r="Q819" s="1133"/>
    </row>
    <row r="820" spans="2:17" x14ac:dyDescent="0.3">
      <c r="B820" s="126"/>
      <c r="C820" s="583">
        <v>439</v>
      </c>
      <c r="D820" s="625" t="e">
        <f t="shared" si="32"/>
        <v>#VALUE!</v>
      </c>
      <c r="E820" s="591"/>
      <c r="F820" s="591"/>
      <c r="G820" s="591"/>
      <c r="H820" s="591"/>
      <c r="I820" s="591"/>
      <c r="J820" s="591"/>
      <c r="K820" s="542"/>
      <c r="O820" s="1134"/>
      <c r="Q820" s="1133"/>
    </row>
    <row r="821" spans="2:17" x14ac:dyDescent="0.3">
      <c r="B821" s="126"/>
      <c r="C821" s="583">
        <v>440</v>
      </c>
      <c r="D821" s="625" t="e">
        <f t="shared" si="32"/>
        <v>#VALUE!</v>
      </c>
      <c r="E821" s="591"/>
      <c r="F821" s="591"/>
      <c r="G821" s="591"/>
      <c r="H821" s="591"/>
      <c r="I821" s="591"/>
      <c r="J821" s="591"/>
      <c r="K821" s="542"/>
      <c r="O821" s="1134"/>
      <c r="Q821" s="1133"/>
    </row>
    <row r="822" spans="2:17" x14ac:dyDescent="0.3">
      <c r="B822" s="126"/>
      <c r="C822" s="583">
        <v>441</v>
      </c>
      <c r="D822" s="625" t="e">
        <f t="shared" si="32"/>
        <v>#VALUE!</v>
      </c>
      <c r="E822" s="591"/>
      <c r="F822" s="591"/>
      <c r="G822" s="591"/>
      <c r="H822" s="591"/>
      <c r="I822" s="591"/>
      <c r="J822" s="591"/>
      <c r="K822" s="542"/>
      <c r="O822" s="1134"/>
      <c r="Q822" s="1133"/>
    </row>
    <row r="823" spans="2:17" x14ac:dyDescent="0.3">
      <c r="B823" s="126"/>
      <c r="C823" s="583">
        <v>442</v>
      </c>
      <c r="D823" s="625" t="e">
        <f t="shared" si="32"/>
        <v>#VALUE!</v>
      </c>
      <c r="E823" s="591"/>
      <c r="F823" s="591"/>
      <c r="G823" s="591"/>
      <c r="H823" s="591"/>
      <c r="I823" s="591"/>
      <c r="J823" s="591"/>
      <c r="K823" s="542"/>
      <c r="O823" s="1134"/>
      <c r="Q823" s="1133"/>
    </row>
    <row r="824" spans="2:17" x14ac:dyDescent="0.3">
      <c r="B824" s="126"/>
      <c r="C824" s="583">
        <v>443</v>
      </c>
      <c r="D824" s="625" t="e">
        <f t="shared" si="32"/>
        <v>#VALUE!</v>
      </c>
      <c r="E824" s="591"/>
      <c r="F824" s="591"/>
      <c r="G824" s="591"/>
      <c r="H824" s="591"/>
      <c r="I824" s="591"/>
      <c r="J824" s="591"/>
      <c r="K824" s="542"/>
      <c r="O824" s="1134"/>
      <c r="Q824" s="1133"/>
    </row>
    <row r="825" spans="2:17" x14ac:dyDescent="0.3">
      <c r="B825" s="126"/>
      <c r="C825" s="583">
        <v>444</v>
      </c>
      <c r="D825" s="625" t="e">
        <f t="shared" si="32"/>
        <v>#VALUE!</v>
      </c>
      <c r="E825" s="591"/>
      <c r="F825" s="591"/>
      <c r="G825" s="591"/>
      <c r="H825" s="591"/>
      <c r="I825" s="591"/>
      <c r="J825" s="591"/>
      <c r="K825" s="542"/>
      <c r="O825" s="1134"/>
      <c r="Q825" s="1133"/>
    </row>
    <row r="826" spans="2:17" x14ac:dyDescent="0.3">
      <c r="B826" s="126"/>
      <c r="C826" s="583">
        <v>445</v>
      </c>
      <c r="D826" s="625" t="e">
        <f t="shared" si="32"/>
        <v>#VALUE!</v>
      </c>
      <c r="E826" s="591"/>
      <c r="F826" s="591"/>
      <c r="G826" s="591"/>
      <c r="H826" s="591"/>
      <c r="I826" s="591"/>
      <c r="J826" s="591"/>
      <c r="K826" s="542"/>
      <c r="O826" s="1134"/>
      <c r="Q826" s="1133"/>
    </row>
    <row r="827" spans="2:17" x14ac:dyDescent="0.3">
      <c r="B827" s="126"/>
      <c r="C827" s="583">
        <v>446</v>
      </c>
      <c r="D827" s="625" t="e">
        <f t="shared" si="32"/>
        <v>#VALUE!</v>
      </c>
      <c r="E827" s="591"/>
      <c r="F827" s="591"/>
      <c r="G827" s="591"/>
      <c r="H827" s="591"/>
      <c r="I827" s="591"/>
      <c r="J827" s="591"/>
      <c r="K827" s="542"/>
      <c r="O827" s="1134"/>
      <c r="Q827" s="1133"/>
    </row>
    <row r="828" spans="2:17" x14ac:dyDescent="0.3">
      <c r="B828" s="126"/>
      <c r="C828" s="583">
        <v>447</v>
      </c>
      <c r="D828" s="625" t="e">
        <f t="shared" si="32"/>
        <v>#VALUE!</v>
      </c>
      <c r="E828" s="591"/>
      <c r="F828" s="591"/>
      <c r="G828" s="591"/>
      <c r="H828" s="591"/>
      <c r="I828" s="591"/>
      <c r="J828" s="591"/>
      <c r="K828" s="542"/>
      <c r="O828" s="1134"/>
      <c r="Q828" s="1133"/>
    </row>
    <row r="829" spans="2:17" x14ac:dyDescent="0.3">
      <c r="B829" s="126"/>
      <c r="C829" s="583">
        <v>448</v>
      </c>
      <c r="D829" s="625" t="e">
        <f t="shared" ref="D829:D892" si="33">$C$360*C829</f>
        <v>#VALUE!</v>
      </c>
      <c r="E829" s="591"/>
      <c r="F829" s="591"/>
      <c r="G829" s="591"/>
      <c r="H829" s="591"/>
      <c r="I829" s="591"/>
      <c r="J829" s="591"/>
      <c r="K829" s="542"/>
      <c r="O829" s="1134"/>
      <c r="Q829" s="1133"/>
    </row>
    <row r="830" spans="2:17" x14ac:dyDescent="0.3">
      <c r="B830" s="126"/>
      <c r="C830" s="583">
        <v>449</v>
      </c>
      <c r="D830" s="625" t="e">
        <f t="shared" si="33"/>
        <v>#VALUE!</v>
      </c>
      <c r="E830" s="591"/>
      <c r="F830" s="591"/>
      <c r="G830" s="591"/>
      <c r="H830" s="591"/>
      <c r="I830" s="591"/>
      <c r="J830" s="591"/>
      <c r="K830" s="542"/>
      <c r="O830" s="1134"/>
      <c r="Q830" s="1133"/>
    </row>
    <row r="831" spans="2:17" x14ac:dyDescent="0.3">
      <c r="B831" s="126"/>
      <c r="C831" s="583">
        <v>450</v>
      </c>
      <c r="D831" s="625" t="e">
        <f t="shared" si="33"/>
        <v>#VALUE!</v>
      </c>
      <c r="E831" s="591"/>
      <c r="F831" s="591"/>
      <c r="G831" s="591"/>
      <c r="H831" s="591"/>
      <c r="I831" s="591"/>
      <c r="J831" s="591"/>
      <c r="K831" s="542"/>
      <c r="O831" s="1134"/>
      <c r="Q831" s="1133"/>
    </row>
    <row r="832" spans="2:17" x14ac:dyDescent="0.3">
      <c r="B832" s="126"/>
      <c r="C832" s="583">
        <v>451</v>
      </c>
      <c r="D832" s="625" t="e">
        <f t="shared" si="33"/>
        <v>#VALUE!</v>
      </c>
      <c r="E832" s="591"/>
      <c r="F832" s="591"/>
      <c r="G832" s="591"/>
      <c r="H832" s="591"/>
      <c r="I832" s="591"/>
      <c r="J832" s="591"/>
      <c r="K832" s="542"/>
      <c r="O832" s="1134"/>
      <c r="Q832" s="1133"/>
    </row>
    <row r="833" spans="2:17" x14ac:dyDescent="0.3">
      <c r="B833" s="126"/>
      <c r="C833" s="583">
        <v>452</v>
      </c>
      <c r="D833" s="625" t="e">
        <f t="shared" si="33"/>
        <v>#VALUE!</v>
      </c>
      <c r="E833" s="591"/>
      <c r="F833" s="591"/>
      <c r="G833" s="591"/>
      <c r="H833" s="591"/>
      <c r="I833" s="591"/>
      <c r="J833" s="591"/>
      <c r="K833" s="542"/>
      <c r="O833" s="1134"/>
      <c r="Q833" s="1133"/>
    </row>
    <row r="834" spans="2:17" x14ac:dyDescent="0.3">
      <c r="B834" s="126"/>
      <c r="C834" s="583">
        <v>453</v>
      </c>
      <c r="D834" s="625" t="e">
        <f t="shared" si="33"/>
        <v>#VALUE!</v>
      </c>
      <c r="E834" s="591"/>
      <c r="F834" s="591"/>
      <c r="G834" s="591"/>
      <c r="H834" s="591"/>
      <c r="I834" s="591"/>
      <c r="J834" s="591"/>
      <c r="K834" s="542"/>
      <c r="O834" s="1134"/>
      <c r="Q834" s="1133"/>
    </row>
    <row r="835" spans="2:17" x14ac:dyDescent="0.3">
      <c r="B835" s="126"/>
      <c r="C835" s="583">
        <v>454</v>
      </c>
      <c r="D835" s="625" t="e">
        <f t="shared" si="33"/>
        <v>#VALUE!</v>
      </c>
      <c r="E835" s="591"/>
      <c r="F835" s="591"/>
      <c r="G835" s="591"/>
      <c r="H835" s="591"/>
      <c r="I835" s="591"/>
      <c r="J835" s="591"/>
      <c r="K835" s="542"/>
      <c r="O835" s="1134"/>
      <c r="Q835" s="1133"/>
    </row>
    <row r="836" spans="2:17" x14ac:dyDescent="0.3">
      <c r="B836" s="126"/>
      <c r="C836" s="583">
        <v>455</v>
      </c>
      <c r="D836" s="625" t="e">
        <f t="shared" si="33"/>
        <v>#VALUE!</v>
      </c>
      <c r="E836" s="591"/>
      <c r="F836" s="591"/>
      <c r="G836" s="591"/>
      <c r="H836" s="591"/>
      <c r="I836" s="591"/>
      <c r="J836" s="591"/>
      <c r="K836" s="542"/>
      <c r="O836" s="1134"/>
      <c r="Q836" s="1133"/>
    </row>
    <row r="837" spans="2:17" x14ac:dyDescent="0.3">
      <c r="B837" s="126"/>
      <c r="C837" s="583">
        <v>456</v>
      </c>
      <c r="D837" s="625" t="e">
        <f t="shared" si="33"/>
        <v>#VALUE!</v>
      </c>
      <c r="E837" s="591"/>
      <c r="F837" s="591"/>
      <c r="G837" s="591"/>
      <c r="H837" s="591"/>
      <c r="I837" s="591"/>
      <c r="J837" s="591"/>
      <c r="K837" s="542"/>
      <c r="O837" s="1134"/>
      <c r="Q837" s="1133"/>
    </row>
    <row r="838" spans="2:17" x14ac:dyDescent="0.3">
      <c r="B838" s="126"/>
      <c r="C838" s="583">
        <v>457</v>
      </c>
      <c r="D838" s="625" t="e">
        <f t="shared" si="33"/>
        <v>#VALUE!</v>
      </c>
      <c r="E838" s="591"/>
      <c r="F838" s="591"/>
      <c r="G838" s="591"/>
      <c r="H838" s="591"/>
      <c r="I838" s="591"/>
      <c r="J838" s="591"/>
      <c r="K838" s="542"/>
      <c r="O838" s="1134"/>
      <c r="Q838" s="1133"/>
    </row>
    <row r="839" spans="2:17" x14ac:dyDescent="0.3">
      <c r="B839" s="126"/>
      <c r="C839" s="583">
        <v>458</v>
      </c>
      <c r="D839" s="625" t="e">
        <f t="shared" si="33"/>
        <v>#VALUE!</v>
      </c>
      <c r="E839" s="591"/>
      <c r="F839" s="591"/>
      <c r="G839" s="591"/>
      <c r="H839" s="591"/>
      <c r="I839" s="591"/>
      <c r="J839" s="591"/>
      <c r="K839" s="542"/>
      <c r="O839" s="1134"/>
      <c r="Q839" s="1133"/>
    </row>
    <row r="840" spans="2:17" x14ac:dyDescent="0.3">
      <c r="B840" s="126"/>
      <c r="C840" s="583">
        <v>459</v>
      </c>
      <c r="D840" s="625" t="e">
        <f t="shared" si="33"/>
        <v>#VALUE!</v>
      </c>
      <c r="E840" s="591"/>
      <c r="F840" s="591"/>
      <c r="G840" s="591"/>
      <c r="H840" s="591"/>
      <c r="I840" s="591"/>
      <c r="J840" s="591"/>
      <c r="K840" s="542"/>
      <c r="O840" s="1134"/>
      <c r="Q840" s="1133"/>
    </row>
    <row r="841" spans="2:17" x14ac:dyDescent="0.3">
      <c r="B841" s="126"/>
      <c r="C841" s="583">
        <v>460</v>
      </c>
      <c r="D841" s="625" t="e">
        <f t="shared" si="33"/>
        <v>#VALUE!</v>
      </c>
      <c r="E841" s="591"/>
      <c r="F841" s="591"/>
      <c r="G841" s="591"/>
      <c r="H841" s="591"/>
      <c r="I841" s="591"/>
      <c r="J841" s="591"/>
      <c r="K841" s="542"/>
      <c r="O841" s="1134"/>
      <c r="Q841" s="1133"/>
    </row>
    <row r="842" spans="2:17" x14ac:dyDescent="0.3">
      <c r="B842" s="126"/>
      <c r="C842" s="583">
        <v>461</v>
      </c>
      <c r="D842" s="625" t="e">
        <f t="shared" si="33"/>
        <v>#VALUE!</v>
      </c>
      <c r="E842" s="591"/>
      <c r="F842" s="591"/>
      <c r="G842" s="591"/>
      <c r="H842" s="591"/>
      <c r="I842" s="591"/>
      <c r="J842" s="591"/>
      <c r="K842" s="542"/>
      <c r="O842" s="1134"/>
      <c r="Q842" s="1133"/>
    </row>
    <row r="843" spans="2:17" x14ac:dyDescent="0.3">
      <c r="B843" s="126"/>
      <c r="C843" s="583">
        <v>462</v>
      </c>
      <c r="D843" s="625" t="e">
        <f t="shared" si="33"/>
        <v>#VALUE!</v>
      </c>
      <c r="E843" s="591"/>
      <c r="F843" s="591"/>
      <c r="G843" s="591"/>
      <c r="H843" s="591"/>
      <c r="I843" s="591"/>
      <c r="J843" s="591"/>
      <c r="K843" s="542"/>
      <c r="O843" s="1134"/>
      <c r="Q843" s="1133"/>
    </row>
    <row r="844" spans="2:17" x14ac:dyDescent="0.3">
      <c r="B844" s="126"/>
      <c r="C844" s="583">
        <v>463</v>
      </c>
      <c r="D844" s="625" t="e">
        <f t="shared" si="33"/>
        <v>#VALUE!</v>
      </c>
      <c r="E844" s="591"/>
      <c r="F844" s="591"/>
      <c r="G844" s="591"/>
      <c r="H844" s="591"/>
      <c r="I844" s="591"/>
      <c r="J844" s="591"/>
      <c r="K844" s="542"/>
      <c r="O844" s="1134"/>
      <c r="Q844" s="1133"/>
    </row>
    <row r="845" spans="2:17" x14ac:dyDescent="0.3">
      <c r="B845" s="126"/>
      <c r="C845" s="583">
        <v>464</v>
      </c>
      <c r="D845" s="625" t="e">
        <f t="shared" si="33"/>
        <v>#VALUE!</v>
      </c>
      <c r="E845" s="591"/>
      <c r="F845" s="591"/>
      <c r="G845" s="591"/>
      <c r="H845" s="591"/>
      <c r="I845" s="591"/>
      <c r="J845" s="591"/>
      <c r="K845" s="542"/>
      <c r="O845" s="1134"/>
      <c r="Q845" s="1133"/>
    </row>
    <row r="846" spans="2:17" x14ac:dyDescent="0.3">
      <c r="B846" s="126"/>
      <c r="C846" s="583">
        <v>465</v>
      </c>
      <c r="D846" s="625" t="e">
        <f t="shared" si="33"/>
        <v>#VALUE!</v>
      </c>
      <c r="E846" s="591"/>
      <c r="F846" s="591"/>
      <c r="G846" s="591"/>
      <c r="H846" s="591"/>
      <c r="I846" s="591"/>
      <c r="J846" s="591"/>
      <c r="K846" s="542"/>
      <c r="O846" s="1134"/>
      <c r="Q846" s="1133"/>
    </row>
    <row r="847" spans="2:17" x14ac:dyDescent="0.3">
      <c r="B847" s="126"/>
      <c r="C847" s="583">
        <v>466</v>
      </c>
      <c r="D847" s="625" t="e">
        <f t="shared" si="33"/>
        <v>#VALUE!</v>
      </c>
      <c r="E847" s="591"/>
      <c r="F847" s="591"/>
      <c r="G847" s="591"/>
      <c r="H847" s="591"/>
      <c r="I847" s="591"/>
      <c r="J847" s="591"/>
      <c r="K847" s="542"/>
      <c r="O847" s="1134"/>
      <c r="Q847" s="1133"/>
    </row>
    <row r="848" spans="2:17" x14ac:dyDescent="0.3">
      <c r="B848" s="126"/>
      <c r="C848" s="583">
        <v>467</v>
      </c>
      <c r="D848" s="625" t="e">
        <f t="shared" si="33"/>
        <v>#VALUE!</v>
      </c>
      <c r="E848" s="591"/>
      <c r="F848" s="591"/>
      <c r="G848" s="591"/>
      <c r="H848" s="591"/>
      <c r="I848" s="591"/>
      <c r="J848" s="591"/>
      <c r="K848" s="542"/>
      <c r="O848" s="1134"/>
      <c r="Q848" s="1133"/>
    </row>
    <row r="849" spans="2:17" x14ac:dyDescent="0.3">
      <c r="B849" s="126"/>
      <c r="C849" s="583">
        <v>468</v>
      </c>
      <c r="D849" s="625" t="e">
        <f t="shared" si="33"/>
        <v>#VALUE!</v>
      </c>
      <c r="E849" s="591"/>
      <c r="F849" s="591"/>
      <c r="G849" s="591"/>
      <c r="H849" s="591"/>
      <c r="I849" s="591"/>
      <c r="J849" s="591"/>
      <c r="K849" s="542"/>
      <c r="O849" s="1134"/>
      <c r="Q849" s="1133"/>
    </row>
    <row r="850" spans="2:17" x14ac:dyDescent="0.3">
      <c r="B850" s="126"/>
      <c r="C850" s="583">
        <v>469</v>
      </c>
      <c r="D850" s="625" t="e">
        <f t="shared" si="33"/>
        <v>#VALUE!</v>
      </c>
      <c r="E850" s="591"/>
      <c r="F850" s="591"/>
      <c r="G850" s="591"/>
      <c r="H850" s="591"/>
      <c r="I850" s="591"/>
      <c r="J850" s="591"/>
      <c r="K850" s="542"/>
      <c r="O850" s="1134"/>
      <c r="Q850" s="1133"/>
    </row>
    <row r="851" spans="2:17" x14ac:dyDescent="0.3">
      <c r="B851" s="126"/>
      <c r="C851" s="583">
        <v>470</v>
      </c>
      <c r="D851" s="625" t="e">
        <f t="shared" si="33"/>
        <v>#VALUE!</v>
      </c>
      <c r="E851" s="591"/>
      <c r="F851" s="591"/>
      <c r="G851" s="591"/>
      <c r="H851" s="591"/>
      <c r="I851" s="591"/>
      <c r="J851" s="591"/>
      <c r="K851" s="542"/>
      <c r="O851" s="1134"/>
      <c r="Q851" s="1133"/>
    </row>
    <row r="852" spans="2:17" x14ac:dyDescent="0.3">
      <c r="B852" s="126"/>
      <c r="C852" s="583">
        <v>471</v>
      </c>
      <c r="D852" s="625" t="e">
        <f t="shared" si="33"/>
        <v>#VALUE!</v>
      </c>
      <c r="E852" s="591"/>
      <c r="F852" s="591"/>
      <c r="G852" s="591"/>
      <c r="H852" s="591"/>
      <c r="I852" s="591"/>
      <c r="J852" s="591"/>
      <c r="K852" s="542"/>
      <c r="O852" s="1134"/>
      <c r="Q852" s="1133"/>
    </row>
    <row r="853" spans="2:17" x14ac:dyDescent="0.3">
      <c r="B853" s="126"/>
      <c r="C853" s="583">
        <v>472</v>
      </c>
      <c r="D853" s="625" t="e">
        <f t="shared" si="33"/>
        <v>#VALUE!</v>
      </c>
      <c r="E853" s="591"/>
      <c r="F853" s="591"/>
      <c r="G853" s="591"/>
      <c r="H853" s="591"/>
      <c r="I853" s="591"/>
      <c r="J853" s="591"/>
      <c r="K853" s="542"/>
      <c r="O853" s="1134"/>
      <c r="Q853" s="1133"/>
    </row>
    <row r="854" spans="2:17" x14ac:dyDescent="0.3">
      <c r="B854" s="126"/>
      <c r="C854" s="583">
        <v>473</v>
      </c>
      <c r="D854" s="625" t="e">
        <f t="shared" si="33"/>
        <v>#VALUE!</v>
      </c>
      <c r="E854" s="591"/>
      <c r="F854" s="591"/>
      <c r="G854" s="591"/>
      <c r="H854" s="591"/>
      <c r="I854" s="591"/>
      <c r="J854" s="591"/>
      <c r="K854" s="542"/>
      <c r="O854" s="1134"/>
      <c r="Q854" s="1133"/>
    </row>
    <row r="855" spans="2:17" x14ac:dyDescent="0.3">
      <c r="B855" s="126"/>
      <c r="C855" s="583">
        <v>474</v>
      </c>
      <c r="D855" s="625" t="e">
        <f t="shared" si="33"/>
        <v>#VALUE!</v>
      </c>
      <c r="E855" s="591"/>
      <c r="F855" s="591"/>
      <c r="G855" s="591"/>
      <c r="H855" s="591"/>
      <c r="I855" s="591"/>
      <c r="J855" s="591"/>
      <c r="K855" s="542"/>
      <c r="O855" s="1134"/>
      <c r="Q855" s="1133"/>
    </row>
    <row r="856" spans="2:17" x14ac:dyDescent="0.3">
      <c r="B856" s="126"/>
      <c r="C856" s="583">
        <v>475</v>
      </c>
      <c r="D856" s="625" t="e">
        <f t="shared" si="33"/>
        <v>#VALUE!</v>
      </c>
      <c r="E856" s="591"/>
      <c r="F856" s="591"/>
      <c r="G856" s="591"/>
      <c r="H856" s="591"/>
      <c r="I856" s="591"/>
      <c r="J856" s="591"/>
      <c r="K856" s="542"/>
      <c r="O856" s="1134"/>
      <c r="Q856" s="1133"/>
    </row>
    <row r="857" spans="2:17" x14ac:dyDescent="0.3">
      <c r="B857" s="126"/>
      <c r="C857" s="583">
        <v>476</v>
      </c>
      <c r="D857" s="625" t="e">
        <f t="shared" si="33"/>
        <v>#VALUE!</v>
      </c>
      <c r="E857" s="591"/>
      <c r="F857" s="591"/>
      <c r="G857" s="591"/>
      <c r="H857" s="591"/>
      <c r="I857" s="591"/>
      <c r="J857" s="591"/>
      <c r="K857" s="542"/>
      <c r="O857" s="1134"/>
      <c r="Q857" s="1133"/>
    </row>
    <row r="858" spans="2:17" x14ac:dyDescent="0.3">
      <c r="B858" s="126"/>
      <c r="C858" s="583">
        <v>477</v>
      </c>
      <c r="D858" s="625" t="e">
        <f t="shared" si="33"/>
        <v>#VALUE!</v>
      </c>
      <c r="E858" s="591"/>
      <c r="F858" s="591"/>
      <c r="G858" s="591"/>
      <c r="H858" s="591"/>
      <c r="I858" s="591"/>
      <c r="J858" s="591"/>
      <c r="K858" s="542"/>
      <c r="O858" s="1134"/>
      <c r="Q858" s="1133"/>
    </row>
    <row r="859" spans="2:17" x14ac:dyDescent="0.3">
      <c r="B859" s="126"/>
      <c r="C859" s="583">
        <v>478</v>
      </c>
      <c r="D859" s="625" t="e">
        <f t="shared" si="33"/>
        <v>#VALUE!</v>
      </c>
      <c r="E859" s="591"/>
      <c r="F859" s="591"/>
      <c r="G859" s="591"/>
      <c r="H859" s="591"/>
      <c r="I859" s="591"/>
      <c r="J859" s="591"/>
      <c r="K859" s="542"/>
      <c r="O859" s="1134"/>
      <c r="Q859" s="1133"/>
    </row>
    <row r="860" spans="2:17" x14ac:dyDescent="0.3">
      <c r="B860" s="126"/>
      <c r="C860" s="583">
        <v>479</v>
      </c>
      <c r="D860" s="625" t="e">
        <f t="shared" si="33"/>
        <v>#VALUE!</v>
      </c>
      <c r="E860" s="591"/>
      <c r="F860" s="591"/>
      <c r="G860" s="591"/>
      <c r="H860" s="591"/>
      <c r="I860" s="591"/>
      <c r="J860" s="591"/>
      <c r="K860" s="542"/>
      <c r="O860" s="1134"/>
      <c r="Q860" s="1133"/>
    </row>
    <row r="861" spans="2:17" x14ac:dyDescent="0.3">
      <c r="B861" s="126"/>
      <c r="C861" s="583">
        <v>480</v>
      </c>
      <c r="D861" s="625" t="e">
        <f t="shared" si="33"/>
        <v>#VALUE!</v>
      </c>
      <c r="E861" s="591"/>
      <c r="F861" s="591"/>
      <c r="G861" s="591"/>
      <c r="H861" s="591"/>
      <c r="I861" s="591"/>
      <c r="J861" s="591"/>
      <c r="K861" s="542"/>
      <c r="O861" s="1134"/>
      <c r="Q861" s="1133"/>
    </row>
    <row r="862" spans="2:17" x14ac:dyDescent="0.3">
      <c r="B862" s="126"/>
      <c r="C862" s="583">
        <v>481</v>
      </c>
      <c r="D862" s="625" t="e">
        <f t="shared" si="33"/>
        <v>#VALUE!</v>
      </c>
      <c r="E862" s="591"/>
      <c r="F862" s="591"/>
      <c r="G862" s="591"/>
      <c r="H862" s="591"/>
      <c r="I862" s="591"/>
      <c r="J862" s="591"/>
      <c r="K862" s="542"/>
      <c r="O862" s="1134"/>
      <c r="Q862" s="1133"/>
    </row>
    <row r="863" spans="2:17" x14ac:dyDescent="0.3">
      <c r="B863" s="126"/>
      <c r="C863" s="583">
        <v>482</v>
      </c>
      <c r="D863" s="625" t="e">
        <f t="shared" si="33"/>
        <v>#VALUE!</v>
      </c>
      <c r="E863" s="591"/>
      <c r="F863" s="591"/>
      <c r="G863" s="591"/>
      <c r="H863" s="591"/>
      <c r="I863" s="591"/>
      <c r="J863" s="591"/>
      <c r="K863" s="542"/>
      <c r="O863" s="1134"/>
      <c r="Q863" s="1133"/>
    </row>
    <row r="864" spans="2:17" x14ac:dyDescent="0.3">
      <c r="B864" s="126"/>
      <c r="C864" s="583">
        <v>483</v>
      </c>
      <c r="D864" s="625" t="e">
        <f t="shared" si="33"/>
        <v>#VALUE!</v>
      </c>
      <c r="E864" s="591"/>
      <c r="F864" s="591"/>
      <c r="G864" s="591"/>
      <c r="H864" s="591"/>
      <c r="I864" s="591"/>
      <c r="J864" s="591"/>
      <c r="K864" s="542"/>
      <c r="O864" s="1134"/>
      <c r="Q864" s="1133"/>
    </row>
    <row r="865" spans="2:17" x14ac:dyDescent="0.3">
      <c r="B865" s="126"/>
      <c r="C865" s="583">
        <v>484</v>
      </c>
      <c r="D865" s="625" t="e">
        <f t="shared" si="33"/>
        <v>#VALUE!</v>
      </c>
      <c r="E865" s="591"/>
      <c r="F865" s="591"/>
      <c r="G865" s="591"/>
      <c r="H865" s="591"/>
      <c r="I865" s="591"/>
      <c r="J865" s="591"/>
      <c r="K865" s="542"/>
      <c r="O865" s="1134"/>
      <c r="Q865" s="1133"/>
    </row>
    <row r="866" spans="2:17" x14ac:dyDescent="0.3">
      <c r="B866" s="126"/>
      <c r="C866" s="583">
        <v>485</v>
      </c>
      <c r="D866" s="625" t="e">
        <f t="shared" si="33"/>
        <v>#VALUE!</v>
      </c>
      <c r="E866" s="591"/>
      <c r="F866" s="591"/>
      <c r="G866" s="591"/>
      <c r="H866" s="591"/>
      <c r="I866" s="591"/>
      <c r="J866" s="591"/>
      <c r="K866" s="542"/>
      <c r="O866" s="1134"/>
      <c r="Q866" s="1133"/>
    </row>
    <row r="867" spans="2:17" x14ac:dyDescent="0.3">
      <c r="B867" s="126"/>
      <c r="C867" s="583">
        <v>486</v>
      </c>
      <c r="D867" s="625" t="e">
        <f t="shared" si="33"/>
        <v>#VALUE!</v>
      </c>
      <c r="E867" s="591"/>
      <c r="F867" s="591"/>
      <c r="G867" s="591"/>
      <c r="H867" s="591"/>
      <c r="I867" s="591"/>
      <c r="J867" s="591"/>
      <c r="K867" s="542"/>
      <c r="O867" s="1134"/>
      <c r="Q867" s="1133"/>
    </row>
    <row r="868" spans="2:17" x14ac:dyDescent="0.3">
      <c r="B868" s="126"/>
      <c r="C868" s="583">
        <v>487</v>
      </c>
      <c r="D868" s="625" t="e">
        <f t="shared" si="33"/>
        <v>#VALUE!</v>
      </c>
      <c r="E868" s="591"/>
      <c r="F868" s="591"/>
      <c r="G868" s="591"/>
      <c r="H868" s="591"/>
      <c r="I868" s="591"/>
      <c r="J868" s="591"/>
      <c r="K868" s="542"/>
      <c r="O868" s="1134"/>
      <c r="Q868" s="1133"/>
    </row>
    <row r="869" spans="2:17" x14ac:dyDescent="0.3">
      <c r="B869" s="126"/>
      <c r="C869" s="583">
        <v>488</v>
      </c>
      <c r="D869" s="625" t="e">
        <f t="shared" si="33"/>
        <v>#VALUE!</v>
      </c>
      <c r="E869" s="591"/>
      <c r="F869" s="591"/>
      <c r="G869" s="591"/>
      <c r="H869" s="591"/>
      <c r="I869" s="591"/>
      <c r="J869" s="591"/>
      <c r="K869" s="542"/>
      <c r="O869" s="1134"/>
      <c r="Q869" s="1133"/>
    </row>
    <row r="870" spans="2:17" x14ac:dyDescent="0.3">
      <c r="B870" s="126"/>
      <c r="C870" s="583">
        <v>489</v>
      </c>
      <c r="D870" s="625" t="e">
        <f t="shared" si="33"/>
        <v>#VALUE!</v>
      </c>
      <c r="E870" s="591"/>
      <c r="F870" s="591"/>
      <c r="G870" s="591"/>
      <c r="H870" s="591"/>
      <c r="I870" s="591"/>
      <c r="J870" s="591"/>
      <c r="K870" s="542"/>
      <c r="O870" s="1134"/>
      <c r="Q870" s="1133"/>
    </row>
    <row r="871" spans="2:17" x14ac:dyDescent="0.3">
      <c r="B871" s="126"/>
      <c r="C871" s="583">
        <v>490</v>
      </c>
      <c r="D871" s="625" t="e">
        <f t="shared" si="33"/>
        <v>#VALUE!</v>
      </c>
      <c r="E871" s="591"/>
      <c r="F871" s="591"/>
      <c r="G871" s="591"/>
      <c r="H871" s="591"/>
      <c r="I871" s="591"/>
      <c r="J871" s="591"/>
      <c r="K871" s="542"/>
      <c r="O871" s="1134"/>
      <c r="Q871" s="1133"/>
    </row>
    <row r="872" spans="2:17" x14ac:dyDescent="0.3">
      <c r="B872" s="126"/>
      <c r="C872" s="583">
        <v>491</v>
      </c>
      <c r="D872" s="625" t="e">
        <f t="shared" si="33"/>
        <v>#VALUE!</v>
      </c>
      <c r="E872" s="591"/>
      <c r="F872" s="591"/>
      <c r="G872" s="591"/>
      <c r="H872" s="591"/>
      <c r="I872" s="591"/>
      <c r="J872" s="591"/>
      <c r="K872" s="542"/>
      <c r="O872" s="1134"/>
      <c r="Q872" s="1133"/>
    </row>
    <row r="873" spans="2:17" x14ac:dyDescent="0.3">
      <c r="B873" s="126"/>
      <c r="C873" s="583">
        <v>492</v>
      </c>
      <c r="D873" s="625" t="e">
        <f t="shared" si="33"/>
        <v>#VALUE!</v>
      </c>
      <c r="E873" s="591"/>
      <c r="F873" s="591"/>
      <c r="G873" s="591"/>
      <c r="H873" s="591"/>
      <c r="I873" s="591"/>
      <c r="J873" s="591"/>
      <c r="K873" s="542"/>
      <c r="O873" s="1134"/>
      <c r="Q873" s="1133"/>
    </row>
    <row r="874" spans="2:17" x14ac:dyDescent="0.3">
      <c r="B874" s="126"/>
      <c r="C874" s="583">
        <v>493</v>
      </c>
      <c r="D874" s="625" t="e">
        <f t="shared" si="33"/>
        <v>#VALUE!</v>
      </c>
      <c r="E874" s="591"/>
      <c r="F874" s="591"/>
      <c r="G874" s="591"/>
      <c r="H874" s="591"/>
      <c r="I874" s="591"/>
      <c r="J874" s="591"/>
      <c r="K874" s="542"/>
      <c r="O874" s="1134"/>
      <c r="Q874" s="1133"/>
    </row>
    <row r="875" spans="2:17" x14ac:dyDescent="0.3">
      <c r="B875" s="126"/>
      <c r="C875" s="583">
        <v>494</v>
      </c>
      <c r="D875" s="625" t="e">
        <f t="shared" si="33"/>
        <v>#VALUE!</v>
      </c>
      <c r="E875" s="591"/>
      <c r="F875" s="591"/>
      <c r="G875" s="591"/>
      <c r="H875" s="591"/>
      <c r="I875" s="591"/>
      <c r="J875" s="591"/>
      <c r="K875" s="542"/>
      <c r="O875" s="1134"/>
      <c r="Q875" s="1133"/>
    </row>
    <row r="876" spans="2:17" x14ac:dyDescent="0.3">
      <c r="B876" s="126"/>
      <c r="C876" s="583">
        <v>495</v>
      </c>
      <c r="D876" s="625" t="e">
        <f t="shared" si="33"/>
        <v>#VALUE!</v>
      </c>
      <c r="E876" s="591"/>
      <c r="F876" s="591"/>
      <c r="G876" s="591"/>
      <c r="H876" s="591"/>
      <c r="I876" s="591"/>
      <c r="J876" s="591"/>
      <c r="K876" s="542"/>
      <c r="O876" s="1134"/>
      <c r="Q876" s="1133"/>
    </row>
    <row r="877" spans="2:17" x14ac:dyDescent="0.3">
      <c r="B877" s="126"/>
      <c r="C877" s="583">
        <v>496</v>
      </c>
      <c r="D877" s="625" t="e">
        <f t="shared" si="33"/>
        <v>#VALUE!</v>
      </c>
      <c r="E877" s="591"/>
      <c r="F877" s="591"/>
      <c r="G877" s="591"/>
      <c r="H877" s="591"/>
      <c r="I877" s="591"/>
      <c r="J877" s="591"/>
      <c r="K877" s="542"/>
      <c r="O877" s="1134"/>
      <c r="Q877" s="1133"/>
    </row>
    <row r="878" spans="2:17" x14ac:dyDescent="0.3">
      <c r="B878" s="126"/>
      <c r="C878" s="583">
        <v>497</v>
      </c>
      <c r="D878" s="625" t="e">
        <f t="shared" si="33"/>
        <v>#VALUE!</v>
      </c>
      <c r="E878" s="591"/>
      <c r="F878" s="591"/>
      <c r="G878" s="591"/>
      <c r="H878" s="591"/>
      <c r="I878" s="591"/>
      <c r="J878" s="591"/>
      <c r="K878" s="542"/>
      <c r="O878" s="1134"/>
      <c r="Q878" s="1133"/>
    </row>
    <row r="879" spans="2:17" x14ac:dyDescent="0.3">
      <c r="B879" s="126"/>
      <c r="C879" s="583">
        <v>498</v>
      </c>
      <c r="D879" s="625" t="e">
        <f t="shared" si="33"/>
        <v>#VALUE!</v>
      </c>
      <c r="E879" s="591"/>
      <c r="F879" s="591"/>
      <c r="G879" s="591"/>
      <c r="H879" s="591"/>
      <c r="I879" s="591"/>
      <c r="J879" s="591"/>
      <c r="K879" s="542"/>
      <c r="O879" s="1134"/>
      <c r="Q879" s="1133"/>
    </row>
    <row r="880" spans="2:17" x14ac:dyDescent="0.3">
      <c r="B880" s="126"/>
      <c r="C880" s="583">
        <v>499</v>
      </c>
      <c r="D880" s="625" t="e">
        <f t="shared" si="33"/>
        <v>#VALUE!</v>
      </c>
      <c r="E880" s="591"/>
      <c r="F880" s="591"/>
      <c r="G880" s="591"/>
      <c r="H880" s="591"/>
      <c r="I880" s="591"/>
      <c r="J880" s="591"/>
      <c r="K880" s="542"/>
      <c r="O880" s="1134"/>
      <c r="Q880" s="1133"/>
    </row>
    <row r="881" spans="2:17" x14ac:dyDescent="0.3">
      <c r="B881" s="126"/>
      <c r="C881" s="583">
        <v>500</v>
      </c>
      <c r="D881" s="625" t="e">
        <f t="shared" si="33"/>
        <v>#VALUE!</v>
      </c>
      <c r="E881" s="591"/>
      <c r="F881" s="591"/>
      <c r="G881" s="591"/>
      <c r="H881" s="591"/>
      <c r="I881" s="591"/>
      <c r="J881" s="591"/>
      <c r="K881" s="542"/>
      <c r="O881" s="1134"/>
      <c r="Q881" s="1133"/>
    </row>
    <row r="882" spans="2:17" x14ac:dyDescent="0.3">
      <c r="B882" s="126"/>
      <c r="C882" s="583">
        <v>501</v>
      </c>
      <c r="D882" s="625" t="e">
        <f t="shared" si="33"/>
        <v>#VALUE!</v>
      </c>
      <c r="E882" s="591"/>
      <c r="F882" s="591"/>
      <c r="G882" s="591"/>
      <c r="H882" s="591"/>
      <c r="I882" s="591"/>
      <c r="J882" s="591"/>
      <c r="K882" s="542"/>
      <c r="O882" s="1134"/>
      <c r="Q882" s="1133"/>
    </row>
    <row r="883" spans="2:17" x14ac:dyDescent="0.3">
      <c r="B883" s="126"/>
      <c r="C883" s="583">
        <v>502</v>
      </c>
      <c r="D883" s="625" t="e">
        <f t="shared" si="33"/>
        <v>#VALUE!</v>
      </c>
      <c r="E883" s="591"/>
      <c r="F883" s="591"/>
      <c r="G883" s="591"/>
      <c r="H883" s="591"/>
      <c r="I883" s="591"/>
      <c r="J883" s="591"/>
      <c r="K883" s="542"/>
      <c r="O883" s="1134"/>
      <c r="Q883" s="1133"/>
    </row>
    <row r="884" spans="2:17" x14ac:dyDescent="0.3">
      <c r="B884" s="126"/>
      <c r="C884" s="583">
        <v>503</v>
      </c>
      <c r="D884" s="625" t="e">
        <f t="shared" si="33"/>
        <v>#VALUE!</v>
      </c>
      <c r="E884" s="591"/>
      <c r="F884" s="591"/>
      <c r="G884" s="591"/>
      <c r="H884" s="591"/>
      <c r="I884" s="591"/>
      <c r="J884" s="591"/>
      <c r="K884" s="542"/>
      <c r="O884" s="1134"/>
      <c r="Q884" s="1133"/>
    </row>
    <row r="885" spans="2:17" x14ac:dyDescent="0.3">
      <c r="B885" s="126"/>
      <c r="C885" s="583">
        <v>504</v>
      </c>
      <c r="D885" s="625" t="e">
        <f t="shared" si="33"/>
        <v>#VALUE!</v>
      </c>
      <c r="E885" s="591"/>
      <c r="F885" s="591"/>
      <c r="G885" s="591"/>
      <c r="H885" s="591"/>
      <c r="I885" s="591"/>
      <c r="J885" s="591"/>
      <c r="K885" s="542"/>
      <c r="O885" s="1134"/>
      <c r="Q885" s="1133"/>
    </row>
    <row r="886" spans="2:17" x14ac:dyDescent="0.3">
      <c r="B886" s="126"/>
      <c r="C886" s="583">
        <v>505</v>
      </c>
      <c r="D886" s="625" t="e">
        <f t="shared" si="33"/>
        <v>#VALUE!</v>
      </c>
      <c r="E886" s="591"/>
      <c r="F886" s="591"/>
      <c r="G886" s="591"/>
      <c r="H886" s="591"/>
      <c r="I886" s="591"/>
      <c r="J886" s="591"/>
      <c r="K886" s="542"/>
      <c r="O886" s="1134"/>
      <c r="Q886" s="1133"/>
    </row>
    <row r="887" spans="2:17" x14ac:dyDescent="0.3">
      <c r="B887" s="126"/>
      <c r="C887" s="583">
        <v>506</v>
      </c>
      <c r="D887" s="625" t="e">
        <f t="shared" si="33"/>
        <v>#VALUE!</v>
      </c>
      <c r="E887" s="591"/>
      <c r="F887" s="591"/>
      <c r="G887" s="591"/>
      <c r="H887" s="591"/>
      <c r="I887" s="591"/>
      <c r="J887" s="591"/>
      <c r="K887" s="542"/>
      <c r="O887" s="1134"/>
      <c r="Q887" s="1133"/>
    </row>
    <row r="888" spans="2:17" x14ac:dyDescent="0.3">
      <c r="B888" s="126"/>
      <c r="C888" s="583">
        <v>507</v>
      </c>
      <c r="D888" s="625" t="e">
        <f t="shared" si="33"/>
        <v>#VALUE!</v>
      </c>
      <c r="E888" s="591"/>
      <c r="F888" s="591"/>
      <c r="G888" s="591"/>
      <c r="H888" s="591"/>
      <c r="I888" s="591"/>
      <c r="J888" s="591"/>
      <c r="K888" s="542"/>
      <c r="O888" s="1134"/>
      <c r="Q888" s="1133"/>
    </row>
    <row r="889" spans="2:17" x14ac:dyDescent="0.3">
      <c r="B889" s="126"/>
      <c r="C889" s="583">
        <v>508</v>
      </c>
      <c r="D889" s="625" t="e">
        <f t="shared" si="33"/>
        <v>#VALUE!</v>
      </c>
      <c r="E889" s="591"/>
      <c r="F889" s="591"/>
      <c r="G889" s="591"/>
      <c r="H889" s="591"/>
      <c r="I889" s="591"/>
      <c r="J889" s="591"/>
      <c r="K889" s="542"/>
      <c r="O889" s="1134"/>
      <c r="Q889" s="1133"/>
    </row>
    <row r="890" spans="2:17" x14ac:dyDescent="0.3">
      <c r="B890" s="126"/>
      <c r="C890" s="583">
        <v>509</v>
      </c>
      <c r="D890" s="625" t="e">
        <f t="shared" si="33"/>
        <v>#VALUE!</v>
      </c>
      <c r="E890" s="591"/>
      <c r="F890" s="591"/>
      <c r="G890" s="591"/>
      <c r="H890" s="591"/>
      <c r="I890" s="591"/>
      <c r="J890" s="591"/>
      <c r="K890" s="542"/>
      <c r="O890" s="1134"/>
      <c r="Q890" s="1133"/>
    </row>
    <row r="891" spans="2:17" x14ac:dyDescent="0.3">
      <c r="B891" s="126"/>
      <c r="C891" s="583">
        <v>510</v>
      </c>
      <c r="D891" s="625" t="e">
        <f t="shared" si="33"/>
        <v>#VALUE!</v>
      </c>
      <c r="E891" s="591"/>
      <c r="F891" s="591"/>
      <c r="G891" s="591"/>
      <c r="H891" s="591"/>
      <c r="I891" s="591"/>
      <c r="J891" s="591"/>
      <c r="K891" s="542"/>
      <c r="O891" s="1134"/>
      <c r="Q891" s="1133"/>
    </row>
    <row r="892" spans="2:17" x14ac:dyDescent="0.3">
      <c r="B892" s="126"/>
      <c r="C892" s="583">
        <v>511</v>
      </c>
      <c r="D892" s="625" t="e">
        <f t="shared" si="33"/>
        <v>#VALUE!</v>
      </c>
      <c r="E892" s="591"/>
      <c r="F892" s="591"/>
      <c r="G892" s="591"/>
      <c r="H892" s="591"/>
      <c r="I892" s="591"/>
      <c r="J892" s="591"/>
      <c r="K892" s="542"/>
      <c r="O892" s="1134"/>
      <c r="Q892" s="1133"/>
    </row>
    <row r="893" spans="2:17" x14ac:dyDescent="0.3">
      <c r="B893" s="126"/>
      <c r="C893" s="583">
        <v>512</v>
      </c>
      <c r="D893" s="625" t="e">
        <f t="shared" ref="D893:D956" si="34">$C$360*C893</f>
        <v>#VALUE!</v>
      </c>
      <c r="E893" s="591"/>
      <c r="F893" s="591"/>
      <c r="G893" s="591"/>
      <c r="H893" s="591"/>
      <c r="I893" s="591"/>
      <c r="J893" s="591"/>
      <c r="K893" s="542"/>
      <c r="O893" s="1134"/>
      <c r="Q893" s="1133"/>
    </row>
    <row r="894" spans="2:17" x14ac:dyDescent="0.3">
      <c r="B894" s="126"/>
      <c r="C894" s="583">
        <v>513</v>
      </c>
      <c r="D894" s="625" t="e">
        <f t="shared" si="34"/>
        <v>#VALUE!</v>
      </c>
      <c r="E894" s="591"/>
      <c r="F894" s="591"/>
      <c r="G894" s="591"/>
      <c r="H894" s="591"/>
      <c r="I894" s="591"/>
      <c r="J894" s="591"/>
      <c r="K894" s="542"/>
      <c r="O894" s="1134"/>
      <c r="Q894" s="1133"/>
    </row>
    <row r="895" spans="2:17" x14ac:dyDescent="0.3">
      <c r="B895" s="126"/>
      <c r="C895" s="583">
        <v>514</v>
      </c>
      <c r="D895" s="625" t="e">
        <f t="shared" si="34"/>
        <v>#VALUE!</v>
      </c>
      <c r="E895" s="591"/>
      <c r="F895" s="591"/>
      <c r="G895" s="591"/>
      <c r="H895" s="591"/>
      <c r="I895" s="591"/>
      <c r="J895" s="591"/>
      <c r="K895" s="542"/>
      <c r="O895" s="1134"/>
      <c r="Q895" s="1133"/>
    </row>
    <row r="896" spans="2:17" x14ac:dyDescent="0.3">
      <c r="B896" s="126"/>
      <c r="C896" s="583">
        <v>515</v>
      </c>
      <c r="D896" s="625" t="e">
        <f t="shared" si="34"/>
        <v>#VALUE!</v>
      </c>
      <c r="E896" s="591"/>
      <c r="F896" s="591"/>
      <c r="G896" s="591"/>
      <c r="H896" s="591"/>
      <c r="I896" s="591"/>
      <c r="J896" s="591"/>
      <c r="K896" s="542"/>
      <c r="O896" s="1134"/>
      <c r="Q896" s="1133"/>
    </row>
    <row r="897" spans="2:17" x14ac:dyDescent="0.3">
      <c r="B897" s="126"/>
      <c r="C897" s="583">
        <v>516</v>
      </c>
      <c r="D897" s="625" t="e">
        <f t="shared" si="34"/>
        <v>#VALUE!</v>
      </c>
      <c r="E897" s="591"/>
      <c r="F897" s="591"/>
      <c r="G897" s="591"/>
      <c r="H897" s="591"/>
      <c r="I897" s="591"/>
      <c r="J897" s="591"/>
      <c r="K897" s="542"/>
      <c r="O897" s="1134"/>
      <c r="Q897" s="1133"/>
    </row>
    <row r="898" spans="2:17" x14ac:dyDescent="0.3">
      <c r="B898" s="126"/>
      <c r="C898" s="583">
        <v>517</v>
      </c>
      <c r="D898" s="625" t="e">
        <f t="shared" si="34"/>
        <v>#VALUE!</v>
      </c>
      <c r="E898" s="591"/>
      <c r="F898" s="591"/>
      <c r="G898" s="591"/>
      <c r="H898" s="591"/>
      <c r="I898" s="591"/>
      <c r="J898" s="591"/>
      <c r="K898" s="542"/>
      <c r="O898" s="1134"/>
      <c r="Q898" s="1133"/>
    </row>
    <row r="899" spans="2:17" x14ac:dyDescent="0.3">
      <c r="B899" s="126"/>
      <c r="C899" s="583">
        <v>518</v>
      </c>
      <c r="D899" s="625" t="e">
        <f t="shared" si="34"/>
        <v>#VALUE!</v>
      </c>
      <c r="E899" s="591"/>
      <c r="F899" s="591"/>
      <c r="G899" s="591"/>
      <c r="H899" s="591"/>
      <c r="I899" s="591"/>
      <c r="J899" s="591"/>
      <c r="K899" s="542"/>
      <c r="O899" s="1134"/>
      <c r="Q899" s="1133"/>
    </row>
    <row r="900" spans="2:17" x14ac:dyDescent="0.3">
      <c r="B900" s="126"/>
      <c r="C900" s="583">
        <v>519</v>
      </c>
      <c r="D900" s="625" t="e">
        <f t="shared" si="34"/>
        <v>#VALUE!</v>
      </c>
      <c r="E900" s="591"/>
      <c r="F900" s="591"/>
      <c r="G900" s="591"/>
      <c r="H900" s="591"/>
      <c r="I900" s="591"/>
      <c r="J900" s="591"/>
      <c r="K900" s="542"/>
      <c r="O900" s="1134"/>
      <c r="Q900" s="1133"/>
    </row>
    <row r="901" spans="2:17" x14ac:dyDescent="0.3">
      <c r="B901" s="126"/>
      <c r="C901" s="583">
        <v>520</v>
      </c>
      <c r="D901" s="625" t="e">
        <f t="shared" si="34"/>
        <v>#VALUE!</v>
      </c>
      <c r="E901" s="591"/>
      <c r="F901" s="591"/>
      <c r="G901" s="591"/>
      <c r="H901" s="591"/>
      <c r="I901" s="591"/>
      <c r="J901" s="591"/>
      <c r="K901" s="542"/>
      <c r="O901" s="1134"/>
      <c r="Q901" s="1133"/>
    </row>
    <row r="902" spans="2:17" x14ac:dyDescent="0.3">
      <c r="B902" s="126"/>
      <c r="C902" s="583">
        <v>521</v>
      </c>
      <c r="D902" s="625" t="e">
        <f t="shared" si="34"/>
        <v>#VALUE!</v>
      </c>
      <c r="E902" s="591"/>
      <c r="F902" s="591"/>
      <c r="G902" s="591"/>
      <c r="H902" s="591"/>
      <c r="I902" s="591"/>
      <c r="J902" s="591"/>
      <c r="K902" s="542"/>
      <c r="O902" s="1134"/>
      <c r="Q902" s="1133"/>
    </row>
    <row r="903" spans="2:17" x14ac:dyDescent="0.3">
      <c r="B903" s="126"/>
      <c r="C903" s="583">
        <v>522</v>
      </c>
      <c r="D903" s="625" t="e">
        <f t="shared" si="34"/>
        <v>#VALUE!</v>
      </c>
      <c r="E903" s="591"/>
      <c r="F903" s="591"/>
      <c r="G903" s="591"/>
      <c r="H903" s="591"/>
      <c r="I903" s="591"/>
      <c r="J903" s="591"/>
      <c r="K903" s="542"/>
      <c r="O903" s="1134"/>
      <c r="Q903" s="1133"/>
    </row>
    <row r="904" spans="2:17" x14ac:dyDescent="0.3">
      <c r="B904" s="126"/>
      <c r="C904" s="583">
        <v>523</v>
      </c>
      <c r="D904" s="625" t="e">
        <f t="shared" si="34"/>
        <v>#VALUE!</v>
      </c>
      <c r="E904" s="591"/>
      <c r="F904" s="591"/>
      <c r="G904" s="591"/>
      <c r="H904" s="591"/>
      <c r="I904" s="591"/>
      <c r="J904" s="591"/>
      <c r="K904" s="542"/>
      <c r="O904" s="1134"/>
      <c r="Q904" s="1133"/>
    </row>
    <row r="905" spans="2:17" x14ac:dyDescent="0.3">
      <c r="B905" s="126"/>
      <c r="C905" s="583">
        <v>524</v>
      </c>
      <c r="D905" s="625" t="e">
        <f t="shared" si="34"/>
        <v>#VALUE!</v>
      </c>
      <c r="E905" s="591"/>
      <c r="F905" s="591"/>
      <c r="G905" s="591"/>
      <c r="H905" s="591"/>
      <c r="I905" s="591"/>
      <c r="J905" s="591"/>
      <c r="K905" s="542"/>
      <c r="O905" s="1134"/>
      <c r="Q905" s="1133"/>
    </row>
    <row r="906" spans="2:17" x14ac:dyDescent="0.3">
      <c r="B906" s="126"/>
      <c r="C906" s="583">
        <v>525</v>
      </c>
      <c r="D906" s="625" t="e">
        <f t="shared" si="34"/>
        <v>#VALUE!</v>
      </c>
      <c r="E906" s="591"/>
      <c r="F906" s="591"/>
      <c r="G906" s="591"/>
      <c r="H906" s="591"/>
      <c r="I906" s="591"/>
      <c r="J906" s="591"/>
      <c r="K906" s="542"/>
      <c r="O906" s="1134"/>
      <c r="Q906" s="1133"/>
    </row>
    <row r="907" spans="2:17" x14ac:dyDescent="0.3">
      <c r="B907" s="126"/>
      <c r="C907" s="583">
        <v>526</v>
      </c>
      <c r="D907" s="625" t="e">
        <f t="shared" si="34"/>
        <v>#VALUE!</v>
      </c>
      <c r="E907" s="591"/>
      <c r="F907" s="591"/>
      <c r="G907" s="591"/>
      <c r="H907" s="591"/>
      <c r="I907" s="591"/>
      <c r="J907" s="591"/>
      <c r="K907" s="542"/>
      <c r="O907" s="1134"/>
      <c r="Q907" s="1133"/>
    </row>
    <row r="908" spans="2:17" x14ac:dyDescent="0.3">
      <c r="B908" s="126"/>
      <c r="C908" s="583">
        <v>527</v>
      </c>
      <c r="D908" s="625" t="e">
        <f t="shared" si="34"/>
        <v>#VALUE!</v>
      </c>
      <c r="E908" s="591"/>
      <c r="F908" s="591"/>
      <c r="G908" s="591"/>
      <c r="H908" s="591"/>
      <c r="I908" s="591"/>
      <c r="J908" s="591"/>
      <c r="K908" s="542"/>
      <c r="O908" s="1134"/>
      <c r="Q908" s="1133"/>
    </row>
    <row r="909" spans="2:17" x14ac:dyDescent="0.3">
      <c r="B909" s="126"/>
      <c r="C909" s="583">
        <v>528</v>
      </c>
      <c r="D909" s="625" t="e">
        <f t="shared" si="34"/>
        <v>#VALUE!</v>
      </c>
      <c r="E909" s="591"/>
      <c r="F909" s="591"/>
      <c r="G909" s="591"/>
      <c r="H909" s="591"/>
      <c r="I909" s="591"/>
      <c r="J909" s="591"/>
      <c r="K909" s="542"/>
      <c r="O909" s="1134"/>
      <c r="Q909" s="1133"/>
    </row>
    <row r="910" spans="2:17" x14ac:dyDescent="0.3">
      <c r="B910" s="126"/>
      <c r="C910" s="583">
        <v>529</v>
      </c>
      <c r="D910" s="625" t="e">
        <f t="shared" si="34"/>
        <v>#VALUE!</v>
      </c>
      <c r="E910" s="591"/>
      <c r="F910" s="591"/>
      <c r="G910" s="591"/>
      <c r="H910" s="591"/>
      <c r="I910" s="591"/>
      <c r="J910" s="591"/>
      <c r="K910" s="542"/>
      <c r="O910" s="1134"/>
      <c r="Q910" s="1133"/>
    </row>
    <row r="911" spans="2:17" x14ac:dyDescent="0.3">
      <c r="B911" s="126"/>
      <c r="C911" s="583">
        <v>530</v>
      </c>
      <c r="D911" s="625" t="e">
        <f t="shared" si="34"/>
        <v>#VALUE!</v>
      </c>
      <c r="E911" s="591"/>
      <c r="F911" s="591"/>
      <c r="G911" s="591"/>
      <c r="H911" s="591"/>
      <c r="I911" s="591"/>
      <c r="J911" s="591"/>
      <c r="K911" s="542"/>
      <c r="O911" s="1134"/>
      <c r="Q911" s="1133"/>
    </row>
    <row r="912" spans="2:17" x14ac:dyDescent="0.3">
      <c r="B912" s="126"/>
      <c r="C912" s="583">
        <v>531</v>
      </c>
      <c r="D912" s="625" t="e">
        <f t="shared" si="34"/>
        <v>#VALUE!</v>
      </c>
      <c r="E912" s="591"/>
      <c r="F912" s="591"/>
      <c r="G912" s="591"/>
      <c r="H912" s="591"/>
      <c r="I912" s="591"/>
      <c r="J912" s="591"/>
      <c r="K912" s="542"/>
      <c r="O912" s="1134"/>
      <c r="Q912" s="1133"/>
    </row>
    <row r="913" spans="2:17" x14ac:dyDescent="0.3">
      <c r="B913" s="126"/>
      <c r="C913" s="583">
        <v>532</v>
      </c>
      <c r="D913" s="625" t="e">
        <f t="shared" si="34"/>
        <v>#VALUE!</v>
      </c>
      <c r="E913" s="591"/>
      <c r="F913" s="591"/>
      <c r="G913" s="591"/>
      <c r="H913" s="591"/>
      <c r="I913" s="591"/>
      <c r="J913" s="591"/>
      <c r="K913" s="542"/>
      <c r="O913" s="1134"/>
      <c r="Q913" s="1133"/>
    </row>
    <row r="914" spans="2:17" x14ac:dyDescent="0.3">
      <c r="B914" s="126"/>
      <c r="C914" s="583">
        <v>533</v>
      </c>
      <c r="D914" s="625" t="e">
        <f t="shared" si="34"/>
        <v>#VALUE!</v>
      </c>
      <c r="E914" s="591"/>
      <c r="F914" s="591"/>
      <c r="G914" s="591"/>
      <c r="H914" s="591"/>
      <c r="I914" s="591"/>
      <c r="J914" s="591"/>
      <c r="K914" s="542"/>
      <c r="O914" s="1134"/>
      <c r="Q914" s="1133"/>
    </row>
    <row r="915" spans="2:17" x14ac:dyDescent="0.3">
      <c r="B915" s="126"/>
      <c r="C915" s="583">
        <v>534</v>
      </c>
      <c r="D915" s="625" t="e">
        <f t="shared" si="34"/>
        <v>#VALUE!</v>
      </c>
      <c r="E915" s="591"/>
      <c r="F915" s="591"/>
      <c r="G915" s="591"/>
      <c r="H915" s="591"/>
      <c r="I915" s="591"/>
      <c r="J915" s="591"/>
      <c r="K915" s="542"/>
      <c r="O915" s="1134"/>
      <c r="Q915" s="1133"/>
    </row>
    <row r="916" spans="2:17" x14ac:dyDescent="0.3">
      <c r="B916" s="126"/>
      <c r="C916" s="583">
        <v>535</v>
      </c>
      <c r="D916" s="625" t="e">
        <f t="shared" si="34"/>
        <v>#VALUE!</v>
      </c>
      <c r="E916" s="591"/>
      <c r="F916" s="591"/>
      <c r="G916" s="591"/>
      <c r="H916" s="591"/>
      <c r="I916" s="591"/>
      <c r="J916" s="591"/>
      <c r="K916" s="542"/>
      <c r="O916" s="1134"/>
      <c r="Q916" s="1133"/>
    </row>
    <row r="917" spans="2:17" x14ac:dyDescent="0.3">
      <c r="B917" s="126"/>
      <c r="C917" s="583">
        <v>536</v>
      </c>
      <c r="D917" s="625" t="e">
        <f t="shared" si="34"/>
        <v>#VALUE!</v>
      </c>
      <c r="E917" s="591"/>
      <c r="F917" s="591"/>
      <c r="G917" s="591"/>
      <c r="H917" s="591"/>
      <c r="I917" s="591"/>
      <c r="J917" s="591"/>
      <c r="K917" s="542"/>
      <c r="O917" s="1134"/>
      <c r="Q917" s="1133"/>
    </row>
    <row r="918" spans="2:17" x14ac:dyDescent="0.3">
      <c r="B918" s="126"/>
      <c r="C918" s="583">
        <v>537</v>
      </c>
      <c r="D918" s="625" t="e">
        <f t="shared" si="34"/>
        <v>#VALUE!</v>
      </c>
      <c r="E918" s="591"/>
      <c r="F918" s="591"/>
      <c r="G918" s="591"/>
      <c r="H918" s="591"/>
      <c r="I918" s="591"/>
      <c r="J918" s="591"/>
      <c r="K918" s="542"/>
      <c r="O918" s="1134"/>
      <c r="Q918" s="1133"/>
    </row>
    <row r="919" spans="2:17" x14ac:dyDescent="0.3">
      <c r="B919" s="126"/>
      <c r="C919" s="583">
        <v>538</v>
      </c>
      <c r="D919" s="625" t="e">
        <f t="shared" si="34"/>
        <v>#VALUE!</v>
      </c>
      <c r="E919" s="591"/>
      <c r="F919" s="591"/>
      <c r="G919" s="591"/>
      <c r="H919" s="591"/>
      <c r="I919" s="591"/>
      <c r="J919" s="591"/>
      <c r="K919" s="542"/>
      <c r="O919" s="1134"/>
      <c r="Q919" s="1133"/>
    </row>
    <row r="920" spans="2:17" x14ac:dyDescent="0.3">
      <c r="B920" s="126"/>
      <c r="C920" s="583">
        <v>539</v>
      </c>
      <c r="D920" s="625" t="e">
        <f t="shared" si="34"/>
        <v>#VALUE!</v>
      </c>
      <c r="E920" s="591"/>
      <c r="F920" s="591"/>
      <c r="G920" s="591"/>
      <c r="H920" s="591"/>
      <c r="I920" s="591"/>
      <c r="J920" s="591"/>
      <c r="K920" s="542"/>
      <c r="O920" s="1134"/>
      <c r="Q920" s="1133"/>
    </row>
    <row r="921" spans="2:17" x14ac:dyDescent="0.3">
      <c r="B921" s="126"/>
      <c r="C921" s="583">
        <v>540</v>
      </c>
      <c r="D921" s="625" t="e">
        <f t="shared" si="34"/>
        <v>#VALUE!</v>
      </c>
      <c r="E921" s="591"/>
      <c r="F921" s="591"/>
      <c r="G921" s="591"/>
      <c r="H921" s="591"/>
      <c r="I921" s="591"/>
      <c r="J921" s="591"/>
      <c r="K921" s="542"/>
      <c r="O921" s="1134"/>
      <c r="Q921" s="1133"/>
    </row>
    <row r="922" spans="2:17" x14ac:dyDescent="0.3">
      <c r="B922" s="126"/>
      <c r="C922" s="583">
        <v>541</v>
      </c>
      <c r="D922" s="625" t="e">
        <f t="shared" si="34"/>
        <v>#VALUE!</v>
      </c>
      <c r="E922" s="591"/>
      <c r="F922" s="591"/>
      <c r="G922" s="591"/>
      <c r="H922" s="591"/>
      <c r="I922" s="591"/>
      <c r="J922" s="591"/>
      <c r="K922" s="542"/>
      <c r="O922" s="1134"/>
      <c r="Q922" s="1133"/>
    </row>
    <row r="923" spans="2:17" x14ac:dyDescent="0.3">
      <c r="B923" s="126"/>
      <c r="C923" s="583">
        <v>542</v>
      </c>
      <c r="D923" s="625" t="e">
        <f t="shared" si="34"/>
        <v>#VALUE!</v>
      </c>
      <c r="E923" s="591"/>
      <c r="F923" s="591"/>
      <c r="G923" s="591"/>
      <c r="H923" s="591"/>
      <c r="I923" s="591"/>
      <c r="J923" s="591"/>
      <c r="K923" s="542"/>
      <c r="O923" s="1134"/>
      <c r="Q923" s="1133"/>
    </row>
    <row r="924" spans="2:17" x14ac:dyDescent="0.3">
      <c r="B924" s="126"/>
      <c r="C924" s="583">
        <v>543</v>
      </c>
      <c r="D924" s="625" t="e">
        <f t="shared" si="34"/>
        <v>#VALUE!</v>
      </c>
      <c r="E924" s="591"/>
      <c r="F924" s="591"/>
      <c r="G924" s="591"/>
      <c r="H924" s="591"/>
      <c r="I924" s="591"/>
      <c r="J924" s="591"/>
      <c r="K924" s="542"/>
      <c r="O924" s="1134"/>
      <c r="Q924" s="1133"/>
    </row>
    <row r="925" spans="2:17" x14ac:dyDescent="0.3">
      <c r="B925" s="126"/>
      <c r="C925" s="583">
        <v>544</v>
      </c>
      <c r="D925" s="625" t="e">
        <f t="shared" si="34"/>
        <v>#VALUE!</v>
      </c>
      <c r="E925" s="591"/>
      <c r="F925" s="591"/>
      <c r="G925" s="591"/>
      <c r="H925" s="591"/>
      <c r="I925" s="591"/>
      <c r="J925" s="591"/>
      <c r="K925" s="542"/>
      <c r="O925" s="1134"/>
      <c r="Q925" s="1133"/>
    </row>
    <row r="926" spans="2:17" x14ac:dyDescent="0.3">
      <c r="B926" s="126"/>
      <c r="C926" s="583">
        <v>545</v>
      </c>
      <c r="D926" s="625" t="e">
        <f t="shared" si="34"/>
        <v>#VALUE!</v>
      </c>
      <c r="E926" s="591"/>
      <c r="F926" s="591"/>
      <c r="G926" s="591"/>
      <c r="H926" s="591"/>
      <c r="I926" s="591"/>
      <c r="J926" s="591"/>
      <c r="K926" s="542"/>
      <c r="O926" s="1134"/>
      <c r="Q926" s="1133"/>
    </row>
    <row r="927" spans="2:17" x14ac:dyDescent="0.3">
      <c r="B927" s="126"/>
      <c r="C927" s="583">
        <v>546</v>
      </c>
      <c r="D927" s="625" t="e">
        <f t="shared" si="34"/>
        <v>#VALUE!</v>
      </c>
      <c r="E927" s="591"/>
      <c r="F927" s="591"/>
      <c r="G927" s="591"/>
      <c r="H927" s="591"/>
      <c r="I927" s="591"/>
      <c r="J927" s="591"/>
      <c r="K927" s="542"/>
      <c r="O927" s="1134"/>
      <c r="Q927" s="1133"/>
    </row>
    <row r="928" spans="2:17" x14ac:dyDescent="0.3">
      <c r="B928" s="126"/>
      <c r="C928" s="583">
        <v>547</v>
      </c>
      <c r="D928" s="625" t="e">
        <f t="shared" si="34"/>
        <v>#VALUE!</v>
      </c>
      <c r="E928" s="591"/>
      <c r="F928" s="591"/>
      <c r="G928" s="591"/>
      <c r="H928" s="591"/>
      <c r="I928" s="591"/>
      <c r="J928" s="591"/>
      <c r="K928" s="542"/>
      <c r="O928" s="1134"/>
      <c r="Q928" s="1133"/>
    </row>
    <row r="929" spans="2:17" x14ac:dyDescent="0.3">
      <c r="B929" s="126"/>
      <c r="C929" s="583">
        <v>548</v>
      </c>
      <c r="D929" s="625" t="e">
        <f t="shared" si="34"/>
        <v>#VALUE!</v>
      </c>
      <c r="E929" s="591"/>
      <c r="F929" s="591"/>
      <c r="G929" s="591"/>
      <c r="H929" s="591"/>
      <c r="I929" s="591"/>
      <c r="J929" s="591"/>
      <c r="K929" s="542"/>
      <c r="O929" s="1134"/>
      <c r="Q929" s="1133"/>
    </row>
    <row r="930" spans="2:17" x14ac:dyDescent="0.3">
      <c r="B930" s="126"/>
      <c r="C930" s="583">
        <v>549</v>
      </c>
      <c r="D930" s="625" t="e">
        <f t="shared" si="34"/>
        <v>#VALUE!</v>
      </c>
      <c r="E930" s="591"/>
      <c r="F930" s="591"/>
      <c r="G930" s="591"/>
      <c r="H930" s="591"/>
      <c r="I930" s="591"/>
      <c r="J930" s="591"/>
      <c r="K930" s="542"/>
      <c r="O930" s="1134"/>
      <c r="Q930" s="1133"/>
    </row>
    <row r="931" spans="2:17" x14ac:dyDescent="0.3">
      <c r="B931" s="126"/>
      <c r="C931" s="583">
        <v>550</v>
      </c>
      <c r="D931" s="625" t="e">
        <f t="shared" si="34"/>
        <v>#VALUE!</v>
      </c>
      <c r="E931" s="591"/>
      <c r="F931" s="591"/>
      <c r="G931" s="591"/>
      <c r="H931" s="591"/>
      <c r="I931" s="591"/>
      <c r="J931" s="591"/>
      <c r="K931" s="542"/>
      <c r="O931" s="1134"/>
      <c r="Q931" s="1133"/>
    </row>
    <row r="932" spans="2:17" x14ac:dyDescent="0.3">
      <c r="B932" s="126"/>
      <c r="C932" s="583">
        <v>551</v>
      </c>
      <c r="D932" s="625" t="e">
        <f t="shared" si="34"/>
        <v>#VALUE!</v>
      </c>
      <c r="E932" s="591"/>
      <c r="F932" s="591"/>
      <c r="G932" s="591"/>
      <c r="H932" s="591"/>
      <c r="I932" s="591"/>
      <c r="J932" s="591"/>
      <c r="K932" s="542"/>
      <c r="O932" s="1134"/>
      <c r="Q932" s="1133"/>
    </row>
    <row r="933" spans="2:17" x14ac:dyDescent="0.3">
      <c r="B933" s="126"/>
      <c r="C933" s="583">
        <v>552</v>
      </c>
      <c r="D933" s="625" t="e">
        <f t="shared" si="34"/>
        <v>#VALUE!</v>
      </c>
      <c r="E933" s="591"/>
      <c r="F933" s="591"/>
      <c r="G933" s="591"/>
      <c r="H933" s="591"/>
      <c r="I933" s="591"/>
      <c r="J933" s="591"/>
      <c r="K933" s="542"/>
      <c r="O933" s="1134"/>
      <c r="Q933" s="1133"/>
    </row>
    <row r="934" spans="2:17" x14ac:dyDescent="0.3">
      <c r="B934" s="126"/>
      <c r="C934" s="583">
        <v>553</v>
      </c>
      <c r="D934" s="625" t="e">
        <f t="shared" si="34"/>
        <v>#VALUE!</v>
      </c>
      <c r="E934" s="591"/>
      <c r="F934" s="591"/>
      <c r="G934" s="591"/>
      <c r="H934" s="591"/>
      <c r="I934" s="591"/>
      <c r="J934" s="591"/>
      <c r="K934" s="542"/>
      <c r="O934" s="1134"/>
      <c r="Q934" s="1133"/>
    </row>
    <row r="935" spans="2:17" x14ac:dyDescent="0.3">
      <c r="B935" s="126"/>
      <c r="C935" s="583">
        <v>554</v>
      </c>
      <c r="D935" s="625" t="e">
        <f t="shared" si="34"/>
        <v>#VALUE!</v>
      </c>
      <c r="E935" s="591"/>
      <c r="F935" s="591"/>
      <c r="G935" s="591"/>
      <c r="H935" s="591"/>
      <c r="I935" s="591"/>
      <c r="J935" s="591"/>
      <c r="K935" s="542"/>
      <c r="O935" s="1134"/>
      <c r="Q935" s="1133"/>
    </row>
    <row r="936" spans="2:17" x14ac:dyDescent="0.3">
      <c r="B936" s="126"/>
      <c r="C936" s="583">
        <v>555</v>
      </c>
      <c r="D936" s="625" t="e">
        <f t="shared" si="34"/>
        <v>#VALUE!</v>
      </c>
      <c r="E936" s="591"/>
      <c r="F936" s="591"/>
      <c r="G936" s="591"/>
      <c r="H936" s="591"/>
      <c r="I936" s="591"/>
      <c r="J936" s="591"/>
      <c r="K936" s="542"/>
      <c r="O936" s="1134"/>
      <c r="Q936" s="1133"/>
    </row>
    <row r="937" spans="2:17" x14ac:dyDescent="0.3">
      <c r="B937" s="126"/>
      <c r="C937" s="583">
        <v>556</v>
      </c>
      <c r="D937" s="625" t="e">
        <f t="shared" si="34"/>
        <v>#VALUE!</v>
      </c>
      <c r="E937" s="591"/>
      <c r="F937" s="591"/>
      <c r="G937" s="591"/>
      <c r="H937" s="591"/>
      <c r="I937" s="591"/>
      <c r="J937" s="591"/>
      <c r="K937" s="542"/>
      <c r="O937" s="1134"/>
      <c r="Q937" s="1133"/>
    </row>
    <row r="938" spans="2:17" x14ac:dyDescent="0.3">
      <c r="B938" s="126"/>
      <c r="C938" s="583">
        <v>557</v>
      </c>
      <c r="D938" s="625" t="e">
        <f t="shared" si="34"/>
        <v>#VALUE!</v>
      </c>
      <c r="E938" s="591"/>
      <c r="F938" s="591"/>
      <c r="G938" s="591"/>
      <c r="H938" s="591"/>
      <c r="I938" s="591"/>
      <c r="J938" s="591"/>
      <c r="K938" s="542"/>
      <c r="O938" s="1134"/>
      <c r="Q938" s="1133"/>
    </row>
    <row r="939" spans="2:17" x14ac:dyDescent="0.3">
      <c r="B939" s="126"/>
      <c r="C939" s="583">
        <v>558</v>
      </c>
      <c r="D939" s="625" t="e">
        <f t="shared" si="34"/>
        <v>#VALUE!</v>
      </c>
      <c r="E939" s="591"/>
      <c r="F939" s="591"/>
      <c r="G939" s="591"/>
      <c r="H939" s="591"/>
      <c r="I939" s="591"/>
      <c r="J939" s="591"/>
      <c r="K939" s="542"/>
      <c r="O939" s="1134"/>
      <c r="Q939" s="1133"/>
    </row>
    <row r="940" spans="2:17" x14ac:dyDescent="0.3">
      <c r="B940" s="126"/>
      <c r="C940" s="583">
        <v>559</v>
      </c>
      <c r="D940" s="625" t="e">
        <f t="shared" si="34"/>
        <v>#VALUE!</v>
      </c>
      <c r="E940" s="591"/>
      <c r="F940" s="591"/>
      <c r="G940" s="591"/>
      <c r="H940" s="591"/>
      <c r="I940" s="591"/>
      <c r="J940" s="591"/>
      <c r="K940" s="542"/>
      <c r="O940" s="1134"/>
      <c r="Q940" s="1133"/>
    </row>
    <row r="941" spans="2:17" x14ac:dyDescent="0.3">
      <c r="B941" s="126"/>
      <c r="C941" s="583">
        <v>560</v>
      </c>
      <c r="D941" s="625" t="e">
        <f t="shared" si="34"/>
        <v>#VALUE!</v>
      </c>
      <c r="E941" s="591"/>
      <c r="F941" s="591"/>
      <c r="G941" s="591"/>
      <c r="H941" s="591"/>
      <c r="I941" s="591"/>
      <c r="J941" s="591"/>
      <c r="K941" s="542"/>
      <c r="O941" s="1134"/>
      <c r="Q941" s="1133"/>
    </row>
    <row r="942" spans="2:17" x14ac:dyDescent="0.3">
      <c r="B942" s="126"/>
      <c r="C942" s="583">
        <v>561</v>
      </c>
      <c r="D942" s="625" t="e">
        <f t="shared" si="34"/>
        <v>#VALUE!</v>
      </c>
      <c r="E942" s="591"/>
      <c r="F942" s="591"/>
      <c r="G942" s="591"/>
      <c r="H942" s="591"/>
      <c r="I942" s="591"/>
      <c r="J942" s="591"/>
      <c r="K942" s="542"/>
      <c r="O942" s="1134"/>
      <c r="Q942" s="1133"/>
    </row>
    <row r="943" spans="2:17" x14ac:dyDescent="0.3">
      <c r="B943" s="126"/>
      <c r="C943" s="583">
        <v>562</v>
      </c>
      <c r="D943" s="625" t="e">
        <f t="shared" si="34"/>
        <v>#VALUE!</v>
      </c>
      <c r="E943" s="591"/>
      <c r="F943" s="591"/>
      <c r="G943" s="591"/>
      <c r="H943" s="591"/>
      <c r="I943" s="591"/>
      <c r="J943" s="591"/>
      <c r="K943" s="542"/>
      <c r="O943" s="1134"/>
      <c r="Q943" s="1133"/>
    </row>
    <row r="944" spans="2:17" x14ac:dyDescent="0.3">
      <c r="B944" s="126"/>
      <c r="C944" s="583">
        <v>563</v>
      </c>
      <c r="D944" s="625" t="e">
        <f t="shared" si="34"/>
        <v>#VALUE!</v>
      </c>
      <c r="E944" s="591"/>
      <c r="F944" s="591"/>
      <c r="G944" s="591"/>
      <c r="H944" s="591"/>
      <c r="I944" s="591"/>
      <c r="J944" s="591"/>
      <c r="K944" s="542"/>
      <c r="O944" s="1134"/>
      <c r="Q944" s="1133"/>
    </row>
    <row r="945" spans="2:17" x14ac:dyDescent="0.3">
      <c r="B945" s="126"/>
      <c r="C945" s="583">
        <v>564</v>
      </c>
      <c r="D945" s="625" t="e">
        <f t="shared" si="34"/>
        <v>#VALUE!</v>
      </c>
      <c r="E945" s="591"/>
      <c r="F945" s="591"/>
      <c r="G945" s="591"/>
      <c r="H945" s="591"/>
      <c r="I945" s="591"/>
      <c r="J945" s="591"/>
      <c r="K945" s="542"/>
      <c r="O945" s="1134"/>
      <c r="Q945" s="1133"/>
    </row>
    <row r="946" spans="2:17" x14ac:dyDescent="0.3">
      <c r="B946" s="126"/>
      <c r="C946" s="583">
        <v>565</v>
      </c>
      <c r="D946" s="625" t="e">
        <f t="shared" si="34"/>
        <v>#VALUE!</v>
      </c>
      <c r="E946" s="591"/>
      <c r="F946" s="591"/>
      <c r="G946" s="591"/>
      <c r="H946" s="591"/>
      <c r="I946" s="591"/>
      <c r="J946" s="591"/>
      <c r="K946" s="542"/>
      <c r="O946" s="1134"/>
      <c r="Q946" s="1133"/>
    </row>
    <row r="947" spans="2:17" x14ac:dyDescent="0.3">
      <c r="B947" s="126"/>
      <c r="C947" s="583">
        <v>566</v>
      </c>
      <c r="D947" s="625" t="e">
        <f t="shared" si="34"/>
        <v>#VALUE!</v>
      </c>
      <c r="E947" s="591"/>
      <c r="F947" s="591"/>
      <c r="G947" s="591"/>
      <c r="H947" s="591"/>
      <c r="I947" s="591"/>
      <c r="J947" s="591"/>
      <c r="K947" s="542"/>
      <c r="O947" s="1134"/>
      <c r="Q947" s="1133"/>
    </row>
    <row r="948" spans="2:17" x14ac:dyDescent="0.3">
      <c r="B948" s="126"/>
      <c r="C948" s="583">
        <v>567</v>
      </c>
      <c r="D948" s="625" t="e">
        <f t="shared" si="34"/>
        <v>#VALUE!</v>
      </c>
      <c r="E948" s="591"/>
      <c r="F948" s="591"/>
      <c r="G948" s="591"/>
      <c r="H948" s="591"/>
      <c r="I948" s="591"/>
      <c r="J948" s="591"/>
      <c r="K948" s="542"/>
      <c r="O948" s="1134"/>
      <c r="Q948" s="1133"/>
    </row>
    <row r="949" spans="2:17" x14ac:dyDescent="0.3">
      <c r="B949" s="126"/>
      <c r="C949" s="583">
        <v>568</v>
      </c>
      <c r="D949" s="625" t="e">
        <f t="shared" si="34"/>
        <v>#VALUE!</v>
      </c>
      <c r="E949" s="591"/>
      <c r="F949" s="591"/>
      <c r="G949" s="591"/>
      <c r="H949" s="591"/>
      <c r="I949" s="591"/>
      <c r="J949" s="591"/>
      <c r="K949" s="542"/>
      <c r="O949" s="1134"/>
      <c r="Q949" s="1133"/>
    </row>
    <row r="950" spans="2:17" x14ac:dyDescent="0.3">
      <c r="B950" s="126"/>
      <c r="C950" s="583">
        <v>569</v>
      </c>
      <c r="D950" s="625" t="e">
        <f t="shared" si="34"/>
        <v>#VALUE!</v>
      </c>
      <c r="E950" s="591"/>
      <c r="F950" s="591"/>
      <c r="G950" s="591"/>
      <c r="H950" s="591"/>
      <c r="I950" s="591"/>
      <c r="J950" s="591"/>
      <c r="K950" s="542"/>
      <c r="O950" s="1134"/>
      <c r="Q950" s="1133"/>
    </row>
    <row r="951" spans="2:17" x14ac:dyDescent="0.3">
      <c r="B951" s="126"/>
      <c r="C951" s="583">
        <v>570</v>
      </c>
      <c r="D951" s="625" t="e">
        <f t="shared" si="34"/>
        <v>#VALUE!</v>
      </c>
      <c r="E951" s="591"/>
      <c r="F951" s="591"/>
      <c r="G951" s="591"/>
      <c r="H951" s="591"/>
      <c r="I951" s="591"/>
      <c r="J951" s="591"/>
      <c r="K951" s="542"/>
      <c r="O951" s="1134"/>
      <c r="Q951" s="1133"/>
    </row>
    <row r="952" spans="2:17" x14ac:dyDescent="0.3">
      <c r="B952" s="126"/>
      <c r="C952" s="583">
        <v>571</v>
      </c>
      <c r="D952" s="625" t="e">
        <f t="shared" si="34"/>
        <v>#VALUE!</v>
      </c>
      <c r="E952" s="591"/>
      <c r="F952" s="591"/>
      <c r="G952" s="591"/>
      <c r="H952" s="591"/>
      <c r="I952" s="591"/>
      <c r="J952" s="591"/>
      <c r="K952" s="542"/>
      <c r="O952" s="1134"/>
      <c r="Q952" s="1133"/>
    </row>
    <row r="953" spans="2:17" x14ac:dyDescent="0.3">
      <c r="B953" s="126"/>
      <c r="C953" s="583">
        <v>572</v>
      </c>
      <c r="D953" s="625" t="e">
        <f t="shared" si="34"/>
        <v>#VALUE!</v>
      </c>
      <c r="E953" s="591"/>
      <c r="F953" s="591"/>
      <c r="G953" s="591"/>
      <c r="H953" s="591"/>
      <c r="I953" s="591"/>
      <c r="J953" s="591"/>
      <c r="K953" s="542"/>
      <c r="O953" s="1134"/>
      <c r="Q953" s="1133"/>
    </row>
    <row r="954" spans="2:17" x14ac:dyDescent="0.3">
      <c r="B954" s="126"/>
      <c r="C954" s="583">
        <v>573</v>
      </c>
      <c r="D954" s="625" t="e">
        <f t="shared" si="34"/>
        <v>#VALUE!</v>
      </c>
      <c r="E954" s="591"/>
      <c r="F954" s="591"/>
      <c r="G954" s="591"/>
      <c r="H954" s="591"/>
      <c r="I954" s="591"/>
      <c r="J954" s="591"/>
      <c r="K954" s="542"/>
      <c r="O954" s="1134"/>
      <c r="Q954" s="1133"/>
    </row>
    <row r="955" spans="2:17" x14ac:dyDescent="0.3">
      <c r="B955" s="126"/>
      <c r="C955" s="583">
        <v>574</v>
      </c>
      <c r="D955" s="625" t="e">
        <f t="shared" si="34"/>
        <v>#VALUE!</v>
      </c>
      <c r="E955" s="591"/>
      <c r="F955" s="591"/>
      <c r="G955" s="591"/>
      <c r="H955" s="591"/>
      <c r="I955" s="591"/>
      <c r="J955" s="591"/>
      <c r="K955" s="542"/>
      <c r="O955" s="1134"/>
      <c r="Q955" s="1133"/>
    </row>
    <row r="956" spans="2:17" x14ac:dyDescent="0.3">
      <c r="B956" s="126"/>
      <c r="C956" s="583">
        <v>575</v>
      </c>
      <c r="D956" s="625" t="e">
        <f t="shared" si="34"/>
        <v>#VALUE!</v>
      </c>
      <c r="E956" s="591"/>
      <c r="F956" s="591"/>
      <c r="G956" s="591"/>
      <c r="H956" s="591"/>
      <c r="I956" s="591"/>
      <c r="J956" s="591"/>
      <c r="K956" s="542"/>
      <c r="O956" s="1134"/>
      <c r="Q956" s="1133"/>
    </row>
    <row r="957" spans="2:17" x14ac:dyDescent="0.3">
      <c r="B957" s="126"/>
      <c r="C957" s="583">
        <v>576</v>
      </c>
      <c r="D957" s="625" t="e">
        <f t="shared" ref="D957:D1020" si="35">$C$360*C957</f>
        <v>#VALUE!</v>
      </c>
      <c r="E957" s="591"/>
      <c r="F957" s="591"/>
      <c r="G957" s="591"/>
      <c r="H957" s="591"/>
      <c r="I957" s="591"/>
      <c r="J957" s="591"/>
      <c r="K957" s="542"/>
      <c r="O957" s="1134"/>
      <c r="Q957" s="1133"/>
    </row>
    <row r="958" spans="2:17" x14ac:dyDescent="0.3">
      <c r="B958" s="126"/>
      <c r="C958" s="583">
        <v>577</v>
      </c>
      <c r="D958" s="625" t="e">
        <f t="shared" si="35"/>
        <v>#VALUE!</v>
      </c>
      <c r="E958" s="591"/>
      <c r="F958" s="591"/>
      <c r="G958" s="591"/>
      <c r="H958" s="591"/>
      <c r="I958" s="591"/>
      <c r="J958" s="591"/>
      <c r="K958" s="542"/>
      <c r="O958" s="1134"/>
      <c r="Q958" s="1133"/>
    </row>
    <row r="959" spans="2:17" x14ac:dyDescent="0.3">
      <c r="B959" s="126"/>
      <c r="C959" s="583">
        <v>578</v>
      </c>
      <c r="D959" s="625" t="e">
        <f t="shared" si="35"/>
        <v>#VALUE!</v>
      </c>
      <c r="E959" s="591"/>
      <c r="F959" s="591"/>
      <c r="G959" s="591"/>
      <c r="H959" s="591"/>
      <c r="I959" s="591"/>
      <c r="J959" s="591"/>
      <c r="K959" s="542"/>
      <c r="O959" s="1134"/>
      <c r="Q959" s="1133"/>
    </row>
    <row r="960" spans="2:17" x14ac:dyDescent="0.3">
      <c r="B960" s="126"/>
      <c r="C960" s="583">
        <v>579</v>
      </c>
      <c r="D960" s="625" t="e">
        <f t="shared" si="35"/>
        <v>#VALUE!</v>
      </c>
      <c r="E960" s="591"/>
      <c r="F960" s="591"/>
      <c r="G960" s="591"/>
      <c r="H960" s="591"/>
      <c r="I960" s="591"/>
      <c r="J960" s="591"/>
      <c r="K960" s="542"/>
      <c r="O960" s="1134"/>
      <c r="Q960" s="1133"/>
    </row>
    <row r="961" spans="2:17" x14ac:dyDescent="0.3">
      <c r="B961" s="126"/>
      <c r="C961" s="583">
        <v>580</v>
      </c>
      <c r="D961" s="625" t="e">
        <f t="shared" si="35"/>
        <v>#VALUE!</v>
      </c>
      <c r="E961" s="591"/>
      <c r="F961" s="591"/>
      <c r="G961" s="591"/>
      <c r="H961" s="591"/>
      <c r="I961" s="591"/>
      <c r="J961" s="591"/>
      <c r="K961" s="542"/>
      <c r="O961" s="1134"/>
      <c r="Q961" s="1133"/>
    </row>
    <row r="962" spans="2:17" x14ac:dyDescent="0.3">
      <c r="B962" s="126"/>
      <c r="C962" s="583">
        <v>581</v>
      </c>
      <c r="D962" s="625" t="e">
        <f t="shared" si="35"/>
        <v>#VALUE!</v>
      </c>
      <c r="E962" s="591"/>
      <c r="F962" s="591"/>
      <c r="G962" s="591"/>
      <c r="H962" s="591"/>
      <c r="I962" s="591"/>
      <c r="J962" s="591"/>
      <c r="K962" s="542"/>
      <c r="O962" s="1134"/>
      <c r="Q962" s="1133"/>
    </row>
    <row r="963" spans="2:17" x14ac:dyDescent="0.3">
      <c r="B963" s="126"/>
      <c r="C963" s="583">
        <v>582</v>
      </c>
      <c r="D963" s="625" t="e">
        <f t="shared" si="35"/>
        <v>#VALUE!</v>
      </c>
      <c r="E963" s="591"/>
      <c r="F963" s="591"/>
      <c r="G963" s="591"/>
      <c r="H963" s="591"/>
      <c r="I963" s="591"/>
      <c r="J963" s="591"/>
      <c r="K963" s="542"/>
      <c r="O963" s="1134"/>
      <c r="Q963" s="1133"/>
    </row>
    <row r="964" spans="2:17" x14ac:dyDescent="0.3">
      <c r="B964" s="126"/>
      <c r="C964" s="583">
        <v>583</v>
      </c>
      <c r="D964" s="625" t="e">
        <f t="shared" si="35"/>
        <v>#VALUE!</v>
      </c>
      <c r="E964" s="591"/>
      <c r="F964" s="591"/>
      <c r="G964" s="591"/>
      <c r="H964" s="591"/>
      <c r="I964" s="591"/>
      <c r="J964" s="591"/>
      <c r="K964" s="542"/>
      <c r="O964" s="1134"/>
      <c r="Q964" s="1133"/>
    </row>
    <row r="965" spans="2:17" x14ac:dyDescent="0.3">
      <c r="B965" s="126"/>
      <c r="C965" s="583">
        <v>584</v>
      </c>
      <c r="D965" s="625" t="e">
        <f t="shared" si="35"/>
        <v>#VALUE!</v>
      </c>
      <c r="E965" s="591"/>
      <c r="F965" s="591"/>
      <c r="G965" s="591"/>
      <c r="H965" s="591"/>
      <c r="I965" s="591"/>
      <c r="J965" s="591"/>
      <c r="K965" s="542"/>
      <c r="O965" s="1134"/>
      <c r="Q965" s="1133"/>
    </row>
    <row r="966" spans="2:17" x14ac:dyDescent="0.3">
      <c r="B966" s="126"/>
      <c r="C966" s="583">
        <v>585</v>
      </c>
      <c r="D966" s="625" t="e">
        <f t="shared" si="35"/>
        <v>#VALUE!</v>
      </c>
      <c r="E966" s="591"/>
      <c r="F966" s="591"/>
      <c r="G966" s="591"/>
      <c r="H966" s="591"/>
      <c r="I966" s="591"/>
      <c r="J966" s="591"/>
      <c r="K966" s="542"/>
      <c r="O966" s="1134"/>
      <c r="Q966" s="1133"/>
    </row>
    <row r="967" spans="2:17" x14ac:dyDescent="0.3">
      <c r="B967" s="126"/>
      <c r="C967" s="583">
        <v>586</v>
      </c>
      <c r="D967" s="625" t="e">
        <f t="shared" si="35"/>
        <v>#VALUE!</v>
      </c>
      <c r="E967" s="591"/>
      <c r="F967" s="591"/>
      <c r="G967" s="591"/>
      <c r="H967" s="591"/>
      <c r="I967" s="591"/>
      <c r="J967" s="591"/>
      <c r="K967" s="542"/>
      <c r="O967" s="1134"/>
      <c r="Q967" s="1133"/>
    </row>
    <row r="968" spans="2:17" x14ac:dyDescent="0.3">
      <c r="B968" s="126"/>
      <c r="C968" s="583">
        <v>587</v>
      </c>
      <c r="D968" s="625" t="e">
        <f t="shared" si="35"/>
        <v>#VALUE!</v>
      </c>
      <c r="E968" s="591"/>
      <c r="F968" s="591"/>
      <c r="G968" s="591"/>
      <c r="H968" s="591"/>
      <c r="I968" s="591"/>
      <c r="J968" s="591"/>
      <c r="K968" s="542"/>
      <c r="O968" s="1134"/>
      <c r="Q968" s="1133"/>
    </row>
    <row r="969" spans="2:17" x14ac:dyDescent="0.3">
      <c r="B969" s="126"/>
      <c r="C969" s="583">
        <v>588</v>
      </c>
      <c r="D969" s="625" t="e">
        <f t="shared" si="35"/>
        <v>#VALUE!</v>
      </c>
      <c r="E969" s="591"/>
      <c r="F969" s="591"/>
      <c r="G969" s="591"/>
      <c r="H969" s="591"/>
      <c r="I969" s="591"/>
      <c r="J969" s="591"/>
      <c r="K969" s="542"/>
      <c r="O969" s="1134"/>
      <c r="Q969" s="1133"/>
    </row>
    <row r="970" spans="2:17" x14ac:dyDescent="0.3">
      <c r="B970" s="126"/>
      <c r="C970" s="583">
        <v>589</v>
      </c>
      <c r="D970" s="625" t="e">
        <f t="shared" si="35"/>
        <v>#VALUE!</v>
      </c>
      <c r="E970" s="591"/>
      <c r="F970" s="591"/>
      <c r="G970" s="591"/>
      <c r="H970" s="591"/>
      <c r="I970" s="591"/>
      <c r="J970" s="591"/>
      <c r="K970" s="542"/>
      <c r="O970" s="1134"/>
      <c r="Q970" s="1133"/>
    </row>
    <row r="971" spans="2:17" x14ac:dyDescent="0.3">
      <c r="B971" s="126"/>
      <c r="C971" s="583">
        <v>590</v>
      </c>
      <c r="D971" s="625" t="e">
        <f t="shared" si="35"/>
        <v>#VALUE!</v>
      </c>
      <c r="E971" s="591"/>
      <c r="F971" s="591"/>
      <c r="G971" s="591"/>
      <c r="H971" s="591"/>
      <c r="I971" s="591"/>
      <c r="J971" s="591"/>
      <c r="K971" s="542"/>
      <c r="O971" s="1134"/>
      <c r="Q971" s="1133"/>
    </row>
    <row r="972" spans="2:17" x14ac:dyDescent="0.3">
      <c r="B972" s="126"/>
      <c r="C972" s="583">
        <v>591</v>
      </c>
      <c r="D972" s="625" t="e">
        <f t="shared" si="35"/>
        <v>#VALUE!</v>
      </c>
      <c r="E972" s="591"/>
      <c r="F972" s="591"/>
      <c r="G972" s="591"/>
      <c r="H972" s="591"/>
      <c r="I972" s="591"/>
      <c r="J972" s="591"/>
      <c r="K972" s="542"/>
      <c r="O972" s="1134"/>
      <c r="Q972" s="1133"/>
    </row>
    <row r="973" spans="2:17" x14ac:dyDescent="0.3">
      <c r="B973" s="126"/>
      <c r="C973" s="583">
        <v>592</v>
      </c>
      <c r="D973" s="625" t="e">
        <f t="shared" si="35"/>
        <v>#VALUE!</v>
      </c>
      <c r="E973" s="591"/>
      <c r="F973" s="591"/>
      <c r="G973" s="591"/>
      <c r="H973" s="591"/>
      <c r="I973" s="591"/>
      <c r="J973" s="591"/>
      <c r="K973" s="542"/>
      <c r="O973" s="1134"/>
      <c r="Q973" s="1133"/>
    </row>
    <row r="974" spans="2:17" x14ac:dyDescent="0.3">
      <c r="B974" s="126"/>
      <c r="C974" s="583">
        <v>593</v>
      </c>
      <c r="D974" s="625" t="e">
        <f t="shared" si="35"/>
        <v>#VALUE!</v>
      </c>
      <c r="E974" s="591"/>
      <c r="F974" s="591"/>
      <c r="G974" s="591"/>
      <c r="H974" s="591"/>
      <c r="I974" s="591"/>
      <c r="J974" s="591"/>
      <c r="K974" s="542"/>
      <c r="O974" s="1134"/>
      <c r="Q974" s="1133"/>
    </row>
    <row r="975" spans="2:17" x14ac:dyDescent="0.3">
      <c r="B975" s="126"/>
      <c r="C975" s="583">
        <v>594</v>
      </c>
      <c r="D975" s="625" t="e">
        <f t="shared" si="35"/>
        <v>#VALUE!</v>
      </c>
      <c r="E975" s="591"/>
      <c r="F975" s="591"/>
      <c r="G975" s="591"/>
      <c r="H975" s="591"/>
      <c r="I975" s="591"/>
      <c r="J975" s="591"/>
      <c r="K975" s="542"/>
      <c r="O975" s="1134"/>
      <c r="Q975" s="1133"/>
    </row>
    <row r="976" spans="2:17" x14ac:dyDescent="0.3">
      <c r="B976" s="126"/>
      <c r="C976" s="583">
        <v>595</v>
      </c>
      <c r="D976" s="625" t="e">
        <f t="shared" si="35"/>
        <v>#VALUE!</v>
      </c>
      <c r="E976" s="591"/>
      <c r="F976" s="591"/>
      <c r="G976" s="591"/>
      <c r="H976" s="591"/>
      <c r="I976" s="591"/>
      <c r="J976" s="591"/>
      <c r="K976" s="542"/>
      <c r="O976" s="1134"/>
      <c r="Q976" s="1133"/>
    </row>
    <row r="977" spans="2:17" x14ac:dyDescent="0.3">
      <c r="B977" s="126"/>
      <c r="C977" s="583">
        <v>596</v>
      </c>
      <c r="D977" s="625" t="e">
        <f t="shared" si="35"/>
        <v>#VALUE!</v>
      </c>
      <c r="E977" s="591"/>
      <c r="F977" s="591"/>
      <c r="G977" s="591"/>
      <c r="H977" s="591"/>
      <c r="I977" s="591"/>
      <c r="J977" s="591"/>
      <c r="K977" s="542"/>
      <c r="O977" s="1134"/>
      <c r="Q977" s="1133"/>
    </row>
    <row r="978" spans="2:17" x14ac:dyDescent="0.3">
      <c r="B978" s="126"/>
      <c r="C978" s="583">
        <v>597</v>
      </c>
      <c r="D978" s="625" t="e">
        <f t="shared" si="35"/>
        <v>#VALUE!</v>
      </c>
      <c r="E978" s="591"/>
      <c r="F978" s="591"/>
      <c r="G978" s="591"/>
      <c r="H978" s="591"/>
      <c r="I978" s="591"/>
      <c r="J978" s="591"/>
      <c r="K978" s="542"/>
      <c r="O978" s="1134"/>
      <c r="Q978" s="1133"/>
    </row>
    <row r="979" spans="2:17" x14ac:dyDescent="0.3">
      <c r="B979" s="126"/>
      <c r="C979" s="583">
        <v>598</v>
      </c>
      <c r="D979" s="625" t="e">
        <f t="shared" si="35"/>
        <v>#VALUE!</v>
      </c>
      <c r="E979" s="591"/>
      <c r="F979" s="591"/>
      <c r="G979" s="591"/>
      <c r="H979" s="591"/>
      <c r="I979" s="591"/>
      <c r="J979" s="591"/>
      <c r="K979" s="542"/>
      <c r="O979" s="1134"/>
      <c r="Q979" s="1133"/>
    </row>
    <row r="980" spans="2:17" x14ac:dyDescent="0.3">
      <c r="B980" s="126"/>
      <c r="C980" s="583">
        <v>599</v>
      </c>
      <c r="D980" s="625" t="e">
        <f t="shared" si="35"/>
        <v>#VALUE!</v>
      </c>
      <c r="E980" s="591"/>
      <c r="F980" s="591"/>
      <c r="G980" s="591"/>
      <c r="H980" s="591"/>
      <c r="I980" s="591"/>
      <c r="J980" s="591"/>
      <c r="K980" s="542"/>
      <c r="O980" s="1134"/>
      <c r="Q980" s="1133"/>
    </row>
    <row r="981" spans="2:17" x14ac:dyDescent="0.3">
      <c r="B981" s="126"/>
      <c r="C981" s="583">
        <v>600</v>
      </c>
      <c r="D981" s="625" t="e">
        <f t="shared" si="35"/>
        <v>#VALUE!</v>
      </c>
      <c r="E981" s="591"/>
      <c r="F981" s="591"/>
      <c r="G981" s="591"/>
      <c r="H981" s="591"/>
      <c r="I981" s="591"/>
      <c r="J981" s="591"/>
      <c r="K981" s="542"/>
      <c r="O981" s="1134"/>
      <c r="Q981" s="1133"/>
    </row>
    <row r="982" spans="2:17" x14ac:dyDescent="0.3">
      <c r="B982" s="126"/>
      <c r="C982" s="583">
        <v>601</v>
      </c>
      <c r="D982" s="625" t="e">
        <f t="shared" si="35"/>
        <v>#VALUE!</v>
      </c>
      <c r="E982" s="591"/>
      <c r="F982" s="591"/>
      <c r="G982" s="591"/>
      <c r="H982" s="591"/>
      <c r="I982" s="591"/>
      <c r="J982" s="591"/>
      <c r="K982" s="542"/>
      <c r="O982" s="1134"/>
      <c r="Q982" s="1133"/>
    </row>
    <row r="983" spans="2:17" x14ac:dyDescent="0.3">
      <c r="B983" s="126"/>
      <c r="C983" s="583">
        <v>602</v>
      </c>
      <c r="D983" s="625" t="e">
        <f t="shared" si="35"/>
        <v>#VALUE!</v>
      </c>
      <c r="E983" s="591"/>
      <c r="F983" s="591"/>
      <c r="G983" s="591"/>
      <c r="H983" s="591"/>
      <c r="I983" s="591"/>
      <c r="J983" s="591"/>
      <c r="K983" s="542"/>
      <c r="O983" s="1134"/>
      <c r="Q983" s="1133"/>
    </row>
    <row r="984" spans="2:17" x14ac:dyDescent="0.3">
      <c r="B984" s="126"/>
      <c r="C984" s="583">
        <v>603</v>
      </c>
      <c r="D984" s="625" t="e">
        <f t="shared" si="35"/>
        <v>#VALUE!</v>
      </c>
      <c r="E984" s="591"/>
      <c r="F984" s="591"/>
      <c r="G984" s="591"/>
      <c r="H984" s="591"/>
      <c r="I984" s="591"/>
      <c r="J984" s="591"/>
      <c r="K984" s="542"/>
      <c r="O984" s="1134"/>
      <c r="Q984" s="1133"/>
    </row>
    <row r="985" spans="2:17" x14ac:dyDescent="0.3">
      <c r="B985" s="126"/>
      <c r="C985" s="583">
        <v>604</v>
      </c>
      <c r="D985" s="625" t="e">
        <f t="shared" si="35"/>
        <v>#VALUE!</v>
      </c>
      <c r="E985" s="591"/>
      <c r="F985" s="591"/>
      <c r="G985" s="591"/>
      <c r="H985" s="591"/>
      <c r="I985" s="591"/>
      <c r="J985" s="591"/>
      <c r="K985" s="542"/>
      <c r="O985" s="1134"/>
      <c r="Q985" s="1133"/>
    </row>
    <row r="986" spans="2:17" x14ac:dyDescent="0.3">
      <c r="B986" s="126"/>
      <c r="C986" s="583">
        <v>605</v>
      </c>
      <c r="D986" s="625" t="e">
        <f t="shared" si="35"/>
        <v>#VALUE!</v>
      </c>
      <c r="E986" s="591"/>
      <c r="F986" s="591"/>
      <c r="G986" s="591"/>
      <c r="H986" s="591"/>
      <c r="I986" s="591"/>
      <c r="J986" s="591"/>
      <c r="K986" s="542"/>
      <c r="O986" s="1134"/>
      <c r="Q986" s="1133"/>
    </row>
    <row r="987" spans="2:17" x14ac:dyDescent="0.3">
      <c r="B987" s="126"/>
      <c r="C987" s="583">
        <v>606</v>
      </c>
      <c r="D987" s="625" t="e">
        <f t="shared" si="35"/>
        <v>#VALUE!</v>
      </c>
      <c r="E987" s="591"/>
      <c r="F987" s="591"/>
      <c r="G987" s="591"/>
      <c r="H987" s="591"/>
      <c r="I987" s="591"/>
      <c r="J987" s="591"/>
      <c r="K987" s="542"/>
      <c r="O987" s="1134"/>
      <c r="Q987" s="1133"/>
    </row>
    <row r="988" spans="2:17" x14ac:dyDescent="0.3">
      <c r="B988" s="126"/>
      <c r="C988" s="583">
        <v>607</v>
      </c>
      <c r="D988" s="625" t="e">
        <f t="shared" si="35"/>
        <v>#VALUE!</v>
      </c>
      <c r="E988" s="591"/>
      <c r="F988" s="591"/>
      <c r="G988" s="591"/>
      <c r="H988" s="591"/>
      <c r="I988" s="591"/>
      <c r="J988" s="591"/>
      <c r="K988" s="542"/>
      <c r="O988" s="1134"/>
      <c r="Q988" s="1133"/>
    </row>
    <row r="989" spans="2:17" x14ac:dyDescent="0.3">
      <c r="B989" s="126"/>
      <c r="C989" s="583">
        <v>608</v>
      </c>
      <c r="D989" s="625" t="e">
        <f t="shared" si="35"/>
        <v>#VALUE!</v>
      </c>
      <c r="E989" s="591"/>
      <c r="F989" s="591"/>
      <c r="G989" s="591"/>
      <c r="H989" s="591"/>
      <c r="I989" s="591"/>
      <c r="J989" s="591"/>
      <c r="K989" s="542"/>
      <c r="O989" s="1134"/>
      <c r="Q989" s="1133"/>
    </row>
    <row r="990" spans="2:17" x14ac:dyDescent="0.3">
      <c r="B990" s="126"/>
      <c r="C990" s="583">
        <v>609</v>
      </c>
      <c r="D990" s="625" t="e">
        <f t="shared" si="35"/>
        <v>#VALUE!</v>
      </c>
      <c r="E990" s="591"/>
      <c r="F990" s="591"/>
      <c r="G990" s="591"/>
      <c r="H990" s="591"/>
      <c r="I990" s="591"/>
      <c r="J990" s="591"/>
      <c r="K990" s="542"/>
      <c r="O990" s="1134"/>
      <c r="Q990" s="1133"/>
    </row>
    <row r="991" spans="2:17" x14ac:dyDescent="0.3">
      <c r="B991" s="126"/>
      <c r="C991" s="583">
        <v>610</v>
      </c>
      <c r="D991" s="625" t="e">
        <f t="shared" si="35"/>
        <v>#VALUE!</v>
      </c>
      <c r="E991" s="591"/>
      <c r="F991" s="591"/>
      <c r="G991" s="591"/>
      <c r="H991" s="591"/>
      <c r="I991" s="591"/>
      <c r="J991" s="591"/>
      <c r="K991" s="542"/>
      <c r="O991" s="1134"/>
      <c r="Q991" s="1133"/>
    </row>
    <row r="992" spans="2:17" x14ac:dyDescent="0.3">
      <c r="B992" s="126"/>
      <c r="C992" s="583">
        <v>611</v>
      </c>
      <c r="D992" s="625" t="e">
        <f t="shared" si="35"/>
        <v>#VALUE!</v>
      </c>
      <c r="E992" s="591"/>
      <c r="F992" s="591"/>
      <c r="G992" s="591"/>
      <c r="H992" s="591"/>
      <c r="I992" s="591"/>
      <c r="J992" s="591"/>
      <c r="K992" s="542"/>
      <c r="O992" s="1134"/>
      <c r="Q992" s="1133"/>
    </row>
    <row r="993" spans="2:17" x14ac:dyDescent="0.3">
      <c r="B993" s="126"/>
      <c r="C993" s="583">
        <v>612</v>
      </c>
      <c r="D993" s="625" t="e">
        <f t="shared" si="35"/>
        <v>#VALUE!</v>
      </c>
      <c r="E993" s="591"/>
      <c r="F993" s="591"/>
      <c r="G993" s="591"/>
      <c r="H993" s="591"/>
      <c r="I993" s="591"/>
      <c r="J993" s="591"/>
      <c r="K993" s="542"/>
      <c r="O993" s="1134"/>
      <c r="Q993" s="1133"/>
    </row>
    <row r="994" spans="2:17" x14ac:dyDescent="0.3">
      <c r="B994" s="126"/>
      <c r="C994" s="583">
        <v>613</v>
      </c>
      <c r="D994" s="625" t="e">
        <f t="shared" si="35"/>
        <v>#VALUE!</v>
      </c>
      <c r="E994" s="591"/>
      <c r="F994" s="591"/>
      <c r="G994" s="591"/>
      <c r="H994" s="591"/>
      <c r="I994" s="591"/>
      <c r="J994" s="591"/>
      <c r="K994" s="542"/>
      <c r="O994" s="1134"/>
      <c r="Q994" s="1133"/>
    </row>
    <row r="995" spans="2:17" x14ac:dyDescent="0.3">
      <c r="B995" s="126"/>
      <c r="C995" s="583">
        <v>614</v>
      </c>
      <c r="D995" s="625" t="e">
        <f t="shared" si="35"/>
        <v>#VALUE!</v>
      </c>
      <c r="E995" s="591"/>
      <c r="F995" s="591"/>
      <c r="G995" s="591"/>
      <c r="H995" s="591"/>
      <c r="I995" s="591"/>
      <c r="J995" s="591"/>
      <c r="K995" s="542"/>
      <c r="O995" s="1134"/>
      <c r="Q995" s="1133"/>
    </row>
    <row r="996" spans="2:17" x14ac:dyDescent="0.3">
      <c r="B996" s="126"/>
      <c r="C996" s="583">
        <v>615</v>
      </c>
      <c r="D996" s="625" t="e">
        <f t="shared" si="35"/>
        <v>#VALUE!</v>
      </c>
      <c r="E996" s="591"/>
      <c r="F996" s="591"/>
      <c r="G996" s="591"/>
      <c r="H996" s="591"/>
      <c r="I996" s="591"/>
      <c r="J996" s="591"/>
      <c r="K996" s="542"/>
      <c r="O996" s="1134"/>
      <c r="Q996" s="1133"/>
    </row>
    <row r="997" spans="2:17" x14ac:dyDescent="0.3">
      <c r="B997" s="126"/>
      <c r="C997" s="583">
        <v>616</v>
      </c>
      <c r="D997" s="625" t="e">
        <f t="shared" si="35"/>
        <v>#VALUE!</v>
      </c>
      <c r="E997" s="591"/>
      <c r="F997" s="591"/>
      <c r="G997" s="591"/>
      <c r="H997" s="591"/>
      <c r="I997" s="591"/>
      <c r="J997" s="591"/>
      <c r="K997" s="542"/>
      <c r="O997" s="1134"/>
      <c r="Q997" s="1133"/>
    </row>
    <row r="998" spans="2:17" x14ac:dyDescent="0.3">
      <c r="B998" s="126"/>
      <c r="C998" s="583">
        <v>617</v>
      </c>
      <c r="D998" s="625" t="e">
        <f t="shared" si="35"/>
        <v>#VALUE!</v>
      </c>
      <c r="E998" s="591"/>
      <c r="F998" s="591"/>
      <c r="G998" s="591"/>
      <c r="H998" s="591"/>
      <c r="I998" s="591"/>
      <c r="J998" s="591"/>
      <c r="K998" s="542"/>
      <c r="O998" s="1134"/>
      <c r="Q998" s="1133"/>
    </row>
    <row r="999" spans="2:17" x14ac:dyDescent="0.3">
      <c r="B999" s="126"/>
      <c r="C999" s="583">
        <v>618</v>
      </c>
      <c r="D999" s="625" t="e">
        <f t="shared" si="35"/>
        <v>#VALUE!</v>
      </c>
      <c r="E999" s="591"/>
      <c r="F999" s="591"/>
      <c r="G999" s="591"/>
      <c r="H999" s="591"/>
      <c r="I999" s="591"/>
      <c r="J999" s="591"/>
      <c r="K999" s="542"/>
      <c r="O999" s="1134"/>
      <c r="Q999" s="1133"/>
    </row>
    <row r="1000" spans="2:17" x14ac:dyDescent="0.3">
      <c r="B1000" s="126"/>
      <c r="C1000" s="583">
        <v>619</v>
      </c>
      <c r="D1000" s="625" t="e">
        <f t="shared" si="35"/>
        <v>#VALUE!</v>
      </c>
      <c r="E1000" s="591"/>
      <c r="F1000" s="591"/>
      <c r="G1000" s="591"/>
      <c r="H1000" s="591"/>
      <c r="I1000" s="591"/>
      <c r="J1000" s="591"/>
      <c r="K1000" s="542"/>
      <c r="O1000" s="1134"/>
      <c r="Q1000" s="1133"/>
    </row>
    <row r="1001" spans="2:17" x14ac:dyDescent="0.3">
      <c r="B1001" s="126"/>
      <c r="C1001" s="583">
        <v>620</v>
      </c>
      <c r="D1001" s="625" t="e">
        <f t="shared" si="35"/>
        <v>#VALUE!</v>
      </c>
      <c r="E1001" s="591"/>
      <c r="F1001" s="591"/>
      <c r="G1001" s="591"/>
      <c r="H1001" s="591"/>
      <c r="I1001" s="591"/>
      <c r="J1001" s="591"/>
      <c r="K1001" s="542"/>
      <c r="O1001" s="1134"/>
      <c r="Q1001" s="1133"/>
    </row>
    <row r="1002" spans="2:17" x14ac:dyDescent="0.3">
      <c r="B1002" s="126"/>
      <c r="C1002" s="583">
        <v>621</v>
      </c>
      <c r="D1002" s="625" t="e">
        <f t="shared" si="35"/>
        <v>#VALUE!</v>
      </c>
      <c r="E1002" s="591"/>
      <c r="F1002" s="591"/>
      <c r="G1002" s="591"/>
      <c r="H1002" s="591"/>
      <c r="I1002" s="591"/>
      <c r="J1002" s="591"/>
      <c r="K1002" s="542"/>
      <c r="O1002" s="1134"/>
      <c r="Q1002" s="1133"/>
    </row>
    <row r="1003" spans="2:17" x14ac:dyDescent="0.3">
      <c r="B1003" s="126"/>
      <c r="C1003" s="583">
        <v>622</v>
      </c>
      <c r="D1003" s="625" t="e">
        <f t="shared" si="35"/>
        <v>#VALUE!</v>
      </c>
      <c r="E1003" s="591"/>
      <c r="F1003" s="591"/>
      <c r="G1003" s="591"/>
      <c r="H1003" s="591"/>
      <c r="I1003" s="591"/>
      <c r="J1003" s="591"/>
      <c r="K1003" s="542"/>
      <c r="O1003" s="1134"/>
      <c r="Q1003" s="1133"/>
    </row>
    <row r="1004" spans="2:17" x14ac:dyDescent="0.3">
      <c r="B1004" s="126"/>
      <c r="C1004" s="583">
        <v>623</v>
      </c>
      <c r="D1004" s="625" t="e">
        <f t="shared" si="35"/>
        <v>#VALUE!</v>
      </c>
      <c r="E1004" s="591"/>
      <c r="F1004" s="591"/>
      <c r="G1004" s="591"/>
      <c r="H1004" s="591"/>
      <c r="I1004" s="591"/>
      <c r="J1004" s="591"/>
      <c r="K1004" s="542"/>
      <c r="O1004" s="1134"/>
      <c r="Q1004" s="1133"/>
    </row>
    <row r="1005" spans="2:17" x14ac:dyDescent="0.3">
      <c r="B1005" s="126"/>
      <c r="C1005" s="583">
        <v>624</v>
      </c>
      <c r="D1005" s="625" t="e">
        <f t="shared" si="35"/>
        <v>#VALUE!</v>
      </c>
      <c r="E1005" s="591"/>
      <c r="F1005" s="591"/>
      <c r="G1005" s="591"/>
      <c r="H1005" s="591"/>
      <c r="I1005" s="591"/>
      <c r="J1005" s="591"/>
      <c r="K1005" s="542"/>
      <c r="O1005" s="1134"/>
      <c r="Q1005" s="1133"/>
    </row>
    <row r="1006" spans="2:17" x14ac:dyDescent="0.3">
      <c r="B1006" s="126"/>
      <c r="C1006" s="583">
        <v>625</v>
      </c>
      <c r="D1006" s="625" t="e">
        <f t="shared" si="35"/>
        <v>#VALUE!</v>
      </c>
      <c r="E1006" s="591"/>
      <c r="F1006" s="591"/>
      <c r="G1006" s="591"/>
      <c r="H1006" s="591"/>
      <c r="I1006" s="591"/>
      <c r="J1006" s="591"/>
      <c r="K1006" s="542"/>
      <c r="O1006" s="1134"/>
      <c r="Q1006" s="1133"/>
    </row>
    <row r="1007" spans="2:17" x14ac:dyDescent="0.3">
      <c r="B1007" s="126"/>
      <c r="C1007" s="583">
        <v>626</v>
      </c>
      <c r="D1007" s="625" t="e">
        <f t="shared" si="35"/>
        <v>#VALUE!</v>
      </c>
      <c r="E1007" s="591"/>
      <c r="F1007" s="591"/>
      <c r="G1007" s="591"/>
      <c r="H1007" s="591"/>
      <c r="I1007" s="591"/>
      <c r="J1007" s="591"/>
      <c r="K1007" s="542"/>
      <c r="O1007" s="1134"/>
      <c r="Q1007" s="1133"/>
    </row>
    <row r="1008" spans="2:17" x14ac:dyDescent="0.3">
      <c r="B1008" s="126"/>
      <c r="C1008" s="583">
        <v>627</v>
      </c>
      <c r="D1008" s="625" t="e">
        <f t="shared" si="35"/>
        <v>#VALUE!</v>
      </c>
      <c r="E1008" s="591"/>
      <c r="F1008" s="591"/>
      <c r="G1008" s="591"/>
      <c r="H1008" s="591"/>
      <c r="I1008" s="591"/>
      <c r="J1008" s="591"/>
      <c r="K1008" s="542"/>
      <c r="O1008" s="1134"/>
      <c r="Q1008" s="1133"/>
    </row>
    <row r="1009" spans="2:17" x14ac:dyDescent="0.3">
      <c r="B1009" s="126"/>
      <c r="C1009" s="583">
        <v>628</v>
      </c>
      <c r="D1009" s="625" t="e">
        <f t="shared" si="35"/>
        <v>#VALUE!</v>
      </c>
      <c r="E1009" s="591"/>
      <c r="F1009" s="591"/>
      <c r="G1009" s="591"/>
      <c r="H1009" s="591"/>
      <c r="I1009" s="591"/>
      <c r="J1009" s="591"/>
      <c r="K1009" s="542"/>
      <c r="O1009" s="1134"/>
      <c r="Q1009" s="1133"/>
    </row>
    <row r="1010" spans="2:17" x14ac:dyDescent="0.3">
      <c r="B1010" s="126"/>
      <c r="C1010" s="583">
        <v>629</v>
      </c>
      <c r="D1010" s="625" t="e">
        <f t="shared" si="35"/>
        <v>#VALUE!</v>
      </c>
      <c r="E1010" s="591"/>
      <c r="F1010" s="591"/>
      <c r="G1010" s="591"/>
      <c r="H1010" s="591"/>
      <c r="I1010" s="591"/>
      <c r="J1010" s="591"/>
      <c r="K1010" s="542"/>
      <c r="O1010" s="1134"/>
      <c r="Q1010" s="1133"/>
    </row>
    <row r="1011" spans="2:17" x14ac:dyDescent="0.3">
      <c r="B1011" s="126"/>
      <c r="C1011" s="583">
        <v>630</v>
      </c>
      <c r="D1011" s="625" t="e">
        <f t="shared" si="35"/>
        <v>#VALUE!</v>
      </c>
      <c r="E1011" s="591"/>
      <c r="F1011" s="591"/>
      <c r="G1011" s="591"/>
      <c r="H1011" s="591"/>
      <c r="I1011" s="591"/>
      <c r="J1011" s="591"/>
      <c r="K1011" s="542"/>
      <c r="O1011" s="1134"/>
      <c r="Q1011" s="1133"/>
    </row>
    <row r="1012" spans="2:17" x14ac:dyDescent="0.3">
      <c r="B1012" s="126"/>
      <c r="C1012" s="583">
        <v>631</v>
      </c>
      <c r="D1012" s="625" t="e">
        <f t="shared" si="35"/>
        <v>#VALUE!</v>
      </c>
      <c r="E1012" s="591"/>
      <c r="F1012" s="591"/>
      <c r="G1012" s="591"/>
      <c r="H1012" s="591"/>
      <c r="I1012" s="591"/>
      <c r="J1012" s="591"/>
      <c r="K1012" s="542"/>
      <c r="O1012" s="1134"/>
      <c r="Q1012" s="1133"/>
    </row>
    <row r="1013" spans="2:17" x14ac:dyDescent="0.3">
      <c r="B1013" s="126"/>
      <c r="C1013" s="583">
        <v>632</v>
      </c>
      <c r="D1013" s="625" t="e">
        <f t="shared" si="35"/>
        <v>#VALUE!</v>
      </c>
      <c r="E1013" s="591"/>
      <c r="F1013" s="591"/>
      <c r="G1013" s="591"/>
      <c r="H1013" s="591"/>
      <c r="I1013" s="591"/>
      <c r="J1013" s="591"/>
      <c r="K1013" s="542"/>
      <c r="O1013" s="1134"/>
      <c r="Q1013" s="1133"/>
    </row>
    <row r="1014" spans="2:17" x14ac:dyDescent="0.3">
      <c r="B1014" s="126"/>
      <c r="C1014" s="583">
        <v>633</v>
      </c>
      <c r="D1014" s="625" t="e">
        <f t="shared" si="35"/>
        <v>#VALUE!</v>
      </c>
      <c r="E1014" s="591"/>
      <c r="F1014" s="591"/>
      <c r="G1014" s="591"/>
      <c r="H1014" s="591"/>
      <c r="I1014" s="591"/>
      <c r="J1014" s="591"/>
      <c r="K1014" s="542"/>
      <c r="O1014" s="1134"/>
      <c r="Q1014" s="1133"/>
    </row>
    <row r="1015" spans="2:17" x14ac:dyDescent="0.3">
      <c r="B1015" s="126"/>
      <c r="C1015" s="583">
        <v>634</v>
      </c>
      <c r="D1015" s="625" t="e">
        <f t="shared" si="35"/>
        <v>#VALUE!</v>
      </c>
      <c r="E1015" s="591"/>
      <c r="F1015" s="591"/>
      <c r="G1015" s="591"/>
      <c r="H1015" s="591"/>
      <c r="I1015" s="591"/>
      <c r="J1015" s="591"/>
      <c r="K1015" s="542"/>
      <c r="O1015" s="1134"/>
      <c r="Q1015" s="1133"/>
    </row>
    <row r="1016" spans="2:17" x14ac:dyDescent="0.3">
      <c r="B1016" s="126"/>
      <c r="C1016" s="583">
        <v>635</v>
      </c>
      <c r="D1016" s="625" t="e">
        <f t="shared" si="35"/>
        <v>#VALUE!</v>
      </c>
      <c r="E1016" s="591"/>
      <c r="F1016" s="591"/>
      <c r="G1016" s="591"/>
      <c r="H1016" s="591"/>
      <c r="I1016" s="591"/>
      <c r="J1016" s="591"/>
      <c r="K1016" s="542"/>
      <c r="O1016" s="1134"/>
      <c r="Q1016" s="1133"/>
    </row>
    <row r="1017" spans="2:17" x14ac:dyDescent="0.3">
      <c r="B1017" s="126"/>
      <c r="C1017" s="583">
        <v>636</v>
      </c>
      <c r="D1017" s="625" t="e">
        <f t="shared" si="35"/>
        <v>#VALUE!</v>
      </c>
      <c r="E1017" s="591"/>
      <c r="F1017" s="591"/>
      <c r="G1017" s="591"/>
      <c r="H1017" s="591"/>
      <c r="I1017" s="591"/>
      <c r="J1017" s="591"/>
      <c r="K1017" s="542"/>
      <c r="O1017" s="1134"/>
      <c r="Q1017" s="1133"/>
    </row>
    <row r="1018" spans="2:17" x14ac:dyDescent="0.3">
      <c r="B1018" s="126"/>
      <c r="C1018" s="583">
        <v>637</v>
      </c>
      <c r="D1018" s="625" t="e">
        <f t="shared" si="35"/>
        <v>#VALUE!</v>
      </c>
      <c r="E1018" s="591"/>
      <c r="F1018" s="591"/>
      <c r="G1018" s="591"/>
      <c r="H1018" s="591"/>
      <c r="I1018" s="591"/>
      <c r="J1018" s="591"/>
      <c r="K1018" s="542"/>
      <c r="O1018" s="1134"/>
      <c r="Q1018" s="1133"/>
    </row>
    <row r="1019" spans="2:17" x14ac:dyDescent="0.3">
      <c r="B1019" s="126"/>
      <c r="C1019" s="583">
        <v>638</v>
      </c>
      <c r="D1019" s="625" t="e">
        <f t="shared" si="35"/>
        <v>#VALUE!</v>
      </c>
      <c r="E1019" s="591"/>
      <c r="F1019" s="591"/>
      <c r="G1019" s="591"/>
      <c r="H1019" s="591"/>
      <c r="I1019" s="591"/>
      <c r="J1019" s="591"/>
      <c r="K1019" s="542"/>
      <c r="O1019" s="1134"/>
      <c r="Q1019" s="1133"/>
    </row>
    <row r="1020" spans="2:17" x14ac:dyDescent="0.3">
      <c r="B1020" s="126"/>
      <c r="C1020" s="583">
        <v>639</v>
      </c>
      <c r="D1020" s="625" t="e">
        <f t="shared" si="35"/>
        <v>#VALUE!</v>
      </c>
      <c r="E1020" s="591"/>
      <c r="F1020" s="591"/>
      <c r="G1020" s="591"/>
      <c r="H1020" s="591"/>
      <c r="I1020" s="591"/>
      <c r="J1020" s="591"/>
      <c r="K1020" s="542"/>
      <c r="O1020" s="1134"/>
      <c r="Q1020" s="1133"/>
    </row>
    <row r="1021" spans="2:17" x14ac:dyDescent="0.3">
      <c r="B1021" s="126"/>
      <c r="C1021" s="583">
        <v>640</v>
      </c>
      <c r="D1021" s="625" t="e">
        <f t="shared" ref="D1021:D1084" si="36">$C$360*C1021</f>
        <v>#VALUE!</v>
      </c>
      <c r="E1021" s="591"/>
      <c r="F1021" s="591"/>
      <c r="G1021" s="591"/>
      <c r="H1021" s="591"/>
      <c r="I1021" s="591"/>
      <c r="J1021" s="591"/>
      <c r="K1021" s="542"/>
      <c r="O1021" s="1134"/>
      <c r="Q1021" s="1133"/>
    </row>
    <row r="1022" spans="2:17" x14ac:dyDescent="0.3">
      <c r="B1022" s="126"/>
      <c r="C1022" s="583">
        <v>641</v>
      </c>
      <c r="D1022" s="625" t="e">
        <f t="shared" si="36"/>
        <v>#VALUE!</v>
      </c>
      <c r="E1022" s="591"/>
      <c r="F1022" s="591"/>
      <c r="G1022" s="591"/>
      <c r="H1022" s="591"/>
      <c r="I1022" s="591"/>
      <c r="J1022" s="591"/>
      <c r="K1022" s="542"/>
      <c r="O1022" s="1134"/>
      <c r="Q1022" s="1133"/>
    </row>
    <row r="1023" spans="2:17" x14ac:dyDescent="0.3">
      <c r="B1023" s="126"/>
      <c r="C1023" s="583">
        <v>642</v>
      </c>
      <c r="D1023" s="625" t="e">
        <f t="shared" si="36"/>
        <v>#VALUE!</v>
      </c>
      <c r="E1023" s="591"/>
      <c r="F1023" s="591"/>
      <c r="G1023" s="591"/>
      <c r="H1023" s="591"/>
      <c r="I1023" s="591"/>
      <c r="J1023" s="591"/>
      <c r="K1023" s="542"/>
      <c r="O1023" s="1134"/>
      <c r="Q1023" s="1133"/>
    </row>
    <row r="1024" spans="2:17" x14ac:dyDescent="0.3">
      <c r="B1024" s="126"/>
      <c r="C1024" s="583">
        <v>643</v>
      </c>
      <c r="D1024" s="625" t="e">
        <f t="shared" si="36"/>
        <v>#VALUE!</v>
      </c>
      <c r="E1024" s="591"/>
      <c r="F1024" s="591"/>
      <c r="G1024" s="591"/>
      <c r="H1024" s="591"/>
      <c r="I1024" s="591"/>
      <c r="J1024" s="591"/>
      <c r="K1024" s="542"/>
      <c r="O1024" s="1134"/>
      <c r="Q1024" s="1133"/>
    </row>
    <row r="1025" spans="2:17" x14ac:dyDescent="0.3">
      <c r="B1025" s="126"/>
      <c r="C1025" s="583">
        <v>644</v>
      </c>
      <c r="D1025" s="625" t="e">
        <f t="shared" si="36"/>
        <v>#VALUE!</v>
      </c>
      <c r="E1025" s="591"/>
      <c r="F1025" s="591"/>
      <c r="G1025" s="591"/>
      <c r="H1025" s="591"/>
      <c r="I1025" s="591"/>
      <c r="J1025" s="591"/>
      <c r="K1025" s="542"/>
      <c r="O1025" s="1134"/>
      <c r="Q1025" s="1133"/>
    </row>
    <row r="1026" spans="2:17" x14ac:dyDescent="0.3">
      <c r="B1026" s="126"/>
      <c r="C1026" s="583">
        <v>645</v>
      </c>
      <c r="D1026" s="625" t="e">
        <f t="shared" si="36"/>
        <v>#VALUE!</v>
      </c>
      <c r="E1026" s="591"/>
      <c r="F1026" s="591"/>
      <c r="G1026" s="591"/>
      <c r="H1026" s="591"/>
      <c r="I1026" s="591"/>
      <c r="J1026" s="591"/>
      <c r="K1026" s="542"/>
      <c r="O1026" s="1134"/>
      <c r="Q1026" s="1133"/>
    </row>
    <row r="1027" spans="2:17" x14ac:dyDescent="0.3">
      <c r="B1027" s="126"/>
      <c r="C1027" s="583">
        <v>646</v>
      </c>
      <c r="D1027" s="625" t="e">
        <f t="shared" si="36"/>
        <v>#VALUE!</v>
      </c>
      <c r="E1027" s="591"/>
      <c r="F1027" s="591"/>
      <c r="G1027" s="591"/>
      <c r="H1027" s="591"/>
      <c r="I1027" s="591"/>
      <c r="J1027" s="591"/>
      <c r="K1027" s="542"/>
      <c r="O1027" s="1134"/>
      <c r="Q1027" s="1133"/>
    </row>
    <row r="1028" spans="2:17" x14ac:dyDescent="0.3">
      <c r="B1028" s="126"/>
      <c r="C1028" s="583">
        <v>647</v>
      </c>
      <c r="D1028" s="625" t="e">
        <f t="shared" si="36"/>
        <v>#VALUE!</v>
      </c>
      <c r="E1028" s="591"/>
      <c r="F1028" s="591"/>
      <c r="G1028" s="591"/>
      <c r="H1028" s="591"/>
      <c r="I1028" s="591"/>
      <c r="J1028" s="591"/>
      <c r="K1028" s="542"/>
      <c r="O1028" s="1134"/>
      <c r="Q1028" s="1133"/>
    </row>
    <row r="1029" spans="2:17" x14ac:dyDescent="0.3">
      <c r="B1029" s="126"/>
      <c r="C1029" s="583">
        <v>648</v>
      </c>
      <c r="D1029" s="625" t="e">
        <f t="shared" si="36"/>
        <v>#VALUE!</v>
      </c>
      <c r="E1029" s="591"/>
      <c r="F1029" s="591"/>
      <c r="G1029" s="591"/>
      <c r="H1029" s="591"/>
      <c r="I1029" s="591"/>
      <c r="J1029" s="591"/>
      <c r="K1029" s="542"/>
      <c r="O1029" s="1134"/>
      <c r="Q1029" s="1133"/>
    </row>
    <row r="1030" spans="2:17" x14ac:dyDescent="0.3">
      <c r="B1030" s="126"/>
      <c r="C1030" s="583">
        <v>649</v>
      </c>
      <c r="D1030" s="625" t="e">
        <f t="shared" si="36"/>
        <v>#VALUE!</v>
      </c>
      <c r="E1030" s="591"/>
      <c r="F1030" s="591"/>
      <c r="G1030" s="591"/>
      <c r="H1030" s="591"/>
      <c r="I1030" s="591"/>
      <c r="J1030" s="591"/>
      <c r="K1030" s="542"/>
      <c r="O1030" s="1134"/>
      <c r="Q1030" s="1133"/>
    </row>
    <row r="1031" spans="2:17" x14ac:dyDescent="0.3">
      <c r="B1031" s="126"/>
      <c r="C1031" s="583">
        <v>650</v>
      </c>
      <c r="D1031" s="625" t="e">
        <f t="shared" si="36"/>
        <v>#VALUE!</v>
      </c>
      <c r="E1031" s="591"/>
      <c r="F1031" s="591"/>
      <c r="G1031" s="591"/>
      <c r="H1031" s="591"/>
      <c r="I1031" s="591"/>
      <c r="J1031" s="591"/>
      <c r="K1031" s="542"/>
      <c r="O1031" s="1134"/>
      <c r="Q1031" s="1133"/>
    </row>
    <row r="1032" spans="2:17" x14ac:dyDescent="0.3">
      <c r="B1032" s="126"/>
      <c r="C1032" s="583">
        <v>651</v>
      </c>
      <c r="D1032" s="625" t="e">
        <f t="shared" si="36"/>
        <v>#VALUE!</v>
      </c>
      <c r="E1032" s="591"/>
      <c r="F1032" s="591"/>
      <c r="G1032" s="591"/>
      <c r="H1032" s="591"/>
      <c r="I1032" s="591"/>
      <c r="J1032" s="591"/>
      <c r="K1032" s="542"/>
      <c r="O1032" s="1134"/>
      <c r="Q1032" s="1133"/>
    </row>
    <row r="1033" spans="2:17" x14ac:dyDescent="0.3">
      <c r="B1033" s="126"/>
      <c r="C1033" s="583">
        <v>652</v>
      </c>
      <c r="D1033" s="625" t="e">
        <f t="shared" si="36"/>
        <v>#VALUE!</v>
      </c>
      <c r="E1033" s="591"/>
      <c r="F1033" s="591"/>
      <c r="G1033" s="591"/>
      <c r="H1033" s="591"/>
      <c r="I1033" s="591"/>
      <c r="J1033" s="591"/>
      <c r="K1033" s="542"/>
      <c r="O1033" s="1134"/>
      <c r="Q1033" s="1133"/>
    </row>
    <row r="1034" spans="2:17" x14ac:dyDescent="0.3">
      <c r="B1034" s="126"/>
      <c r="C1034" s="583">
        <v>653</v>
      </c>
      <c r="D1034" s="625" t="e">
        <f t="shared" si="36"/>
        <v>#VALUE!</v>
      </c>
      <c r="E1034" s="591"/>
      <c r="F1034" s="591"/>
      <c r="G1034" s="591"/>
      <c r="H1034" s="591"/>
      <c r="I1034" s="591"/>
      <c r="J1034" s="591"/>
      <c r="K1034" s="542"/>
      <c r="O1034" s="1134"/>
      <c r="Q1034" s="1133"/>
    </row>
    <row r="1035" spans="2:17" x14ac:dyDescent="0.3">
      <c r="B1035" s="126"/>
      <c r="C1035" s="583">
        <v>654</v>
      </c>
      <c r="D1035" s="625" t="e">
        <f t="shared" si="36"/>
        <v>#VALUE!</v>
      </c>
      <c r="E1035" s="591"/>
      <c r="F1035" s="591"/>
      <c r="G1035" s="591"/>
      <c r="H1035" s="591"/>
      <c r="I1035" s="591"/>
      <c r="J1035" s="591"/>
      <c r="K1035" s="542"/>
      <c r="O1035" s="1134"/>
      <c r="Q1035" s="1133"/>
    </row>
    <row r="1036" spans="2:17" x14ac:dyDescent="0.3">
      <c r="B1036" s="126"/>
      <c r="C1036" s="583">
        <v>655</v>
      </c>
      <c r="D1036" s="625" t="e">
        <f t="shared" si="36"/>
        <v>#VALUE!</v>
      </c>
      <c r="E1036" s="591"/>
      <c r="F1036" s="591"/>
      <c r="G1036" s="591"/>
      <c r="H1036" s="591"/>
      <c r="I1036" s="591"/>
      <c r="J1036" s="591"/>
      <c r="K1036" s="542"/>
      <c r="O1036" s="1134"/>
      <c r="Q1036" s="1133"/>
    </row>
    <row r="1037" spans="2:17" x14ac:dyDescent="0.3">
      <c r="B1037" s="126"/>
      <c r="C1037" s="583">
        <v>656</v>
      </c>
      <c r="D1037" s="625" t="e">
        <f t="shared" si="36"/>
        <v>#VALUE!</v>
      </c>
      <c r="E1037" s="591"/>
      <c r="F1037" s="591"/>
      <c r="G1037" s="591"/>
      <c r="H1037" s="591"/>
      <c r="I1037" s="591"/>
      <c r="J1037" s="591"/>
      <c r="K1037" s="542"/>
      <c r="O1037" s="1134"/>
      <c r="Q1037" s="1133"/>
    </row>
    <row r="1038" spans="2:17" x14ac:dyDescent="0.3">
      <c r="B1038" s="126"/>
      <c r="C1038" s="583">
        <v>657</v>
      </c>
      <c r="D1038" s="625" t="e">
        <f t="shared" si="36"/>
        <v>#VALUE!</v>
      </c>
      <c r="E1038" s="591"/>
      <c r="F1038" s="591"/>
      <c r="G1038" s="591"/>
      <c r="H1038" s="591"/>
      <c r="I1038" s="591"/>
      <c r="J1038" s="591"/>
      <c r="K1038" s="542"/>
      <c r="O1038" s="1134"/>
      <c r="Q1038" s="1133"/>
    </row>
    <row r="1039" spans="2:17" x14ac:dyDescent="0.3">
      <c r="B1039" s="126"/>
      <c r="C1039" s="583">
        <v>658</v>
      </c>
      <c r="D1039" s="625" t="e">
        <f t="shared" si="36"/>
        <v>#VALUE!</v>
      </c>
      <c r="E1039" s="591"/>
      <c r="F1039" s="591"/>
      <c r="G1039" s="591"/>
      <c r="H1039" s="591"/>
      <c r="I1039" s="591"/>
      <c r="J1039" s="591"/>
      <c r="K1039" s="542"/>
      <c r="O1039" s="1134"/>
      <c r="Q1039" s="1133"/>
    </row>
    <row r="1040" spans="2:17" x14ac:dyDescent="0.3">
      <c r="B1040" s="126"/>
      <c r="C1040" s="583">
        <v>659</v>
      </c>
      <c r="D1040" s="625" t="e">
        <f t="shared" si="36"/>
        <v>#VALUE!</v>
      </c>
      <c r="E1040" s="591"/>
      <c r="F1040" s="591"/>
      <c r="G1040" s="591"/>
      <c r="H1040" s="591"/>
      <c r="I1040" s="591"/>
      <c r="J1040" s="591"/>
      <c r="K1040" s="542"/>
      <c r="O1040" s="1134"/>
      <c r="Q1040" s="1133"/>
    </row>
    <row r="1041" spans="2:17" x14ac:dyDescent="0.3">
      <c r="B1041" s="126"/>
      <c r="C1041" s="583">
        <v>660</v>
      </c>
      <c r="D1041" s="625" t="e">
        <f t="shared" si="36"/>
        <v>#VALUE!</v>
      </c>
      <c r="E1041" s="591"/>
      <c r="F1041" s="591"/>
      <c r="G1041" s="591"/>
      <c r="H1041" s="591"/>
      <c r="I1041" s="591"/>
      <c r="J1041" s="591"/>
      <c r="K1041" s="542"/>
      <c r="O1041" s="1134"/>
      <c r="Q1041" s="1133"/>
    </row>
    <row r="1042" spans="2:17" x14ac:dyDescent="0.3">
      <c r="B1042" s="126"/>
      <c r="C1042" s="583">
        <v>661</v>
      </c>
      <c r="D1042" s="625" t="e">
        <f t="shared" si="36"/>
        <v>#VALUE!</v>
      </c>
      <c r="E1042" s="591"/>
      <c r="F1042" s="591"/>
      <c r="G1042" s="591"/>
      <c r="H1042" s="591"/>
      <c r="I1042" s="591"/>
      <c r="J1042" s="591"/>
      <c r="K1042" s="542"/>
      <c r="O1042" s="1134"/>
      <c r="Q1042" s="1133"/>
    </row>
    <row r="1043" spans="2:17" x14ac:dyDescent="0.3">
      <c r="B1043" s="126"/>
      <c r="C1043" s="583">
        <v>662</v>
      </c>
      <c r="D1043" s="625" t="e">
        <f t="shared" si="36"/>
        <v>#VALUE!</v>
      </c>
      <c r="E1043" s="591"/>
      <c r="F1043" s="591"/>
      <c r="G1043" s="591"/>
      <c r="H1043" s="591"/>
      <c r="I1043" s="591"/>
      <c r="J1043" s="591"/>
      <c r="K1043" s="542"/>
      <c r="O1043" s="1134"/>
      <c r="Q1043" s="1133"/>
    </row>
    <row r="1044" spans="2:17" x14ac:dyDescent="0.3">
      <c r="B1044" s="126"/>
      <c r="C1044" s="583">
        <v>663</v>
      </c>
      <c r="D1044" s="625" t="e">
        <f t="shared" si="36"/>
        <v>#VALUE!</v>
      </c>
      <c r="E1044" s="591"/>
      <c r="F1044" s="591"/>
      <c r="G1044" s="591"/>
      <c r="H1044" s="591"/>
      <c r="I1044" s="591"/>
      <c r="J1044" s="591"/>
      <c r="K1044" s="542"/>
      <c r="O1044" s="1134"/>
      <c r="Q1044" s="1133"/>
    </row>
    <row r="1045" spans="2:17" x14ac:dyDescent="0.3">
      <c r="B1045" s="126"/>
      <c r="C1045" s="583">
        <v>664</v>
      </c>
      <c r="D1045" s="625" t="e">
        <f t="shared" si="36"/>
        <v>#VALUE!</v>
      </c>
      <c r="E1045" s="591"/>
      <c r="F1045" s="591"/>
      <c r="G1045" s="591"/>
      <c r="H1045" s="591"/>
      <c r="I1045" s="591"/>
      <c r="J1045" s="591"/>
      <c r="K1045" s="542"/>
      <c r="O1045" s="1134"/>
      <c r="Q1045" s="1133"/>
    </row>
    <row r="1046" spans="2:17" x14ac:dyDescent="0.3">
      <c r="B1046" s="126"/>
      <c r="C1046" s="583">
        <v>665</v>
      </c>
      <c r="D1046" s="625" t="e">
        <f t="shared" si="36"/>
        <v>#VALUE!</v>
      </c>
      <c r="E1046" s="591"/>
      <c r="F1046" s="591"/>
      <c r="G1046" s="591"/>
      <c r="H1046" s="591"/>
      <c r="I1046" s="591"/>
      <c r="J1046" s="591"/>
      <c r="K1046" s="542"/>
      <c r="O1046" s="1134"/>
      <c r="Q1046" s="1133"/>
    </row>
    <row r="1047" spans="2:17" x14ac:dyDescent="0.3">
      <c r="B1047" s="126"/>
      <c r="C1047" s="583">
        <v>666</v>
      </c>
      <c r="D1047" s="625" t="e">
        <f t="shared" si="36"/>
        <v>#VALUE!</v>
      </c>
      <c r="E1047" s="591"/>
      <c r="F1047" s="591"/>
      <c r="G1047" s="591"/>
      <c r="H1047" s="591"/>
      <c r="I1047" s="591"/>
      <c r="J1047" s="591"/>
      <c r="K1047" s="542"/>
      <c r="O1047" s="1134"/>
      <c r="Q1047" s="1133"/>
    </row>
    <row r="1048" spans="2:17" x14ac:dyDescent="0.3">
      <c r="B1048" s="126"/>
      <c r="C1048" s="583">
        <v>667</v>
      </c>
      <c r="D1048" s="625" t="e">
        <f t="shared" si="36"/>
        <v>#VALUE!</v>
      </c>
      <c r="E1048" s="591"/>
      <c r="F1048" s="591"/>
      <c r="G1048" s="591"/>
      <c r="H1048" s="591"/>
      <c r="I1048" s="591"/>
      <c r="J1048" s="591"/>
      <c r="K1048" s="542"/>
      <c r="O1048" s="1134"/>
      <c r="Q1048" s="1133"/>
    </row>
    <row r="1049" spans="2:17" x14ac:dyDescent="0.3">
      <c r="B1049" s="126"/>
      <c r="C1049" s="583">
        <v>668</v>
      </c>
      <c r="D1049" s="625" t="e">
        <f t="shared" si="36"/>
        <v>#VALUE!</v>
      </c>
      <c r="E1049" s="591"/>
      <c r="F1049" s="591"/>
      <c r="G1049" s="591"/>
      <c r="H1049" s="591"/>
      <c r="I1049" s="591"/>
      <c r="J1049" s="591"/>
      <c r="K1049" s="542"/>
      <c r="O1049" s="1134"/>
      <c r="Q1049" s="1133"/>
    </row>
    <row r="1050" spans="2:17" x14ac:dyDescent="0.3">
      <c r="B1050" s="126"/>
      <c r="C1050" s="583">
        <v>669</v>
      </c>
      <c r="D1050" s="625" t="e">
        <f t="shared" si="36"/>
        <v>#VALUE!</v>
      </c>
      <c r="E1050" s="591"/>
      <c r="F1050" s="591"/>
      <c r="G1050" s="591"/>
      <c r="H1050" s="591"/>
      <c r="I1050" s="591"/>
      <c r="J1050" s="591"/>
      <c r="K1050" s="542"/>
      <c r="O1050" s="1134"/>
      <c r="Q1050" s="1133"/>
    </row>
    <row r="1051" spans="2:17" x14ac:dyDescent="0.3">
      <c r="B1051" s="126"/>
      <c r="C1051" s="583">
        <v>670</v>
      </c>
      <c r="D1051" s="625" t="e">
        <f t="shared" si="36"/>
        <v>#VALUE!</v>
      </c>
      <c r="E1051" s="591"/>
      <c r="F1051" s="591"/>
      <c r="G1051" s="591"/>
      <c r="H1051" s="591"/>
      <c r="I1051" s="591"/>
      <c r="J1051" s="591"/>
      <c r="K1051" s="542"/>
      <c r="O1051" s="1134"/>
      <c r="Q1051" s="1133"/>
    </row>
    <row r="1052" spans="2:17" x14ac:dyDescent="0.3">
      <c r="B1052" s="126"/>
      <c r="C1052" s="583">
        <v>671</v>
      </c>
      <c r="D1052" s="625" t="e">
        <f t="shared" si="36"/>
        <v>#VALUE!</v>
      </c>
      <c r="E1052" s="591"/>
      <c r="F1052" s="591"/>
      <c r="G1052" s="591"/>
      <c r="H1052" s="591"/>
      <c r="I1052" s="591"/>
      <c r="J1052" s="591"/>
      <c r="K1052" s="542"/>
      <c r="O1052" s="1134"/>
      <c r="Q1052" s="1133"/>
    </row>
    <row r="1053" spans="2:17" x14ac:dyDescent="0.3">
      <c r="B1053" s="126"/>
      <c r="C1053" s="583">
        <v>672</v>
      </c>
      <c r="D1053" s="625" t="e">
        <f t="shared" si="36"/>
        <v>#VALUE!</v>
      </c>
      <c r="E1053" s="591"/>
      <c r="F1053" s="591"/>
      <c r="G1053" s="591"/>
      <c r="H1053" s="591"/>
      <c r="I1053" s="591"/>
      <c r="J1053" s="591"/>
      <c r="K1053" s="542"/>
      <c r="O1053" s="1134"/>
      <c r="Q1053" s="1133"/>
    </row>
    <row r="1054" spans="2:17" x14ac:dyDescent="0.3">
      <c r="B1054" s="126"/>
      <c r="C1054" s="583">
        <v>673</v>
      </c>
      <c r="D1054" s="625" t="e">
        <f t="shared" si="36"/>
        <v>#VALUE!</v>
      </c>
      <c r="E1054" s="591"/>
      <c r="F1054" s="591"/>
      <c r="G1054" s="591"/>
      <c r="H1054" s="591"/>
      <c r="I1054" s="591"/>
      <c r="J1054" s="591"/>
      <c r="K1054" s="542"/>
      <c r="O1054" s="1134"/>
      <c r="Q1054" s="1133"/>
    </row>
    <row r="1055" spans="2:17" x14ac:dyDescent="0.3">
      <c r="B1055" s="126"/>
      <c r="C1055" s="583">
        <v>674</v>
      </c>
      <c r="D1055" s="625" t="e">
        <f t="shared" si="36"/>
        <v>#VALUE!</v>
      </c>
      <c r="E1055" s="591"/>
      <c r="F1055" s="591"/>
      <c r="G1055" s="591"/>
      <c r="H1055" s="591"/>
      <c r="I1055" s="591"/>
      <c r="J1055" s="591"/>
      <c r="K1055" s="542"/>
      <c r="O1055" s="1134"/>
      <c r="Q1055" s="1133"/>
    </row>
    <row r="1056" spans="2:17" x14ac:dyDescent="0.3">
      <c r="B1056" s="126"/>
      <c r="C1056" s="583">
        <v>675</v>
      </c>
      <c r="D1056" s="625" t="e">
        <f t="shared" si="36"/>
        <v>#VALUE!</v>
      </c>
      <c r="E1056" s="591"/>
      <c r="F1056" s="591"/>
      <c r="G1056" s="591"/>
      <c r="H1056" s="591"/>
      <c r="I1056" s="591"/>
      <c r="J1056" s="591"/>
      <c r="K1056" s="542"/>
      <c r="O1056" s="1134"/>
      <c r="Q1056" s="1133"/>
    </row>
    <row r="1057" spans="2:17" x14ac:dyDescent="0.3">
      <c r="B1057" s="126"/>
      <c r="C1057" s="583">
        <v>676</v>
      </c>
      <c r="D1057" s="625" t="e">
        <f t="shared" si="36"/>
        <v>#VALUE!</v>
      </c>
      <c r="E1057" s="591"/>
      <c r="F1057" s="591"/>
      <c r="G1057" s="591"/>
      <c r="H1057" s="591"/>
      <c r="I1057" s="591"/>
      <c r="J1057" s="591"/>
      <c r="K1057" s="542"/>
      <c r="O1057" s="1134"/>
      <c r="Q1057" s="1133"/>
    </row>
    <row r="1058" spans="2:17" x14ac:dyDescent="0.3">
      <c r="B1058" s="126"/>
      <c r="C1058" s="583">
        <v>677</v>
      </c>
      <c r="D1058" s="625" t="e">
        <f t="shared" si="36"/>
        <v>#VALUE!</v>
      </c>
      <c r="E1058" s="591"/>
      <c r="F1058" s="591"/>
      <c r="G1058" s="591"/>
      <c r="H1058" s="591"/>
      <c r="I1058" s="591"/>
      <c r="J1058" s="591"/>
      <c r="K1058" s="542"/>
      <c r="O1058" s="1134"/>
      <c r="Q1058" s="1133"/>
    </row>
    <row r="1059" spans="2:17" x14ac:dyDescent="0.3">
      <c r="B1059" s="126"/>
      <c r="C1059" s="583">
        <v>678</v>
      </c>
      <c r="D1059" s="625" t="e">
        <f t="shared" si="36"/>
        <v>#VALUE!</v>
      </c>
      <c r="E1059" s="591"/>
      <c r="F1059" s="591"/>
      <c r="G1059" s="591"/>
      <c r="H1059" s="591"/>
      <c r="I1059" s="591"/>
      <c r="J1059" s="591"/>
      <c r="K1059" s="542"/>
      <c r="O1059" s="1134"/>
      <c r="Q1059" s="1133"/>
    </row>
    <row r="1060" spans="2:17" x14ac:dyDescent="0.3">
      <c r="B1060" s="126"/>
      <c r="C1060" s="583">
        <v>679</v>
      </c>
      <c r="D1060" s="625" t="e">
        <f t="shared" si="36"/>
        <v>#VALUE!</v>
      </c>
      <c r="E1060" s="591"/>
      <c r="F1060" s="591"/>
      <c r="G1060" s="591"/>
      <c r="H1060" s="591"/>
      <c r="I1060" s="591"/>
      <c r="J1060" s="591"/>
      <c r="K1060" s="542"/>
      <c r="O1060" s="1134"/>
      <c r="Q1060" s="1133"/>
    </row>
    <row r="1061" spans="2:17" x14ac:dyDescent="0.3">
      <c r="B1061" s="126"/>
      <c r="C1061" s="583">
        <v>680</v>
      </c>
      <c r="D1061" s="625" t="e">
        <f t="shared" si="36"/>
        <v>#VALUE!</v>
      </c>
      <c r="E1061" s="591"/>
      <c r="F1061" s="591"/>
      <c r="G1061" s="591"/>
      <c r="H1061" s="591"/>
      <c r="I1061" s="591"/>
      <c r="J1061" s="591"/>
      <c r="K1061" s="542"/>
      <c r="O1061" s="1134"/>
      <c r="Q1061" s="1133"/>
    </row>
    <row r="1062" spans="2:17" x14ac:dyDescent="0.3">
      <c r="B1062" s="126"/>
      <c r="C1062" s="583">
        <v>681</v>
      </c>
      <c r="D1062" s="625" t="e">
        <f t="shared" si="36"/>
        <v>#VALUE!</v>
      </c>
      <c r="E1062" s="591"/>
      <c r="F1062" s="591"/>
      <c r="G1062" s="591"/>
      <c r="H1062" s="591"/>
      <c r="I1062" s="591"/>
      <c r="J1062" s="591"/>
      <c r="K1062" s="542"/>
      <c r="O1062" s="1134"/>
      <c r="Q1062" s="1133"/>
    </row>
    <row r="1063" spans="2:17" x14ac:dyDescent="0.3">
      <c r="B1063" s="126"/>
      <c r="C1063" s="583">
        <v>682</v>
      </c>
      <c r="D1063" s="625" t="e">
        <f t="shared" si="36"/>
        <v>#VALUE!</v>
      </c>
      <c r="E1063" s="591"/>
      <c r="F1063" s="591"/>
      <c r="G1063" s="591"/>
      <c r="H1063" s="591"/>
      <c r="I1063" s="591"/>
      <c r="J1063" s="591"/>
      <c r="K1063" s="542"/>
      <c r="O1063" s="1134"/>
      <c r="Q1063" s="1133"/>
    </row>
    <row r="1064" spans="2:17" x14ac:dyDescent="0.3">
      <c r="B1064" s="126"/>
      <c r="C1064" s="583">
        <v>683</v>
      </c>
      <c r="D1064" s="625" t="e">
        <f t="shared" si="36"/>
        <v>#VALUE!</v>
      </c>
      <c r="E1064" s="591"/>
      <c r="F1064" s="591"/>
      <c r="G1064" s="591"/>
      <c r="H1064" s="591"/>
      <c r="I1064" s="591"/>
      <c r="J1064" s="591"/>
      <c r="K1064" s="542"/>
      <c r="O1064" s="1134"/>
      <c r="Q1064" s="1133"/>
    </row>
    <row r="1065" spans="2:17" x14ac:dyDescent="0.3">
      <c r="B1065" s="126"/>
      <c r="C1065" s="583">
        <v>684</v>
      </c>
      <c r="D1065" s="625" t="e">
        <f t="shared" si="36"/>
        <v>#VALUE!</v>
      </c>
      <c r="E1065" s="591"/>
      <c r="F1065" s="591"/>
      <c r="G1065" s="591"/>
      <c r="H1065" s="591"/>
      <c r="I1065" s="591"/>
      <c r="J1065" s="591"/>
      <c r="K1065" s="542"/>
      <c r="O1065" s="1134"/>
      <c r="Q1065" s="1133"/>
    </row>
    <row r="1066" spans="2:17" x14ac:dyDescent="0.3">
      <c r="B1066" s="126"/>
      <c r="C1066" s="583">
        <v>685</v>
      </c>
      <c r="D1066" s="625" t="e">
        <f t="shared" si="36"/>
        <v>#VALUE!</v>
      </c>
      <c r="E1066" s="591"/>
      <c r="F1066" s="591"/>
      <c r="G1066" s="591"/>
      <c r="H1066" s="591"/>
      <c r="I1066" s="591"/>
      <c r="J1066" s="591"/>
      <c r="K1066" s="542"/>
      <c r="O1066" s="1134"/>
      <c r="Q1066" s="1133"/>
    </row>
    <row r="1067" spans="2:17" x14ac:dyDescent="0.3">
      <c r="B1067" s="126"/>
      <c r="C1067" s="583">
        <v>686</v>
      </c>
      <c r="D1067" s="625" t="e">
        <f t="shared" si="36"/>
        <v>#VALUE!</v>
      </c>
      <c r="E1067" s="591"/>
      <c r="F1067" s="591"/>
      <c r="G1067" s="591"/>
      <c r="H1067" s="591"/>
      <c r="I1067" s="591"/>
      <c r="J1067" s="591"/>
      <c r="K1067" s="542"/>
      <c r="O1067" s="1134"/>
      <c r="Q1067" s="1133"/>
    </row>
    <row r="1068" spans="2:17" x14ac:dyDescent="0.3">
      <c r="B1068" s="126"/>
      <c r="C1068" s="583">
        <v>687</v>
      </c>
      <c r="D1068" s="625" t="e">
        <f t="shared" si="36"/>
        <v>#VALUE!</v>
      </c>
      <c r="E1068" s="591"/>
      <c r="F1068" s="591"/>
      <c r="G1068" s="591"/>
      <c r="H1068" s="591"/>
      <c r="I1068" s="591"/>
      <c r="J1068" s="591"/>
      <c r="K1068" s="542"/>
      <c r="O1068" s="1134"/>
      <c r="Q1068" s="1133"/>
    </row>
    <row r="1069" spans="2:17" x14ac:dyDescent="0.3">
      <c r="B1069" s="126"/>
      <c r="C1069" s="583">
        <v>688</v>
      </c>
      <c r="D1069" s="625" t="e">
        <f t="shared" si="36"/>
        <v>#VALUE!</v>
      </c>
      <c r="E1069" s="591"/>
      <c r="F1069" s="591"/>
      <c r="G1069" s="591"/>
      <c r="H1069" s="591"/>
      <c r="I1069" s="591"/>
      <c r="J1069" s="591"/>
      <c r="K1069" s="542"/>
      <c r="O1069" s="1134"/>
      <c r="Q1069" s="1133"/>
    </row>
    <row r="1070" spans="2:17" x14ac:dyDescent="0.3">
      <c r="B1070" s="126"/>
      <c r="C1070" s="583">
        <v>689</v>
      </c>
      <c r="D1070" s="625" t="e">
        <f t="shared" si="36"/>
        <v>#VALUE!</v>
      </c>
      <c r="E1070" s="591"/>
      <c r="F1070" s="591"/>
      <c r="G1070" s="591"/>
      <c r="H1070" s="591"/>
      <c r="I1070" s="591"/>
      <c r="J1070" s="591"/>
      <c r="K1070" s="542"/>
      <c r="O1070" s="1134"/>
      <c r="Q1070" s="1133"/>
    </row>
    <row r="1071" spans="2:17" x14ac:dyDescent="0.3">
      <c r="B1071" s="126"/>
      <c r="C1071" s="583">
        <v>690</v>
      </c>
      <c r="D1071" s="625" t="e">
        <f t="shared" si="36"/>
        <v>#VALUE!</v>
      </c>
      <c r="E1071" s="591"/>
      <c r="F1071" s="591"/>
      <c r="G1071" s="591"/>
      <c r="H1071" s="591"/>
      <c r="I1071" s="591"/>
      <c r="J1071" s="591"/>
      <c r="K1071" s="542"/>
      <c r="O1071" s="1134"/>
      <c r="Q1071" s="1133"/>
    </row>
    <row r="1072" spans="2:17" x14ac:dyDescent="0.3">
      <c r="B1072" s="126"/>
      <c r="C1072" s="583">
        <v>691</v>
      </c>
      <c r="D1072" s="625" t="e">
        <f t="shared" si="36"/>
        <v>#VALUE!</v>
      </c>
      <c r="E1072" s="591"/>
      <c r="F1072" s="591"/>
      <c r="G1072" s="591"/>
      <c r="H1072" s="591"/>
      <c r="I1072" s="591"/>
      <c r="J1072" s="591"/>
      <c r="K1072" s="542"/>
      <c r="O1072" s="1134"/>
      <c r="Q1072" s="1133"/>
    </row>
    <row r="1073" spans="2:17" x14ac:dyDescent="0.3">
      <c r="B1073" s="126"/>
      <c r="C1073" s="583">
        <v>692</v>
      </c>
      <c r="D1073" s="625" t="e">
        <f t="shared" si="36"/>
        <v>#VALUE!</v>
      </c>
      <c r="E1073" s="591"/>
      <c r="F1073" s="591"/>
      <c r="G1073" s="591"/>
      <c r="H1073" s="591"/>
      <c r="I1073" s="591"/>
      <c r="J1073" s="591"/>
      <c r="K1073" s="542"/>
      <c r="O1073" s="1134"/>
      <c r="Q1073" s="1133"/>
    </row>
    <row r="1074" spans="2:17" x14ac:dyDescent="0.3">
      <c r="B1074" s="126"/>
      <c r="C1074" s="583">
        <v>693</v>
      </c>
      <c r="D1074" s="625" t="e">
        <f t="shared" si="36"/>
        <v>#VALUE!</v>
      </c>
      <c r="E1074" s="591"/>
      <c r="F1074" s="591"/>
      <c r="G1074" s="591"/>
      <c r="H1074" s="591"/>
      <c r="I1074" s="591"/>
      <c r="J1074" s="591"/>
      <c r="K1074" s="542"/>
      <c r="O1074" s="1134"/>
      <c r="Q1074" s="1133"/>
    </row>
    <row r="1075" spans="2:17" x14ac:dyDescent="0.3">
      <c r="B1075" s="126"/>
      <c r="C1075" s="583">
        <v>694</v>
      </c>
      <c r="D1075" s="625" t="e">
        <f t="shared" si="36"/>
        <v>#VALUE!</v>
      </c>
      <c r="E1075" s="591"/>
      <c r="F1075" s="591"/>
      <c r="G1075" s="591"/>
      <c r="H1075" s="591"/>
      <c r="I1075" s="591"/>
      <c r="J1075" s="591"/>
      <c r="K1075" s="542"/>
      <c r="O1075" s="1134"/>
      <c r="Q1075" s="1133"/>
    </row>
    <row r="1076" spans="2:17" x14ac:dyDescent="0.3">
      <c r="B1076" s="126"/>
      <c r="C1076" s="583">
        <v>695</v>
      </c>
      <c r="D1076" s="625" t="e">
        <f t="shared" si="36"/>
        <v>#VALUE!</v>
      </c>
      <c r="E1076" s="591"/>
      <c r="F1076" s="591"/>
      <c r="G1076" s="591"/>
      <c r="H1076" s="591"/>
      <c r="I1076" s="591"/>
      <c r="J1076" s="591"/>
      <c r="K1076" s="542"/>
      <c r="O1076" s="1134"/>
      <c r="Q1076" s="1133"/>
    </row>
    <row r="1077" spans="2:17" x14ac:dyDescent="0.3">
      <c r="B1077" s="126"/>
      <c r="C1077" s="583">
        <v>696</v>
      </c>
      <c r="D1077" s="625" t="e">
        <f t="shared" si="36"/>
        <v>#VALUE!</v>
      </c>
      <c r="E1077" s="591"/>
      <c r="F1077" s="591"/>
      <c r="G1077" s="591"/>
      <c r="H1077" s="591"/>
      <c r="I1077" s="591"/>
      <c r="J1077" s="591"/>
      <c r="K1077" s="542"/>
      <c r="O1077" s="1134"/>
      <c r="Q1077" s="1133"/>
    </row>
    <row r="1078" spans="2:17" x14ac:dyDescent="0.3">
      <c r="B1078" s="126"/>
      <c r="C1078" s="583">
        <v>697</v>
      </c>
      <c r="D1078" s="625" t="e">
        <f t="shared" si="36"/>
        <v>#VALUE!</v>
      </c>
      <c r="E1078" s="591"/>
      <c r="F1078" s="591"/>
      <c r="G1078" s="591"/>
      <c r="H1078" s="591"/>
      <c r="I1078" s="591"/>
      <c r="J1078" s="591"/>
      <c r="K1078" s="542"/>
      <c r="O1078" s="1134"/>
      <c r="Q1078" s="1133"/>
    </row>
    <row r="1079" spans="2:17" x14ac:dyDescent="0.3">
      <c r="B1079" s="126"/>
      <c r="C1079" s="583">
        <v>698</v>
      </c>
      <c r="D1079" s="625" t="e">
        <f t="shared" si="36"/>
        <v>#VALUE!</v>
      </c>
      <c r="E1079" s="591"/>
      <c r="F1079" s="591"/>
      <c r="G1079" s="591"/>
      <c r="H1079" s="591"/>
      <c r="I1079" s="591"/>
      <c r="J1079" s="591"/>
      <c r="K1079" s="542"/>
      <c r="O1079" s="1134"/>
      <c r="Q1079" s="1133"/>
    </row>
    <row r="1080" spans="2:17" x14ac:dyDescent="0.3">
      <c r="B1080" s="126"/>
      <c r="C1080" s="583">
        <v>699</v>
      </c>
      <c r="D1080" s="625" t="e">
        <f t="shared" si="36"/>
        <v>#VALUE!</v>
      </c>
      <c r="E1080" s="591"/>
      <c r="F1080" s="591"/>
      <c r="G1080" s="591"/>
      <c r="H1080" s="591"/>
      <c r="I1080" s="591"/>
      <c r="J1080" s="591"/>
      <c r="K1080" s="542"/>
      <c r="O1080" s="1134"/>
      <c r="Q1080" s="1133"/>
    </row>
    <row r="1081" spans="2:17" x14ac:dyDescent="0.3">
      <c r="B1081" s="126"/>
      <c r="C1081" s="583">
        <v>700</v>
      </c>
      <c r="D1081" s="625" t="e">
        <f t="shared" si="36"/>
        <v>#VALUE!</v>
      </c>
      <c r="E1081" s="591"/>
      <c r="F1081" s="591"/>
      <c r="G1081" s="591"/>
      <c r="H1081" s="591"/>
      <c r="I1081" s="591"/>
      <c r="J1081" s="591"/>
      <c r="K1081" s="542"/>
      <c r="O1081" s="1134"/>
      <c r="Q1081" s="1133"/>
    </row>
    <row r="1082" spans="2:17" x14ac:dyDescent="0.3">
      <c r="B1082" s="126"/>
      <c r="C1082" s="583">
        <v>701</v>
      </c>
      <c r="D1082" s="625" t="e">
        <f t="shared" si="36"/>
        <v>#VALUE!</v>
      </c>
      <c r="E1082" s="591"/>
      <c r="F1082" s="591"/>
      <c r="G1082" s="591"/>
      <c r="H1082" s="591"/>
      <c r="I1082" s="591"/>
      <c r="J1082" s="591"/>
      <c r="K1082" s="542"/>
      <c r="O1082" s="1134"/>
      <c r="Q1082" s="1133"/>
    </row>
    <row r="1083" spans="2:17" x14ac:dyDescent="0.3">
      <c r="B1083" s="126"/>
      <c r="C1083" s="583">
        <v>702</v>
      </c>
      <c r="D1083" s="625" t="e">
        <f t="shared" si="36"/>
        <v>#VALUE!</v>
      </c>
      <c r="E1083" s="591"/>
      <c r="F1083" s="591"/>
      <c r="G1083" s="591"/>
      <c r="H1083" s="591"/>
      <c r="I1083" s="591"/>
      <c r="J1083" s="591"/>
      <c r="K1083" s="542"/>
      <c r="O1083" s="1134"/>
      <c r="Q1083" s="1133"/>
    </row>
    <row r="1084" spans="2:17" x14ac:dyDescent="0.3">
      <c r="B1084" s="126"/>
      <c r="C1084" s="583">
        <v>703</v>
      </c>
      <c r="D1084" s="625" t="e">
        <f t="shared" si="36"/>
        <v>#VALUE!</v>
      </c>
      <c r="E1084" s="591"/>
      <c r="F1084" s="591"/>
      <c r="G1084" s="591"/>
      <c r="H1084" s="591"/>
      <c r="I1084" s="591"/>
      <c r="J1084" s="591"/>
      <c r="K1084" s="542"/>
      <c r="O1084" s="1134"/>
      <c r="Q1084" s="1133"/>
    </row>
    <row r="1085" spans="2:17" x14ac:dyDescent="0.3">
      <c r="B1085" s="126"/>
      <c r="C1085" s="583">
        <v>704</v>
      </c>
      <c r="D1085" s="625" t="e">
        <f t="shared" ref="D1085:D1148" si="37">$C$360*C1085</f>
        <v>#VALUE!</v>
      </c>
      <c r="E1085" s="591"/>
      <c r="F1085" s="591"/>
      <c r="G1085" s="591"/>
      <c r="H1085" s="591"/>
      <c r="I1085" s="591"/>
      <c r="J1085" s="591"/>
      <c r="K1085" s="542"/>
      <c r="O1085" s="1134"/>
      <c r="Q1085" s="1133"/>
    </row>
    <row r="1086" spans="2:17" x14ac:dyDescent="0.3">
      <c r="B1086" s="126"/>
      <c r="C1086" s="583">
        <v>705</v>
      </c>
      <c r="D1086" s="625" t="e">
        <f t="shared" si="37"/>
        <v>#VALUE!</v>
      </c>
      <c r="E1086" s="591"/>
      <c r="F1086" s="591"/>
      <c r="G1086" s="591"/>
      <c r="H1086" s="591"/>
      <c r="I1086" s="591"/>
      <c r="J1086" s="591"/>
      <c r="K1086" s="542"/>
      <c r="O1086" s="1134"/>
      <c r="Q1086" s="1133"/>
    </row>
    <row r="1087" spans="2:17" x14ac:dyDescent="0.3">
      <c r="B1087" s="126"/>
      <c r="C1087" s="583">
        <v>706</v>
      </c>
      <c r="D1087" s="625" t="e">
        <f t="shared" si="37"/>
        <v>#VALUE!</v>
      </c>
      <c r="E1087" s="591"/>
      <c r="F1087" s="591"/>
      <c r="G1087" s="591"/>
      <c r="H1087" s="591"/>
      <c r="I1087" s="591"/>
      <c r="J1087" s="591"/>
      <c r="K1087" s="542"/>
      <c r="O1087" s="1134"/>
      <c r="Q1087" s="1133"/>
    </row>
    <row r="1088" spans="2:17" x14ac:dyDescent="0.3">
      <c r="B1088" s="126"/>
      <c r="C1088" s="583">
        <v>707</v>
      </c>
      <c r="D1088" s="625" t="e">
        <f t="shared" si="37"/>
        <v>#VALUE!</v>
      </c>
      <c r="E1088" s="591"/>
      <c r="F1088" s="591"/>
      <c r="G1088" s="591"/>
      <c r="H1088" s="591"/>
      <c r="I1088" s="591"/>
      <c r="J1088" s="591"/>
      <c r="K1088" s="542"/>
      <c r="O1088" s="1134"/>
      <c r="Q1088" s="1133"/>
    </row>
    <row r="1089" spans="2:17" x14ac:dyDescent="0.3">
      <c r="B1089" s="126"/>
      <c r="C1089" s="583">
        <v>708</v>
      </c>
      <c r="D1089" s="625" t="e">
        <f t="shared" si="37"/>
        <v>#VALUE!</v>
      </c>
      <c r="E1089" s="591"/>
      <c r="F1089" s="591"/>
      <c r="G1089" s="591"/>
      <c r="H1089" s="591"/>
      <c r="I1089" s="591"/>
      <c r="J1089" s="591"/>
      <c r="K1089" s="542"/>
      <c r="O1089" s="1134"/>
      <c r="Q1089" s="1133"/>
    </row>
    <row r="1090" spans="2:17" x14ac:dyDescent="0.3">
      <c r="B1090" s="126"/>
      <c r="C1090" s="583">
        <v>709</v>
      </c>
      <c r="D1090" s="625" t="e">
        <f t="shared" si="37"/>
        <v>#VALUE!</v>
      </c>
      <c r="E1090" s="591"/>
      <c r="F1090" s="591"/>
      <c r="G1090" s="591"/>
      <c r="H1090" s="591"/>
      <c r="I1090" s="591"/>
      <c r="J1090" s="591"/>
      <c r="K1090" s="542"/>
      <c r="O1090" s="1134"/>
      <c r="Q1090" s="1133"/>
    </row>
    <row r="1091" spans="2:17" x14ac:dyDescent="0.3">
      <c r="B1091" s="126"/>
      <c r="C1091" s="583">
        <v>710</v>
      </c>
      <c r="D1091" s="625" t="e">
        <f t="shared" si="37"/>
        <v>#VALUE!</v>
      </c>
      <c r="E1091" s="591"/>
      <c r="F1091" s="591"/>
      <c r="G1091" s="591"/>
      <c r="H1091" s="591"/>
      <c r="I1091" s="591"/>
      <c r="J1091" s="591"/>
      <c r="K1091" s="542"/>
      <c r="O1091" s="1134"/>
      <c r="Q1091" s="1133"/>
    </row>
    <row r="1092" spans="2:17" x14ac:dyDescent="0.3">
      <c r="B1092" s="126"/>
      <c r="C1092" s="583">
        <v>711</v>
      </c>
      <c r="D1092" s="625" t="e">
        <f t="shared" si="37"/>
        <v>#VALUE!</v>
      </c>
      <c r="E1092" s="591"/>
      <c r="F1092" s="591"/>
      <c r="G1092" s="591"/>
      <c r="H1092" s="591"/>
      <c r="I1092" s="591"/>
      <c r="J1092" s="591"/>
      <c r="K1092" s="542"/>
      <c r="O1092" s="1134"/>
      <c r="Q1092" s="1133"/>
    </row>
    <row r="1093" spans="2:17" x14ac:dyDescent="0.3">
      <c r="B1093" s="126"/>
      <c r="C1093" s="583">
        <v>712</v>
      </c>
      <c r="D1093" s="625" t="e">
        <f t="shared" si="37"/>
        <v>#VALUE!</v>
      </c>
      <c r="E1093" s="591"/>
      <c r="F1093" s="591"/>
      <c r="G1093" s="591"/>
      <c r="H1093" s="591"/>
      <c r="I1093" s="591"/>
      <c r="J1093" s="591"/>
      <c r="K1093" s="542"/>
      <c r="O1093" s="1134"/>
      <c r="Q1093" s="1133"/>
    </row>
    <row r="1094" spans="2:17" x14ac:dyDescent="0.3">
      <c r="B1094" s="126"/>
      <c r="C1094" s="583">
        <v>713</v>
      </c>
      <c r="D1094" s="625" t="e">
        <f t="shared" si="37"/>
        <v>#VALUE!</v>
      </c>
      <c r="E1094" s="591"/>
      <c r="F1094" s="591"/>
      <c r="G1094" s="591"/>
      <c r="H1094" s="591"/>
      <c r="I1094" s="591"/>
      <c r="J1094" s="591"/>
      <c r="K1094" s="542"/>
      <c r="O1094" s="1134"/>
      <c r="Q1094" s="1133"/>
    </row>
    <row r="1095" spans="2:17" x14ac:dyDescent="0.3">
      <c r="B1095" s="126"/>
      <c r="C1095" s="583">
        <v>714</v>
      </c>
      <c r="D1095" s="625" t="e">
        <f t="shared" si="37"/>
        <v>#VALUE!</v>
      </c>
      <c r="E1095" s="591"/>
      <c r="F1095" s="591"/>
      <c r="G1095" s="591"/>
      <c r="H1095" s="591"/>
      <c r="I1095" s="591"/>
      <c r="J1095" s="591"/>
      <c r="K1095" s="542"/>
      <c r="O1095" s="1134"/>
      <c r="Q1095" s="1133"/>
    </row>
    <row r="1096" spans="2:17" x14ac:dyDescent="0.3">
      <c r="B1096" s="126"/>
      <c r="C1096" s="583">
        <v>715</v>
      </c>
      <c r="D1096" s="625" t="e">
        <f t="shared" si="37"/>
        <v>#VALUE!</v>
      </c>
      <c r="E1096" s="591"/>
      <c r="F1096" s="591"/>
      <c r="G1096" s="591"/>
      <c r="H1096" s="591"/>
      <c r="I1096" s="591"/>
      <c r="J1096" s="591"/>
      <c r="K1096" s="542"/>
      <c r="O1096" s="1134"/>
      <c r="Q1096" s="1133"/>
    </row>
    <row r="1097" spans="2:17" x14ac:dyDescent="0.3">
      <c r="B1097" s="126"/>
      <c r="C1097" s="583">
        <v>716</v>
      </c>
      <c r="D1097" s="625" t="e">
        <f t="shared" si="37"/>
        <v>#VALUE!</v>
      </c>
      <c r="E1097" s="591"/>
      <c r="F1097" s="591"/>
      <c r="G1097" s="591"/>
      <c r="H1097" s="591"/>
      <c r="I1097" s="591"/>
      <c r="J1097" s="591"/>
      <c r="K1097" s="542"/>
      <c r="O1097" s="1134"/>
      <c r="Q1097" s="1133"/>
    </row>
    <row r="1098" spans="2:17" x14ac:dyDescent="0.3">
      <c r="B1098" s="126"/>
      <c r="C1098" s="583">
        <v>717</v>
      </c>
      <c r="D1098" s="625" t="e">
        <f t="shared" si="37"/>
        <v>#VALUE!</v>
      </c>
      <c r="E1098" s="591"/>
      <c r="F1098" s="591"/>
      <c r="G1098" s="591"/>
      <c r="H1098" s="591"/>
      <c r="I1098" s="591"/>
      <c r="J1098" s="591"/>
      <c r="K1098" s="542"/>
      <c r="O1098" s="1134"/>
      <c r="Q1098" s="1133"/>
    </row>
    <row r="1099" spans="2:17" x14ac:dyDescent="0.3">
      <c r="B1099" s="126"/>
      <c r="C1099" s="583">
        <v>718</v>
      </c>
      <c r="D1099" s="625" t="e">
        <f t="shared" si="37"/>
        <v>#VALUE!</v>
      </c>
      <c r="E1099" s="591"/>
      <c r="F1099" s="591"/>
      <c r="G1099" s="591"/>
      <c r="H1099" s="591"/>
      <c r="I1099" s="591"/>
      <c r="J1099" s="591"/>
      <c r="K1099" s="542"/>
      <c r="O1099" s="1134"/>
      <c r="Q1099" s="1133"/>
    </row>
    <row r="1100" spans="2:17" x14ac:dyDescent="0.3">
      <c r="B1100" s="126"/>
      <c r="C1100" s="583">
        <v>719</v>
      </c>
      <c r="D1100" s="625" t="e">
        <f t="shared" si="37"/>
        <v>#VALUE!</v>
      </c>
      <c r="E1100" s="591"/>
      <c r="F1100" s="591"/>
      <c r="G1100" s="591"/>
      <c r="H1100" s="591"/>
      <c r="I1100" s="591"/>
      <c r="J1100" s="591"/>
      <c r="K1100" s="542"/>
      <c r="O1100" s="1134"/>
      <c r="Q1100" s="1133"/>
    </row>
    <row r="1101" spans="2:17" x14ac:dyDescent="0.3">
      <c r="B1101" s="126"/>
      <c r="C1101" s="583">
        <v>720</v>
      </c>
      <c r="D1101" s="625" t="e">
        <f t="shared" si="37"/>
        <v>#VALUE!</v>
      </c>
      <c r="E1101" s="591"/>
      <c r="F1101" s="591"/>
      <c r="G1101" s="591"/>
      <c r="H1101" s="591"/>
      <c r="I1101" s="591"/>
      <c r="J1101" s="591"/>
      <c r="K1101" s="542"/>
      <c r="O1101" s="1134"/>
      <c r="Q1101" s="1133"/>
    </row>
    <row r="1102" spans="2:17" x14ac:dyDescent="0.3">
      <c r="B1102" s="126"/>
      <c r="C1102" s="583">
        <v>721</v>
      </c>
      <c r="D1102" s="625" t="e">
        <f t="shared" si="37"/>
        <v>#VALUE!</v>
      </c>
      <c r="E1102" s="591"/>
      <c r="F1102" s="591"/>
      <c r="G1102" s="591"/>
      <c r="H1102" s="591"/>
      <c r="I1102" s="591"/>
      <c r="J1102" s="591"/>
      <c r="K1102" s="542"/>
      <c r="O1102" s="1134"/>
      <c r="Q1102" s="1133"/>
    </row>
    <row r="1103" spans="2:17" x14ac:dyDescent="0.3">
      <c r="B1103" s="126"/>
      <c r="C1103" s="583">
        <v>722</v>
      </c>
      <c r="D1103" s="625" t="e">
        <f t="shared" si="37"/>
        <v>#VALUE!</v>
      </c>
      <c r="E1103" s="591"/>
      <c r="F1103" s="591"/>
      <c r="G1103" s="591"/>
      <c r="H1103" s="591"/>
      <c r="I1103" s="591"/>
      <c r="J1103" s="591"/>
      <c r="K1103" s="542"/>
      <c r="O1103" s="1134"/>
      <c r="Q1103" s="1133"/>
    </row>
    <row r="1104" spans="2:17" x14ac:dyDescent="0.3">
      <c r="B1104" s="126"/>
      <c r="C1104" s="583">
        <v>723</v>
      </c>
      <c r="D1104" s="625" t="e">
        <f t="shared" si="37"/>
        <v>#VALUE!</v>
      </c>
      <c r="E1104" s="591"/>
      <c r="F1104" s="591"/>
      <c r="G1104" s="591"/>
      <c r="H1104" s="591"/>
      <c r="I1104" s="591"/>
      <c r="J1104" s="591"/>
      <c r="K1104" s="542"/>
      <c r="O1104" s="1134"/>
      <c r="Q1104" s="1133"/>
    </row>
    <row r="1105" spans="2:17" x14ac:dyDescent="0.3">
      <c r="B1105" s="126"/>
      <c r="C1105" s="583">
        <v>724</v>
      </c>
      <c r="D1105" s="625" t="e">
        <f t="shared" si="37"/>
        <v>#VALUE!</v>
      </c>
      <c r="E1105" s="591"/>
      <c r="F1105" s="591"/>
      <c r="G1105" s="591"/>
      <c r="H1105" s="591"/>
      <c r="I1105" s="591"/>
      <c r="J1105" s="591"/>
      <c r="K1105" s="542"/>
      <c r="O1105" s="1134"/>
      <c r="Q1105" s="1133"/>
    </row>
    <row r="1106" spans="2:17" x14ac:dyDescent="0.3">
      <c r="B1106" s="126"/>
      <c r="C1106" s="583">
        <v>725</v>
      </c>
      <c r="D1106" s="625" t="e">
        <f t="shared" si="37"/>
        <v>#VALUE!</v>
      </c>
      <c r="E1106" s="591"/>
      <c r="F1106" s="591"/>
      <c r="G1106" s="591"/>
      <c r="H1106" s="591"/>
      <c r="I1106" s="591"/>
      <c r="J1106" s="591"/>
      <c r="K1106" s="542"/>
      <c r="O1106" s="1134"/>
      <c r="Q1106" s="1133"/>
    </row>
    <row r="1107" spans="2:17" x14ac:dyDescent="0.3">
      <c r="B1107" s="126"/>
      <c r="C1107" s="583">
        <v>726</v>
      </c>
      <c r="D1107" s="625" t="e">
        <f t="shared" si="37"/>
        <v>#VALUE!</v>
      </c>
      <c r="E1107" s="591"/>
      <c r="F1107" s="591"/>
      <c r="G1107" s="591"/>
      <c r="H1107" s="591"/>
      <c r="I1107" s="591"/>
      <c r="J1107" s="591"/>
      <c r="K1107" s="542"/>
      <c r="O1107" s="1134"/>
      <c r="Q1107" s="1133"/>
    </row>
    <row r="1108" spans="2:17" x14ac:dyDescent="0.3">
      <c r="B1108" s="126"/>
      <c r="C1108" s="583">
        <v>727</v>
      </c>
      <c r="D1108" s="625" t="e">
        <f t="shared" si="37"/>
        <v>#VALUE!</v>
      </c>
      <c r="E1108" s="591"/>
      <c r="F1108" s="591"/>
      <c r="G1108" s="591"/>
      <c r="H1108" s="591"/>
      <c r="I1108" s="591"/>
      <c r="J1108" s="591"/>
      <c r="K1108" s="542"/>
      <c r="O1108" s="1134"/>
      <c r="Q1108" s="1133"/>
    </row>
    <row r="1109" spans="2:17" x14ac:dyDescent="0.3">
      <c r="B1109" s="126"/>
      <c r="C1109" s="583">
        <v>728</v>
      </c>
      <c r="D1109" s="625" t="e">
        <f t="shared" si="37"/>
        <v>#VALUE!</v>
      </c>
      <c r="E1109" s="591"/>
      <c r="F1109" s="591"/>
      <c r="G1109" s="591"/>
      <c r="H1109" s="591"/>
      <c r="I1109" s="591"/>
      <c r="J1109" s="591"/>
      <c r="K1109" s="542"/>
      <c r="O1109" s="1134"/>
      <c r="Q1109" s="1133"/>
    </row>
    <row r="1110" spans="2:17" x14ac:dyDescent="0.3">
      <c r="B1110" s="126"/>
      <c r="C1110" s="583">
        <v>729</v>
      </c>
      <c r="D1110" s="625" t="e">
        <f t="shared" si="37"/>
        <v>#VALUE!</v>
      </c>
      <c r="E1110" s="591"/>
      <c r="F1110" s="591"/>
      <c r="G1110" s="591"/>
      <c r="H1110" s="591"/>
      <c r="I1110" s="591"/>
      <c r="J1110" s="591"/>
      <c r="K1110" s="542"/>
      <c r="O1110" s="1134"/>
      <c r="Q1110" s="1133"/>
    </row>
    <row r="1111" spans="2:17" x14ac:dyDescent="0.3">
      <c r="B1111" s="126"/>
      <c r="C1111" s="583">
        <v>730</v>
      </c>
      <c r="D1111" s="625" t="e">
        <f t="shared" si="37"/>
        <v>#VALUE!</v>
      </c>
      <c r="E1111" s="591"/>
      <c r="F1111" s="591"/>
      <c r="G1111" s="591"/>
      <c r="H1111" s="591"/>
      <c r="I1111" s="591"/>
      <c r="J1111" s="591"/>
      <c r="K1111" s="542"/>
      <c r="O1111" s="1134"/>
      <c r="Q1111" s="1133"/>
    </row>
    <row r="1112" spans="2:17" x14ac:dyDescent="0.3">
      <c r="B1112" s="126"/>
      <c r="C1112" s="583">
        <v>731</v>
      </c>
      <c r="D1112" s="625" t="e">
        <f t="shared" si="37"/>
        <v>#VALUE!</v>
      </c>
      <c r="E1112" s="591"/>
      <c r="F1112" s="591"/>
      <c r="G1112" s="591"/>
      <c r="H1112" s="591"/>
      <c r="I1112" s="591"/>
      <c r="J1112" s="591"/>
      <c r="K1112" s="542"/>
      <c r="O1112" s="1134"/>
      <c r="Q1112" s="1133"/>
    </row>
    <row r="1113" spans="2:17" x14ac:dyDescent="0.3">
      <c r="B1113" s="126"/>
      <c r="C1113" s="583">
        <v>732</v>
      </c>
      <c r="D1113" s="625" t="e">
        <f t="shared" si="37"/>
        <v>#VALUE!</v>
      </c>
      <c r="E1113" s="591"/>
      <c r="F1113" s="591"/>
      <c r="G1113" s="591"/>
      <c r="H1113" s="591"/>
      <c r="I1113" s="591"/>
      <c r="J1113" s="591"/>
      <c r="K1113" s="542"/>
      <c r="O1113" s="1134"/>
      <c r="Q1113" s="1133"/>
    </row>
    <row r="1114" spans="2:17" x14ac:dyDescent="0.3">
      <c r="B1114" s="126"/>
      <c r="C1114" s="583">
        <v>733</v>
      </c>
      <c r="D1114" s="625" t="e">
        <f t="shared" si="37"/>
        <v>#VALUE!</v>
      </c>
      <c r="E1114" s="591"/>
      <c r="F1114" s="591"/>
      <c r="G1114" s="591"/>
      <c r="H1114" s="591"/>
      <c r="I1114" s="591"/>
      <c r="J1114" s="591"/>
      <c r="K1114" s="542"/>
      <c r="O1114" s="1134"/>
      <c r="Q1114" s="1133"/>
    </row>
    <row r="1115" spans="2:17" x14ac:dyDescent="0.3">
      <c r="B1115" s="126"/>
      <c r="C1115" s="583">
        <v>734</v>
      </c>
      <c r="D1115" s="625" t="e">
        <f t="shared" si="37"/>
        <v>#VALUE!</v>
      </c>
      <c r="E1115" s="591"/>
      <c r="F1115" s="591"/>
      <c r="G1115" s="591"/>
      <c r="H1115" s="591"/>
      <c r="I1115" s="591"/>
      <c r="J1115" s="591"/>
      <c r="K1115" s="542"/>
      <c r="O1115" s="1134"/>
      <c r="Q1115" s="1133"/>
    </row>
    <row r="1116" spans="2:17" x14ac:dyDescent="0.3">
      <c r="B1116" s="126"/>
      <c r="C1116" s="583">
        <v>735</v>
      </c>
      <c r="D1116" s="625" t="e">
        <f t="shared" si="37"/>
        <v>#VALUE!</v>
      </c>
      <c r="E1116" s="591"/>
      <c r="F1116" s="591"/>
      <c r="G1116" s="591"/>
      <c r="H1116" s="591"/>
      <c r="I1116" s="591"/>
      <c r="J1116" s="591"/>
      <c r="K1116" s="542"/>
      <c r="O1116" s="1134"/>
      <c r="Q1116" s="1133"/>
    </row>
    <row r="1117" spans="2:17" x14ac:dyDescent="0.3">
      <c r="B1117" s="126"/>
      <c r="C1117" s="583">
        <v>736</v>
      </c>
      <c r="D1117" s="625" t="e">
        <f t="shared" si="37"/>
        <v>#VALUE!</v>
      </c>
      <c r="E1117" s="591"/>
      <c r="F1117" s="591"/>
      <c r="G1117" s="591"/>
      <c r="H1117" s="591"/>
      <c r="I1117" s="591"/>
      <c r="J1117" s="591"/>
      <c r="K1117" s="542"/>
      <c r="O1117" s="1134"/>
      <c r="Q1117" s="1133"/>
    </row>
    <row r="1118" spans="2:17" x14ac:dyDescent="0.3">
      <c r="B1118" s="126"/>
      <c r="C1118" s="583">
        <v>737</v>
      </c>
      <c r="D1118" s="625" t="e">
        <f t="shared" si="37"/>
        <v>#VALUE!</v>
      </c>
      <c r="E1118" s="591"/>
      <c r="F1118" s="591"/>
      <c r="G1118" s="591"/>
      <c r="H1118" s="591"/>
      <c r="I1118" s="591"/>
      <c r="J1118" s="591"/>
      <c r="K1118" s="542"/>
      <c r="O1118" s="1134"/>
      <c r="Q1118" s="1133"/>
    </row>
    <row r="1119" spans="2:17" x14ac:dyDescent="0.3">
      <c r="B1119" s="126"/>
      <c r="C1119" s="583">
        <v>738</v>
      </c>
      <c r="D1119" s="625" t="e">
        <f t="shared" si="37"/>
        <v>#VALUE!</v>
      </c>
      <c r="E1119" s="591"/>
      <c r="F1119" s="591"/>
      <c r="G1119" s="591"/>
      <c r="H1119" s="591"/>
      <c r="I1119" s="591"/>
      <c r="J1119" s="591"/>
      <c r="K1119" s="542"/>
      <c r="O1119" s="1134"/>
      <c r="Q1119" s="1133"/>
    </row>
    <row r="1120" spans="2:17" x14ac:dyDescent="0.3">
      <c r="B1120" s="126"/>
      <c r="C1120" s="583">
        <v>739</v>
      </c>
      <c r="D1120" s="625" t="e">
        <f t="shared" si="37"/>
        <v>#VALUE!</v>
      </c>
      <c r="E1120" s="591"/>
      <c r="F1120" s="591"/>
      <c r="G1120" s="591"/>
      <c r="H1120" s="591"/>
      <c r="I1120" s="591"/>
      <c r="J1120" s="591"/>
      <c r="K1120" s="542"/>
      <c r="O1120" s="1134"/>
      <c r="Q1120" s="1133"/>
    </row>
    <row r="1121" spans="2:17" x14ac:dyDescent="0.3">
      <c r="B1121" s="126"/>
      <c r="C1121" s="583">
        <v>740</v>
      </c>
      <c r="D1121" s="625" t="e">
        <f t="shared" si="37"/>
        <v>#VALUE!</v>
      </c>
      <c r="E1121" s="591"/>
      <c r="F1121" s="591"/>
      <c r="G1121" s="591"/>
      <c r="H1121" s="591"/>
      <c r="I1121" s="591"/>
      <c r="J1121" s="591"/>
      <c r="K1121" s="542"/>
      <c r="O1121" s="1134"/>
      <c r="Q1121" s="1133"/>
    </row>
    <row r="1122" spans="2:17" x14ac:dyDescent="0.3">
      <c r="B1122" s="126"/>
      <c r="C1122" s="583">
        <v>741</v>
      </c>
      <c r="D1122" s="625" t="e">
        <f t="shared" si="37"/>
        <v>#VALUE!</v>
      </c>
      <c r="E1122" s="591"/>
      <c r="F1122" s="591"/>
      <c r="G1122" s="591"/>
      <c r="H1122" s="591"/>
      <c r="I1122" s="591"/>
      <c r="J1122" s="591"/>
      <c r="K1122" s="542"/>
      <c r="O1122" s="1134"/>
      <c r="Q1122" s="1133"/>
    </row>
    <row r="1123" spans="2:17" x14ac:dyDescent="0.3">
      <c r="B1123" s="126"/>
      <c r="C1123" s="583">
        <v>742</v>
      </c>
      <c r="D1123" s="625" t="e">
        <f t="shared" si="37"/>
        <v>#VALUE!</v>
      </c>
      <c r="E1123" s="591"/>
      <c r="F1123" s="591"/>
      <c r="G1123" s="591"/>
      <c r="H1123" s="591"/>
      <c r="I1123" s="591"/>
      <c r="J1123" s="591"/>
      <c r="K1123" s="542"/>
      <c r="O1123" s="1134"/>
      <c r="Q1123" s="1133"/>
    </row>
    <row r="1124" spans="2:17" x14ac:dyDescent="0.3">
      <c r="B1124" s="126"/>
      <c r="C1124" s="583">
        <v>743</v>
      </c>
      <c r="D1124" s="625" t="e">
        <f t="shared" si="37"/>
        <v>#VALUE!</v>
      </c>
      <c r="E1124" s="591"/>
      <c r="F1124" s="591"/>
      <c r="G1124" s="591"/>
      <c r="H1124" s="591"/>
      <c r="I1124" s="591"/>
      <c r="J1124" s="591"/>
      <c r="K1124" s="542"/>
      <c r="O1124" s="1134"/>
      <c r="Q1124" s="1133"/>
    </row>
    <row r="1125" spans="2:17" x14ac:dyDescent="0.3">
      <c r="B1125" s="126"/>
      <c r="C1125" s="583">
        <v>744</v>
      </c>
      <c r="D1125" s="625" t="e">
        <f t="shared" si="37"/>
        <v>#VALUE!</v>
      </c>
      <c r="E1125" s="591"/>
      <c r="F1125" s="591"/>
      <c r="G1125" s="591"/>
      <c r="H1125" s="591"/>
      <c r="I1125" s="591"/>
      <c r="J1125" s="591"/>
      <c r="K1125" s="542"/>
      <c r="O1125" s="1134"/>
      <c r="Q1125" s="1133"/>
    </row>
    <row r="1126" spans="2:17" x14ac:dyDescent="0.3">
      <c r="B1126" s="126"/>
      <c r="C1126" s="583">
        <v>745</v>
      </c>
      <c r="D1126" s="625" t="e">
        <f t="shared" si="37"/>
        <v>#VALUE!</v>
      </c>
      <c r="E1126" s="591"/>
      <c r="F1126" s="591"/>
      <c r="G1126" s="591"/>
      <c r="H1126" s="591"/>
      <c r="I1126" s="591"/>
      <c r="J1126" s="591"/>
      <c r="K1126" s="542"/>
      <c r="O1126" s="1134"/>
      <c r="Q1126" s="1133"/>
    </row>
    <row r="1127" spans="2:17" x14ac:dyDescent="0.3">
      <c r="B1127" s="126"/>
      <c r="C1127" s="583">
        <v>746</v>
      </c>
      <c r="D1127" s="625" t="e">
        <f t="shared" si="37"/>
        <v>#VALUE!</v>
      </c>
      <c r="E1127" s="591"/>
      <c r="F1127" s="591"/>
      <c r="G1127" s="591"/>
      <c r="H1127" s="591"/>
      <c r="I1127" s="591"/>
      <c r="J1127" s="591"/>
      <c r="K1127" s="542"/>
      <c r="O1127" s="1134"/>
      <c r="Q1127" s="1133"/>
    </row>
    <row r="1128" spans="2:17" x14ac:dyDescent="0.3">
      <c r="B1128" s="126"/>
      <c r="C1128" s="583">
        <v>747</v>
      </c>
      <c r="D1128" s="625" t="e">
        <f t="shared" si="37"/>
        <v>#VALUE!</v>
      </c>
      <c r="E1128" s="591"/>
      <c r="F1128" s="591"/>
      <c r="G1128" s="591"/>
      <c r="H1128" s="591"/>
      <c r="I1128" s="591"/>
      <c r="J1128" s="591"/>
      <c r="K1128" s="542"/>
      <c r="O1128" s="1134"/>
      <c r="Q1128" s="1133"/>
    </row>
    <row r="1129" spans="2:17" x14ac:dyDescent="0.3">
      <c r="B1129" s="126"/>
      <c r="C1129" s="583">
        <v>748</v>
      </c>
      <c r="D1129" s="625" t="e">
        <f t="shared" si="37"/>
        <v>#VALUE!</v>
      </c>
      <c r="E1129" s="591"/>
      <c r="F1129" s="591"/>
      <c r="G1129" s="591"/>
      <c r="H1129" s="591"/>
      <c r="I1129" s="591"/>
      <c r="J1129" s="591"/>
      <c r="K1129" s="542"/>
      <c r="O1129" s="1134"/>
      <c r="Q1129" s="1133"/>
    </row>
    <row r="1130" spans="2:17" x14ac:dyDescent="0.3">
      <c r="B1130" s="126"/>
      <c r="C1130" s="583">
        <v>749</v>
      </c>
      <c r="D1130" s="625" t="e">
        <f t="shared" si="37"/>
        <v>#VALUE!</v>
      </c>
      <c r="E1130" s="591"/>
      <c r="F1130" s="591"/>
      <c r="G1130" s="591"/>
      <c r="H1130" s="591"/>
      <c r="I1130" s="591"/>
      <c r="J1130" s="591"/>
      <c r="K1130" s="542"/>
      <c r="O1130" s="1134"/>
      <c r="Q1130" s="1133"/>
    </row>
    <row r="1131" spans="2:17" x14ac:dyDescent="0.3">
      <c r="B1131" s="126"/>
      <c r="C1131" s="583">
        <v>750</v>
      </c>
      <c r="D1131" s="625" t="e">
        <f t="shared" si="37"/>
        <v>#VALUE!</v>
      </c>
      <c r="E1131" s="591"/>
      <c r="F1131" s="591"/>
      <c r="G1131" s="591"/>
      <c r="H1131" s="591"/>
      <c r="I1131" s="591"/>
      <c r="J1131" s="591"/>
      <c r="K1131" s="542"/>
      <c r="O1131" s="1134"/>
      <c r="Q1131" s="1133"/>
    </row>
    <row r="1132" spans="2:17" x14ac:dyDescent="0.3">
      <c r="B1132" s="126"/>
      <c r="C1132" s="583">
        <v>751</v>
      </c>
      <c r="D1132" s="625" t="e">
        <f t="shared" si="37"/>
        <v>#VALUE!</v>
      </c>
      <c r="E1132" s="591"/>
      <c r="F1132" s="591"/>
      <c r="G1132" s="591"/>
      <c r="H1132" s="591"/>
      <c r="I1132" s="591"/>
      <c r="J1132" s="591"/>
      <c r="K1132" s="542"/>
      <c r="O1132" s="1134"/>
      <c r="Q1132" s="1133"/>
    </row>
    <row r="1133" spans="2:17" x14ac:dyDescent="0.3">
      <c r="B1133" s="126"/>
      <c r="C1133" s="583">
        <v>752</v>
      </c>
      <c r="D1133" s="625" t="e">
        <f t="shared" si="37"/>
        <v>#VALUE!</v>
      </c>
      <c r="E1133" s="591"/>
      <c r="F1133" s="591"/>
      <c r="G1133" s="591"/>
      <c r="H1133" s="591"/>
      <c r="I1133" s="591"/>
      <c r="J1133" s="591"/>
      <c r="K1133" s="542"/>
      <c r="O1133" s="1134"/>
      <c r="Q1133" s="1133"/>
    </row>
    <row r="1134" spans="2:17" x14ac:dyDescent="0.3">
      <c r="B1134" s="126"/>
      <c r="C1134" s="583">
        <v>753</v>
      </c>
      <c r="D1134" s="625" t="e">
        <f t="shared" si="37"/>
        <v>#VALUE!</v>
      </c>
      <c r="E1134" s="591"/>
      <c r="F1134" s="591"/>
      <c r="G1134" s="591"/>
      <c r="H1134" s="591"/>
      <c r="I1134" s="591"/>
      <c r="J1134" s="591"/>
      <c r="K1134" s="542"/>
      <c r="O1134" s="1134"/>
      <c r="Q1134" s="1133"/>
    </row>
    <row r="1135" spans="2:17" x14ac:dyDescent="0.3">
      <c r="B1135" s="126"/>
      <c r="C1135" s="583">
        <v>754</v>
      </c>
      <c r="D1135" s="625" t="e">
        <f t="shared" si="37"/>
        <v>#VALUE!</v>
      </c>
      <c r="E1135" s="591"/>
      <c r="F1135" s="591"/>
      <c r="G1135" s="591"/>
      <c r="H1135" s="591"/>
      <c r="I1135" s="591"/>
      <c r="J1135" s="591"/>
      <c r="K1135" s="542"/>
      <c r="O1135" s="1134"/>
      <c r="Q1135" s="1133"/>
    </row>
    <row r="1136" spans="2:17" x14ac:dyDescent="0.3">
      <c r="B1136" s="126"/>
      <c r="C1136" s="583">
        <v>755</v>
      </c>
      <c r="D1136" s="625" t="e">
        <f t="shared" si="37"/>
        <v>#VALUE!</v>
      </c>
      <c r="E1136" s="591"/>
      <c r="F1136" s="591"/>
      <c r="G1136" s="591"/>
      <c r="H1136" s="591"/>
      <c r="I1136" s="591"/>
      <c r="J1136" s="591"/>
      <c r="K1136" s="542"/>
      <c r="O1136" s="1134"/>
      <c r="Q1136" s="1133"/>
    </row>
    <row r="1137" spans="2:17" x14ac:dyDescent="0.3">
      <c r="B1137" s="126"/>
      <c r="C1137" s="583">
        <v>756</v>
      </c>
      <c r="D1137" s="625" t="e">
        <f t="shared" si="37"/>
        <v>#VALUE!</v>
      </c>
      <c r="E1137" s="591"/>
      <c r="F1137" s="591"/>
      <c r="G1137" s="591"/>
      <c r="H1137" s="591"/>
      <c r="I1137" s="591"/>
      <c r="J1137" s="591"/>
      <c r="K1137" s="542"/>
      <c r="O1137" s="1134"/>
      <c r="Q1137" s="1133"/>
    </row>
    <row r="1138" spans="2:17" x14ac:dyDescent="0.3">
      <c r="B1138" s="126"/>
      <c r="C1138" s="583">
        <v>757</v>
      </c>
      <c r="D1138" s="625" t="e">
        <f t="shared" si="37"/>
        <v>#VALUE!</v>
      </c>
      <c r="E1138" s="591"/>
      <c r="F1138" s="591"/>
      <c r="G1138" s="591"/>
      <c r="H1138" s="591"/>
      <c r="I1138" s="591"/>
      <c r="J1138" s="591"/>
      <c r="K1138" s="542"/>
      <c r="O1138" s="1134"/>
      <c r="Q1138" s="1133"/>
    </row>
    <row r="1139" spans="2:17" x14ac:dyDescent="0.3">
      <c r="B1139" s="126"/>
      <c r="C1139" s="583">
        <v>758</v>
      </c>
      <c r="D1139" s="625" t="e">
        <f t="shared" si="37"/>
        <v>#VALUE!</v>
      </c>
      <c r="E1139" s="591"/>
      <c r="F1139" s="591"/>
      <c r="G1139" s="591"/>
      <c r="H1139" s="591"/>
      <c r="I1139" s="591"/>
      <c r="J1139" s="591"/>
      <c r="K1139" s="542"/>
      <c r="O1139" s="1134"/>
      <c r="Q1139" s="1133"/>
    </row>
    <row r="1140" spans="2:17" x14ac:dyDescent="0.3">
      <c r="B1140" s="126"/>
      <c r="C1140" s="583">
        <v>759</v>
      </c>
      <c r="D1140" s="625" t="e">
        <f t="shared" si="37"/>
        <v>#VALUE!</v>
      </c>
      <c r="E1140" s="591"/>
      <c r="F1140" s="591"/>
      <c r="G1140" s="591"/>
      <c r="H1140" s="591"/>
      <c r="I1140" s="591"/>
      <c r="J1140" s="591"/>
      <c r="K1140" s="542"/>
      <c r="O1140" s="1134"/>
      <c r="Q1140" s="1133"/>
    </row>
    <row r="1141" spans="2:17" x14ac:dyDescent="0.3">
      <c r="B1141" s="126"/>
      <c r="C1141" s="583">
        <v>760</v>
      </c>
      <c r="D1141" s="625" t="e">
        <f t="shared" si="37"/>
        <v>#VALUE!</v>
      </c>
      <c r="E1141" s="591"/>
      <c r="F1141" s="591"/>
      <c r="G1141" s="591"/>
      <c r="H1141" s="591"/>
      <c r="I1141" s="591"/>
      <c r="J1141" s="591"/>
      <c r="K1141" s="542"/>
      <c r="O1141" s="1134"/>
      <c r="Q1141" s="1133"/>
    </row>
    <row r="1142" spans="2:17" x14ac:dyDescent="0.3">
      <c r="B1142" s="126"/>
      <c r="C1142" s="583">
        <v>761</v>
      </c>
      <c r="D1142" s="625" t="e">
        <f t="shared" si="37"/>
        <v>#VALUE!</v>
      </c>
      <c r="E1142" s="591"/>
      <c r="F1142" s="591"/>
      <c r="G1142" s="591"/>
      <c r="H1142" s="591"/>
      <c r="I1142" s="591"/>
      <c r="J1142" s="591"/>
      <c r="K1142" s="542"/>
      <c r="O1142" s="1134"/>
      <c r="Q1142" s="1133"/>
    </row>
    <row r="1143" spans="2:17" x14ac:dyDescent="0.3">
      <c r="B1143" s="126"/>
      <c r="C1143" s="583">
        <v>762</v>
      </c>
      <c r="D1143" s="625" t="e">
        <f t="shared" si="37"/>
        <v>#VALUE!</v>
      </c>
      <c r="E1143" s="591"/>
      <c r="F1143" s="591"/>
      <c r="G1143" s="591"/>
      <c r="H1143" s="591"/>
      <c r="I1143" s="591"/>
      <c r="J1143" s="591"/>
      <c r="K1143" s="542"/>
      <c r="O1143" s="1134"/>
      <c r="Q1143" s="1133"/>
    </row>
    <row r="1144" spans="2:17" x14ac:dyDescent="0.3">
      <c r="B1144" s="126"/>
      <c r="C1144" s="583">
        <v>763</v>
      </c>
      <c r="D1144" s="625" t="e">
        <f t="shared" si="37"/>
        <v>#VALUE!</v>
      </c>
      <c r="E1144" s="591"/>
      <c r="F1144" s="591"/>
      <c r="G1144" s="591"/>
      <c r="H1144" s="591"/>
      <c r="I1144" s="591"/>
      <c r="J1144" s="591"/>
      <c r="K1144" s="542"/>
      <c r="O1144" s="1134"/>
      <c r="Q1144" s="1133"/>
    </row>
    <row r="1145" spans="2:17" x14ac:dyDescent="0.3">
      <c r="B1145" s="126"/>
      <c r="C1145" s="583">
        <v>764</v>
      </c>
      <c r="D1145" s="625" t="e">
        <f t="shared" si="37"/>
        <v>#VALUE!</v>
      </c>
      <c r="E1145" s="591"/>
      <c r="F1145" s="591"/>
      <c r="G1145" s="591"/>
      <c r="H1145" s="591"/>
      <c r="I1145" s="591"/>
      <c r="J1145" s="591"/>
      <c r="K1145" s="542"/>
      <c r="O1145" s="1134"/>
      <c r="Q1145" s="1133"/>
    </row>
    <row r="1146" spans="2:17" x14ac:dyDescent="0.3">
      <c r="B1146" s="126"/>
      <c r="C1146" s="583">
        <v>765</v>
      </c>
      <c r="D1146" s="625" t="e">
        <f t="shared" si="37"/>
        <v>#VALUE!</v>
      </c>
      <c r="E1146" s="591"/>
      <c r="F1146" s="591"/>
      <c r="G1146" s="591"/>
      <c r="H1146" s="591"/>
      <c r="I1146" s="591"/>
      <c r="J1146" s="591"/>
      <c r="K1146" s="542"/>
      <c r="O1146" s="1134"/>
      <c r="Q1146" s="1133"/>
    </row>
    <row r="1147" spans="2:17" x14ac:dyDescent="0.3">
      <c r="B1147" s="126"/>
      <c r="C1147" s="583">
        <v>766</v>
      </c>
      <c r="D1147" s="625" t="e">
        <f t="shared" si="37"/>
        <v>#VALUE!</v>
      </c>
      <c r="E1147" s="591"/>
      <c r="F1147" s="591"/>
      <c r="G1147" s="591"/>
      <c r="H1147" s="591"/>
      <c r="I1147" s="591"/>
      <c r="J1147" s="591"/>
      <c r="K1147" s="542"/>
      <c r="O1147" s="1134"/>
      <c r="Q1147" s="1133"/>
    </row>
    <row r="1148" spans="2:17" x14ac:dyDescent="0.3">
      <c r="B1148" s="126"/>
      <c r="C1148" s="583">
        <v>767</v>
      </c>
      <c r="D1148" s="625" t="e">
        <f t="shared" si="37"/>
        <v>#VALUE!</v>
      </c>
      <c r="E1148" s="591"/>
      <c r="F1148" s="591"/>
      <c r="G1148" s="591"/>
      <c r="H1148" s="591"/>
      <c r="I1148" s="591"/>
      <c r="J1148" s="591"/>
      <c r="K1148" s="542"/>
      <c r="O1148" s="1134"/>
      <c r="Q1148" s="1133"/>
    </row>
    <row r="1149" spans="2:17" x14ac:dyDescent="0.3">
      <c r="B1149" s="126"/>
      <c r="C1149" s="583">
        <v>768</v>
      </c>
      <c r="D1149" s="625" t="e">
        <f t="shared" ref="D1149:D1212" si="38">$C$360*C1149</f>
        <v>#VALUE!</v>
      </c>
      <c r="E1149" s="591"/>
      <c r="F1149" s="591"/>
      <c r="G1149" s="591"/>
      <c r="H1149" s="591"/>
      <c r="I1149" s="591"/>
      <c r="J1149" s="591"/>
      <c r="K1149" s="542"/>
      <c r="O1149" s="1134"/>
      <c r="Q1149" s="1133"/>
    </row>
    <row r="1150" spans="2:17" x14ac:dyDescent="0.3">
      <c r="B1150" s="126"/>
      <c r="C1150" s="583">
        <v>769</v>
      </c>
      <c r="D1150" s="625" t="e">
        <f t="shared" si="38"/>
        <v>#VALUE!</v>
      </c>
      <c r="E1150" s="591"/>
      <c r="F1150" s="591"/>
      <c r="G1150" s="591"/>
      <c r="H1150" s="591"/>
      <c r="I1150" s="591"/>
      <c r="J1150" s="591"/>
      <c r="K1150" s="542"/>
      <c r="O1150" s="1134"/>
      <c r="Q1150" s="1133"/>
    </row>
    <row r="1151" spans="2:17" x14ac:dyDescent="0.3">
      <c r="B1151" s="126"/>
      <c r="C1151" s="583">
        <v>770</v>
      </c>
      <c r="D1151" s="625" t="e">
        <f t="shared" si="38"/>
        <v>#VALUE!</v>
      </c>
      <c r="E1151" s="591"/>
      <c r="F1151" s="591"/>
      <c r="G1151" s="591"/>
      <c r="H1151" s="591"/>
      <c r="I1151" s="591"/>
      <c r="J1151" s="591"/>
      <c r="K1151" s="542"/>
      <c r="O1151" s="1134"/>
      <c r="Q1151" s="1133"/>
    </row>
    <row r="1152" spans="2:17" x14ac:dyDescent="0.3">
      <c r="B1152" s="126"/>
      <c r="C1152" s="583">
        <v>771</v>
      </c>
      <c r="D1152" s="625" t="e">
        <f t="shared" si="38"/>
        <v>#VALUE!</v>
      </c>
      <c r="E1152" s="591"/>
      <c r="F1152" s="591"/>
      <c r="G1152" s="591"/>
      <c r="H1152" s="591"/>
      <c r="I1152" s="591"/>
      <c r="J1152" s="591"/>
      <c r="K1152" s="542"/>
      <c r="O1152" s="1134"/>
      <c r="Q1152" s="1133"/>
    </row>
    <row r="1153" spans="2:17" x14ac:dyDescent="0.3">
      <c r="B1153" s="126"/>
      <c r="C1153" s="583">
        <v>772</v>
      </c>
      <c r="D1153" s="625" t="e">
        <f t="shared" si="38"/>
        <v>#VALUE!</v>
      </c>
      <c r="E1153" s="591"/>
      <c r="F1153" s="591"/>
      <c r="G1153" s="591"/>
      <c r="H1153" s="591"/>
      <c r="I1153" s="591"/>
      <c r="J1153" s="591"/>
      <c r="K1153" s="542"/>
      <c r="O1153" s="1134"/>
      <c r="Q1153" s="1133"/>
    </row>
    <row r="1154" spans="2:17" x14ac:dyDescent="0.3">
      <c r="B1154" s="126"/>
      <c r="C1154" s="583">
        <v>773</v>
      </c>
      <c r="D1154" s="625" t="e">
        <f t="shared" si="38"/>
        <v>#VALUE!</v>
      </c>
      <c r="E1154" s="591"/>
      <c r="F1154" s="591"/>
      <c r="G1154" s="591"/>
      <c r="H1154" s="591"/>
      <c r="I1154" s="591"/>
      <c r="J1154" s="591"/>
      <c r="K1154" s="542"/>
      <c r="O1154" s="1134"/>
      <c r="Q1154" s="1133"/>
    </row>
    <row r="1155" spans="2:17" x14ac:dyDescent="0.3">
      <c r="B1155" s="126"/>
      <c r="C1155" s="583">
        <v>774</v>
      </c>
      <c r="D1155" s="625" t="e">
        <f t="shared" si="38"/>
        <v>#VALUE!</v>
      </c>
      <c r="E1155" s="591"/>
      <c r="F1155" s="591"/>
      <c r="G1155" s="591"/>
      <c r="H1155" s="591"/>
      <c r="I1155" s="591"/>
      <c r="J1155" s="591"/>
      <c r="K1155" s="542"/>
      <c r="O1155" s="1134"/>
      <c r="Q1155" s="1133"/>
    </row>
    <row r="1156" spans="2:17" x14ac:dyDescent="0.3">
      <c r="B1156" s="126"/>
      <c r="C1156" s="583">
        <v>775</v>
      </c>
      <c r="D1156" s="625" t="e">
        <f t="shared" si="38"/>
        <v>#VALUE!</v>
      </c>
      <c r="E1156" s="591"/>
      <c r="F1156" s="591"/>
      <c r="G1156" s="591"/>
      <c r="H1156" s="591"/>
      <c r="I1156" s="591"/>
      <c r="J1156" s="591"/>
      <c r="K1156" s="542"/>
      <c r="O1156" s="1134"/>
      <c r="Q1156" s="1133"/>
    </row>
    <row r="1157" spans="2:17" x14ac:dyDescent="0.3">
      <c r="B1157" s="126"/>
      <c r="C1157" s="583">
        <v>776</v>
      </c>
      <c r="D1157" s="625" t="e">
        <f t="shared" si="38"/>
        <v>#VALUE!</v>
      </c>
      <c r="E1157" s="591"/>
      <c r="F1157" s="591"/>
      <c r="G1157" s="591"/>
      <c r="H1157" s="591"/>
      <c r="I1157" s="591"/>
      <c r="J1157" s="591"/>
      <c r="K1157" s="542"/>
      <c r="O1157" s="1134"/>
      <c r="Q1157" s="1133"/>
    </row>
    <row r="1158" spans="2:17" x14ac:dyDescent="0.3">
      <c r="B1158" s="126"/>
      <c r="C1158" s="583">
        <v>777</v>
      </c>
      <c r="D1158" s="625" t="e">
        <f t="shared" si="38"/>
        <v>#VALUE!</v>
      </c>
      <c r="E1158" s="591"/>
      <c r="F1158" s="591"/>
      <c r="G1158" s="591"/>
      <c r="H1158" s="591"/>
      <c r="I1158" s="591"/>
      <c r="J1158" s="591"/>
      <c r="K1158" s="542"/>
      <c r="O1158" s="1134"/>
      <c r="Q1158" s="1133"/>
    </row>
    <row r="1159" spans="2:17" x14ac:dyDescent="0.3">
      <c r="B1159" s="126"/>
      <c r="C1159" s="583">
        <v>778</v>
      </c>
      <c r="D1159" s="625" t="e">
        <f t="shared" si="38"/>
        <v>#VALUE!</v>
      </c>
      <c r="E1159" s="591"/>
      <c r="F1159" s="591"/>
      <c r="G1159" s="591"/>
      <c r="H1159" s="591"/>
      <c r="I1159" s="591"/>
      <c r="J1159" s="591"/>
      <c r="K1159" s="542"/>
      <c r="O1159" s="1134"/>
      <c r="Q1159" s="1133"/>
    </row>
    <row r="1160" spans="2:17" x14ac:dyDescent="0.3">
      <c r="B1160" s="126"/>
      <c r="C1160" s="583">
        <v>779</v>
      </c>
      <c r="D1160" s="625" t="e">
        <f t="shared" si="38"/>
        <v>#VALUE!</v>
      </c>
      <c r="E1160" s="591"/>
      <c r="F1160" s="591"/>
      <c r="G1160" s="591"/>
      <c r="H1160" s="591"/>
      <c r="I1160" s="591"/>
      <c r="J1160" s="591"/>
      <c r="K1160" s="542"/>
      <c r="O1160" s="1134"/>
      <c r="Q1160" s="1133"/>
    </row>
    <row r="1161" spans="2:17" x14ac:dyDescent="0.3">
      <c r="B1161" s="126"/>
      <c r="C1161" s="583">
        <v>780</v>
      </c>
      <c r="D1161" s="625" t="e">
        <f t="shared" si="38"/>
        <v>#VALUE!</v>
      </c>
      <c r="E1161" s="591"/>
      <c r="F1161" s="591"/>
      <c r="G1161" s="591"/>
      <c r="H1161" s="591"/>
      <c r="I1161" s="591"/>
      <c r="J1161" s="591"/>
      <c r="K1161" s="542"/>
      <c r="O1161" s="1134"/>
      <c r="Q1161" s="1133"/>
    </row>
    <row r="1162" spans="2:17" x14ac:dyDescent="0.3">
      <c r="B1162" s="126"/>
      <c r="C1162" s="583">
        <v>781</v>
      </c>
      <c r="D1162" s="625" t="e">
        <f t="shared" si="38"/>
        <v>#VALUE!</v>
      </c>
      <c r="E1162" s="591"/>
      <c r="F1162" s="591"/>
      <c r="G1162" s="591"/>
      <c r="H1162" s="591"/>
      <c r="I1162" s="591"/>
      <c r="J1162" s="591"/>
      <c r="K1162" s="542"/>
      <c r="O1162" s="1134"/>
      <c r="Q1162" s="1133"/>
    </row>
    <row r="1163" spans="2:17" x14ac:dyDescent="0.3">
      <c r="B1163" s="126"/>
      <c r="C1163" s="583">
        <v>782</v>
      </c>
      <c r="D1163" s="625" t="e">
        <f t="shared" si="38"/>
        <v>#VALUE!</v>
      </c>
      <c r="E1163" s="591"/>
      <c r="F1163" s="591"/>
      <c r="G1163" s="591"/>
      <c r="H1163" s="591"/>
      <c r="I1163" s="591"/>
      <c r="J1163" s="591"/>
      <c r="K1163" s="542"/>
      <c r="O1163" s="1134"/>
      <c r="Q1163" s="1133"/>
    </row>
    <row r="1164" spans="2:17" x14ac:dyDescent="0.3">
      <c r="B1164" s="126"/>
      <c r="C1164" s="583">
        <v>783</v>
      </c>
      <c r="D1164" s="625" t="e">
        <f t="shared" si="38"/>
        <v>#VALUE!</v>
      </c>
      <c r="E1164" s="591"/>
      <c r="F1164" s="591"/>
      <c r="G1164" s="591"/>
      <c r="H1164" s="591"/>
      <c r="I1164" s="591"/>
      <c r="J1164" s="591"/>
      <c r="K1164" s="542"/>
      <c r="O1164" s="1134"/>
      <c r="Q1164" s="1133"/>
    </row>
    <row r="1165" spans="2:17" x14ac:dyDescent="0.3">
      <c r="B1165" s="126"/>
      <c r="C1165" s="583">
        <v>784</v>
      </c>
      <c r="D1165" s="625" t="e">
        <f t="shared" si="38"/>
        <v>#VALUE!</v>
      </c>
      <c r="E1165" s="591"/>
      <c r="F1165" s="591"/>
      <c r="G1165" s="591"/>
      <c r="H1165" s="591"/>
      <c r="I1165" s="591"/>
      <c r="J1165" s="591"/>
      <c r="K1165" s="542"/>
      <c r="O1165" s="1134"/>
      <c r="Q1165" s="1133"/>
    </row>
    <row r="1166" spans="2:17" x14ac:dyDescent="0.3">
      <c r="B1166" s="126"/>
      <c r="C1166" s="583">
        <v>785</v>
      </c>
      <c r="D1166" s="625" t="e">
        <f t="shared" si="38"/>
        <v>#VALUE!</v>
      </c>
      <c r="E1166" s="591"/>
      <c r="F1166" s="591"/>
      <c r="G1166" s="591"/>
      <c r="H1166" s="591"/>
      <c r="I1166" s="591"/>
      <c r="J1166" s="591"/>
      <c r="K1166" s="542"/>
      <c r="O1166" s="1134"/>
      <c r="Q1166" s="1133"/>
    </row>
    <row r="1167" spans="2:17" x14ac:dyDescent="0.3">
      <c r="B1167" s="126"/>
      <c r="C1167" s="583">
        <v>786</v>
      </c>
      <c r="D1167" s="625" t="e">
        <f t="shared" si="38"/>
        <v>#VALUE!</v>
      </c>
      <c r="E1167" s="591"/>
      <c r="F1167" s="591"/>
      <c r="G1167" s="591"/>
      <c r="H1167" s="591"/>
      <c r="I1167" s="591"/>
      <c r="J1167" s="591"/>
      <c r="K1167" s="542"/>
      <c r="O1167" s="1134"/>
      <c r="Q1167" s="1133"/>
    </row>
    <row r="1168" spans="2:17" x14ac:dyDescent="0.3">
      <c r="B1168" s="126"/>
      <c r="C1168" s="583">
        <v>787</v>
      </c>
      <c r="D1168" s="625" t="e">
        <f t="shared" si="38"/>
        <v>#VALUE!</v>
      </c>
      <c r="E1168" s="591"/>
      <c r="F1168" s="591"/>
      <c r="G1168" s="591"/>
      <c r="H1168" s="591"/>
      <c r="I1168" s="591"/>
      <c r="J1168" s="591"/>
      <c r="K1168" s="542"/>
      <c r="O1168" s="1134"/>
      <c r="Q1168" s="1133"/>
    </row>
    <row r="1169" spans="2:17" x14ac:dyDescent="0.3">
      <c r="B1169" s="126"/>
      <c r="C1169" s="583">
        <v>788</v>
      </c>
      <c r="D1169" s="625" t="e">
        <f t="shared" si="38"/>
        <v>#VALUE!</v>
      </c>
      <c r="E1169" s="591"/>
      <c r="F1169" s="591"/>
      <c r="G1169" s="591"/>
      <c r="H1169" s="591"/>
      <c r="I1169" s="591"/>
      <c r="J1169" s="591"/>
      <c r="K1169" s="542"/>
      <c r="O1169" s="1134"/>
      <c r="Q1169" s="1133"/>
    </row>
    <row r="1170" spans="2:17" x14ac:dyDescent="0.3">
      <c r="B1170" s="126"/>
      <c r="C1170" s="583">
        <v>789</v>
      </c>
      <c r="D1170" s="625" t="e">
        <f t="shared" si="38"/>
        <v>#VALUE!</v>
      </c>
      <c r="E1170" s="591"/>
      <c r="F1170" s="591"/>
      <c r="G1170" s="591"/>
      <c r="H1170" s="591"/>
      <c r="I1170" s="591"/>
      <c r="J1170" s="591"/>
      <c r="K1170" s="542"/>
      <c r="O1170" s="1134"/>
      <c r="Q1170" s="1133"/>
    </row>
    <row r="1171" spans="2:17" x14ac:dyDescent="0.3">
      <c r="B1171" s="126"/>
      <c r="C1171" s="583">
        <v>790</v>
      </c>
      <c r="D1171" s="625" t="e">
        <f t="shared" si="38"/>
        <v>#VALUE!</v>
      </c>
      <c r="E1171" s="591"/>
      <c r="F1171" s="591"/>
      <c r="G1171" s="591"/>
      <c r="H1171" s="591"/>
      <c r="I1171" s="591"/>
      <c r="J1171" s="591"/>
      <c r="K1171" s="542"/>
      <c r="O1171" s="1134"/>
      <c r="Q1171" s="1133"/>
    </row>
    <row r="1172" spans="2:17" x14ac:dyDescent="0.3">
      <c r="B1172" s="126"/>
      <c r="C1172" s="583">
        <v>791</v>
      </c>
      <c r="D1172" s="625" t="e">
        <f t="shared" si="38"/>
        <v>#VALUE!</v>
      </c>
      <c r="E1172" s="591"/>
      <c r="F1172" s="591"/>
      <c r="G1172" s="591"/>
      <c r="H1172" s="591"/>
      <c r="I1172" s="591"/>
      <c r="J1172" s="591"/>
      <c r="K1172" s="542"/>
      <c r="O1172" s="1134"/>
      <c r="Q1172" s="1133"/>
    </row>
    <row r="1173" spans="2:17" x14ac:dyDescent="0.3">
      <c r="B1173" s="126"/>
      <c r="C1173" s="583">
        <v>792</v>
      </c>
      <c r="D1173" s="625" t="e">
        <f t="shared" si="38"/>
        <v>#VALUE!</v>
      </c>
      <c r="E1173" s="591"/>
      <c r="F1173" s="591"/>
      <c r="G1173" s="591"/>
      <c r="H1173" s="591"/>
      <c r="I1173" s="591"/>
      <c r="J1173" s="591"/>
      <c r="K1173" s="542"/>
      <c r="O1173" s="1134"/>
      <c r="Q1173" s="1133"/>
    </row>
    <row r="1174" spans="2:17" x14ac:dyDescent="0.3">
      <c r="B1174" s="126"/>
      <c r="C1174" s="583">
        <v>793</v>
      </c>
      <c r="D1174" s="625" t="e">
        <f t="shared" si="38"/>
        <v>#VALUE!</v>
      </c>
      <c r="E1174" s="591"/>
      <c r="F1174" s="591"/>
      <c r="G1174" s="591"/>
      <c r="H1174" s="591"/>
      <c r="I1174" s="591"/>
      <c r="J1174" s="591"/>
      <c r="K1174" s="542"/>
      <c r="O1174" s="1134"/>
      <c r="Q1174" s="1133"/>
    </row>
    <row r="1175" spans="2:17" x14ac:dyDescent="0.3">
      <c r="B1175" s="126"/>
      <c r="C1175" s="583">
        <v>794</v>
      </c>
      <c r="D1175" s="625" t="e">
        <f t="shared" si="38"/>
        <v>#VALUE!</v>
      </c>
      <c r="E1175" s="591"/>
      <c r="F1175" s="591"/>
      <c r="G1175" s="591"/>
      <c r="H1175" s="591"/>
      <c r="I1175" s="591"/>
      <c r="J1175" s="591"/>
      <c r="K1175" s="542"/>
      <c r="O1175" s="1134"/>
      <c r="Q1175" s="1133"/>
    </row>
    <row r="1176" spans="2:17" x14ac:dyDescent="0.3">
      <c r="B1176" s="126"/>
      <c r="C1176" s="583">
        <v>795</v>
      </c>
      <c r="D1176" s="625" t="e">
        <f t="shared" si="38"/>
        <v>#VALUE!</v>
      </c>
      <c r="E1176" s="591"/>
      <c r="F1176" s="591"/>
      <c r="G1176" s="591"/>
      <c r="H1176" s="591"/>
      <c r="I1176" s="591"/>
      <c r="J1176" s="591"/>
      <c r="K1176" s="542"/>
      <c r="O1176" s="1134"/>
      <c r="Q1176" s="1133"/>
    </row>
    <row r="1177" spans="2:17" x14ac:dyDescent="0.3">
      <c r="B1177" s="126"/>
      <c r="C1177" s="583">
        <v>796</v>
      </c>
      <c r="D1177" s="625" t="e">
        <f t="shared" si="38"/>
        <v>#VALUE!</v>
      </c>
      <c r="E1177" s="591"/>
      <c r="F1177" s="591"/>
      <c r="G1177" s="591"/>
      <c r="H1177" s="591"/>
      <c r="I1177" s="591"/>
      <c r="J1177" s="591"/>
      <c r="K1177" s="542"/>
      <c r="O1177" s="1134"/>
      <c r="Q1177" s="1133"/>
    </row>
    <row r="1178" spans="2:17" x14ac:dyDescent="0.3">
      <c r="B1178" s="126"/>
      <c r="C1178" s="583">
        <v>797</v>
      </c>
      <c r="D1178" s="625" t="e">
        <f t="shared" si="38"/>
        <v>#VALUE!</v>
      </c>
      <c r="E1178" s="591"/>
      <c r="F1178" s="591"/>
      <c r="G1178" s="591"/>
      <c r="H1178" s="591"/>
      <c r="I1178" s="591"/>
      <c r="J1178" s="591"/>
      <c r="K1178" s="542"/>
      <c r="O1178" s="1134"/>
      <c r="Q1178" s="1133"/>
    </row>
    <row r="1179" spans="2:17" x14ac:dyDescent="0.3">
      <c r="B1179" s="126"/>
      <c r="C1179" s="583">
        <v>798</v>
      </c>
      <c r="D1179" s="625" t="e">
        <f t="shared" si="38"/>
        <v>#VALUE!</v>
      </c>
      <c r="E1179" s="591"/>
      <c r="F1179" s="591"/>
      <c r="G1179" s="591"/>
      <c r="H1179" s="591"/>
      <c r="I1179" s="591"/>
      <c r="J1179" s="591"/>
      <c r="K1179" s="542"/>
      <c r="O1179" s="1134"/>
      <c r="Q1179" s="1133"/>
    </row>
    <row r="1180" spans="2:17" x14ac:dyDescent="0.3">
      <c r="B1180" s="126"/>
      <c r="C1180" s="583">
        <v>799</v>
      </c>
      <c r="D1180" s="625" t="e">
        <f t="shared" si="38"/>
        <v>#VALUE!</v>
      </c>
      <c r="E1180" s="591"/>
      <c r="F1180" s="591"/>
      <c r="G1180" s="591"/>
      <c r="H1180" s="591"/>
      <c r="I1180" s="591"/>
      <c r="J1180" s="591"/>
      <c r="K1180" s="542"/>
      <c r="O1180" s="1134"/>
      <c r="Q1180" s="1133"/>
    </row>
    <row r="1181" spans="2:17" x14ac:dyDescent="0.3">
      <c r="B1181" s="126"/>
      <c r="C1181" s="583">
        <v>800</v>
      </c>
      <c r="D1181" s="625" t="e">
        <f t="shared" si="38"/>
        <v>#VALUE!</v>
      </c>
      <c r="E1181" s="591"/>
      <c r="F1181" s="591"/>
      <c r="G1181" s="591"/>
      <c r="H1181" s="591"/>
      <c r="I1181" s="591"/>
      <c r="J1181" s="591"/>
      <c r="K1181" s="542"/>
      <c r="O1181" s="1134"/>
      <c r="Q1181" s="1133"/>
    </row>
    <row r="1182" spans="2:17" x14ac:dyDescent="0.3">
      <c r="B1182" s="126"/>
      <c r="C1182" s="583">
        <v>801</v>
      </c>
      <c r="D1182" s="625" t="e">
        <f t="shared" si="38"/>
        <v>#VALUE!</v>
      </c>
      <c r="E1182" s="591"/>
      <c r="F1182" s="591"/>
      <c r="G1182" s="591"/>
      <c r="H1182" s="591"/>
      <c r="I1182" s="591"/>
      <c r="J1182" s="591"/>
      <c r="K1182" s="542"/>
      <c r="O1182" s="1134"/>
      <c r="Q1182" s="1133"/>
    </row>
    <row r="1183" spans="2:17" x14ac:dyDescent="0.3">
      <c r="B1183" s="126"/>
      <c r="C1183" s="583">
        <v>802</v>
      </c>
      <c r="D1183" s="625" t="e">
        <f t="shared" si="38"/>
        <v>#VALUE!</v>
      </c>
      <c r="E1183" s="591"/>
      <c r="F1183" s="591"/>
      <c r="G1183" s="591"/>
      <c r="H1183" s="591"/>
      <c r="I1183" s="591"/>
      <c r="J1183" s="591"/>
      <c r="K1183" s="542"/>
      <c r="O1183" s="1134"/>
      <c r="Q1183" s="1133"/>
    </row>
    <row r="1184" spans="2:17" x14ac:dyDescent="0.3">
      <c r="B1184" s="126"/>
      <c r="C1184" s="583">
        <v>803</v>
      </c>
      <c r="D1184" s="625" t="e">
        <f t="shared" si="38"/>
        <v>#VALUE!</v>
      </c>
      <c r="E1184" s="591"/>
      <c r="F1184" s="591"/>
      <c r="G1184" s="591"/>
      <c r="H1184" s="591"/>
      <c r="I1184" s="591"/>
      <c r="J1184" s="591"/>
      <c r="K1184" s="542"/>
      <c r="O1184" s="1134"/>
      <c r="Q1184" s="1133"/>
    </row>
    <row r="1185" spans="2:17" x14ac:dyDescent="0.3">
      <c r="B1185" s="126"/>
      <c r="C1185" s="583">
        <v>804</v>
      </c>
      <c r="D1185" s="625" t="e">
        <f t="shared" si="38"/>
        <v>#VALUE!</v>
      </c>
      <c r="E1185" s="591"/>
      <c r="F1185" s="591"/>
      <c r="G1185" s="591"/>
      <c r="H1185" s="591"/>
      <c r="I1185" s="591"/>
      <c r="J1185" s="591"/>
      <c r="K1185" s="542"/>
      <c r="O1185" s="1134"/>
      <c r="Q1185" s="1133"/>
    </row>
    <row r="1186" spans="2:17" x14ac:dyDescent="0.3">
      <c r="B1186" s="126"/>
      <c r="C1186" s="583">
        <v>805</v>
      </c>
      <c r="D1186" s="625" t="e">
        <f t="shared" si="38"/>
        <v>#VALUE!</v>
      </c>
      <c r="E1186" s="591"/>
      <c r="F1186" s="591"/>
      <c r="G1186" s="591"/>
      <c r="H1186" s="591"/>
      <c r="I1186" s="591"/>
      <c r="J1186" s="591"/>
      <c r="K1186" s="542"/>
      <c r="O1186" s="1134"/>
      <c r="Q1186" s="1133"/>
    </row>
    <row r="1187" spans="2:17" x14ac:dyDescent="0.3">
      <c r="B1187" s="126"/>
      <c r="C1187" s="583">
        <v>806</v>
      </c>
      <c r="D1187" s="625" t="e">
        <f t="shared" si="38"/>
        <v>#VALUE!</v>
      </c>
      <c r="E1187" s="591"/>
      <c r="F1187" s="591"/>
      <c r="G1187" s="591"/>
      <c r="H1187" s="591"/>
      <c r="I1187" s="591"/>
      <c r="J1187" s="591"/>
      <c r="K1187" s="542"/>
      <c r="O1187" s="1134"/>
      <c r="Q1187" s="1133"/>
    </row>
    <row r="1188" spans="2:17" x14ac:dyDescent="0.3">
      <c r="B1188" s="126"/>
      <c r="C1188" s="583">
        <v>807</v>
      </c>
      <c r="D1188" s="625" t="e">
        <f t="shared" si="38"/>
        <v>#VALUE!</v>
      </c>
      <c r="E1188" s="591"/>
      <c r="F1188" s="591"/>
      <c r="G1188" s="591"/>
      <c r="H1188" s="591"/>
      <c r="I1188" s="591"/>
      <c r="J1188" s="591"/>
      <c r="K1188" s="542"/>
      <c r="O1188" s="1134"/>
      <c r="Q1188" s="1133"/>
    </row>
    <row r="1189" spans="2:17" x14ac:dyDescent="0.3">
      <c r="B1189" s="126"/>
      <c r="C1189" s="583">
        <v>808</v>
      </c>
      <c r="D1189" s="625" t="e">
        <f t="shared" si="38"/>
        <v>#VALUE!</v>
      </c>
      <c r="E1189" s="591"/>
      <c r="F1189" s="591"/>
      <c r="G1189" s="591"/>
      <c r="H1189" s="591"/>
      <c r="I1189" s="591"/>
      <c r="J1189" s="591"/>
      <c r="K1189" s="542"/>
      <c r="O1189" s="1134"/>
      <c r="Q1189" s="1133"/>
    </row>
    <row r="1190" spans="2:17" x14ac:dyDescent="0.3">
      <c r="B1190" s="126"/>
      <c r="C1190" s="583">
        <v>809</v>
      </c>
      <c r="D1190" s="625" t="e">
        <f t="shared" si="38"/>
        <v>#VALUE!</v>
      </c>
      <c r="E1190" s="591"/>
      <c r="F1190" s="591"/>
      <c r="G1190" s="591"/>
      <c r="H1190" s="591"/>
      <c r="I1190" s="591"/>
      <c r="J1190" s="591"/>
      <c r="K1190" s="542"/>
      <c r="O1190" s="1134"/>
      <c r="Q1190" s="1133"/>
    </row>
    <row r="1191" spans="2:17" x14ac:dyDescent="0.3">
      <c r="B1191" s="126"/>
      <c r="C1191" s="583">
        <v>810</v>
      </c>
      <c r="D1191" s="625" t="e">
        <f t="shared" si="38"/>
        <v>#VALUE!</v>
      </c>
      <c r="E1191" s="591"/>
      <c r="F1191" s="591"/>
      <c r="G1191" s="591"/>
      <c r="H1191" s="591"/>
      <c r="I1191" s="591"/>
      <c r="J1191" s="591"/>
      <c r="K1191" s="542"/>
      <c r="O1191" s="1134"/>
      <c r="Q1191" s="1133"/>
    </row>
    <row r="1192" spans="2:17" x14ac:dyDescent="0.3">
      <c r="B1192" s="126"/>
      <c r="C1192" s="583">
        <v>811</v>
      </c>
      <c r="D1192" s="625" t="e">
        <f t="shared" si="38"/>
        <v>#VALUE!</v>
      </c>
      <c r="E1192" s="591"/>
      <c r="F1192" s="591"/>
      <c r="G1192" s="591"/>
      <c r="H1192" s="591"/>
      <c r="I1192" s="591"/>
      <c r="J1192" s="591"/>
      <c r="K1192" s="542"/>
      <c r="O1192" s="1134"/>
      <c r="Q1192" s="1133"/>
    </row>
    <row r="1193" spans="2:17" x14ac:dyDescent="0.3">
      <c r="B1193" s="126"/>
      <c r="C1193" s="583">
        <v>812</v>
      </c>
      <c r="D1193" s="625" t="e">
        <f t="shared" si="38"/>
        <v>#VALUE!</v>
      </c>
      <c r="E1193" s="591"/>
      <c r="F1193" s="591"/>
      <c r="G1193" s="591"/>
      <c r="H1193" s="591"/>
      <c r="I1193" s="591"/>
      <c r="J1193" s="591"/>
      <c r="K1193" s="542"/>
      <c r="O1193" s="1134"/>
      <c r="Q1193" s="1133"/>
    </row>
    <row r="1194" spans="2:17" x14ac:dyDescent="0.3">
      <c r="B1194" s="126"/>
      <c r="C1194" s="583">
        <v>813</v>
      </c>
      <c r="D1194" s="625" t="e">
        <f t="shared" si="38"/>
        <v>#VALUE!</v>
      </c>
      <c r="E1194" s="591"/>
      <c r="F1194" s="591"/>
      <c r="G1194" s="591"/>
      <c r="H1194" s="591"/>
      <c r="I1194" s="591"/>
      <c r="J1194" s="591"/>
      <c r="K1194" s="542"/>
      <c r="O1194" s="1134"/>
      <c r="Q1194" s="1133"/>
    </row>
    <row r="1195" spans="2:17" x14ac:dyDescent="0.3">
      <c r="B1195" s="126"/>
      <c r="C1195" s="583">
        <v>814</v>
      </c>
      <c r="D1195" s="625" t="e">
        <f t="shared" si="38"/>
        <v>#VALUE!</v>
      </c>
      <c r="E1195" s="591"/>
      <c r="F1195" s="591"/>
      <c r="G1195" s="591"/>
      <c r="H1195" s="591"/>
      <c r="I1195" s="591"/>
      <c r="J1195" s="591"/>
      <c r="K1195" s="542"/>
      <c r="O1195" s="1134"/>
      <c r="Q1195" s="1133"/>
    </row>
    <row r="1196" spans="2:17" x14ac:dyDescent="0.3">
      <c r="B1196" s="126"/>
      <c r="C1196" s="583">
        <v>815</v>
      </c>
      <c r="D1196" s="625" t="e">
        <f t="shared" si="38"/>
        <v>#VALUE!</v>
      </c>
      <c r="E1196" s="591"/>
      <c r="F1196" s="591"/>
      <c r="G1196" s="591"/>
      <c r="H1196" s="591"/>
      <c r="I1196" s="591"/>
      <c r="J1196" s="591"/>
      <c r="K1196" s="542"/>
      <c r="O1196" s="1134"/>
      <c r="Q1196" s="1133"/>
    </row>
    <row r="1197" spans="2:17" x14ac:dyDescent="0.3">
      <c r="B1197" s="126"/>
      <c r="C1197" s="583">
        <v>816</v>
      </c>
      <c r="D1197" s="625" t="e">
        <f t="shared" si="38"/>
        <v>#VALUE!</v>
      </c>
      <c r="E1197" s="591"/>
      <c r="F1197" s="591"/>
      <c r="G1197" s="591"/>
      <c r="H1197" s="591"/>
      <c r="I1197" s="591"/>
      <c r="J1197" s="591"/>
      <c r="K1197" s="542"/>
      <c r="O1197" s="1134"/>
      <c r="Q1197" s="1133"/>
    </row>
    <row r="1198" spans="2:17" x14ac:dyDescent="0.3">
      <c r="B1198" s="126"/>
      <c r="C1198" s="583">
        <v>817</v>
      </c>
      <c r="D1198" s="625" t="e">
        <f t="shared" si="38"/>
        <v>#VALUE!</v>
      </c>
      <c r="E1198" s="591"/>
      <c r="F1198" s="591"/>
      <c r="G1198" s="591"/>
      <c r="H1198" s="591"/>
      <c r="I1198" s="591"/>
      <c r="J1198" s="591"/>
      <c r="K1198" s="542"/>
      <c r="O1198" s="1134"/>
      <c r="Q1198" s="1133"/>
    </row>
    <row r="1199" spans="2:17" x14ac:dyDescent="0.3">
      <c r="B1199" s="126"/>
      <c r="C1199" s="583">
        <v>818</v>
      </c>
      <c r="D1199" s="625" t="e">
        <f t="shared" si="38"/>
        <v>#VALUE!</v>
      </c>
      <c r="E1199" s="591"/>
      <c r="F1199" s="591"/>
      <c r="G1199" s="591"/>
      <c r="H1199" s="591"/>
      <c r="I1199" s="591"/>
      <c r="J1199" s="591"/>
      <c r="K1199" s="542"/>
      <c r="O1199" s="1134"/>
      <c r="Q1199" s="1133"/>
    </row>
    <row r="1200" spans="2:17" x14ac:dyDescent="0.3">
      <c r="B1200" s="126"/>
      <c r="C1200" s="583">
        <v>819</v>
      </c>
      <c r="D1200" s="625" t="e">
        <f t="shared" si="38"/>
        <v>#VALUE!</v>
      </c>
      <c r="E1200" s="591"/>
      <c r="F1200" s="591"/>
      <c r="G1200" s="591"/>
      <c r="H1200" s="591"/>
      <c r="I1200" s="591"/>
      <c r="J1200" s="591"/>
      <c r="K1200" s="542"/>
      <c r="O1200" s="1134"/>
      <c r="Q1200" s="1133"/>
    </row>
    <row r="1201" spans="2:17" x14ac:dyDescent="0.3">
      <c r="B1201" s="126"/>
      <c r="C1201" s="583">
        <v>820</v>
      </c>
      <c r="D1201" s="625" t="e">
        <f t="shared" si="38"/>
        <v>#VALUE!</v>
      </c>
      <c r="E1201" s="591"/>
      <c r="F1201" s="591"/>
      <c r="G1201" s="591"/>
      <c r="H1201" s="591"/>
      <c r="I1201" s="591"/>
      <c r="J1201" s="591"/>
      <c r="K1201" s="542"/>
      <c r="O1201" s="1134"/>
      <c r="Q1201" s="1133"/>
    </row>
    <row r="1202" spans="2:17" x14ac:dyDescent="0.3">
      <c r="B1202" s="126"/>
      <c r="C1202" s="583">
        <v>821</v>
      </c>
      <c r="D1202" s="625" t="e">
        <f t="shared" si="38"/>
        <v>#VALUE!</v>
      </c>
      <c r="E1202" s="591"/>
      <c r="F1202" s="591"/>
      <c r="G1202" s="591"/>
      <c r="H1202" s="591"/>
      <c r="I1202" s="591"/>
      <c r="J1202" s="591"/>
      <c r="K1202" s="542"/>
      <c r="O1202" s="1134"/>
      <c r="Q1202" s="1133"/>
    </row>
    <row r="1203" spans="2:17" x14ac:dyDescent="0.3">
      <c r="B1203" s="126"/>
      <c r="C1203" s="583">
        <v>822</v>
      </c>
      <c r="D1203" s="625" t="e">
        <f t="shared" si="38"/>
        <v>#VALUE!</v>
      </c>
      <c r="E1203" s="591"/>
      <c r="F1203" s="591"/>
      <c r="G1203" s="591"/>
      <c r="H1203" s="591"/>
      <c r="I1203" s="591"/>
      <c r="J1203" s="591"/>
      <c r="K1203" s="542"/>
      <c r="O1203" s="1134"/>
      <c r="Q1203" s="1133"/>
    </row>
    <row r="1204" spans="2:17" x14ac:dyDescent="0.3">
      <c r="B1204" s="126"/>
      <c r="C1204" s="583">
        <v>823</v>
      </c>
      <c r="D1204" s="625" t="e">
        <f t="shared" si="38"/>
        <v>#VALUE!</v>
      </c>
      <c r="E1204" s="591"/>
      <c r="F1204" s="591"/>
      <c r="G1204" s="591"/>
      <c r="H1204" s="591"/>
      <c r="I1204" s="591"/>
      <c r="J1204" s="591"/>
      <c r="K1204" s="542"/>
      <c r="O1204" s="1134"/>
      <c r="Q1204" s="1133"/>
    </row>
    <row r="1205" spans="2:17" x14ac:dyDescent="0.3">
      <c r="B1205" s="126"/>
      <c r="C1205" s="583">
        <v>824</v>
      </c>
      <c r="D1205" s="625" t="e">
        <f t="shared" si="38"/>
        <v>#VALUE!</v>
      </c>
      <c r="E1205" s="591"/>
      <c r="F1205" s="591"/>
      <c r="G1205" s="591"/>
      <c r="H1205" s="591"/>
      <c r="I1205" s="591"/>
      <c r="J1205" s="591"/>
      <c r="K1205" s="542"/>
      <c r="O1205" s="1134"/>
      <c r="Q1205" s="1133"/>
    </row>
    <row r="1206" spans="2:17" x14ac:dyDescent="0.3">
      <c r="B1206" s="126"/>
      <c r="C1206" s="583">
        <v>825</v>
      </c>
      <c r="D1206" s="625" t="e">
        <f t="shared" si="38"/>
        <v>#VALUE!</v>
      </c>
      <c r="E1206" s="591"/>
      <c r="F1206" s="591"/>
      <c r="G1206" s="591"/>
      <c r="H1206" s="591"/>
      <c r="I1206" s="591"/>
      <c r="J1206" s="591"/>
      <c r="K1206" s="542"/>
      <c r="O1206" s="1134"/>
      <c r="Q1206" s="1133"/>
    </row>
    <row r="1207" spans="2:17" x14ac:dyDescent="0.3">
      <c r="B1207" s="126"/>
      <c r="C1207" s="583">
        <v>826</v>
      </c>
      <c r="D1207" s="625" t="e">
        <f t="shared" si="38"/>
        <v>#VALUE!</v>
      </c>
      <c r="E1207" s="591"/>
      <c r="F1207" s="591"/>
      <c r="G1207" s="591"/>
      <c r="H1207" s="591"/>
      <c r="I1207" s="591"/>
      <c r="J1207" s="591"/>
      <c r="K1207" s="542"/>
      <c r="O1207" s="1134"/>
      <c r="Q1207" s="1133"/>
    </row>
    <row r="1208" spans="2:17" x14ac:dyDescent="0.3">
      <c r="B1208" s="126"/>
      <c r="C1208" s="583">
        <v>827</v>
      </c>
      <c r="D1208" s="625" t="e">
        <f t="shared" si="38"/>
        <v>#VALUE!</v>
      </c>
      <c r="E1208" s="591"/>
      <c r="F1208" s="591"/>
      <c r="G1208" s="591"/>
      <c r="H1208" s="591"/>
      <c r="I1208" s="591"/>
      <c r="J1208" s="591"/>
      <c r="K1208" s="542"/>
      <c r="O1208" s="1134"/>
      <c r="Q1208" s="1133"/>
    </row>
    <row r="1209" spans="2:17" x14ac:dyDescent="0.3">
      <c r="B1209" s="126"/>
      <c r="C1209" s="583">
        <v>828</v>
      </c>
      <c r="D1209" s="625" t="e">
        <f t="shared" si="38"/>
        <v>#VALUE!</v>
      </c>
      <c r="E1209" s="591"/>
      <c r="F1209" s="591"/>
      <c r="G1209" s="591"/>
      <c r="H1209" s="591"/>
      <c r="I1209" s="591"/>
      <c r="J1209" s="591"/>
      <c r="K1209" s="542"/>
      <c r="O1209" s="1134"/>
      <c r="Q1209" s="1133"/>
    </row>
    <row r="1210" spans="2:17" x14ac:dyDescent="0.3">
      <c r="B1210" s="126"/>
      <c r="C1210" s="583">
        <v>829</v>
      </c>
      <c r="D1210" s="625" t="e">
        <f t="shared" si="38"/>
        <v>#VALUE!</v>
      </c>
      <c r="E1210" s="591"/>
      <c r="F1210" s="591"/>
      <c r="G1210" s="591"/>
      <c r="H1210" s="591"/>
      <c r="I1210" s="591"/>
      <c r="J1210" s="591"/>
      <c r="K1210" s="542"/>
      <c r="O1210" s="1134"/>
      <c r="Q1210" s="1133"/>
    </row>
    <row r="1211" spans="2:17" x14ac:dyDescent="0.3">
      <c r="B1211" s="126"/>
      <c r="C1211" s="583">
        <v>830</v>
      </c>
      <c r="D1211" s="625" t="e">
        <f t="shared" si="38"/>
        <v>#VALUE!</v>
      </c>
      <c r="E1211" s="591"/>
      <c r="F1211" s="591"/>
      <c r="G1211" s="591"/>
      <c r="H1211" s="591"/>
      <c r="I1211" s="591"/>
      <c r="J1211" s="591"/>
      <c r="K1211" s="542"/>
      <c r="O1211" s="1134"/>
      <c r="Q1211" s="1133"/>
    </row>
    <row r="1212" spans="2:17" x14ac:dyDescent="0.3">
      <c r="B1212" s="126"/>
      <c r="C1212" s="583">
        <v>831</v>
      </c>
      <c r="D1212" s="625" t="e">
        <f t="shared" si="38"/>
        <v>#VALUE!</v>
      </c>
      <c r="E1212" s="591"/>
      <c r="F1212" s="591"/>
      <c r="G1212" s="591"/>
      <c r="H1212" s="591"/>
      <c r="I1212" s="591"/>
      <c r="J1212" s="591"/>
      <c r="K1212" s="542"/>
      <c r="O1212" s="1134"/>
      <c r="Q1212" s="1133"/>
    </row>
    <row r="1213" spans="2:17" x14ac:dyDescent="0.3">
      <c r="B1213" s="126"/>
      <c r="C1213" s="583">
        <v>832</v>
      </c>
      <c r="D1213" s="625" t="e">
        <f t="shared" ref="D1213:D1276" si="39">$C$360*C1213</f>
        <v>#VALUE!</v>
      </c>
      <c r="E1213" s="591"/>
      <c r="F1213" s="591"/>
      <c r="G1213" s="591"/>
      <c r="H1213" s="591"/>
      <c r="I1213" s="591"/>
      <c r="J1213" s="591"/>
      <c r="K1213" s="542"/>
      <c r="O1213" s="1134"/>
      <c r="Q1213" s="1133"/>
    </row>
    <row r="1214" spans="2:17" x14ac:dyDescent="0.3">
      <c r="B1214" s="126"/>
      <c r="C1214" s="583">
        <v>833</v>
      </c>
      <c r="D1214" s="625" t="e">
        <f t="shared" si="39"/>
        <v>#VALUE!</v>
      </c>
      <c r="E1214" s="591"/>
      <c r="F1214" s="591"/>
      <c r="G1214" s="591"/>
      <c r="H1214" s="591"/>
      <c r="I1214" s="591"/>
      <c r="J1214" s="591"/>
      <c r="K1214" s="542"/>
      <c r="O1214" s="1134"/>
      <c r="Q1214" s="1133"/>
    </row>
    <row r="1215" spans="2:17" x14ac:dyDescent="0.3">
      <c r="B1215" s="126"/>
      <c r="C1215" s="583">
        <v>834</v>
      </c>
      <c r="D1215" s="625" t="e">
        <f t="shared" si="39"/>
        <v>#VALUE!</v>
      </c>
      <c r="E1215" s="591"/>
      <c r="F1215" s="591"/>
      <c r="G1215" s="591"/>
      <c r="H1215" s="591"/>
      <c r="I1215" s="591"/>
      <c r="J1215" s="591"/>
      <c r="K1215" s="542"/>
      <c r="O1215" s="1134"/>
      <c r="Q1215" s="1133"/>
    </row>
    <row r="1216" spans="2:17" x14ac:dyDescent="0.3">
      <c r="B1216" s="126"/>
      <c r="C1216" s="583">
        <v>835</v>
      </c>
      <c r="D1216" s="625" t="e">
        <f t="shared" si="39"/>
        <v>#VALUE!</v>
      </c>
      <c r="E1216" s="591"/>
      <c r="F1216" s="591"/>
      <c r="G1216" s="591"/>
      <c r="H1216" s="591"/>
      <c r="I1216" s="591"/>
      <c r="J1216" s="591"/>
      <c r="K1216" s="542"/>
      <c r="O1216" s="1134"/>
      <c r="Q1216" s="1133"/>
    </row>
    <row r="1217" spans="2:17" x14ac:dyDescent="0.3">
      <c r="B1217" s="126"/>
      <c r="C1217" s="583">
        <v>836</v>
      </c>
      <c r="D1217" s="625" t="e">
        <f t="shared" si="39"/>
        <v>#VALUE!</v>
      </c>
      <c r="E1217" s="591"/>
      <c r="F1217" s="591"/>
      <c r="G1217" s="591"/>
      <c r="H1217" s="591"/>
      <c r="I1217" s="591"/>
      <c r="J1217" s="591"/>
      <c r="K1217" s="542"/>
      <c r="O1217" s="1134"/>
      <c r="Q1217" s="1133"/>
    </row>
    <row r="1218" spans="2:17" x14ac:dyDescent="0.3">
      <c r="B1218" s="126"/>
      <c r="C1218" s="583">
        <v>837</v>
      </c>
      <c r="D1218" s="625" t="e">
        <f t="shared" si="39"/>
        <v>#VALUE!</v>
      </c>
      <c r="E1218" s="591"/>
      <c r="F1218" s="591"/>
      <c r="G1218" s="591"/>
      <c r="H1218" s="591"/>
      <c r="I1218" s="591"/>
      <c r="J1218" s="591"/>
      <c r="K1218" s="542"/>
      <c r="O1218" s="1134"/>
      <c r="Q1218" s="1133"/>
    </row>
    <row r="1219" spans="2:17" x14ac:dyDescent="0.3">
      <c r="B1219" s="126"/>
      <c r="C1219" s="583">
        <v>838</v>
      </c>
      <c r="D1219" s="625" t="e">
        <f t="shared" si="39"/>
        <v>#VALUE!</v>
      </c>
      <c r="E1219" s="591"/>
      <c r="F1219" s="591"/>
      <c r="G1219" s="591"/>
      <c r="H1219" s="591"/>
      <c r="I1219" s="591"/>
      <c r="J1219" s="591"/>
      <c r="K1219" s="542"/>
      <c r="O1219" s="1134"/>
      <c r="Q1219" s="1133"/>
    </row>
    <row r="1220" spans="2:17" x14ac:dyDescent="0.3">
      <c r="B1220" s="126"/>
      <c r="C1220" s="583">
        <v>839</v>
      </c>
      <c r="D1220" s="625" t="e">
        <f t="shared" si="39"/>
        <v>#VALUE!</v>
      </c>
      <c r="E1220" s="591"/>
      <c r="F1220" s="591"/>
      <c r="G1220" s="591"/>
      <c r="H1220" s="591"/>
      <c r="I1220" s="591"/>
      <c r="J1220" s="591"/>
      <c r="K1220" s="542"/>
      <c r="O1220" s="1134"/>
      <c r="Q1220" s="1133"/>
    </row>
    <row r="1221" spans="2:17" x14ac:dyDescent="0.3">
      <c r="B1221" s="126"/>
      <c r="C1221" s="583">
        <v>840</v>
      </c>
      <c r="D1221" s="625" t="e">
        <f t="shared" si="39"/>
        <v>#VALUE!</v>
      </c>
      <c r="E1221" s="591"/>
      <c r="F1221" s="591"/>
      <c r="G1221" s="591"/>
      <c r="H1221" s="591"/>
      <c r="I1221" s="591"/>
      <c r="J1221" s="591"/>
      <c r="K1221" s="542"/>
      <c r="O1221" s="1134"/>
      <c r="Q1221" s="1133"/>
    </row>
    <row r="1222" spans="2:17" x14ac:dyDescent="0.3">
      <c r="B1222" s="126"/>
      <c r="C1222" s="583">
        <v>841</v>
      </c>
      <c r="D1222" s="625" t="e">
        <f t="shared" si="39"/>
        <v>#VALUE!</v>
      </c>
      <c r="E1222" s="591"/>
      <c r="F1222" s="591"/>
      <c r="G1222" s="591"/>
      <c r="H1222" s="591"/>
      <c r="I1222" s="591"/>
      <c r="J1222" s="591"/>
      <c r="K1222" s="542"/>
      <c r="O1222" s="1134"/>
      <c r="Q1222" s="1133"/>
    </row>
    <row r="1223" spans="2:17" x14ac:dyDescent="0.3">
      <c r="B1223" s="126"/>
      <c r="C1223" s="583">
        <v>842</v>
      </c>
      <c r="D1223" s="625" t="e">
        <f t="shared" si="39"/>
        <v>#VALUE!</v>
      </c>
      <c r="E1223" s="591"/>
      <c r="F1223" s="591"/>
      <c r="G1223" s="591"/>
      <c r="H1223" s="591"/>
      <c r="I1223" s="591"/>
      <c r="J1223" s="591"/>
      <c r="K1223" s="542"/>
      <c r="O1223" s="1134"/>
      <c r="Q1223" s="1133"/>
    </row>
    <row r="1224" spans="2:17" x14ac:dyDescent="0.3">
      <c r="B1224" s="126"/>
      <c r="C1224" s="583">
        <v>843</v>
      </c>
      <c r="D1224" s="625" t="e">
        <f t="shared" si="39"/>
        <v>#VALUE!</v>
      </c>
      <c r="E1224" s="591"/>
      <c r="F1224" s="591"/>
      <c r="G1224" s="591"/>
      <c r="H1224" s="591"/>
      <c r="I1224" s="591"/>
      <c r="J1224" s="591"/>
      <c r="K1224" s="542"/>
      <c r="O1224" s="1134"/>
      <c r="Q1224" s="1133"/>
    </row>
    <row r="1225" spans="2:17" x14ac:dyDescent="0.3">
      <c r="B1225" s="126"/>
      <c r="C1225" s="583">
        <v>844</v>
      </c>
      <c r="D1225" s="625" t="e">
        <f t="shared" si="39"/>
        <v>#VALUE!</v>
      </c>
      <c r="E1225" s="591"/>
      <c r="F1225" s="591"/>
      <c r="G1225" s="591"/>
      <c r="H1225" s="591"/>
      <c r="I1225" s="591"/>
      <c r="J1225" s="591"/>
      <c r="K1225" s="542"/>
      <c r="O1225" s="1134"/>
      <c r="Q1225" s="1133"/>
    </row>
    <row r="1226" spans="2:17" x14ac:dyDescent="0.3">
      <c r="B1226" s="126"/>
      <c r="C1226" s="583">
        <v>845</v>
      </c>
      <c r="D1226" s="625" t="e">
        <f t="shared" si="39"/>
        <v>#VALUE!</v>
      </c>
      <c r="E1226" s="591"/>
      <c r="F1226" s="591"/>
      <c r="G1226" s="591"/>
      <c r="H1226" s="591"/>
      <c r="I1226" s="591"/>
      <c r="J1226" s="591"/>
      <c r="K1226" s="542"/>
      <c r="O1226" s="1134"/>
      <c r="Q1226" s="1133"/>
    </row>
    <row r="1227" spans="2:17" x14ac:dyDescent="0.3">
      <c r="B1227" s="126"/>
      <c r="C1227" s="583">
        <v>846</v>
      </c>
      <c r="D1227" s="625" t="e">
        <f t="shared" si="39"/>
        <v>#VALUE!</v>
      </c>
      <c r="E1227" s="591"/>
      <c r="F1227" s="591"/>
      <c r="G1227" s="591"/>
      <c r="H1227" s="591"/>
      <c r="I1227" s="591"/>
      <c r="J1227" s="591"/>
      <c r="K1227" s="542"/>
      <c r="O1227" s="1134"/>
      <c r="Q1227" s="1133"/>
    </row>
    <row r="1228" spans="2:17" x14ac:dyDescent="0.3">
      <c r="B1228" s="126"/>
      <c r="C1228" s="583">
        <v>847</v>
      </c>
      <c r="D1228" s="625" t="e">
        <f t="shared" si="39"/>
        <v>#VALUE!</v>
      </c>
      <c r="E1228" s="591"/>
      <c r="F1228" s="591"/>
      <c r="G1228" s="591"/>
      <c r="H1228" s="591"/>
      <c r="I1228" s="591"/>
      <c r="J1228" s="591"/>
      <c r="K1228" s="542"/>
      <c r="O1228" s="1134"/>
      <c r="Q1228" s="1133"/>
    </row>
    <row r="1229" spans="2:17" x14ac:dyDescent="0.3">
      <c r="B1229" s="126"/>
      <c r="C1229" s="583">
        <v>848</v>
      </c>
      <c r="D1229" s="625" t="e">
        <f t="shared" si="39"/>
        <v>#VALUE!</v>
      </c>
      <c r="E1229" s="591"/>
      <c r="F1229" s="591"/>
      <c r="G1229" s="591"/>
      <c r="H1229" s="591"/>
      <c r="I1229" s="591"/>
      <c r="J1229" s="591"/>
      <c r="K1229" s="542"/>
      <c r="O1229" s="1134"/>
      <c r="Q1229" s="1133"/>
    </row>
    <row r="1230" spans="2:17" x14ac:dyDescent="0.3">
      <c r="B1230" s="126"/>
      <c r="C1230" s="583">
        <v>849</v>
      </c>
      <c r="D1230" s="625" t="e">
        <f t="shared" si="39"/>
        <v>#VALUE!</v>
      </c>
      <c r="E1230" s="591"/>
      <c r="F1230" s="591"/>
      <c r="G1230" s="591"/>
      <c r="H1230" s="591"/>
      <c r="I1230" s="591"/>
      <c r="J1230" s="591"/>
      <c r="K1230" s="542"/>
      <c r="O1230" s="1134"/>
      <c r="Q1230" s="1133"/>
    </row>
    <row r="1231" spans="2:17" x14ac:dyDescent="0.3">
      <c r="B1231" s="126"/>
      <c r="C1231" s="583">
        <v>850</v>
      </c>
      <c r="D1231" s="625" t="e">
        <f t="shared" si="39"/>
        <v>#VALUE!</v>
      </c>
      <c r="E1231" s="591"/>
      <c r="F1231" s="591"/>
      <c r="G1231" s="591"/>
      <c r="H1231" s="591"/>
      <c r="I1231" s="591"/>
      <c r="J1231" s="591"/>
      <c r="K1231" s="542"/>
      <c r="O1231" s="1134"/>
      <c r="Q1231" s="1133"/>
    </row>
    <row r="1232" spans="2:17" x14ac:dyDescent="0.3">
      <c r="B1232" s="126"/>
      <c r="C1232" s="583">
        <v>851</v>
      </c>
      <c r="D1232" s="625" t="e">
        <f t="shared" si="39"/>
        <v>#VALUE!</v>
      </c>
      <c r="E1232" s="591"/>
      <c r="F1232" s="591"/>
      <c r="G1232" s="591"/>
      <c r="H1232" s="591"/>
      <c r="I1232" s="591"/>
      <c r="J1232" s="591"/>
      <c r="K1232" s="542"/>
      <c r="O1232" s="1134"/>
      <c r="Q1232" s="1133"/>
    </row>
    <row r="1233" spans="2:17" x14ac:dyDescent="0.3">
      <c r="B1233" s="126"/>
      <c r="C1233" s="583">
        <v>852</v>
      </c>
      <c r="D1233" s="625" t="e">
        <f t="shared" si="39"/>
        <v>#VALUE!</v>
      </c>
      <c r="E1233" s="591"/>
      <c r="F1233" s="591"/>
      <c r="G1233" s="591"/>
      <c r="H1233" s="591"/>
      <c r="I1233" s="591"/>
      <c r="J1233" s="591"/>
      <c r="K1233" s="542"/>
      <c r="O1233" s="1134"/>
      <c r="Q1233" s="1133"/>
    </row>
    <row r="1234" spans="2:17" x14ac:dyDescent="0.3">
      <c r="B1234" s="126"/>
      <c r="C1234" s="583">
        <v>853</v>
      </c>
      <c r="D1234" s="625" t="e">
        <f t="shared" si="39"/>
        <v>#VALUE!</v>
      </c>
      <c r="E1234" s="591"/>
      <c r="F1234" s="591"/>
      <c r="G1234" s="591"/>
      <c r="H1234" s="591"/>
      <c r="I1234" s="591"/>
      <c r="J1234" s="591"/>
      <c r="K1234" s="542"/>
      <c r="O1234" s="1134"/>
      <c r="Q1234" s="1133"/>
    </row>
    <row r="1235" spans="2:17" x14ac:dyDescent="0.3">
      <c r="B1235" s="126"/>
      <c r="C1235" s="583">
        <v>854</v>
      </c>
      <c r="D1235" s="625" t="e">
        <f t="shared" si="39"/>
        <v>#VALUE!</v>
      </c>
      <c r="E1235" s="591"/>
      <c r="F1235" s="591"/>
      <c r="G1235" s="591"/>
      <c r="H1235" s="591"/>
      <c r="I1235" s="591"/>
      <c r="J1235" s="591"/>
      <c r="K1235" s="542"/>
      <c r="O1235" s="1134"/>
      <c r="Q1235" s="1133"/>
    </row>
    <row r="1236" spans="2:17" x14ac:dyDescent="0.3">
      <c r="B1236" s="126"/>
      <c r="C1236" s="583">
        <v>855</v>
      </c>
      <c r="D1236" s="625" t="e">
        <f t="shared" si="39"/>
        <v>#VALUE!</v>
      </c>
      <c r="E1236" s="591"/>
      <c r="F1236" s="591"/>
      <c r="G1236" s="591"/>
      <c r="H1236" s="591"/>
      <c r="I1236" s="591"/>
      <c r="J1236" s="591"/>
      <c r="K1236" s="542"/>
      <c r="O1236" s="1134"/>
      <c r="Q1236" s="1133"/>
    </row>
    <row r="1237" spans="2:17" x14ac:dyDescent="0.3">
      <c r="B1237" s="126"/>
      <c r="C1237" s="583">
        <v>856</v>
      </c>
      <c r="D1237" s="625" t="e">
        <f t="shared" si="39"/>
        <v>#VALUE!</v>
      </c>
      <c r="E1237" s="591"/>
      <c r="F1237" s="591"/>
      <c r="G1237" s="591"/>
      <c r="H1237" s="591"/>
      <c r="I1237" s="591"/>
      <c r="J1237" s="591"/>
      <c r="K1237" s="542"/>
      <c r="O1237" s="1134"/>
      <c r="Q1237" s="1133"/>
    </row>
    <row r="1238" spans="2:17" x14ac:dyDescent="0.3">
      <c r="B1238" s="126"/>
      <c r="C1238" s="583">
        <v>857</v>
      </c>
      <c r="D1238" s="625" t="e">
        <f t="shared" si="39"/>
        <v>#VALUE!</v>
      </c>
      <c r="E1238" s="591"/>
      <c r="F1238" s="591"/>
      <c r="G1238" s="591"/>
      <c r="H1238" s="591"/>
      <c r="I1238" s="591"/>
      <c r="J1238" s="591"/>
      <c r="K1238" s="542"/>
      <c r="O1238" s="1134"/>
      <c r="Q1238" s="1133"/>
    </row>
    <row r="1239" spans="2:17" x14ac:dyDescent="0.3">
      <c r="B1239" s="126"/>
      <c r="C1239" s="583">
        <v>858</v>
      </c>
      <c r="D1239" s="625" t="e">
        <f t="shared" si="39"/>
        <v>#VALUE!</v>
      </c>
      <c r="E1239" s="591"/>
      <c r="F1239" s="591"/>
      <c r="G1239" s="591"/>
      <c r="H1239" s="591"/>
      <c r="I1239" s="591"/>
      <c r="J1239" s="591"/>
      <c r="K1239" s="542"/>
      <c r="O1239" s="1134"/>
      <c r="Q1239" s="1133"/>
    </row>
    <row r="1240" spans="2:17" x14ac:dyDescent="0.3">
      <c r="B1240" s="126"/>
      <c r="C1240" s="583">
        <v>859</v>
      </c>
      <c r="D1240" s="625" t="e">
        <f t="shared" si="39"/>
        <v>#VALUE!</v>
      </c>
      <c r="E1240" s="591"/>
      <c r="F1240" s="591"/>
      <c r="G1240" s="591"/>
      <c r="H1240" s="591"/>
      <c r="I1240" s="591"/>
      <c r="J1240" s="591"/>
      <c r="K1240" s="542"/>
      <c r="O1240" s="1134"/>
      <c r="Q1240" s="1133"/>
    </row>
    <row r="1241" spans="2:17" x14ac:dyDescent="0.3">
      <c r="B1241" s="126"/>
      <c r="C1241" s="583">
        <v>860</v>
      </c>
      <c r="D1241" s="625" t="e">
        <f t="shared" si="39"/>
        <v>#VALUE!</v>
      </c>
      <c r="E1241" s="591"/>
      <c r="F1241" s="591"/>
      <c r="G1241" s="591"/>
      <c r="H1241" s="591"/>
      <c r="I1241" s="591"/>
      <c r="J1241" s="591"/>
      <c r="K1241" s="542"/>
      <c r="O1241" s="1134"/>
      <c r="Q1241" s="1133"/>
    </row>
    <row r="1242" spans="2:17" x14ac:dyDescent="0.3">
      <c r="B1242" s="126"/>
      <c r="C1242" s="583">
        <v>861</v>
      </c>
      <c r="D1242" s="625" t="e">
        <f t="shared" si="39"/>
        <v>#VALUE!</v>
      </c>
      <c r="E1242" s="591"/>
      <c r="F1242" s="591"/>
      <c r="G1242" s="591"/>
      <c r="H1242" s="591"/>
      <c r="I1242" s="591"/>
      <c r="J1242" s="591"/>
      <c r="K1242" s="542"/>
      <c r="O1242" s="1134"/>
      <c r="Q1242" s="1133"/>
    </row>
    <row r="1243" spans="2:17" x14ac:dyDescent="0.3">
      <c r="B1243" s="126"/>
      <c r="C1243" s="583">
        <v>862</v>
      </c>
      <c r="D1243" s="625" t="e">
        <f t="shared" si="39"/>
        <v>#VALUE!</v>
      </c>
      <c r="E1243" s="591"/>
      <c r="F1243" s="591"/>
      <c r="G1243" s="591"/>
      <c r="H1243" s="591"/>
      <c r="I1243" s="591"/>
      <c r="J1243" s="591"/>
      <c r="K1243" s="542"/>
      <c r="O1243" s="1134"/>
      <c r="Q1243" s="1133"/>
    </row>
    <row r="1244" spans="2:17" x14ac:dyDescent="0.3">
      <c r="B1244" s="126"/>
      <c r="C1244" s="583">
        <v>863</v>
      </c>
      <c r="D1244" s="625" t="e">
        <f t="shared" si="39"/>
        <v>#VALUE!</v>
      </c>
      <c r="E1244" s="591"/>
      <c r="F1244" s="591"/>
      <c r="G1244" s="591"/>
      <c r="H1244" s="591"/>
      <c r="I1244" s="591"/>
      <c r="J1244" s="591"/>
      <c r="K1244" s="542"/>
      <c r="O1244" s="1134"/>
      <c r="Q1244" s="1133"/>
    </row>
    <row r="1245" spans="2:17" x14ac:dyDescent="0.3">
      <c r="B1245" s="126"/>
      <c r="C1245" s="583">
        <v>864</v>
      </c>
      <c r="D1245" s="625" t="e">
        <f t="shared" si="39"/>
        <v>#VALUE!</v>
      </c>
      <c r="E1245" s="591"/>
      <c r="F1245" s="591"/>
      <c r="G1245" s="591"/>
      <c r="H1245" s="591"/>
      <c r="I1245" s="591"/>
      <c r="J1245" s="591"/>
      <c r="K1245" s="542"/>
      <c r="O1245" s="1134"/>
      <c r="Q1245" s="1133"/>
    </row>
    <row r="1246" spans="2:17" x14ac:dyDescent="0.3">
      <c r="B1246" s="126"/>
      <c r="C1246" s="583">
        <v>865</v>
      </c>
      <c r="D1246" s="625" t="e">
        <f t="shared" si="39"/>
        <v>#VALUE!</v>
      </c>
      <c r="E1246" s="591"/>
      <c r="F1246" s="591"/>
      <c r="G1246" s="591"/>
      <c r="H1246" s="591"/>
      <c r="I1246" s="591"/>
      <c r="J1246" s="591"/>
      <c r="K1246" s="542"/>
      <c r="O1246" s="1134"/>
      <c r="Q1246" s="1133"/>
    </row>
    <row r="1247" spans="2:17" x14ac:dyDescent="0.3">
      <c r="B1247" s="126"/>
      <c r="C1247" s="583">
        <v>866</v>
      </c>
      <c r="D1247" s="625" t="e">
        <f t="shared" si="39"/>
        <v>#VALUE!</v>
      </c>
      <c r="E1247" s="591"/>
      <c r="F1247" s="591"/>
      <c r="G1247" s="591"/>
      <c r="H1247" s="591"/>
      <c r="I1247" s="591"/>
      <c r="J1247" s="591"/>
      <c r="K1247" s="542"/>
      <c r="O1247" s="1134"/>
      <c r="Q1247" s="1133"/>
    </row>
    <row r="1248" spans="2:17" x14ac:dyDescent="0.3">
      <c r="B1248" s="126"/>
      <c r="C1248" s="583">
        <v>867</v>
      </c>
      <c r="D1248" s="625" t="e">
        <f t="shared" si="39"/>
        <v>#VALUE!</v>
      </c>
      <c r="E1248" s="591"/>
      <c r="F1248" s="591"/>
      <c r="G1248" s="591"/>
      <c r="H1248" s="591"/>
      <c r="I1248" s="591"/>
      <c r="J1248" s="591"/>
      <c r="K1248" s="542"/>
      <c r="O1248" s="1134"/>
      <c r="Q1248" s="1133"/>
    </row>
    <row r="1249" spans="2:17" x14ac:dyDescent="0.3">
      <c r="B1249" s="126"/>
      <c r="C1249" s="583">
        <v>868</v>
      </c>
      <c r="D1249" s="625" t="e">
        <f t="shared" si="39"/>
        <v>#VALUE!</v>
      </c>
      <c r="E1249" s="591"/>
      <c r="F1249" s="591"/>
      <c r="G1249" s="591"/>
      <c r="H1249" s="591"/>
      <c r="I1249" s="591"/>
      <c r="J1249" s="591"/>
      <c r="K1249" s="542"/>
      <c r="O1249" s="1134"/>
      <c r="Q1249" s="1133"/>
    </row>
    <row r="1250" spans="2:17" x14ac:dyDescent="0.3">
      <c r="B1250" s="126"/>
      <c r="C1250" s="583">
        <v>869</v>
      </c>
      <c r="D1250" s="625" t="e">
        <f t="shared" si="39"/>
        <v>#VALUE!</v>
      </c>
      <c r="E1250" s="591"/>
      <c r="F1250" s="591"/>
      <c r="G1250" s="591"/>
      <c r="H1250" s="591"/>
      <c r="I1250" s="591"/>
      <c r="J1250" s="591"/>
      <c r="K1250" s="542"/>
      <c r="O1250" s="1134"/>
      <c r="Q1250" s="1133"/>
    </row>
    <row r="1251" spans="2:17" x14ac:dyDescent="0.3">
      <c r="B1251" s="126"/>
      <c r="C1251" s="583">
        <v>870</v>
      </c>
      <c r="D1251" s="625" t="e">
        <f t="shared" si="39"/>
        <v>#VALUE!</v>
      </c>
      <c r="E1251" s="591"/>
      <c r="F1251" s="591"/>
      <c r="G1251" s="591"/>
      <c r="H1251" s="591"/>
      <c r="I1251" s="591"/>
      <c r="J1251" s="591"/>
      <c r="K1251" s="542"/>
      <c r="O1251" s="1134"/>
      <c r="Q1251" s="1133"/>
    </row>
    <row r="1252" spans="2:17" x14ac:dyDescent="0.3">
      <c r="B1252" s="126"/>
      <c r="C1252" s="583">
        <v>871</v>
      </c>
      <c r="D1252" s="625" t="e">
        <f t="shared" si="39"/>
        <v>#VALUE!</v>
      </c>
      <c r="E1252" s="591"/>
      <c r="F1252" s="591"/>
      <c r="G1252" s="591"/>
      <c r="H1252" s="591"/>
      <c r="I1252" s="591"/>
      <c r="J1252" s="591"/>
      <c r="K1252" s="542"/>
      <c r="O1252" s="1134"/>
      <c r="Q1252" s="1133"/>
    </row>
    <row r="1253" spans="2:17" x14ac:dyDescent="0.3">
      <c r="B1253" s="126"/>
      <c r="C1253" s="583">
        <v>872</v>
      </c>
      <c r="D1253" s="625" t="e">
        <f t="shared" si="39"/>
        <v>#VALUE!</v>
      </c>
      <c r="E1253" s="591"/>
      <c r="F1253" s="591"/>
      <c r="G1253" s="591"/>
      <c r="H1253" s="591"/>
      <c r="I1253" s="591"/>
      <c r="J1253" s="591"/>
      <c r="K1253" s="542"/>
      <c r="O1253" s="1134"/>
      <c r="Q1253" s="1133"/>
    </row>
    <row r="1254" spans="2:17" x14ac:dyDescent="0.3">
      <c r="B1254" s="126"/>
      <c r="C1254" s="583">
        <v>873</v>
      </c>
      <c r="D1254" s="625" t="e">
        <f t="shared" si="39"/>
        <v>#VALUE!</v>
      </c>
      <c r="E1254" s="591"/>
      <c r="F1254" s="591"/>
      <c r="G1254" s="591"/>
      <c r="H1254" s="591"/>
      <c r="I1254" s="591"/>
      <c r="J1254" s="591"/>
      <c r="K1254" s="542"/>
      <c r="O1254" s="1134"/>
      <c r="Q1254" s="1133"/>
    </row>
    <row r="1255" spans="2:17" x14ac:dyDescent="0.3">
      <c r="B1255" s="126"/>
      <c r="C1255" s="583">
        <v>874</v>
      </c>
      <c r="D1255" s="625" t="e">
        <f t="shared" si="39"/>
        <v>#VALUE!</v>
      </c>
      <c r="E1255" s="591"/>
      <c r="F1255" s="591"/>
      <c r="G1255" s="591"/>
      <c r="H1255" s="591"/>
      <c r="I1255" s="591"/>
      <c r="J1255" s="591"/>
      <c r="K1255" s="542"/>
      <c r="O1255" s="1134"/>
      <c r="Q1255" s="1133"/>
    </row>
    <row r="1256" spans="2:17" x14ac:dyDescent="0.3">
      <c r="B1256" s="126"/>
      <c r="C1256" s="583">
        <v>875</v>
      </c>
      <c r="D1256" s="625" t="e">
        <f t="shared" si="39"/>
        <v>#VALUE!</v>
      </c>
      <c r="E1256" s="591"/>
      <c r="F1256" s="591"/>
      <c r="G1256" s="591"/>
      <c r="H1256" s="591"/>
      <c r="I1256" s="591"/>
      <c r="J1256" s="591"/>
      <c r="K1256" s="542"/>
      <c r="O1256" s="1134"/>
      <c r="Q1256" s="1133"/>
    </row>
    <row r="1257" spans="2:17" x14ac:dyDescent="0.3">
      <c r="B1257" s="126"/>
      <c r="C1257" s="583">
        <v>876</v>
      </c>
      <c r="D1257" s="625" t="e">
        <f t="shared" si="39"/>
        <v>#VALUE!</v>
      </c>
      <c r="E1257" s="591"/>
      <c r="F1257" s="591"/>
      <c r="G1257" s="591"/>
      <c r="H1257" s="591"/>
      <c r="I1257" s="591"/>
      <c r="J1257" s="591"/>
      <c r="K1257" s="542"/>
      <c r="O1257" s="1134"/>
      <c r="Q1257" s="1133"/>
    </row>
    <row r="1258" spans="2:17" x14ac:dyDescent="0.3">
      <c r="B1258" s="126"/>
      <c r="C1258" s="583">
        <v>877</v>
      </c>
      <c r="D1258" s="625" t="e">
        <f t="shared" si="39"/>
        <v>#VALUE!</v>
      </c>
      <c r="E1258" s="591"/>
      <c r="F1258" s="591"/>
      <c r="G1258" s="591"/>
      <c r="H1258" s="591"/>
      <c r="I1258" s="591"/>
      <c r="J1258" s="591"/>
      <c r="K1258" s="542"/>
      <c r="O1258" s="1134"/>
      <c r="Q1258" s="1133"/>
    </row>
    <row r="1259" spans="2:17" x14ac:dyDescent="0.3">
      <c r="B1259" s="126"/>
      <c r="C1259" s="583">
        <v>878</v>
      </c>
      <c r="D1259" s="625" t="e">
        <f t="shared" si="39"/>
        <v>#VALUE!</v>
      </c>
      <c r="E1259" s="591"/>
      <c r="F1259" s="591"/>
      <c r="G1259" s="591"/>
      <c r="H1259" s="591"/>
      <c r="I1259" s="591"/>
      <c r="J1259" s="591"/>
      <c r="K1259" s="542"/>
      <c r="O1259" s="1134"/>
      <c r="Q1259" s="1133"/>
    </row>
    <row r="1260" spans="2:17" x14ac:dyDescent="0.3">
      <c r="B1260" s="126"/>
      <c r="C1260" s="583">
        <v>879</v>
      </c>
      <c r="D1260" s="625" t="e">
        <f t="shared" si="39"/>
        <v>#VALUE!</v>
      </c>
      <c r="E1260" s="591"/>
      <c r="F1260" s="591"/>
      <c r="G1260" s="591"/>
      <c r="H1260" s="591"/>
      <c r="I1260" s="591"/>
      <c r="J1260" s="591"/>
      <c r="K1260" s="542"/>
      <c r="O1260" s="1134"/>
      <c r="Q1260" s="1133"/>
    </row>
    <row r="1261" spans="2:17" x14ac:dyDescent="0.3">
      <c r="B1261" s="126"/>
      <c r="C1261" s="583">
        <v>880</v>
      </c>
      <c r="D1261" s="625" t="e">
        <f t="shared" si="39"/>
        <v>#VALUE!</v>
      </c>
      <c r="E1261" s="591"/>
      <c r="F1261" s="591"/>
      <c r="G1261" s="591"/>
      <c r="H1261" s="591"/>
      <c r="I1261" s="591"/>
      <c r="J1261" s="591"/>
      <c r="K1261" s="542"/>
      <c r="O1261" s="1134"/>
      <c r="Q1261" s="1133"/>
    </row>
    <row r="1262" spans="2:17" x14ac:dyDescent="0.3">
      <c r="B1262" s="126"/>
      <c r="C1262" s="583">
        <v>881</v>
      </c>
      <c r="D1262" s="625" t="e">
        <f t="shared" si="39"/>
        <v>#VALUE!</v>
      </c>
      <c r="E1262" s="591"/>
      <c r="F1262" s="591"/>
      <c r="G1262" s="591"/>
      <c r="H1262" s="591"/>
      <c r="I1262" s="591"/>
      <c r="J1262" s="591"/>
      <c r="K1262" s="542"/>
      <c r="O1262" s="1134"/>
      <c r="Q1262" s="1133"/>
    </row>
    <row r="1263" spans="2:17" x14ac:dyDescent="0.3">
      <c r="B1263" s="126"/>
      <c r="C1263" s="583">
        <v>882</v>
      </c>
      <c r="D1263" s="625" t="e">
        <f t="shared" si="39"/>
        <v>#VALUE!</v>
      </c>
      <c r="E1263" s="591"/>
      <c r="F1263" s="591"/>
      <c r="G1263" s="591"/>
      <c r="H1263" s="591"/>
      <c r="I1263" s="591"/>
      <c r="J1263" s="591"/>
      <c r="K1263" s="542"/>
      <c r="O1263" s="1134"/>
      <c r="Q1263" s="1133"/>
    </row>
    <row r="1264" spans="2:17" x14ac:dyDescent="0.3">
      <c r="B1264" s="126"/>
      <c r="C1264" s="583">
        <v>883</v>
      </c>
      <c r="D1264" s="625" t="e">
        <f t="shared" si="39"/>
        <v>#VALUE!</v>
      </c>
      <c r="E1264" s="591"/>
      <c r="F1264" s="591"/>
      <c r="G1264" s="591"/>
      <c r="H1264" s="591"/>
      <c r="I1264" s="591"/>
      <c r="J1264" s="591"/>
      <c r="K1264" s="542"/>
      <c r="O1264" s="1134"/>
      <c r="Q1264" s="1133"/>
    </row>
    <row r="1265" spans="2:17" x14ac:dyDescent="0.3">
      <c r="B1265" s="126"/>
      <c r="C1265" s="583">
        <v>884</v>
      </c>
      <c r="D1265" s="625" t="e">
        <f t="shared" si="39"/>
        <v>#VALUE!</v>
      </c>
      <c r="E1265" s="591"/>
      <c r="F1265" s="591"/>
      <c r="G1265" s="591"/>
      <c r="H1265" s="591"/>
      <c r="I1265" s="591"/>
      <c r="J1265" s="591"/>
      <c r="K1265" s="542"/>
      <c r="O1265" s="1134"/>
      <c r="Q1265" s="1133"/>
    </row>
    <row r="1266" spans="2:17" x14ac:dyDescent="0.3">
      <c r="B1266" s="126"/>
      <c r="C1266" s="583">
        <v>885</v>
      </c>
      <c r="D1266" s="625" t="e">
        <f t="shared" si="39"/>
        <v>#VALUE!</v>
      </c>
      <c r="E1266" s="591"/>
      <c r="F1266" s="591"/>
      <c r="G1266" s="591"/>
      <c r="H1266" s="591"/>
      <c r="I1266" s="591"/>
      <c r="J1266" s="591"/>
      <c r="K1266" s="542"/>
      <c r="O1266" s="1134"/>
      <c r="Q1266" s="1133"/>
    </row>
    <row r="1267" spans="2:17" x14ac:dyDescent="0.3">
      <c r="B1267" s="126"/>
      <c r="C1267" s="583">
        <v>886</v>
      </c>
      <c r="D1267" s="625" t="e">
        <f t="shared" si="39"/>
        <v>#VALUE!</v>
      </c>
      <c r="E1267" s="591"/>
      <c r="F1267" s="591"/>
      <c r="G1267" s="591"/>
      <c r="H1267" s="591"/>
      <c r="I1267" s="591"/>
      <c r="J1267" s="591"/>
      <c r="K1267" s="542"/>
      <c r="O1267" s="1134"/>
      <c r="Q1267" s="1133"/>
    </row>
    <row r="1268" spans="2:17" x14ac:dyDescent="0.3">
      <c r="B1268" s="126"/>
      <c r="C1268" s="583">
        <v>887</v>
      </c>
      <c r="D1268" s="625" t="e">
        <f t="shared" si="39"/>
        <v>#VALUE!</v>
      </c>
      <c r="E1268" s="591"/>
      <c r="F1268" s="591"/>
      <c r="G1268" s="591"/>
      <c r="H1268" s="591"/>
      <c r="I1268" s="591"/>
      <c r="J1268" s="591"/>
      <c r="K1268" s="542"/>
      <c r="O1268" s="1134"/>
      <c r="Q1268" s="1133"/>
    </row>
    <row r="1269" spans="2:17" x14ac:dyDescent="0.3">
      <c r="B1269" s="126"/>
      <c r="C1269" s="583">
        <v>888</v>
      </c>
      <c r="D1269" s="625" t="e">
        <f t="shared" si="39"/>
        <v>#VALUE!</v>
      </c>
      <c r="E1269" s="591"/>
      <c r="F1269" s="591"/>
      <c r="G1269" s="591"/>
      <c r="H1269" s="591"/>
      <c r="I1269" s="591"/>
      <c r="J1269" s="591"/>
      <c r="K1269" s="542"/>
      <c r="O1269" s="1134"/>
      <c r="Q1269" s="1133"/>
    </row>
    <row r="1270" spans="2:17" x14ac:dyDescent="0.3">
      <c r="B1270" s="126"/>
      <c r="C1270" s="583">
        <v>889</v>
      </c>
      <c r="D1270" s="625" t="e">
        <f t="shared" si="39"/>
        <v>#VALUE!</v>
      </c>
      <c r="E1270" s="591"/>
      <c r="F1270" s="591"/>
      <c r="G1270" s="591"/>
      <c r="H1270" s="591"/>
      <c r="I1270" s="591"/>
      <c r="J1270" s="591"/>
      <c r="K1270" s="542"/>
      <c r="O1270" s="1134"/>
      <c r="Q1270" s="1133"/>
    </row>
    <row r="1271" spans="2:17" x14ac:dyDescent="0.3">
      <c r="B1271" s="126"/>
      <c r="C1271" s="583">
        <v>890</v>
      </c>
      <c r="D1271" s="625" t="e">
        <f t="shared" si="39"/>
        <v>#VALUE!</v>
      </c>
      <c r="E1271" s="591"/>
      <c r="F1271" s="591"/>
      <c r="G1271" s="591"/>
      <c r="H1271" s="591"/>
      <c r="I1271" s="591"/>
      <c r="J1271" s="591"/>
      <c r="K1271" s="542"/>
      <c r="O1271" s="1134"/>
      <c r="Q1271" s="1133"/>
    </row>
    <row r="1272" spans="2:17" x14ac:dyDescent="0.3">
      <c r="B1272" s="126"/>
      <c r="C1272" s="583">
        <v>891</v>
      </c>
      <c r="D1272" s="625" t="e">
        <f t="shared" si="39"/>
        <v>#VALUE!</v>
      </c>
      <c r="E1272" s="591"/>
      <c r="F1272" s="591"/>
      <c r="G1272" s="591"/>
      <c r="H1272" s="591"/>
      <c r="I1272" s="591"/>
      <c r="J1272" s="591"/>
      <c r="K1272" s="542"/>
      <c r="O1272" s="1134"/>
      <c r="Q1272" s="1133"/>
    </row>
    <row r="1273" spans="2:17" x14ac:dyDescent="0.3">
      <c r="B1273" s="126"/>
      <c r="C1273" s="583">
        <v>892</v>
      </c>
      <c r="D1273" s="625" t="e">
        <f t="shared" si="39"/>
        <v>#VALUE!</v>
      </c>
      <c r="E1273" s="591"/>
      <c r="F1273" s="591"/>
      <c r="G1273" s="591"/>
      <c r="H1273" s="591"/>
      <c r="I1273" s="591"/>
      <c r="J1273" s="591"/>
      <c r="K1273" s="542"/>
      <c r="O1273" s="1134"/>
      <c r="Q1273" s="1133"/>
    </row>
    <row r="1274" spans="2:17" x14ac:dyDescent="0.3">
      <c r="B1274" s="126"/>
      <c r="C1274" s="583">
        <v>893</v>
      </c>
      <c r="D1274" s="625" t="e">
        <f t="shared" si="39"/>
        <v>#VALUE!</v>
      </c>
      <c r="E1274" s="591"/>
      <c r="F1274" s="591"/>
      <c r="G1274" s="591"/>
      <c r="H1274" s="591"/>
      <c r="I1274" s="591"/>
      <c r="J1274" s="591"/>
      <c r="K1274" s="542"/>
      <c r="O1274" s="1134"/>
      <c r="Q1274" s="1133"/>
    </row>
    <row r="1275" spans="2:17" x14ac:dyDescent="0.3">
      <c r="B1275" s="126"/>
      <c r="C1275" s="583">
        <v>894</v>
      </c>
      <c r="D1275" s="625" t="e">
        <f t="shared" si="39"/>
        <v>#VALUE!</v>
      </c>
      <c r="E1275" s="591"/>
      <c r="F1275" s="591"/>
      <c r="G1275" s="591"/>
      <c r="H1275" s="591"/>
      <c r="I1275" s="591"/>
      <c r="J1275" s="591"/>
      <c r="K1275" s="542"/>
      <c r="O1275" s="1134"/>
      <c r="Q1275" s="1133"/>
    </row>
    <row r="1276" spans="2:17" x14ac:dyDescent="0.3">
      <c r="B1276" s="126"/>
      <c r="C1276" s="583">
        <v>895</v>
      </c>
      <c r="D1276" s="625" t="e">
        <f t="shared" si="39"/>
        <v>#VALUE!</v>
      </c>
      <c r="E1276" s="591"/>
      <c r="F1276" s="591"/>
      <c r="G1276" s="591"/>
      <c r="H1276" s="591"/>
      <c r="I1276" s="591"/>
      <c r="J1276" s="591"/>
      <c r="K1276" s="542"/>
      <c r="O1276" s="1134"/>
      <c r="Q1276" s="1133"/>
    </row>
    <row r="1277" spans="2:17" x14ac:dyDescent="0.3">
      <c r="B1277" s="126"/>
      <c r="C1277" s="583">
        <v>896</v>
      </c>
      <c r="D1277" s="625" t="e">
        <f t="shared" ref="D1277:D1340" si="40">$C$360*C1277</f>
        <v>#VALUE!</v>
      </c>
      <c r="E1277" s="591"/>
      <c r="F1277" s="591"/>
      <c r="G1277" s="591"/>
      <c r="H1277" s="591"/>
      <c r="I1277" s="591"/>
      <c r="J1277" s="591"/>
      <c r="K1277" s="542"/>
      <c r="O1277" s="1134"/>
      <c r="Q1277" s="1133"/>
    </row>
    <row r="1278" spans="2:17" x14ac:dyDescent="0.3">
      <c r="B1278" s="126"/>
      <c r="C1278" s="583">
        <v>897</v>
      </c>
      <c r="D1278" s="625" t="e">
        <f t="shared" si="40"/>
        <v>#VALUE!</v>
      </c>
      <c r="E1278" s="591"/>
      <c r="F1278" s="591"/>
      <c r="G1278" s="591"/>
      <c r="H1278" s="591"/>
      <c r="I1278" s="591"/>
      <c r="J1278" s="591"/>
      <c r="K1278" s="542"/>
      <c r="O1278" s="1134"/>
      <c r="Q1278" s="1133"/>
    </row>
    <row r="1279" spans="2:17" x14ac:dyDescent="0.3">
      <c r="B1279" s="126"/>
      <c r="C1279" s="583">
        <v>898</v>
      </c>
      <c r="D1279" s="625" t="e">
        <f t="shared" si="40"/>
        <v>#VALUE!</v>
      </c>
      <c r="E1279" s="591"/>
      <c r="F1279" s="591"/>
      <c r="G1279" s="591"/>
      <c r="H1279" s="591"/>
      <c r="I1279" s="591"/>
      <c r="J1279" s="591"/>
      <c r="K1279" s="542"/>
      <c r="O1279" s="1134"/>
      <c r="Q1279" s="1133"/>
    </row>
    <row r="1280" spans="2:17" x14ac:dyDescent="0.3">
      <c r="B1280" s="126"/>
      <c r="C1280" s="583">
        <v>899</v>
      </c>
      <c r="D1280" s="625" t="e">
        <f t="shared" si="40"/>
        <v>#VALUE!</v>
      </c>
      <c r="E1280" s="591"/>
      <c r="F1280" s="591"/>
      <c r="G1280" s="591"/>
      <c r="H1280" s="591"/>
      <c r="I1280" s="591"/>
      <c r="J1280" s="591"/>
      <c r="K1280" s="542"/>
      <c r="O1280" s="1134"/>
      <c r="Q1280" s="1133"/>
    </row>
    <row r="1281" spans="2:17" x14ac:dyDescent="0.3">
      <c r="B1281" s="126"/>
      <c r="C1281" s="583">
        <v>900</v>
      </c>
      <c r="D1281" s="625" t="e">
        <f t="shared" si="40"/>
        <v>#VALUE!</v>
      </c>
      <c r="E1281" s="591"/>
      <c r="F1281" s="591"/>
      <c r="G1281" s="591"/>
      <c r="H1281" s="591"/>
      <c r="I1281" s="591"/>
      <c r="J1281" s="591"/>
      <c r="K1281" s="542"/>
      <c r="O1281" s="1134"/>
      <c r="Q1281" s="1133"/>
    </row>
    <row r="1282" spans="2:17" x14ac:dyDescent="0.3">
      <c r="B1282" s="126"/>
      <c r="C1282" s="583">
        <v>901</v>
      </c>
      <c r="D1282" s="625" t="e">
        <f t="shared" si="40"/>
        <v>#VALUE!</v>
      </c>
      <c r="E1282" s="591"/>
      <c r="F1282" s="591"/>
      <c r="G1282" s="591"/>
      <c r="H1282" s="591"/>
      <c r="I1282" s="591"/>
      <c r="J1282" s="591"/>
      <c r="K1282" s="542"/>
      <c r="O1282" s="1134"/>
      <c r="Q1282" s="1133"/>
    </row>
    <row r="1283" spans="2:17" x14ac:dyDescent="0.3">
      <c r="B1283" s="126"/>
      <c r="C1283" s="583">
        <v>902</v>
      </c>
      <c r="D1283" s="625" t="e">
        <f t="shared" si="40"/>
        <v>#VALUE!</v>
      </c>
      <c r="E1283" s="591"/>
      <c r="F1283" s="591"/>
      <c r="G1283" s="591"/>
      <c r="H1283" s="591"/>
      <c r="I1283" s="591"/>
      <c r="J1283" s="591"/>
      <c r="K1283" s="542"/>
      <c r="O1283" s="1134"/>
      <c r="Q1283" s="1133"/>
    </row>
    <row r="1284" spans="2:17" x14ac:dyDescent="0.3">
      <c r="B1284" s="126"/>
      <c r="C1284" s="583">
        <v>903</v>
      </c>
      <c r="D1284" s="625" t="e">
        <f t="shared" si="40"/>
        <v>#VALUE!</v>
      </c>
      <c r="E1284" s="591"/>
      <c r="F1284" s="591"/>
      <c r="G1284" s="591"/>
      <c r="H1284" s="591"/>
      <c r="I1284" s="591"/>
      <c r="J1284" s="591"/>
      <c r="K1284" s="542"/>
      <c r="O1284" s="1134"/>
      <c r="Q1284" s="1133"/>
    </row>
    <row r="1285" spans="2:17" x14ac:dyDescent="0.3">
      <c r="B1285" s="126"/>
      <c r="C1285" s="583">
        <v>904</v>
      </c>
      <c r="D1285" s="625" t="e">
        <f t="shared" si="40"/>
        <v>#VALUE!</v>
      </c>
      <c r="E1285" s="591"/>
      <c r="F1285" s="591"/>
      <c r="G1285" s="591"/>
      <c r="H1285" s="591"/>
      <c r="I1285" s="591"/>
      <c r="J1285" s="591"/>
      <c r="K1285" s="542"/>
      <c r="O1285" s="1134"/>
      <c r="Q1285" s="1133"/>
    </row>
    <row r="1286" spans="2:17" x14ac:dyDescent="0.3">
      <c r="B1286" s="126"/>
      <c r="C1286" s="583">
        <v>905</v>
      </c>
      <c r="D1286" s="625" t="e">
        <f t="shared" si="40"/>
        <v>#VALUE!</v>
      </c>
      <c r="E1286" s="591"/>
      <c r="F1286" s="591"/>
      <c r="G1286" s="591"/>
      <c r="H1286" s="591"/>
      <c r="I1286" s="591"/>
      <c r="J1286" s="591"/>
      <c r="K1286" s="542"/>
      <c r="O1286" s="1134"/>
      <c r="Q1286" s="1133"/>
    </row>
    <row r="1287" spans="2:17" x14ac:dyDescent="0.3">
      <c r="B1287" s="126"/>
      <c r="C1287" s="583">
        <v>906</v>
      </c>
      <c r="D1287" s="625" t="e">
        <f t="shared" si="40"/>
        <v>#VALUE!</v>
      </c>
      <c r="E1287" s="591"/>
      <c r="F1287" s="591"/>
      <c r="G1287" s="591"/>
      <c r="H1287" s="591"/>
      <c r="I1287" s="591"/>
      <c r="J1287" s="591"/>
      <c r="K1287" s="542"/>
      <c r="O1287" s="1134"/>
      <c r="Q1287" s="1133"/>
    </row>
    <row r="1288" spans="2:17" x14ac:dyDescent="0.3">
      <c r="B1288" s="126"/>
      <c r="C1288" s="583">
        <v>907</v>
      </c>
      <c r="D1288" s="625" t="e">
        <f t="shared" si="40"/>
        <v>#VALUE!</v>
      </c>
      <c r="E1288" s="591"/>
      <c r="F1288" s="591"/>
      <c r="G1288" s="591"/>
      <c r="H1288" s="591"/>
      <c r="I1288" s="591"/>
      <c r="J1288" s="591"/>
      <c r="K1288" s="542"/>
      <c r="O1288" s="1134"/>
      <c r="Q1288" s="1133"/>
    </row>
    <row r="1289" spans="2:17" x14ac:dyDescent="0.3">
      <c r="B1289" s="126"/>
      <c r="C1289" s="583">
        <v>908</v>
      </c>
      <c r="D1289" s="625" t="e">
        <f t="shared" si="40"/>
        <v>#VALUE!</v>
      </c>
      <c r="E1289" s="591"/>
      <c r="F1289" s="591"/>
      <c r="G1289" s="591"/>
      <c r="H1289" s="591"/>
      <c r="I1289" s="591"/>
      <c r="J1289" s="591"/>
      <c r="K1289" s="542"/>
      <c r="O1289" s="1134"/>
      <c r="Q1289" s="1133"/>
    </row>
    <row r="1290" spans="2:17" x14ac:dyDescent="0.3">
      <c r="B1290" s="126"/>
      <c r="C1290" s="583">
        <v>909</v>
      </c>
      <c r="D1290" s="625" t="e">
        <f t="shared" si="40"/>
        <v>#VALUE!</v>
      </c>
      <c r="E1290" s="591"/>
      <c r="F1290" s="591"/>
      <c r="G1290" s="591"/>
      <c r="H1290" s="591"/>
      <c r="I1290" s="591"/>
      <c r="J1290" s="591"/>
      <c r="K1290" s="542"/>
      <c r="O1290" s="1134"/>
      <c r="Q1290" s="1133"/>
    </row>
    <row r="1291" spans="2:17" x14ac:dyDescent="0.3">
      <c r="B1291" s="126"/>
      <c r="C1291" s="583">
        <v>910</v>
      </c>
      <c r="D1291" s="625" t="e">
        <f t="shared" si="40"/>
        <v>#VALUE!</v>
      </c>
      <c r="E1291" s="591"/>
      <c r="F1291" s="591"/>
      <c r="G1291" s="591"/>
      <c r="H1291" s="591"/>
      <c r="I1291" s="591"/>
      <c r="J1291" s="591"/>
      <c r="K1291" s="542"/>
      <c r="O1291" s="1134"/>
      <c r="Q1291" s="1133"/>
    </row>
    <row r="1292" spans="2:17" x14ac:dyDescent="0.3">
      <c r="B1292" s="126"/>
      <c r="C1292" s="583">
        <v>911</v>
      </c>
      <c r="D1292" s="625" t="e">
        <f t="shared" si="40"/>
        <v>#VALUE!</v>
      </c>
      <c r="E1292" s="591"/>
      <c r="F1292" s="591"/>
      <c r="G1292" s="591"/>
      <c r="H1292" s="591"/>
      <c r="I1292" s="591"/>
      <c r="J1292" s="591"/>
      <c r="K1292" s="542"/>
      <c r="O1292" s="1134"/>
      <c r="Q1292" s="1133"/>
    </row>
    <row r="1293" spans="2:17" x14ac:dyDescent="0.3">
      <c r="B1293" s="126"/>
      <c r="C1293" s="583">
        <v>912</v>
      </c>
      <c r="D1293" s="625" t="e">
        <f t="shared" si="40"/>
        <v>#VALUE!</v>
      </c>
      <c r="E1293" s="591"/>
      <c r="F1293" s="591"/>
      <c r="G1293" s="591"/>
      <c r="H1293" s="591"/>
      <c r="I1293" s="591"/>
      <c r="J1293" s="591"/>
      <c r="K1293" s="542"/>
      <c r="O1293" s="1134"/>
      <c r="Q1293" s="1133"/>
    </row>
    <row r="1294" spans="2:17" x14ac:dyDescent="0.3">
      <c r="B1294" s="126"/>
      <c r="C1294" s="583">
        <v>913</v>
      </c>
      <c r="D1294" s="625" t="e">
        <f t="shared" si="40"/>
        <v>#VALUE!</v>
      </c>
      <c r="E1294" s="591"/>
      <c r="F1294" s="591"/>
      <c r="G1294" s="591"/>
      <c r="H1294" s="591"/>
      <c r="I1294" s="591"/>
      <c r="J1294" s="591"/>
      <c r="K1294" s="542"/>
      <c r="O1294" s="1134"/>
      <c r="Q1294" s="1133"/>
    </row>
    <row r="1295" spans="2:17" x14ac:dyDescent="0.3">
      <c r="B1295" s="126"/>
      <c r="C1295" s="583">
        <v>914</v>
      </c>
      <c r="D1295" s="625" t="e">
        <f t="shared" si="40"/>
        <v>#VALUE!</v>
      </c>
      <c r="E1295" s="591"/>
      <c r="F1295" s="591"/>
      <c r="G1295" s="591"/>
      <c r="H1295" s="591"/>
      <c r="I1295" s="591"/>
      <c r="J1295" s="591"/>
      <c r="K1295" s="542"/>
      <c r="O1295" s="1134"/>
      <c r="Q1295" s="1133"/>
    </row>
    <row r="1296" spans="2:17" x14ac:dyDescent="0.3">
      <c r="B1296" s="126"/>
      <c r="C1296" s="583">
        <v>915</v>
      </c>
      <c r="D1296" s="625" t="e">
        <f t="shared" si="40"/>
        <v>#VALUE!</v>
      </c>
      <c r="E1296" s="591"/>
      <c r="F1296" s="591"/>
      <c r="G1296" s="591"/>
      <c r="H1296" s="591"/>
      <c r="I1296" s="591"/>
      <c r="J1296" s="591"/>
      <c r="K1296" s="542"/>
      <c r="O1296" s="1134"/>
      <c r="Q1296" s="1133"/>
    </row>
    <row r="1297" spans="2:17" x14ac:dyDescent="0.3">
      <c r="B1297" s="126"/>
      <c r="C1297" s="583">
        <v>916</v>
      </c>
      <c r="D1297" s="625" t="e">
        <f t="shared" si="40"/>
        <v>#VALUE!</v>
      </c>
      <c r="E1297" s="591"/>
      <c r="F1297" s="591"/>
      <c r="G1297" s="591"/>
      <c r="H1297" s="591"/>
      <c r="I1297" s="591"/>
      <c r="J1297" s="591"/>
      <c r="K1297" s="542"/>
      <c r="O1297" s="1134"/>
      <c r="Q1297" s="1133"/>
    </row>
    <row r="1298" spans="2:17" x14ac:dyDescent="0.3">
      <c r="B1298" s="126"/>
      <c r="C1298" s="583">
        <v>917</v>
      </c>
      <c r="D1298" s="625" t="e">
        <f t="shared" si="40"/>
        <v>#VALUE!</v>
      </c>
      <c r="E1298" s="591"/>
      <c r="F1298" s="591"/>
      <c r="G1298" s="591"/>
      <c r="H1298" s="591"/>
      <c r="I1298" s="591"/>
      <c r="J1298" s="591"/>
      <c r="K1298" s="542"/>
      <c r="O1298" s="1134"/>
      <c r="Q1298" s="1133"/>
    </row>
    <row r="1299" spans="2:17" x14ac:dyDescent="0.3">
      <c r="B1299" s="126"/>
      <c r="C1299" s="583">
        <v>918</v>
      </c>
      <c r="D1299" s="625" t="e">
        <f t="shared" si="40"/>
        <v>#VALUE!</v>
      </c>
      <c r="E1299" s="591"/>
      <c r="F1299" s="591"/>
      <c r="G1299" s="591"/>
      <c r="H1299" s="591"/>
      <c r="I1299" s="591"/>
      <c r="J1299" s="591"/>
      <c r="K1299" s="542"/>
      <c r="O1299" s="1134"/>
      <c r="Q1299" s="1133"/>
    </row>
    <row r="1300" spans="2:17" x14ac:dyDescent="0.3">
      <c r="B1300" s="126"/>
      <c r="C1300" s="583">
        <v>919</v>
      </c>
      <c r="D1300" s="625" t="e">
        <f t="shared" si="40"/>
        <v>#VALUE!</v>
      </c>
      <c r="E1300" s="591"/>
      <c r="F1300" s="591"/>
      <c r="G1300" s="591"/>
      <c r="H1300" s="591"/>
      <c r="I1300" s="591"/>
      <c r="J1300" s="591"/>
      <c r="K1300" s="542"/>
      <c r="O1300" s="1134"/>
      <c r="Q1300" s="1133"/>
    </row>
    <row r="1301" spans="2:17" x14ac:dyDescent="0.3">
      <c r="B1301" s="126"/>
      <c r="C1301" s="583">
        <v>920</v>
      </c>
      <c r="D1301" s="625" t="e">
        <f t="shared" si="40"/>
        <v>#VALUE!</v>
      </c>
      <c r="E1301" s="591"/>
      <c r="F1301" s="591"/>
      <c r="G1301" s="591"/>
      <c r="H1301" s="591"/>
      <c r="I1301" s="591"/>
      <c r="J1301" s="591"/>
      <c r="K1301" s="542"/>
      <c r="O1301" s="1134"/>
      <c r="Q1301" s="1133"/>
    </row>
    <row r="1302" spans="2:17" x14ac:dyDescent="0.3">
      <c r="B1302" s="126"/>
      <c r="C1302" s="583">
        <v>921</v>
      </c>
      <c r="D1302" s="625" t="e">
        <f t="shared" si="40"/>
        <v>#VALUE!</v>
      </c>
      <c r="E1302" s="591"/>
      <c r="F1302" s="591"/>
      <c r="G1302" s="591"/>
      <c r="H1302" s="591"/>
      <c r="I1302" s="591"/>
      <c r="J1302" s="591"/>
      <c r="K1302" s="542"/>
      <c r="O1302" s="1134"/>
      <c r="Q1302" s="1133"/>
    </row>
    <row r="1303" spans="2:17" x14ac:dyDescent="0.3">
      <c r="B1303" s="126"/>
      <c r="C1303" s="583">
        <v>922</v>
      </c>
      <c r="D1303" s="625" t="e">
        <f t="shared" si="40"/>
        <v>#VALUE!</v>
      </c>
      <c r="E1303" s="591"/>
      <c r="F1303" s="591"/>
      <c r="G1303" s="591"/>
      <c r="H1303" s="591"/>
      <c r="I1303" s="591"/>
      <c r="J1303" s="591"/>
      <c r="K1303" s="542"/>
      <c r="O1303" s="1134"/>
      <c r="Q1303" s="1133"/>
    </row>
    <row r="1304" spans="2:17" x14ac:dyDescent="0.3">
      <c r="B1304" s="126"/>
      <c r="C1304" s="583">
        <v>923</v>
      </c>
      <c r="D1304" s="625" t="e">
        <f t="shared" si="40"/>
        <v>#VALUE!</v>
      </c>
      <c r="E1304" s="591"/>
      <c r="F1304" s="591"/>
      <c r="G1304" s="591"/>
      <c r="H1304" s="591"/>
      <c r="I1304" s="591"/>
      <c r="J1304" s="591"/>
      <c r="K1304" s="542"/>
      <c r="O1304" s="1134"/>
      <c r="Q1304" s="1133"/>
    </row>
    <row r="1305" spans="2:17" x14ac:dyDescent="0.3">
      <c r="B1305" s="126"/>
      <c r="C1305" s="583">
        <v>924</v>
      </c>
      <c r="D1305" s="625" t="e">
        <f t="shared" si="40"/>
        <v>#VALUE!</v>
      </c>
      <c r="E1305" s="591"/>
      <c r="F1305" s="591"/>
      <c r="G1305" s="591"/>
      <c r="H1305" s="591"/>
      <c r="I1305" s="591"/>
      <c r="J1305" s="591"/>
      <c r="K1305" s="542"/>
      <c r="O1305" s="1134"/>
      <c r="Q1305" s="1133"/>
    </row>
    <row r="1306" spans="2:17" x14ac:dyDescent="0.3">
      <c r="B1306" s="126"/>
      <c r="C1306" s="583">
        <v>925</v>
      </c>
      <c r="D1306" s="625" t="e">
        <f t="shared" si="40"/>
        <v>#VALUE!</v>
      </c>
      <c r="E1306" s="591"/>
      <c r="F1306" s="591"/>
      <c r="G1306" s="591"/>
      <c r="H1306" s="591"/>
      <c r="I1306" s="591"/>
      <c r="J1306" s="591"/>
      <c r="K1306" s="542"/>
      <c r="O1306" s="1134"/>
      <c r="Q1306" s="1133"/>
    </row>
    <row r="1307" spans="2:17" x14ac:dyDescent="0.3">
      <c r="B1307" s="126"/>
      <c r="C1307" s="583">
        <v>926</v>
      </c>
      <c r="D1307" s="625" t="e">
        <f t="shared" si="40"/>
        <v>#VALUE!</v>
      </c>
      <c r="E1307" s="591"/>
      <c r="F1307" s="591"/>
      <c r="G1307" s="591"/>
      <c r="H1307" s="591"/>
      <c r="I1307" s="591"/>
      <c r="J1307" s="591"/>
      <c r="K1307" s="542"/>
      <c r="O1307" s="1134"/>
      <c r="Q1307" s="1133"/>
    </row>
    <row r="1308" spans="2:17" x14ac:dyDescent="0.3">
      <c r="B1308" s="126"/>
      <c r="C1308" s="583">
        <v>927</v>
      </c>
      <c r="D1308" s="625" t="e">
        <f t="shared" si="40"/>
        <v>#VALUE!</v>
      </c>
      <c r="E1308" s="591"/>
      <c r="F1308" s="591"/>
      <c r="G1308" s="591"/>
      <c r="H1308" s="591"/>
      <c r="I1308" s="591"/>
      <c r="J1308" s="591"/>
      <c r="K1308" s="542"/>
      <c r="O1308" s="1134"/>
      <c r="Q1308" s="1133"/>
    </row>
    <row r="1309" spans="2:17" x14ac:dyDescent="0.3">
      <c r="B1309" s="126"/>
      <c r="C1309" s="583">
        <v>928</v>
      </c>
      <c r="D1309" s="625" t="e">
        <f t="shared" si="40"/>
        <v>#VALUE!</v>
      </c>
      <c r="E1309" s="591"/>
      <c r="F1309" s="591"/>
      <c r="G1309" s="591"/>
      <c r="H1309" s="591"/>
      <c r="I1309" s="591"/>
      <c r="J1309" s="591"/>
      <c r="K1309" s="542"/>
      <c r="O1309" s="1134"/>
      <c r="Q1309" s="1133"/>
    </row>
    <row r="1310" spans="2:17" x14ac:dyDescent="0.3">
      <c r="B1310" s="126"/>
      <c r="C1310" s="583">
        <v>929</v>
      </c>
      <c r="D1310" s="625" t="e">
        <f t="shared" si="40"/>
        <v>#VALUE!</v>
      </c>
      <c r="E1310" s="591"/>
      <c r="F1310" s="591"/>
      <c r="G1310" s="591"/>
      <c r="H1310" s="591"/>
      <c r="I1310" s="591"/>
      <c r="J1310" s="591"/>
      <c r="K1310" s="542"/>
      <c r="O1310" s="1134"/>
      <c r="Q1310" s="1133"/>
    </row>
    <row r="1311" spans="2:17" x14ac:dyDescent="0.3">
      <c r="B1311" s="126"/>
      <c r="C1311" s="583">
        <v>930</v>
      </c>
      <c r="D1311" s="625" t="e">
        <f t="shared" si="40"/>
        <v>#VALUE!</v>
      </c>
      <c r="E1311" s="591"/>
      <c r="F1311" s="591"/>
      <c r="G1311" s="591"/>
      <c r="H1311" s="591"/>
      <c r="I1311" s="591"/>
      <c r="J1311" s="591"/>
      <c r="K1311" s="542"/>
      <c r="O1311" s="1134"/>
      <c r="Q1311" s="1133"/>
    </row>
    <row r="1312" spans="2:17" x14ac:dyDescent="0.3">
      <c r="B1312" s="126"/>
      <c r="C1312" s="583">
        <v>931</v>
      </c>
      <c r="D1312" s="625" t="e">
        <f t="shared" si="40"/>
        <v>#VALUE!</v>
      </c>
      <c r="E1312" s="591"/>
      <c r="F1312" s="591"/>
      <c r="G1312" s="591"/>
      <c r="H1312" s="591"/>
      <c r="I1312" s="591"/>
      <c r="J1312" s="591"/>
      <c r="K1312" s="542"/>
      <c r="O1312" s="1134"/>
      <c r="Q1312" s="1133"/>
    </row>
    <row r="1313" spans="2:17" x14ac:dyDescent="0.3">
      <c r="B1313" s="126"/>
      <c r="C1313" s="583">
        <v>932</v>
      </c>
      <c r="D1313" s="625" t="e">
        <f t="shared" si="40"/>
        <v>#VALUE!</v>
      </c>
      <c r="E1313" s="591"/>
      <c r="F1313" s="591"/>
      <c r="G1313" s="591"/>
      <c r="H1313" s="591"/>
      <c r="I1313" s="591"/>
      <c r="J1313" s="591"/>
      <c r="K1313" s="542"/>
      <c r="O1313" s="1134"/>
      <c r="Q1313" s="1133"/>
    </row>
    <row r="1314" spans="2:17" x14ac:dyDescent="0.3">
      <c r="B1314" s="126"/>
      <c r="C1314" s="583">
        <v>933</v>
      </c>
      <c r="D1314" s="625" t="e">
        <f t="shared" si="40"/>
        <v>#VALUE!</v>
      </c>
      <c r="E1314" s="591"/>
      <c r="F1314" s="591"/>
      <c r="G1314" s="591"/>
      <c r="H1314" s="591"/>
      <c r="I1314" s="591"/>
      <c r="J1314" s="591"/>
      <c r="K1314" s="542"/>
      <c r="O1314" s="1134"/>
      <c r="Q1314" s="1133"/>
    </row>
    <row r="1315" spans="2:17" x14ac:dyDescent="0.3">
      <c r="B1315" s="126"/>
      <c r="C1315" s="583">
        <v>934</v>
      </c>
      <c r="D1315" s="625" t="e">
        <f t="shared" si="40"/>
        <v>#VALUE!</v>
      </c>
      <c r="E1315" s="591"/>
      <c r="F1315" s="591"/>
      <c r="G1315" s="591"/>
      <c r="H1315" s="591"/>
      <c r="I1315" s="591"/>
      <c r="J1315" s="591"/>
      <c r="K1315" s="542"/>
      <c r="O1315" s="1134"/>
      <c r="Q1315" s="1133"/>
    </row>
    <row r="1316" spans="2:17" x14ac:dyDescent="0.3">
      <c r="B1316" s="126"/>
      <c r="C1316" s="583">
        <v>935</v>
      </c>
      <c r="D1316" s="625" t="e">
        <f t="shared" si="40"/>
        <v>#VALUE!</v>
      </c>
      <c r="E1316" s="591"/>
      <c r="F1316" s="591"/>
      <c r="G1316" s="591"/>
      <c r="H1316" s="591"/>
      <c r="I1316" s="591"/>
      <c r="J1316" s="591"/>
      <c r="K1316" s="542"/>
      <c r="O1316" s="1134"/>
      <c r="Q1316" s="1133"/>
    </row>
    <row r="1317" spans="2:17" x14ac:dyDescent="0.3">
      <c r="B1317" s="126"/>
      <c r="C1317" s="583">
        <v>936</v>
      </c>
      <c r="D1317" s="625" t="e">
        <f t="shared" si="40"/>
        <v>#VALUE!</v>
      </c>
      <c r="E1317" s="591"/>
      <c r="F1317" s="591"/>
      <c r="G1317" s="591"/>
      <c r="H1317" s="591"/>
      <c r="I1317" s="591"/>
      <c r="J1317" s="591"/>
      <c r="K1317" s="542"/>
      <c r="O1317" s="1134"/>
      <c r="Q1317" s="1133"/>
    </row>
    <row r="1318" spans="2:17" x14ac:dyDescent="0.3">
      <c r="B1318" s="126"/>
      <c r="C1318" s="583">
        <v>937</v>
      </c>
      <c r="D1318" s="625" t="e">
        <f t="shared" si="40"/>
        <v>#VALUE!</v>
      </c>
      <c r="E1318" s="591"/>
      <c r="F1318" s="591"/>
      <c r="G1318" s="591"/>
      <c r="H1318" s="591"/>
      <c r="I1318" s="591"/>
      <c r="J1318" s="591"/>
      <c r="K1318" s="542"/>
      <c r="O1318" s="1134"/>
      <c r="Q1318" s="1133"/>
    </row>
    <row r="1319" spans="2:17" x14ac:dyDescent="0.3">
      <c r="B1319" s="126"/>
      <c r="C1319" s="583">
        <v>938</v>
      </c>
      <c r="D1319" s="625" t="e">
        <f t="shared" si="40"/>
        <v>#VALUE!</v>
      </c>
      <c r="E1319" s="591"/>
      <c r="F1319" s="591"/>
      <c r="G1319" s="591"/>
      <c r="H1319" s="591"/>
      <c r="I1319" s="591"/>
      <c r="J1319" s="591"/>
      <c r="K1319" s="542"/>
      <c r="O1319" s="1134"/>
      <c r="Q1319" s="1133"/>
    </row>
    <row r="1320" spans="2:17" x14ac:dyDescent="0.3">
      <c r="B1320" s="126"/>
      <c r="C1320" s="583">
        <v>939</v>
      </c>
      <c r="D1320" s="625" t="e">
        <f t="shared" si="40"/>
        <v>#VALUE!</v>
      </c>
      <c r="E1320" s="591"/>
      <c r="F1320" s="591"/>
      <c r="G1320" s="591"/>
      <c r="H1320" s="591"/>
      <c r="I1320" s="591"/>
      <c r="J1320" s="591"/>
      <c r="K1320" s="542"/>
      <c r="O1320" s="1134"/>
      <c r="Q1320" s="1133"/>
    </row>
    <row r="1321" spans="2:17" x14ac:dyDescent="0.3">
      <c r="B1321" s="126"/>
      <c r="C1321" s="583">
        <v>940</v>
      </c>
      <c r="D1321" s="625" t="e">
        <f t="shared" si="40"/>
        <v>#VALUE!</v>
      </c>
      <c r="E1321" s="591"/>
      <c r="F1321" s="591"/>
      <c r="G1321" s="591"/>
      <c r="H1321" s="591"/>
      <c r="I1321" s="591"/>
      <c r="J1321" s="591"/>
      <c r="K1321" s="542"/>
      <c r="O1321" s="1134"/>
      <c r="Q1321" s="1133"/>
    </row>
    <row r="1322" spans="2:17" x14ac:dyDescent="0.3">
      <c r="B1322" s="126"/>
      <c r="C1322" s="583">
        <v>941</v>
      </c>
      <c r="D1322" s="625" t="e">
        <f t="shared" si="40"/>
        <v>#VALUE!</v>
      </c>
      <c r="E1322" s="591"/>
      <c r="F1322" s="591"/>
      <c r="G1322" s="591"/>
      <c r="H1322" s="591"/>
      <c r="I1322" s="591"/>
      <c r="J1322" s="591"/>
      <c r="K1322" s="542"/>
      <c r="O1322" s="1134"/>
      <c r="Q1322" s="1133"/>
    </row>
    <row r="1323" spans="2:17" x14ac:dyDescent="0.3">
      <c r="B1323" s="126"/>
      <c r="C1323" s="583">
        <v>942</v>
      </c>
      <c r="D1323" s="625" t="e">
        <f t="shared" si="40"/>
        <v>#VALUE!</v>
      </c>
      <c r="E1323" s="591"/>
      <c r="F1323" s="591"/>
      <c r="G1323" s="591"/>
      <c r="H1323" s="591"/>
      <c r="I1323" s="591"/>
      <c r="J1323" s="591"/>
      <c r="K1323" s="542"/>
      <c r="O1323" s="1134"/>
      <c r="Q1323" s="1133"/>
    </row>
    <row r="1324" spans="2:17" x14ac:dyDescent="0.3">
      <c r="B1324" s="126"/>
      <c r="C1324" s="583">
        <v>943</v>
      </c>
      <c r="D1324" s="625" t="e">
        <f t="shared" si="40"/>
        <v>#VALUE!</v>
      </c>
      <c r="E1324" s="591"/>
      <c r="F1324" s="591"/>
      <c r="G1324" s="591"/>
      <c r="H1324" s="591"/>
      <c r="I1324" s="591"/>
      <c r="J1324" s="591"/>
      <c r="K1324" s="542"/>
      <c r="O1324" s="1134"/>
      <c r="Q1324" s="1133"/>
    </row>
    <row r="1325" spans="2:17" x14ac:dyDescent="0.3">
      <c r="B1325" s="126"/>
      <c r="C1325" s="583">
        <v>944</v>
      </c>
      <c r="D1325" s="625" t="e">
        <f t="shared" si="40"/>
        <v>#VALUE!</v>
      </c>
      <c r="E1325" s="591"/>
      <c r="F1325" s="591"/>
      <c r="G1325" s="591"/>
      <c r="H1325" s="591"/>
      <c r="I1325" s="591"/>
      <c r="J1325" s="591"/>
      <c r="K1325" s="542"/>
      <c r="O1325" s="1134"/>
      <c r="Q1325" s="1133"/>
    </row>
    <row r="1326" spans="2:17" x14ac:dyDescent="0.3">
      <c r="B1326" s="126"/>
      <c r="C1326" s="583">
        <v>945</v>
      </c>
      <c r="D1326" s="625" t="e">
        <f t="shared" si="40"/>
        <v>#VALUE!</v>
      </c>
      <c r="E1326" s="591"/>
      <c r="F1326" s="591"/>
      <c r="G1326" s="591"/>
      <c r="H1326" s="591"/>
      <c r="I1326" s="591"/>
      <c r="J1326" s="591"/>
      <c r="K1326" s="542"/>
      <c r="O1326" s="1134"/>
      <c r="Q1326" s="1133"/>
    </row>
    <row r="1327" spans="2:17" x14ac:dyDescent="0.3">
      <c r="B1327" s="126"/>
      <c r="C1327" s="583">
        <v>946</v>
      </c>
      <c r="D1327" s="625" t="e">
        <f t="shared" si="40"/>
        <v>#VALUE!</v>
      </c>
      <c r="E1327" s="591"/>
      <c r="F1327" s="591"/>
      <c r="G1327" s="591"/>
      <c r="H1327" s="591"/>
      <c r="I1327" s="591"/>
      <c r="J1327" s="591"/>
      <c r="K1327" s="542"/>
      <c r="O1327" s="1134"/>
      <c r="Q1327" s="1133"/>
    </row>
    <row r="1328" spans="2:17" x14ac:dyDescent="0.3">
      <c r="B1328" s="126"/>
      <c r="C1328" s="583">
        <v>947</v>
      </c>
      <c r="D1328" s="625" t="e">
        <f t="shared" si="40"/>
        <v>#VALUE!</v>
      </c>
      <c r="E1328" s="591"/>
      <c r="F1328" s="591"/>
      <c r="G1328" s="591"/>
      <c r="H1328" s="591"/>
      <c r="I1328" s="591"/>
      <c r="J1328" s="591"/>
      <c r="K1328" s="542"/>
      <c r="O1328" s="1134"/>
      <c r="Q1328" s="1133"/>
    </row>
    <row r="1329" spans="2:17" x14ac:dyDescent="0.3">
      <c r="B1329" s="126"/>
      <c r="C1329" s="583">
        <v>948</v>
      </c>
      <c r="D1329" s="625" t="e">
        <f t="shared" si="40"/>
        <v>#VALUE!</v>
      </c>
      <c r="E1329" s="591"/>
      <c r="F1329" s="591"/>
      <c r="G1329" s="591"/>
      <c r="H1329" s="591"/>
      <c r="I1329" s="591"/>
      <c r="J1329" s="591"/>
      <c r="K1329" s="542"/>
      <c r="O1329" s="1134"/>
      <c r="Q1329" s="1133"/>
    </row>
    <row r="1330" spans="2:17" x14ac:dyDescent="0.3">
      <c r="B1330" s="126"/>
      <c r="C1330" s="583">
        <v>949</v>
      </c>
      <c r="D1330" s="625" t="e">
        <f t="shared" si="40"/>
        <v>#VALUE!</v>
      </c>
      <c r="E1330" s="591"/>
      <c r="F1330" s="591"/>
      <c r="G1330" s="591"/>
      <c r="H1330" s="591"/>
      <c r="I1330" s="591"/>
      <c r="J1330" s="591"/>
      <c r="K1330" s="542"/>
      <c r="O1330" s="1134"/>
      <c r="Q1330" s="1133"/>
    </row>
    <row r="1331" spans="2:17" x14ac:dyDescent="0.3">
      <c r="B1331" s="126"/>
      <c r="C1331" s="583">
        <v>950</v>
      </c>
      <c r="D1331" s="625" t="e">
        <f t="shared" si="40"/>
        <v>#VALUE!</v>
      </c>
      <c r="E1331" s="591"/>
      <c r="F1331" s="591"/>
      <c r="G1331" s="591"/>
      <c r="H1331" s="591"/>
      <c r="I1331" s="591"/>
      <c r="J1331" s="591"/>
      <c r="K1331" s="542"/>
      <c r="O1331" s="1134"/>
      <c r="Q1331" s="1133"/>
    </row>
    <row r="1332" spans="2:17" x14ac:dyDescent="0.3">
      <c r="B1332" s="126"/>
      <c r="C1332" s="583">
        <v>951</v>
      </c>
      <c r="D1332" s="625" t="e">
        <f t="shared" si="40"/>
        <v>#VALUE!</v>
      </c>
      <c r="E1332" s="591"/>
      <c r="F1332" s="591"/>
      <c r="G1332" s="591"/>
      <c r="H1332" s="591"/>
      <c r="I1332" s="591"/>
      <c r="J1332" s="591"/>
      <c r="K1332" s="542"/>
      <c r="O1332" s="1134"/>
      <c r="Q1332" s="1133"/>
    </row>
    <row r="1333" spans="2:17" x14ac:dyDescent="0.3">
      <c r="B1333" s="126"/>
      <c r="C1333" s="583">
        <v>952</v>
      </c>
      <c r="D1333" s="625" t="e">
        <f t="shared" si="40"/>
        <v>#VALUE!</v>
      </c>
      <c r="E1333" s="591"/>
      <c r="F1333" s="591"/>
      <c r="G1333" s="591"/>
      <c r="H1333" s="591"/>
      <c r="I1333" s="591"/>
      <c r="J1333" s="591"/>
      <c r="K1333" s="542"/>
      <c r="O1333" s="1134"/>
      <c r="Q1333" s="1133"/>
    </row>
    <row r="1334" spans="2:17" x14ac:dyDescent="0.3">
      <c r="B1334" s="126"/>
      <c r="C1334" s="583">
        <v>953</v>
      </c>
      <c r="D1334" s="625" t="e">
        <f t="shared" si="40"/>
        <v>#VALUE!</v>
      </c>
      <c r="E1334" s="591"/>
      <c r="F1334" s="591"/>
      <c r="G1334" s="591"/>
      <c r="H1334" s="591"/>
      <c r="I1334" s="591"/>
      <c r="J1334" s="591"/>
      <c r="K1334" s="542"/>
      <c r="O1334" s="1134"/>
      <c r="Q1334" s="1133"/>
    </row>
    <row r="1335" spans="2:17" x14ac:dyDescent="0.3">
      <c r="B1335" s="126"/>
      <c r="C1335" s="583">
        <v>954</v>
      </c>
      <c r="D1335" s="625" t="e">
        <f t="shared" si="40"/>
        <v>#VALUE!</v>
      </c>
      <c r="E1335" s="591"/>
      <c r="F1335" s="591"/>
      <c r="G1335" s="591"/>
      <c r="H1335" s="591"/>
      <c r="I1335" s="591"/>
      <c r="J1335" s="591"/>
      <c r="K1335" s="542"/>
      <c r="O1335" s="1134"/>
      <c r="Q1335" s="1133"/>
    </row>
    <row r="1336" spans="2:17" x14ac:dyDescent="0.3">
      <c r="B1336" s="126"/>
      <c r="C1336" s="583">
        <v>955</v>
      </c>
      <c r="D1336" s="625" t="e">
        <f t="shared" si="40"/>
        <v>#VALUE!</v>
      </c>
      <c r="E1336" s="591"/>
      <c r="F1336" s="591"/>
      <c r="G1336" s="591"/>
      <c r="H1336" s="591"/>
      <c r="I1336" s="591"/>
      <c r="J1336" s="591"/>
      <c r="K1336" s="542"/>
      <c r="O1336" s="1134"/>
      <c r="Q1336" s="1133"/>
    </row>
    <row r="1337" spans="2:17" x14ac:dyDescent="0.3">
      <c r="B1337" s="126"/>
      <c r="C1337" s="583">
        <v>956</v>
      </c>
      <c r="D1337" s="625" t="e">
        <f t="shared" si="40"/>
        <v>#VALUE!</v>
      </c>
      <c r="E1337" s="591"/>
      <c r="F1337" s="591"/>
      <c r="G1337" s="591"/>
      <c r="H1337" s="591"/>
      <c r="I1337" s="591"/>
      <c r="J1337" s="591"/>
      <c r="K1337" s="542"/>
      <c r="O1337" s="1134"/>
      <c r="Q1337" s="1133"/>
    </row>
    <row r="1338" spans="2:17" x14ac:dyDescent="0.3">
      <c r="B1338" s="126"/>
      <c r="C1338" s="583">
        <v>957</v>
      </c>
      <c r="D1338" s="625" t="e">
        <f t="shared" si="40"/>
        <v>#VALUE!</v>
      </c>
      <c r="E1338" s="591"/>
      <c r="F1338" s="591"/>
      <c r="G1338" s="591"/>
      <c r="H1338" s="591"/>
      <c r="I1338" s="591"/>
      <c r="J1338" s="591"/>
      <c r="K1338" s="542"/>
      <c r="O1338" s="1134"/>
      <c r="Q1338" s="1133"/>
    </row>
    <row r="1339" spans="2:17" x14ac:dyDescent="0.3">
      <c r="B1339" s="126"/>
      <c r="C1339" s="583">
        <v>958</v>
      </c>
      <c r="D1339" s="625" t="e">
        <f t="shared" si="40"/>
        <v>#VALUE!</v>
      </c>
      <c r="E1339" s="591"/>
      <c r="F1339" s="591"/>
      <c r="G1339" s="591"/>
      <c r="H1339" s="591"/>
      <c r="I1339" s="591"/>
      <c r="J1339" s="591"/>
      <c r="K1339" s="542"/>
      <c r="O1339" s="1134"/>
      <c r="Q1339" s="1133"/>
    </row>
    <row r="1340" spans="2:17" x14ac:dyDescent="0.3">
      <c r="B1340" s="126"/>
      <c r="C1340" s="583">
        <v>959</v>
      </c>
      <c r="D1340" s="625" t="e">
        <f t="shared" si="40"/>
        <v>#VALUE!</v>
      </c>
      <c r="E1340" s="591"/>
      <c r="F1340" s="591"/>
      <c r="G1340" s="591"/>
      <c r="H1340" s="591"/>
      <c r="I1340" s="591"/>
      <c r="J1340" s="591"/>
      <c r="K1340" s="542"/>
      <c r="O1340" s="1134"/>
      <c r="Q1340" s="1133"/>
    </row>
    <row r="1341" spans="2:17" x14ac:dyDescent="0.3">
      <c r="B1341" s="126"/>
      <c r="C1341" s="583">
        <v>960</v>
      </c>
      <c r="D1341" s="625" t="e">
        <f t="shared" ref="D1341:D1381" si="41">$C$360*C1341</f>
        <v>#VALUE!</v>
      </c>
      <c r="E1341" s="591"/>
      <c r="F1341" s="591"/>
      <c r="G1341" s="591"/>
      <c r="H1341" s="591"/>
      <c r="I1341" s="591"/>
      <c r="J1341" s="591"/>
      <c r="K1341" s="542"/>
      <c r="O1341" s="1134"/>
      <c r="Q1341" s="1133"/>
    </row>
    <row r="1342" spans="2:17" x14ac:dyDescent="0.3">
      <c r="B1342" s="126"/>
      <c r="C1342" s="583">
        <v>961</v>
      </c>
      <c r="D1342" s="625" t="e">
        <f t="shared" si="41"/>
        <v>#VALUE!</v>
      </c>
      <c r="E1342" s="591"/>
      <c r="F1342" s="591"/>
      <c r="G1342" s="591"/>
      <c r="H1342" s="591"/>
      <c r="I1342" s="591"/>
      <c r="J1342" s="591"/>
      <c r="K1342" s="542"/>
      <c r="O1342" s="1134"/>
      <c r="Q1342" s="1133"/>
    </row>
    <row r="1343" spans="2:17" x14ac:dyDescent="0.3">
      <c r="B1343" s="126"/>
      <c r="C1343" s="583">
        <v>962</v>
      </c>
      <c r="D1343" s="625" t="e">
        <f t="shared" si="41"/>
        <v>#VALUE!</v>
      </c>
      <c r="E1343" s="591"/>
      <c r="F1343" s="591"/>
      <c r="G1343" s="591"/>
      <c r="H1343" s="591"/>
      <c r="I1343" s="591"/>
      <c r="J1343" s="591"/>
      <c r="K1343" s="542"/>
      <c r="O1343" s="1134"/>
      <c r="Q1343" s="1133"/>
    </row>
    <row r="1344" spans="2:17" x14ac:dyDescent="0.3">
      <c r="B1344" s="126"/>
      <c r="C1344" s="583">
        <v>963</v>
      </c>
      <c r="D1344" s="625" t="e">
        <f t="shared" si="41"/>
        <v>#VALUE!</v>
      </c>
      <c r="E1344" s="591"/>
      <c r="F1344" s="591"/>
      <c r="G1344" s="591"/>
      <c r="H1344" s="591"/>
      <c r="I1344" s="591"/>
      <c r="J1344" s="591"/>
      <c r="K1344" s="542"/>
      <c r="O1344" s="1134"/>
      <c r="Q1344" s="1133"/>
    </row>
    <row r="1345" spans="2:17" x14ac:dyDescent="0.3">
      <c r="B1345" s="126"/>
      <c r="C1345" s="583">
        <v>964</v>
      </c>
      <c r="D1345" s="625" t="e">
        <f t="shared" si="41"/>
        <v>#VALUE!</v>
      </c>
      <c r="E1345" s="591"/>
      <c r="F1345" s="591"/>
      <c r="G1345" s="591"/>
      <c r="H1345" s="591"/>
      <c r="I1345" s="591"/>
      <c r="J1345" s="591"/>
      <c r="K1345" s="542"/>
      <c r="O1345" s="1134"/>
      <c r="Q1345" s="1133"/>
    </row>
    <row r="1346" spans="2:17" x14ac:dyDescent="0.3">
      <c r="B1346" s="126"/>
      <c r="C1346" s="583">
        <v>965</v>
      </c>
      <c r="D1346" s="625" t="e">
        <f t="shared" si="41"/>
        <v>#VALUE!</v>
      </c>
      <c r="E1346" s="591"/>
      <c r="F1346" s="591"/>
      <c r="G1346" s="591"/>
      <c r="H1346" s="591"/>
      <c r="I1346" s="591"/>
      <c r="J1346" s="591"/>
      <c r="K1346" s="542"/>
      <c r="O1346" s="1134"/>
      <c r="Q1346" s="1133"/>
    </row>
    <row r="1347" spans="2:17" x14ac:dyDescent="0.3">
      <c r="B1347" s="126"/>
      <c r="C1347" s="583">
        <v>966</v>
      </c>
      <c r="D1347" s="625" t="e">
        <f t="shared" si="41"/>
        <v>#VALUE!</v>
      </c>
      <c r="E1347" s="591"/>
      <c r="F1347" s="591"/>
      <c r="G1347" s="591"/>
      <c r="H1347" s="591"/>
      <c r="I1347" s="591"/>
      <c r="J1347" s="591"/>
      <c r="K1347" s="542"/>
      <c r="O1347" s="1134"/>
      <c r="Q1347" s="1133"/>
    </row>
    <row r="1348" spans="2:17" x14ac:dyDescent="0.3">
      <c r="B1348" s="126"/>
      <c r="C1348" s="583">
        <v>967</v>
      </c>
      <c r="D1348" s="625" t="e">
        <f t="shared" si="41"/>
        <v>#VALUE!</v>
      </c>
      <c r="E1348" s="591"/>
      <c r="F1348" s="591"/>
      <c r="G1348" s="591"/>
      <c r="H1348" s="591"/>
      <c r="I1348" s="591"/>
      <c r="J1348" s="591"/>
      <c r="K1348" s="542"/>
      <c r="O1348" s="1134"/>
      <c r="Q1348" s="1133"/>
    </row>
    <row r="1349" spans="2:17" x14ac:dyDescent="0.3">
      <c r="B1349" s="126"/>
      <c r="C1349" s="583">
        <v>968</v>
      </c>
      <c r="D1349" s="625" t="e">
        <f t="shared" si="41"/>
        <v>#VALUE!</v>
      </c>
      <c r="E1349" s="591"/>
      <c r="F1349" s="591"/>
      <c r="G1349" s="591"/>
      <c r="H1349" s="591"/>
      <c r="I1349" s="591"/>
      <c r="J1349" s="591"/>
      <c r="K1349" s="542"/>
      <c r="O1349" s="1134"/>
      <c r="Q1349" s="1133"/>
    </row>
    <row r="1350" spans="2:17" x14ac:dyDescent="0.3">
      <c r="B1350" s="126"/>
      <c r="C1350" s="583">
        <v>969</v>
      </c>
      <c r="D1350" s="625" t="e">
        <f t="shared" si="41"/>
        <v>#VALUE!</v>
      </c>
      <c r="E1350" s="591"/>
      <c r="F1350" s="591"/>
      <c r="G1350" s="591"/>
      <c r="H1350" s="591"/>
      <c r="I1350" s="591"/>
      <c r="J1350" s="591"/>
      <c r="K1350" s="542"/>
      <c r="O1350" s="1134"/>
      <c r="Q1350" s="1133"/>
    </row>
    <row r="1351" spans="2:17" x14ac:dyDescent="0.3">
      <c r="B1351" s="126"/>
      <c r="C1351" s="583">
        <v>970</v>
      </c>
      <c r="D1351" s="625" t="e">
        <f t="shared" si="41"/>
        <v>#VALUE!</v>
      </c>
      <c r="E1351" s="591"/>
      <c r="F1351" s="591"/>
      <c r="G1351" s="591"/>
      <c r="H1351" s="591"/>
      <c r="I1351" s="591"/>
      <c r="J1351" s="591"/>
      <c r="K1351" s="542"/>
      <c r="O1351" s="1134"/>
      <c r="Q1351" s="1133"/>
    </row>
    <row r="1352" spans="2:17" x14ac:dyDescent="0.3">
      <c r="B1352" s="126"/>
      <c r="C1352" s="583">
        <v>971</v>
      </c>
      <c r="D1352" s="625" t="e">
        <f t="shared" si="41"/>
        <v>#VALUE!</v>
      </c>
      <c r="E1352" s="591"/>
      <c r="F1352" s="591"/>
      <c r="G1352" s="591"/>
      <c r="H1352" s="591"/>
      <c r="I1352" s="591"/>
      <c r="J1352" s="591"/>
      <c r="K1352" s="542"/>
      <c r="O1352" s="1134"/>
      <c r="Q1352" s="1133"/>
    </row>
    <row r="1353" spans="2:17" x14ac:dyDescent="0.3">
      <c r="B1353" s="126"/>
      <c r="C1353" s="583">
        <v>972</v>
      </c>
      <c r="D1353" s="625" t="e">
        <f t="shared" si="41"/>
        <v>#VALUE!</v>
      </c>
      <c r="E1353" s="591"/>
      <c r="F1353" s="591"/>
      <c r="G1353" s="591"/>
      <c r="H1353" s="591"/>
      <c r="I1353" s="591"/>
      <c r="J1353" s="591"/>
      <c r="K1353" s="542"/>
      <c r="O1353" s="1134"/>
      <c r="Q1353" s="1133"/>
    </row>
    <row r="1354" spans="2:17" x14ac:dyDescent="0.3">
      <c r="B1354" s="126"/>
      <c r="C1354" s="583">
        <v>973</v>
      </c>
      <c r="D1354" s="625" t="e">
        <f t="shared" si="41"/>
        <v>#VALUE!</v>
      </c>
      <c r="E1354" s="591"/>
      <c r="F1354" s="591"/>
      <c r="G1354" s="591"/>
      <c r="H1354" s="591"/>
      <c r="I1354" s="591"/>
      <c r="J1354" s="591"/>
      <c r="K1354" s="542"/>
      <c r="O1354" s="1134"/>
      <c r="Q1354" s="1133"/>
    </row>
    <row r="1355" spans="2:17" x14ac:dyDescent="0.3">
      <c r="B1355" s="126"/>
      <c r="C1355" s="583">
        <v>974</v>
      </c>
      <c r="D1355" s="625" t="e">
        <f t="shared" si="41"/>
        <v>#VALUE!</v>
      </c>
      <c r="E1355" s="591"/>
      <c r="F1355" s="591"/>
      <c r="G1355" s="591"/>
      <c r="H1355" s="591"/>
      <c r="I1355" s="591"/>
      <c r="J1355" s="591"/>
      <c r="K1355" s="542"/>
      <c r="O1355" s="1134"/>
      <c r="Q1355" s="1133"/>
    </row>
    <row r="1356" spans="2:17" x14ac:dyDescent="0.3">
      <c r="B1356" s="126"/>
      <c r="C1356" s="583">
        <v>975</v>
      </c>
      <c r="D1356" s="625" t="e">
        <f t="shared" si="41"/>
        <v>#VALUE!</v>
      </c>
      <c r="E1356" s="591"/>
      <c r="F1356" s="591"/>
      <c r="G1356" s="591"/>
      <c r="H1356" s="591"/>
      <c r="I1356" s="591"/>
      <c r="J1356" s="591"/>
      <c r="K1356" s="542"/>
      <c r="O1356" s="1134"/>
      <c r="Q1356" s="1133"/>
    </row>
    <row r="1357" spans="2:17" x14ac:dyDescent="0.3">
      <c r="B1357" s="126"/>
      <c r="C1357" s="583">
        <v>976</v>
      </c>
      <c r="D1357" s="625" t="e">
        <f t="shared" si="41"/>
        <v>#VALUE!</v>
      </c>
      <c r="E1357" s="591"/>
      <c r="F1357" s="591"/>
      <c r="G1357" s="591"/>
      <c r="H1357" s="591"/>
      <c r="I1357" s="591"/>
      <c r="J1357" s="591"/>
      <c r="K1357" s="542"/>
      <c r="O1357" s="1134"/>
      <c r="Q1357" s="1133"/>
    </row>
    <row r="1358" spans="2:17" x14ac:dyDescent="0.3">
      <c r="B1358" s="126"/>
      <c r="C1358" s="583">
        <v>977</v>
      </c>
      <c r="D1358" s="625" t="e">
        <f t="shared" si="41"/>
        <v>#VALUE!</v>
      </c>
      <c r="E1358" s="591"/>
      <c r="F1358" s="591"/>
      <c r="G1358" s="591"/>
      <c r="H1358" s="591"/>
      <c r="I1358" s="591"/>
      <c r="J1358" s="591"/>
      <c r="K1358" s="542"/>
      <c r="O1358" s="1134"/>
      <c r="Q1358" s="1133"/>
    </row>
    <row r="1359" spans="2:17" x14ac:dyDescent="0.3">
      <c r="B1359" s="126"/>
      <c r="C1359" s="583">
        <v>978</v>
      </c>
      <c r="D1359" s="625" t="e">
        <f t="shared" si="41"/>
        <v>#VALUE!</v>
      </c>
      <c r="E1359" s="591"/>
      <c r="F1359" s="591"/>
      <c r="G1359" s="591"/>
      <c r="H1359" s="591"/>
      <c r="I1359" s="591"/>
      <c r="J1359" s="591"/>
      <c r="K1359" s="542"/>
      <c r="O1359" s="1134"/>
      <c r="Q1359" s="1133"/>
    </row>
    <row r="1360" spans="2:17" x14ac:dyDescent="0.3">
      <c r="B1360" s="126"/>
      <c r="C1360" s="583">
        <v>979</v>
      </c>
      <c r="D1360" s="625" t="e">
        <f t="shared" si="41"/>
        <v>#VALUE!</v>
      </c>
      <c r="E1360" s="591"/>
      <c r="F1360" s="591"/>
      <c r="G1360" s="591"/>
      <c r="H1360" s="591"/>
      <c r="I1360" s="591"/>
      <c r="J1360" s="591"/>
      <c r="K1360" s="542"/>
      <c r="O1360" s="1134"/>
      <c r="Q1360" s="1133"/>
    </row>
    <row r="1361" spans="2:17" x14ac:dyDescent="0.3">
      <c r="B1361" s="126"/>
      <c r="C1361" s="583">
        <v>980</v>
      </c>
      <c r="D1361" s="625" t="e">
        <f t="shared" si="41"/>
        <v>#VALUE!</v>
      </c>
      <c r="E1361" s="591"/>
      <c r="F1361" s="591"/>
      <c r="G1361" s="591"/>
      <c r="H1361" s="591"/>
      <c r="I1361" s="591"/>
      <c r="J1361" s="591"/>
      <c r="K1361" s="542"/>
      <c r="O1361" s="1134"/>
      <c r="Q1361" s="1133"/>
    </row>
    <row r="1362" spans="2:17" x14ac:dyDescent="0.3">
      <c r="B1362" s="126"/>
      <c r="C1362" s="583">
        <v>981</v>
      </c>
      <c r="D1362" s="625" t="e">
        <f t="shared" si="41"/>
        <v>#VALUE!</v>
      </c>
      <c r="E1362" s="591"/>
      <c r="F1362" s="591"/>
      <c r="G1362" s="591"/>
      <c r="H1362" s="591"/>
      <c r="I1362" s="591"/>
      <c r="J1362" s="591"/>
      <c r="K1362" s="542"/>
      <c r="O1362" s="1134"/>
      <c r="Q1362" s="1133"/>
    </row>
    <row r="1363" spans="2:17" x14ac:dyDescent="0.3">
      <c r="B1363" s="126"/>
      <c r="C1363" s="583">
        <v>982</v>
      </c>
      <c r="D1363" s="625" t="e">
        <f t="shared" si="41"/>
        <v>#VALUE!</v>
      </c>
      <c r="E1363" s="591"/>
      <c r="F1363" s="591"/>
      <c r="G1363" s="591"/>
      <c r="H1363" s="591"/>
      <c r="I1363" s="591"/>
      <c r="J1363" s="591"/>
      <c r="K1363" s="542"/>
      <c r="O1363" s="1134"/>
      <c r="Q1363" s="1133"/>
    </row>
    <row r="1364" spans="2:17" x14ac:dyDescent="0.3">
      <c r="B1364" s="126"/>
      <c r="C1364" s="583">
        <v>983</v>
      </c>
      <c r="D1364" s="625" t="e">
        <f t="shared" si="41"/>
        <v>#VALUE!</v>
      </c>
      <c r="E1364" s="591"/>
      <c r="F1364" s="591"/>
      <c r="G1364" s="591"/>
      <c r="H1364" s="591"/>
      <c r="I1364" s="591"/>
      <c r="J1364" s="591"/>
      <c r="K1364" s="542"/>
      <c r="O1364" s="1134"/>
      <c r="Q1364" s="1133"/>
    </row>
    <row r="1365" spans="2:17" x14ac:dyDescent="0.3">
      <c r="B1365" s="126"/>
      <c r="C1365" s="583">
        <v>984</v>
      </c>
      <c r="D1365" s="625" t="e">
        <f t="shared" si="41"/>
        <v>#VALUE!</v>
      </c>
      <c r="E1365" s="591"/>
      <c r="F1365" s="591"/>
      <c r="G1365" s="591"/>
      <c r="H1365" s="591"/>
      <c r="I1365" s="591"/>
      <c r="J1365" s="591"/>
      <c r="K1365" s="542"/>
      <c r="O1365" s="1134"/>
      <c r="Q1365" s="1133"/>
    </row>
    <row r="1366" spans="2:17" x14ac:dyDescent="0.3">
      <c r="B1366" s="126"/>
      <c r="C1366" s="583">
        <v>985</v>
      </c>
      <c r="D1366" s="625" t="e">
        <f t="shared" si="41"/>
        <v>#VALUE!</v>
      </c>
      <c r="E1366" s="591"/>
      <c r="F1366" s="591"/>
      <c r="G1366" s="591"/>
      <c r="H1366" s="591"/>
      <c r="I1366" s="591"/>
      <c r="J1366" s="591"/>
      <c r="K1366" s="542"/>
      <c r="O1366" s="1134"/>
      <c r="Q1366" s="1133"/>
    </row>
    <row r="1367" spans="2:17" x14ac:dyDescent="0.3">
      <c r="B1367" s="126"/>
      <c r="C1367" s="583">
        <v>986</v>
      </c>
      <c r="D1367" s="625" t="e">
        <f t="shared" si="41"/>
        <v>#VALUE!</v>
      </c>
      <c r="E1367" s="591"/>
      <c r="F1367" s="591"/>
      <c r="G1367" s="591"/>
      <c r="H1367" s="591"/>
      <c r="I1367" s="591"/>
      <c r="J1367" s="591"/>
      <c r="K1367" s="542"/>
      <c r="O1367" s="1134"/>
      <c r="Q1367" s="1133"/>
    </row>
    <row r="1368" spans="2:17" x14ac:dyDescent="0.3">
      <c r="B1368" s="126"/>
      <c r="C1368" s="583">
        <v>987</v>
      </c>
      <c r="D1368" s="625" t="e">
        <f t="shared" si="41"/>
        <v>#VALUE!</v>
      </c>
      <c r="E1368" s="591"/>
      <c r="F1368" s="591"/>
      <c r="G1368" s="591"/>
      <c r="H1368" s="591"/>
      <c r="I1368" s="591"/>
      <c r="J1368" s="591"/>
      <c r="K1368" s="542"/>
      <c r="O1368" s="1134"/>
      <c r="Q1368" s="1133"/>
    </row>
    <row r="1369" spans="2:17" x14ac:dyDescent="0.3">
      <c r="B1369" s="126"/>
      <c r="C1369" s="583">
        <v>988</v>
      </c>
      <c r="D1369" s="625" t="e">
        <f t="shared" si="41"/>
        <v>#VALUE!</v>
      </c>
      <c r="E1369" s="591"/>
      <c r="F1369" s="591"/>
      <c r="G1369" s="591"/>
      <c r="H1369" s="591"/>
      <c r="I1369" s="591"/>
      <c r="J1369" s="591"/>
      <c r="K1369" s="542"/>
      <c r="O1369" s="1134"/>
      <c r="Q1369" s="1133"/>
    </row>
    <row r="1370" spans="2:17" x14ac:dyDescent="0.3">
      <c r="B1370" s="126"/>
      <c r="C1370" s="583">
        <v>989</v>
      </c>
      <c r="D1370" s="625" t="e">
        <f t="shared" si="41"/>
        <v>#VALUE!</v>
      </c>
      <c r="E1370" s="591"/>
      <c r="F1370" s="591"/>
      <c r="G1370" s="591"/>
      <c r="H1370" s="591"/>
      <c r="I1370" s="591"/>
      <c r="J1370" s="591"/>
      <c r="K1370" s="542"/>
      <c r="O1370" s="1134"/>
      <c r="Q1370" s="1133"/>
    </row>
    <row r="1371" spans="2:17" x14ac:dyDescent="0.3">
      <c r="B1371" s="126"/>
      <c r="C1371" s="583">
        <v>990</v>
      </c>
      <c r="D1371" s="625" t="e">
        <f t="shared" si="41"/>
        <v>#VALUE!</v>
      </c>
      <c r="E1371" s="591"/>
      <c r="F1371" s="591"/>
      <c r="G1371" s="591"/>
      <c r="H1371" s="591"/>
      <c r="I1371" s="591"/>
      <c r="J1371" s="591"/>
      <c r="K1371" s="542"/>
      <c r="O1371" s="1134"/>
      <c r="Q1371" s="1133"/>
    </row>
    <row r="1372" spans="2:17" x14ac:dyDescent="0.3">
      <c r="B1372" s="126"/>
      <c r="C1372" s="583">
        <v>991</v>
      </c>
      <c r="D1372" s="625" t="e">
        <f t="shared" si="41"/>
        <v>#VALUE!</v>
      </c>
      <c r="E1372" s="591"/>
      <c r="F1372" s="591"/>
      <c r="G1372" s="591"/>
      <c r="H1372" s="591"/>
      <c r="I1372" s="591"/>
      <c r="J1372" s="591"/>
      <c r="K1372" s="542"/>
      <c r="O1372" s="1134"/>
      <c r="Q1372" s="1133"/>
    </row>
    <row r="1373" spans="2:17" x14ac:dyDescent="0.3">
      <c r="B1373" s="126"/>
      <c r="C1373" s="583">
        <v>992</v>
      </c>
      <c r="D1373" s="625" t="e">
        <f t="shared" si="41"/>
        <v>#VALUE!</v>
      </c>
      <c r="E1373" s="591"/>
      <c r="F1373" s="591"/>
      <c r="G1373" s="591"/>
      <c r="H1373" s="591"/>
      <c r="I1373" s="591"/>
      <c r="J1373" s="591"/>
      <c r="K1373" s="542"/>
      <c r="O1373" s="1134"/>
      <c r="Q1373" s="1133"/>
    </row>
    <row r="1374" spans="2:17" x14ac:dyDescent="0.3">
      <c r="B1374" s="126"/>
      <c r="C1374" s="583">
        <v>993</v>
      </c>
      <c r="D1374" s="625" t="e">
        <f t="shared" si="41"/>
        <v>#VALUE!</v>
      </c>
      <c r="E1374" s="591"/>
      <c r="F1374" s="591"/>
      <c r="G1374" s="591"/>
      <c r="H1374" s="591"/>
      <c r="I1374" s="591"/>
      <c r="J1374" s="591"/>
      <c r="K1374" s="542"/>
      <c r="O1374" s="1134"/>
      <c r="Q1374" s="1133"/>
    </row>
    <row r="1375" spans="2:17" x14ac:dyDescent="0.3">
      <c r="B1375" s="126"/>
      <c r="C1375" s="583">
        <v>994</v>
      </c>
      <c r="D1375" s="625" t="e">
        <f t="shared" si="41"/>
        <v>#VALUE!</v>
      </c>
      <c r="E1375" s="591"/>
      <c r="F1375" s="591"/>
      <c r="G1375" s="591"/>
      <c r="H1375" s="591"/>
      <c r="I1375" s="591"/>
      <c r="J1375" s="591"/>
      <c r="K1375" s="542"/>
      <c r="O1375" s="1134"/>
      <c r="Q1375" s="1133"/>
    </row>
    <row r="1376" spans="2:17" x14ac:dyDescent="0.3">
      <c r="B1376" s="126"/>
      <c r="C1376" s="583">
        <v>995</v>
      </c>
      <c r="D1376" s="625" t="e">
        <f t="shared" si="41"/>
        <v>#VALUE!</v>
      </c>
      <c r="E1376" s="591"/>
      <c r="F1376" s="591"/>
      <c r="G1376" s="591"/>
      <c r="H1376" s="591"/>
      <c r="I1376" s="591"/>
      <c r="J1376" s="591"/>
      <c r="K1376" s="542"/>
      <c r="O1376" s="1134"/>
      <c r="Q1376" s="1133"/>
    </row>
    <row r="1377" spans="1:17" x14ac:dyDescent="0.3">
      <c r="B1377" s="126"/>
      <c r="C1377" s="583">
        <v>996</v>
      </c>
      <c r="D1377" s="625" t="e">
        <f t="shared" si="41"/>
        <v>#VALUE!</v>
      </c>
      <c r="E1377" s="591"/>
      <c r="F1377" s="591"/>
      <c r="G1377" s="591"/>
      <c r="H1377" s="591"/>
      <c r="I1377" s="591"/>
      <c r="J1377" s="591"/>
      <c r="K1377" s="542"/>
      <c r="O1377" s="1134"/>
      <c r="Q1377" s="1133"/>
    </row>
    <row r="1378" spans="1:17" x14ac:dyDescent="0.3">
      <c r="B1378" s="126"/>
      <c r="C1378" s="583">
        <v>997</v>
      </c>
      <c r="D1378" s="625" t="e">
        <f t="shared" si="41"/>
        <v>#VALUE!</v>
      </c>
      <c r="E1378" s="591"/>
      <c r="F1378" s="591"/>
      <c r="G1378" s="591"/>
      <c r="H1378" s="591"/>
      <c r="I1378" s="591"/>
      <c r="J1378" s="591"/>
      <c r="K1378" s="542"/>
      <c r="O1378" s="1134"/>
      <c r="Q1378" s="1133"/>
    </row>
    <row r="1379" spans="1:17" x14ac:dyDescent="0.3">
      <c r="B1379" s="126"/>
      <c r="C1379" s="583">
        <v>998</v>
      </c>
      <c r="D1379" s="625" t="e">
        <f t="shared" si="41"/>
        <v>#VALUE!</v>
      </c>
      <c r="E1379" s="591"/>
      <c r="F1379" s="591"/>
      <c r="G1379" s="591"/>
      <c r="H1379" s="591"/>
      <c r="I1379" s="591"/>
      <c r="J1379" s="591"/>
      <c r="K1379" s="542"/>
      <c r="O1379" s="1134"/>
      <c r="Q1379" s="1133"/>
    </row>
    <row r="1380" spans="1:17" x14ac:dyDescent="0.3">
      <c r="B1380" s="126"/>
      <c r="C1380" s="583">
        <v>999</v>
      </c>
      <c r="D1380" s="625" t="e">
        <f t="shared" si="41"/>
        <v>#VALUE!</v>
      </c>
      <c r="E1380" s="591"/>
      <c r="F1380" s="591"/>
      <c r="G1380" s="591"/>
      <c r="H1380" s="591"/>
      <c r="I1380" s="591"/>
      <c r="J1380" s="591"/>
      <c r="K1380" s="542"/>
      <c r="O1380" s="1134"/>
      <c r="Q1380" s="1133"/>
    </row>
    <row r="1381" spans="1:17" ht="17.25" thickBot="1" x14ac:dyDescent="0.35">
      <c r="B1381" s="126"/>
      <c r="C1381" s="592">
        <v>1000</v>
      </c>
      <c r="D1381" s="626" t="e">
        <f t="shared" si="41"/>
        <v>#VALUE!</v>
      </c>
      <c r="E1381" s="594"/>
      <c r="F1381" s="594"/>
      <c r="G1381" s="594"/>
      <c r="H1381" s="594"/>
      <c r="I1381" s="594"/>
      <c r="J1381" s="594"/>
      <c r="K1381" s="547"/>
      <c r="O1381" s="1134"/>
      <c r="Q1381" s="1133"/>
    </row>
    <row r="1382" spans="1:17" x14ac:dyDescent="0.3">
      <c r="B1382" s="126"/>
      <c r="C1382" s="126"/>
      <c r="D1382" s="126"/>
      <c r="E1382" s="591"/>
      <c r="F1382" s="591"/>
      <c r="G1382" s="591"/>
      <c r="H1382" s="591"/>
      <c r="I1382" s="591"/>
      <c r="J1382" s="591"/>
      <c r="K1382" s="122"/>
      <c r="O1382" s="1134"/>
      <c r="Q1382" s="1133"/>
    </row>
    <row r="1383" spans="1:17" ht="17.25" x14ac:dyDescent="0.3">
      <c r="A1383" s="127"/>
      <c r="B1383" s="136"/>
      <c r="C1383" s="137"/>
      <c r="D1383" s="138"/>
      <c r="E1383" s="136"/>
      <c r="F1383" s="284"/>
      <c r="G1383" s="283"/>
      <c r="H1383" s="284"/>
      <c r="I1383" s="139"/>
      <c r="J1383" s="127"/>
      <c r="K1383" s="127"/>
      <c r="L1383" s="140"/>
      <c r="M1383" s="127"/>
      <c r="N1383" s="127"/>
      <c r="O1383" s="127"/>
      <c r="P1383" s="1133"/>
      <c r="Q1383" s="1133"/>
    </row>
  </sheetData>
  <sheetProtection algorithmName="SHA-512" hashValue="EUkmAxCs43mIhI2gThrVIMKZfLb2BJEoecwz/Yvy8PwKJqjARwqp9Ed+Yi2biYq/LjmwW3Bo9mjzFSt49b4Uag==" saltValue="5f79S6fRfU37Q6ibgzF8OQ==" spinCount="100000" sheet="1" selectLockedCells="1"/>
  <mergeCells count="45">
    <mergeCell ref="G359:K359"/>
    <mergeCell ref="G360:K360"/>
    <mergeCell ref="G363:H363"/>
    <mergeCell ref="G372:H372"/>
    <mergeCell ref="G353:K353"/>
    <mergeCell ref="G354:K354"/>
    <mergeCell ref="G355:K355"/>
    <mergeCell ref="G356:K356"/>
    <mergeCell ref="G357:K357"/>
    <mergeCell ref="G358:K358"/>
    <mergeCell ref="G352:K352"/>
    <mergeCell ref="F236:J236"/>
    <mergeCell ref="F237:J237"/>
    <mergeCell ref="F238:J238"/>
    <mergeCell ref="F239:J239"/>
    <mergeCell ref="F240:J240"/>
    <mergeCell ref="F241:J241"/>
    <mergeCell ref="F242:J242"/>
    <mergeCell ref="C348:K348"/>
    <mergeCell ref="G349:K349"/>
    <mergeCell ref="G350:K350"/>
    <mergeCell ref="G351:K351"/>
    <mergeCell ref="F235:J235"/>
    <mergeCell ref="F224:J224"/>
    <mergeCell ref="F225:J225"/>
    <mergeCell ref="F226:J226"/>
    <mergeCell ref="F227:J227"/>
    <mergeCell ref="F228:J228"/>
    <mergeCell ref="F229:J229"/>
    <mergeCell ref="F230:J230"/>
    <mergeCell ref="F231:J231"/>
    <mergeCell ref="F232:J232"/>
    <mergeCell ref="F233:J233"/>
    <mergeCell ref="F234:J234"/>
    <mergeCell ref="F223:J223"/>
    <mergeCell ref="B2:C2"/>
    <mergeCell ref="D3:E3"/>
    <mergeCell ref="G4:H4"/>
    <mergeCell ref="B12:B13"/>
    <mergeCell ref="C12:C13"/>
    <mergeCell ref="D12:D13"/>
    <mergeCell ref="E12:F12"/>
    <mergeCell ref="B161:G161"/>
    <mergeCell ref="G12:G13"/>
    <mergeCell ref="F222:J222"/>
  </mergeCells>
  <hyperlinks>
    <hyperlink ref="G4" location="Instructions!C33" display="Back to Instructions tab" xr:uid="{4C7CF61F-5F90-45A7-9B83-26C36D60F683}"/>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B5766631-D3BD-480A-89FB-272EB9AD4014}">
          <x14:formula1>
            <xm:f>'Drop-Downs and Tables'!$B$92:$B$94</xm:f>
          </x14:formula1>
          <xm:sqref>E30:F30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A550C-D2DE-4B06-8A83-35B8D4152466}">
  <sheetPr codeName="Sheet20">
    <tabColor rgb="FF0070C0"/>
  </sheetPr>
  <dimension ref="A1:Q1385"/>
  <sheetViews>
    <sheetView showGridLines="0" zoomScale="80" zoomScaleNormal="80" workbookViewId="0">
      <selection activeCell="E145" sqref="E145"/>
    </sheetView>
  </sheetViews>
  <sheetFormatPr defaultColWidth="9" defaultRowHeight="16.5" x14ac:dyDescent="0.3"/>
  <cols>
    <col min="1" max="1" width="3.625" style="126" customWidth="1"/>
    <col min="2" max="2" width="75.125" style="122" customWidth="1"/>
    <col min="3" max="3" width="37.125" style="123" customWidth="1"/>
    <col min="4" max="4" width="17" style="124" customWidth="1"/>
    <col min="5" max="5" width="10.625" style="122" customWidth="1"/>
    <col min="6" max="6" width="19.125" style="122" customWidth="1"/>
    <col min="7" max="7" width="17.125" style="122" customWidth="1"/>
    <col min="8" max="8" width="12.125" style="122" customWidth="1"/>
    <col min="9" max="9" width="12.125" style="125" customWidth="1"/>
    <col min="10" max="11" width="12.125" style="126" customWidth="1"/>
    <col min="12" max="12" width="11.875" style="122" customWidth="1"/>
    <col min="13" max="14" width="10.5" style="126" customWidth="1"/>
    <col min="15" max="15" width="11.875" style="126" customWidth="1"/>
    <col min="16" max="16" width="10.5" style="126" customWidth="1"/>
    <col min="17" max="18" width="7.875" style="126" bestFit="1" customWidth="1"/>
    <col min="19" max="19" width="5.625" style="126" bestFit="1" customWidth="1"/>
    <col min="20" max="20" width="14.5" style="126" customWidth="1"/>
    <col min="21" max="21" width="15" style="126" customWidth="1"/>
    <col min="22" max="16384" width="9" style="126"/>
  </cols>
  <sheetData>
    <row r="1" spans="2:17" ht="17.25" thickBot="1" x14ac:dyDescent="0.35">
      <c r="L1" s="1323"/>
      <c r="Q1" s="1133"/>
    </row>
    <row r="2" spans="2:17" ht="18" thickBot="1" x14ac:dyDescent="0.35">
      <c r="B2" s="1838" t="s">
        <v>228</v>
      </c>
      <c r="C2" s="1839"/>
      <c r="D2" s="231"/>
      <c r="E2" s="231"/>
      <c r="F2" s="130"/>
      <c r="H2" s="125"/>
      <c r="I2" s="126"/>
      <c r="K2" s="122"/>
      <c r="L2" s="1134"/>
      <c r="Q2" s="1133"/>
    </row>
    <row r="3" spans="2:17" x14ac:dyDescent="0.3">
      <c r="B3" s="562" t="s">
        <v>229</v>
      </c>
      <c r="C3" s="563" t="str">
        <f>'Version Control'!C3</f>
        <v>Consumer Boiler</v>
      </c>
      <c r="D3" s="1844"/>
      <c r="E3" s="1844"/>
      <c r="F3" s="130"/>
      <c r="G3" s="130"/>
      <c r="L3" s="1323"/>
      <c r="Q3" s="1133"/>
    </row>
    <row r="4" spans="2:17" ht="18" x14ac:dyDescent="0.3">
      <c r="B4" s="564" t="s">
        <v>117</v>
      </c>
      <c r="C4" s="565" t="str">
        <f>'Version Control'!C4</f>
        <v>v2.1</v>
      </c>
      <c r="D4" s="566"/>
      <c r="E4" s="171"/>
      <c r="G4" s="1832" t="s">
        <v>124</v>
      </c>
      <c r="H4" s="1832"/>
      <c r="K4" s="122"/>
      <c r="L4" s="1134"/>
      <c r="Q4" s="1133"/>
    </row>
    <row r="5" spans="2:17" x14ac:dyDescent="0.3">
      <c r="B5" s="564" t="s">
        <v>118</v>
      </c>
      <c r="C5" s="567">
        <f>'Version Control'!C5</f>
        <v>45407</v>
      </c>
      <c r="D5" s="568"/>
      <c r="E5" s="233"/>
      <c r="F5" s="130"/>
      <c r="H5" s="125"/>
      <c r="I5" s="126"/>
      <c r="K5" s="122"/>
      <c r="L5" s="1134"/>
      <c r="Q5" s="1133"/>
    </row>
    <row r="6" spans="2:17" x14ac:dyDescent="0.3">
      <c r="B6" s="569" t="s">
        <v>116</v>
      </c>
      <c r="C6" s="570" t="str">
        <f ca="1">MID(CELL("filename",A1), FIND("]", CELL("filename", A1))+ 1, 255)</f>
        <v>Con, Mod Calculations</v>
      </c>
      <c r="D6" s="571"/>
      <c r="E6" s="171"/>
      <c r="F6" s="130"/>
      <c r="H6" s="125"/>
      <c r="I6" s="126"/>
      <c r="K6" s="122"/>
      <c r="L6" s="1134"/>
      <c r="Q6" s="1133"/>
    </row>
    <row r="7" spans="2:17" x14ac:dyDescent="0.3">
      <c r="B7" s="572" t="s">
        <v>115</v>
      </c>
      <c r="C7" s="573" t="str">
        <f ca="1">'Version Control'!C7</f>
        <v>Consumer Boiler - v2.1.xlsx</v>
      </c>
      <c r="D7" s="571"/>
      <c r="E7" s="171"/>
      <c r="F7" s="130"/>
      <c r="H7" s="125"/>
      <c r="I7" s="126"/>
      <c r="K7" s="122"/>
      <c r="L7" s="1134"/>
      <c r="Q7" s="1133"/>
    </row>
    <row r="8" spans="2:17" ht="17.25" thickBot="1" x14ac:dyDescent="0.35">
      <c r="B8" s="574" t="s">
        <v>119</v>
      </c>
      <c r="C8" s="575" t="str">
        <f>'Version Control'!C8</f>
        <v>[MM/DD/YYYY]</v>
      </c>
      <c r="D8" s="576"/>
      <c r="E8" s="156"/>
      <c r="F8" s="130"/>
      <c r="H8" s="125"/>
      <c r="I8" s="126"/>
      <c r="K8" s="122"/>
      <c r="L8" s="1134"/>
      <c r="Q8" s="1133"/>
    </row>
    <row r="9" spans="2:17" ht="17.25" x14ac:dyDescent="0.35">
      <c r="B9" s="131"/>
      <c r="I9" s="122"/>
      <c r="J9" s="122"/>
      <c r="K9" s="122"/>
      <c r="L9" s="1323"/>
      <c r="Q9" s="1133"/>
    </row>
    <row r="10" spans="2:17" ht="18" thickBot="1" x14ac:dyDescent="0.35">
      <c r="E10" s="176"/>
      <c r="H10" s="125"/>
      <c r="J10" s="122"/>
      <c r="K10" s="122"/>
      <c r="L10" s="1323"/>
      <c r="Q10" s="1133"/>
    </row>
    <row r="11" spans="2:17" ht="18" thickBot="1" x14ac:dyDescent="0.4">
      <c r="B11" s="487" t="s">
        <v>526</v>
      </c>
      <c r="C11" s="534"/>
      <c r="D11" s="535"/>
      <c r="E11" s="488"/>
      <c r="F11" s="488"/>
      <c r="G11" s="536"/>
      <c r="H11" s="126"/>
      <c r="I11" s="126"/>
      <c r="L11" s="1134"/>
      <c r="Q11" s="1133"/>
    </row>
    <row r="12" spans="2:17" ht="49.5" customHeight="1" x14ac:dyDescent="0.3">
      <c r="B12" s="1825" t="s">
        <v>71</v>
      </c>
      <c r="C12" s="1827" t="s">
        <v>33</v>
      </c>
      <c r="D12" s="1829" t="s">
        <v>62</v>
      </c>
      <c r="E12" s="1831" t="s">
        <v>530</v>
      </c>
      <c r="F12" s="1831"/>
      <c r="G12" s="1823" t="s">
        <v>136</v>
      </c>
      <c r="H12" s="126"/>
      <c r="I12" s="126"/>
      <c r="L12" s="1134"/>
      <c r="Q12" s="1133"/>
    </row>
    <row r="13" spans="2:17" ht="33" customHeight="1" thickBot="1" x14ac:dyDescent="0.35">
      <c r="B13" s="1840"/>
      <c r="C13" s="1841"/>
      <c r="D13" s="1833"/>
      <c r="E13" s="1194" t="s">
        <v>488</v>
      </c>
      <c r="F13" s="1194" t="s">
        <v>489</v>
      </c>
      <c r="G13" s="1834"/>
      <c r="H13" s="126"/>
      <c r="I13" s="126"/>
      <c r="L13" s="1134"/>
      <c r="Q13" s="1133"/>
    </row>
    <row r="14" spans="2:17" ht="18" thickBot="1" x14ac:dyDescent="0.35">
      <c r="B14" s="847" t="s">
        <v>518</v>
      </c>
      <c r="C14" s="848" t="s">
        <v>175</v>
      </c>
      <c r="D14" s="849" t="str">
        <f>IF('Sys. # &amp; Product Characteristic'!Energy_Source="Electricity","11.1",
IF(AND('Sys. # &amp; Product Characteristic'!Control_Type="Single Stage",'Sys. # &amp; Product Characteristic'!Flue_Gas="Non-Condensing"),"11.2",
IF(AND('Sys. # &amp; Product Characteristic'!Control_Type="Single Stage",'Sys. # &amp; Product Characteristic'!Flue_Gas="Condensing"),"11.3",
IF(AND(OR('Sys. # &amp; Product Characteristic'!Control_Type="Step Modulating",'Sys. # &amp; Product Characteristic'!Control_Type="Two-Stage Modulating"),'Sys. # &amp; Product Characteristic'!Flue_Gas="Non-Condensing"),"11.4",
IF(AND(OR('Sys. # &amp; Product Characteristic'!Control_Type="Step Modulating",'Sys. # &amp; Product Characteristic'!Control_Type="Two-Stage Modulating"),'Sys. # &amp; Product Characteristic'!Flue_Gas="Condensing"),"11.5",
"Unknown")))))</f>
        <v>Unknown</v>
      </c>
      <c r="E14" s="850" t="str">
        <f>"11.5"</f>
        <v>11.5</v>
      </c>
      <c r="F14" s="850" t="str">
        <f>"11.5"</f>
        <v>11.5</v>
      </c>
      <c r="G14" s="851" t="s">
        <v>175</v>
      </c>
      <c r="H14" s="126"/>
      <c r="I14" s="126"/>
      <c r="L14" s="1134"/>
      <c r="Q14" s="1133"/>
    </row>
    <row r="15" spans="2:17" ht="18" thickBot="1" x14ac:dyDescent="0.35">
      <c r="B15" s="804"/>
      <c r="C15" s="781"/>
      <c r="D15" s="781"/>
      <c r="E15" s="782"/>
      <c r="F15" s="782"/>
      <c r="G15" s="805"/>
      <c r="H15" s="126"/>
      <c r="I15" s="126"/>
      <c r="L15" s="1134"/>
      <c r="Q15" s="1133"/>
    </row>
    <row r="16" spans="2:17" ht="17.25" x14ac:dyDescent="0.3">
      <c r="B16" s="820" t="s">
        <v>856</v>
      </c>
      <c r="C16" s="821"/>
      <c r="D16" s="821"/>
      <c r="E16" s="822"/>
      <c r="F16" s="822"/>
      <c r="G16" s="823"/>
      <c r="H16" s="126"/>
      <c r="I16" s="126"/>
      <c r="L16" s="1134"/>
      <c r="Q16" s="1133"/>
    </row>
    <row r="17" spans="2:17" ht="17.25" thickBot="1" x14ac:dyDescent="0.35">
      <c r="B17" s="842" t="s">
        <v>39</v>
      </c>
      <c r="C17" s="843" t="s">
        <v>175</v>
      </c>
      <c r="D17" s="844" t="str">
        <f>IF(OR($D$14="Unknown",D14="11.1"),"11.2",$D$14) &amp; ".1"</f>
        <v>11.2.1</v>
      </c>
      <c r="E17" s="845" t="str">
        <f>IF($D$14&lt;&gt;E$14,"N/A",'Sys. # &amp; Product Characteristic'!M13)</f>
        <v>N/A</v>
      </c>
      <c r="F17" s="845" t="str">
        <f>IF($D$14&lt;&gt;F$14,"N/A",'Sys. # &amp; Product Characteristic'!M13)</f>
        <v>N/A</v>
      </c>
      <c r="G17" s="846" t="s">
        <v>175</v>
      </c>
      <c r="H17" s="126"/>
      <c r="I17" s="126"/>
      <c r="L17" s="1134"/>
      <c r="Q17" s="1133"/>
    </row>
    <row r="18" spans="2:17" ht="17.25" thickBot="1" x14ac:dyDescent="0.35">
      <c r="B18" s="804"/>
      <c r="C18" s="781"/>
      <c r="D18" s="781"/>
      <c r="E18" s="495"/>
      <c r="F18" s="495"/>
      <c r="G18" s="805"/>
      <c r="H18" s="126"/>
      <c r="I18" s="126"/>
      <c r="L18" s="1134"/>
      <c r="Q18" s="1133"/>
    </row>
    <row r="19" spans="2:17" ht="17.25" x14ac:dyDescent="0.3">
      <c r="B19" s="820" t="s">
        <v>411</v>
      </c>
      <c r="C19" s="821"/>
      <c r="D19" s="821"/>
      <c r="E19" s="822"/>
      <c r="F19" s="822"/>
      <c r="G19" s="823"/>
      <c r="H19" s="126"/>
      <c r="I19" s="126"/>
      <c r="L19" s="1134"/>
      <c r="Q19" s="1133"/>
    </row>
    <row r="20" spans="2:17" x14ac:dyDescent="0.3">
      <c r="B20" s="806" t="s">
        <v>671</v>
      </c>
      <c r="C20" s="795" t="s">
        <v>44</v>
      </c>
      <c r="D20" s="796" t="str">
        <f>IF(OR($D$14="Unknown",D14="11.1"),"11.2",$D$14) &amp; ".2"</f>
        <v>11.2.2</v>
      </c>
      <c r="E20" s="120" t="str">
        <f>IF($D$14&lt;&gt;E$14,"N/A",'Drop-Downs and Tables'!$F$188)</f>
        <v>N/A</v>
      </c>
      <c r="F20" s="120" t="str">
        <f>IF($D$14&lt;&gt;F$14,"N/A",'Drop-Downs and Tables'!$F$188)</f>
        <v>N/A</v>
      </c>
      <c r="G20" s="807" t="s">
        <v>175</v>
      </c>
      <c r="H20" s="126"/>
      <c r="I20" s="126"/>
      <c r="L20" s="1134"/>
      <c r="Q20" s="1133"/>
    </row>
    <row r="21" spans="2:17" x14ac:dyDescent="0.3">
      <c r="B21" s="690" t="s">
        <v>671</v>
      </c>
      <c r="C21" s="496" t="s">
        <v>45</v>
      </c>
      <c r="D21" s="628" t="str">
        <f>IF(OR($D$14="Unknown",D14="11.1"),"11.2",$D$14) &amp; ".2"</f>
        <v>11.2.2</v>
      </c>
      <c r="E21" s="120" t="str">
        <f>IF($D$14&lt;&gt;E$14,"N/A",'Drop-Downs and Tables'!$G$188)</f>
        <v>N/A</v>
      </c>
      <c r="F21" s="120" t="str">
        <f>IF($D$14&lt;&gt;F$14,"N/A",'Drop-Downs and Tables'!$G$188)</f>
        <v>N/A</v>
      </c>
      <c r="G21" s="497" t="s">
        <v>175</v>
      </c>
      <c r="H21" s="126"/>
      <c r="I21" s="126"/>
      <c r="L21" s="1134"/>
      <c r="Q21" s="1133"/>
    </row>
    <row r="22" spans="2:17" ht="18" x14ac:dyDescent="0.3">
      <c r="B22" s="689" t="s">
        <v>519</v>
      </c>
      <c r="C22" s="496" t="s">
        <v>485</v>
      </c>
      <c r="D22" s="628" t="str">
        <f>IF(OR($D$14="Unknown",D14="11.1"),"11.2",$D$14) &amp; ".2"</f>
        <v>11.2.2</v>
      </c>
      <c r="E22" s="1190" t="str">
        <f>IF($D$14&lt;&gt;E$14,"N/A",
IF('Max Test'!X.CO2F_SS="",'Max Test'!X.CO2F_CDP,'Max Test'!X.CO2F_SS))</f>
        <v>N/A</v>
      </c>
      <c r="F22" s="121" t="str">
        <f>IF($D$14&lt;&gt;F$14,"N/A",'Reduced Test'!X.CO2F)</f>
        <v>N/A</v>
      </c>
      <c r="G22" s="132" t="s">
        <v>211</v>
      </c>
      <c r="H22" s="126"/>
      <c r="I22" s="126"/>
      <c r="L22" s="1134"/>
      <c r="Q22" s="1133"/>
    </row>
    <row r="23" spans="2:17" ht="18.75" thickBot="1" x14ac:dyDescent="0.35">
      <c r="B23" s="693" t="s">
        <v>411</v>
      </c>
      <c r="C23" s="840" t="s">
        <v>473</v>
      </c>
      <c r="D23" s="695" t="str">
        <f>IF(OR($D$14="Unknown",D14="11.1"),"11.2",$D$14) &amp; ".2"</f>
        <v>11.2.2</v>
      </c>
      <c r="E23" s="841" t="str">
        <f>IF($D$14&lt;&gt;E$14,"N/A",IFERROR(A_Max+(B_Max/X.CO2F_Max),""))</f>
        <v>N/A</v>
      </c>
      <c r="F23" s="841" t="str">
        <f>IF($D$14&lt;&gt;F$14,"N/A",IFERROR(A_Reduced+(B_Reduced/X.CO2F_Reduced),""))</f>
        <v>N/A</v>
      </c>
      <c r="G23" s="699" t="s">
        <v>175</v>
      </c>
      <c r="H23" s="126"/>
      <c r="I23" s="126"/>
      <c r="L23" s="1134"/>
      <c r="Q23" s="1133"/>
    </row>
    <row r="24" spans="2:17" ht="17.25" thickBot="1" x14ac:dyDescent="0.35">
      <c r="B24" s="804"/>
      <c r="C24" s="784"/>
      <c r="D24" s="781"/>
      <c r="E24" s="499"/>
      <c r="F24" s="499"/>
      <c r="G24" s="805"/>
      <c r="H24" s="126"/>
      <c r="I24" s="126"/>
      <c r="L24" s="1134"/>
      <c r="Q24" s="1133"/>
    </row>
    <row r="25" spans="2:17" ht="17.25" x14ac:dyDescent="0.3">
      <c r="B25" s="820" t="s">
        <v>410</v>
      </c>
      <c r="C25" s="821"/>
      <c r="D25" s="821"/>
      <c r="E25" s="822"/>
      <c r="F25" s="822"/>
      <c r="G25" s="823"/>
      <c r="H25" s="126"/>
      <c r="I25" s="126"/>
      <c r="L25" s="1134"/>
      <c r="Q25" s="1133"/>
    </row>
    <row r="26" spans="2:17" ht="17.25" thickBot="1" x14ac:dyDescent="0.35">
      <c r="B26" s="804"/>
      <c r="C26" s="781"/>
      <c r="D26" s="781"/>
      <c r="E26" s="781"/>
      <c r="F26" s="781"/>
      <c r="G26" s="805"/>
      <c r="H26" s="126"/>
      <c r="I26" s="126"/>
      <c r="L26" s="1134"/>
      <c r="Q26" s="1133"/>
    </row>
    <row r="27" spans="2:17" ht="17.25" x14ac:dyDescent="0.3">
      <c r="B27" s="820" t="s">
        <v>850</v>
      </c>
      <c r="C27" s="821"/>
      <c r="D27" s="821"/>
      <c r="E27" s="822"/>
      <c r="F27" s="822"/>
      <c r="G27" s="823"/>
      <c r="H27" s="126"/>
      <c r="I27" s="126"/>
      <c r="L27" s="1134"/>
      <c r="Q27" s="1133"/>
    </row>
    <row r="28" spans="2:17" ht="17.25" thickBot="1" x14ac:dyDescent="0.35">
      <c r="B28" s="693" t="s">
        <v>412</v>
      </c>
      <c r="C28" s="694" t="s">
        <v>60</v>
      </c>
      <c r="D28" s="695" t="str">
        <f>IF(OR($D$14="Unknown",D14="11.1"),"11.2",$D$14) &amp; ".4"</f>
        <v>11.2.4</v>
      </c>
      <c r="E28" s="836" t="str">
        <f>IF($D$14&lt;&gt;E$14,"N/A",1)</f>
        <v>N/A</v>
      </c>
      <c r="F28" s="836" t="str">
        <f>IF($D$14&lt;&gt;F$14,"N/A",1)</f>
        <v>N/A</v>
      </c>
      <c r="G28" s="699" t="s">
        <v>175</v>
      </c>
      <c r="H28" s="126"/>
      <c r="I28" s="126"/>
      <c r="L28" s="1134"/>
      <c r="Q28" s="1133"/>
    </row>
    <row r="29" spans="2:17" ht="17.25" thickBot="1" x14ac:dyDescent="0.35">
      <c r="B29" s="804"/>
      <c r="C29" s="781"/>
      <c r="D29" s="781"/>
      <c r="E29" s="520"/>
      <c r="F29" s="520"/>
      <c r="G29" s="805"/>
      <c r="H29" s="126"/>
      <c r="I29" s="126"/>
      <c r="L29" s="1134"/>
      <c r="Q29" s="1133"/>
    </row>
    <row r="30" spans="2:17" ht="17.25" x14ac:dyDescent="0.3">
      <c r="B30" s="820" t="s">
        <v>851</v>
      </c>
      <c r="C30" s="821"/>
      <c r="D30" s="821"/>
      <c r="E30" s="822"/>
      <c r="F30" s="822"/>
      <c r="G30" s="823"/>
      <c r="H30" s="126"/>
      <c r="I30" s="126"/>
      <c r="L30" s="1134"/>
      <c r="Q30" s="1133"/>
    </row>
    <row r="31" spans="2:17" ht="18" x14ac:dyDescent="0.3">
      <c r="B31" s="806" t="s">
        <v>424</v>
      </c>
      <c r="C31" s="798" t="s">
        <v>475</v>
      </c>
      <c r="D31" s="796" t="str">
        <f>IF(OR($D$14="Unknown",D14="11.1"),"11.2",$D$14) &amp; ".5"</f>
        <v>11.2.5</v>
      </c>
      <c r="E31" s="192" t="str">
        <f>IF($D$14&lt;&gt;E$14,"N/A",'Max Test'!T.RA_SS)</f>
        <v>N/A</v>
      </c>
      <c r="F31" s="192" t="str">
        <f>IF($D$14&lt;&gt;F$14,"N/A",'Reduced Test'!T.RA)</f>
        <v>N/A</v>
      </c>
      <c r="G31" s="807" t="s">
        <v>51</v>
      </c>
      <c r="H31" s="126"/>
      <c r="I31" s="126"/>
      <c r="L31" s="1134"/>
      <c r="Q31" s="1133"/>
    </row>
    <row r="32" spans="2:17" ht="18" x14ac:dyDescent="0.3">
      <c r="B32" s="1334" t="s">
        <v>423</v>
      </c>
      <c r="C32" s="1335" t="s">
        <v>476</v>
      </c>
      <c r="D32" s="1241" t="str">
        <f>IF(OR($D$14="Unknown",D11="11.1"),"11.2",$D$14) &amp; ".5"</f>
        <v>11.2.5</v>
      </c>
      <c r="E32" s="1333" t="str">
        <f>IF($D$14&lt;&gt;E$14,"N/A",
IF('Max Test'!T.SSSX_SS="", 'Max Test'!T.SSSX_CDP,'Max Test'!T.SSSX_SS))</f>
        <v>N/A</v>
      </c>
      <c r="F32" s="1333" t="str">
        <f>IF($D$14&lt;&gt;F$14,"N/A",'Reduced Test'!T.SSSX)</f>
        <v>N/A</v>
      </c>
      <c r="G32" s="1253"/>
      <c r="H32" s="126"/>
      <c r="I32" s="126"/>
      <c r="L32" s="1134"/>
      <c r="Q32" s="1133"/>
    </row>
    <row r="33" spans="2:17" ht="18" x14ac:dyDescent="0.3">
      <c r="B33" s="692" t="s">
        <v>425</v>
      </c>
      <c r="C33" s="498" t="s">
        <v>478</v>
      </c>
      <c r="D33" s="628" t="str">
        <f>IF(OR($D$14="Unknown",D14="11.1"),"11.2",$D$14) &amp; ".5"</f>
        <v>11.2.5</v>
      </c>
      <c r="E33" s="192" t="str">
        <f>IF($D$14&lt;&gt;E$14,"N/A",
IF('Max Test'!T.FSS_SS="", 'Max Test'!T.FSS_CDP,'Max Test'!T.FSS_SS))</f>
        <v>N/A</v>
      </c>
      <c r="F33" s="192" t="str">
        <f>IF($D$14&lt;&gt;F$14,"N/A",'Reduced Test'!T.FSS)</f>
        <v>N/A</v>
      </c>
      <c r="G33" s="132" t="s">
        <v>51</v>
      </c>
      <c r="H33" s="126"/>
      <c r="I33" s="126"/>
      <c r="L33" s="1134"/>
      <c r="Q33" s="1133"/>
    </row>
    <row r="34" spans="2:17" ht="18.75" thickBot="1" x14ac:dyDescent="0.35">
      <c r="B34" s="834" t="s">
        <v>414</v>
      </c>
      <c r="C34" s="835" t="s">
        <v>479</v>
      </c>
      <c r="D34" s="695" t="str">
        <f>IF(OR($D$14="Unknown",D14="11.1"),"11.2",$D$14) &amp; ".5"</f>
        <v>11.2.5</v>
      </c>
      <c r="E34" s="836" t="str">
        <f>IF($D$14&lt;&gt;E$14,"N/A",IF('Sys. # &amp; Product Characteristic'!C17="Integral Draft Diverter","",T.FSS_Max-T.RA_Max))</f>
        <v>N/A</v>
      </c>
      <c r="F34" s="836" t="str">
        <f>IF($D$14&lt;&gt;F$14,"N/A",IF('Sys. # &amp; Product Characteristic'!C17="Integral Draft Diverter","",T.FSS_Reduced-T.RA_Reduced))</f>
        <v>N/A</v>
      </c>
      <c r="G34" s="699" t="s">
        <v>51</v>
      </c>
      <c r="H34" s="126"/>
      <c r="I34" s="126"/>
      <c r="L34" s="1134"/>
      <c r="Q34" s="1133"/>
    </row>
    <row r="35" spans="2:17" ht="17.25" thickBot="1" x14ac:dyDescent="0.35">
      <c r="B35" s="804"/>
      <c r="C35" s="781"/>
      <c r="D35" s="781"/>
      <c r="E35" s="520"/>
      <c r="F35" s="520"/>
      <c r="G35" s="805"/>
      <c r="H35" s="126"/>
      <c r="I35" s="126"/>
      <c r="L35" s="1134"/>
      <c r="Q35" s="1133"/>
    </row>
    <row r="36" spans="2:17" ht="17.25" x14ac:dyDescent="0.3">
      <c r="B36" s="820" t="s">
        <v>415</v>
      </c>
      <c r="C36" s="821"/>
      <c r="D36" s="821"/>
      <c r="E36" s="822"/>
      <c r="F36" s="822"/>
      <c r="G36" s="823"/>
      <c r="H36" s="126"/>
      <c r="I36" s="126"/>
      <c r="L36" s="1134"/>
      <c r="Q36" s="1133"/>
    </row>
    <row r="37" spans="2:17" ht="18" x14ac:dyDescent="0.3">
      <c r="B37" s="806" t="s">
        <v>523</v>
      </c>
      <c r="C37" s="798" t="s">
        <v>487</v>
      </c>
      <c r="D37" s="796" t="str">
        <f>IF(OR($D$14="Unknown",D14="11.1"),"11.2",$D$14) &amp; ".9.1"</f>
        <v>11.2.9.1</v>
      </c>
      <c r="E37" s="120" t="str">
        <f>IF($D$14&lt;&gt;E$14,"N/A",'Drop-Downs and Tables'!$C$188)</f>
        <v>N/A</v>
      </c>
      <c r="F37" s="120" t="str">
        <f>IF($D$14&lt;&gt;F$14,"N/A",'Drop-Downs and Tables'!$C$188)</f>
        <v>N/A</v>
      </c>
      <c r="G37" s="807" t="s">
        <v>236</v>
      </c>
      <c r="H37" s="126"/>
      <c r="I37" s="126"/>
      <c r="L37" s="1134"/>
      <c r="Q37" s="1133"/>
    </row>
    <row r="38" spans="2:17" x14ac:dyDescent="0.3">
      <c r="B38" s="692" t="s">
        <v>521</v>
      </c>
      <c r="C38" s="498" t="s">
        <v>43</v>
      </c>
      <c r="D38" s="628" t="str">
        <f>IF(OR($D$14="Unknown",D14="11.1"),"11.2",$D$14) &amp; ".9.1"</f>
        <v>11.2.9.1</v>
      </c>
      <c r="E38" s="120" t="str">
        <f>IF($D$14&lt;&gt;E$14,"N/A",'Drop-Downs and Tables'!$D$188)</f>
        <v>N/A</v>
      </c>
      <c r="F38" s="120" t="str">
        <f>IF($D$14&lt;&gt;F$14,"N/A",'Drop-Downs and Tables'!$D$188)</f>
        <v>N/A</v>
      </c>
      <c r="G38" s="132" t="s">
        <v>175</v>
      </c>
      <c r="H38" s="126"/>
      <c r="I38" s="126"/>
      <c r="L38" s="1134"/>
      <c r="Q38" s="1133"/>
    </row>
    <row r="39" spans="2:17" ht="18.75" thickBot="1" x14ac:dyDescent="0.35">
      <c r="B39" s="693" t="s">
        <v>415</v>
      </c>
      <c r="C39" s="694" t="s">
        <v>480</v>
      </c>
      <c r="D39" s="695" t="str">
        <f>IF(OR($D$14="Unknown",D14="11.1"),"11.2",$D$14) &amp; ".6"</f>
        <v>11.2.6</v>
      </c>
      <c r="E39" s="1152" t="str" cm="1">
        <f t="array" ref="E39">IF($D$14&lt;&gt;E$14,"N/A",
100/HHV.A_Max*
(SUM(((1+AF_Max)*('Drop-Downs and Tables'!$H$188:$L$188)+AF_Max*(R.TF_Max-1)*('Drop-Downs and Tables'!$H$187:$L$187))*((T.FSS_Max + 460)^('Drop-Downs and Tables'!$H$179:$L$179)-(T.RA_Max+460)^('Drop-Downs and Tables'!$H$179:$L$179)))))</f>
        <v>N/A</v>
      </c>
      <c r="F39" s="1152" t="str" cm="1">
        <f t="array" ref="F39">IF($D$14&lt;&gt;F$14,"N/A",
100/HHV.A_Reduced*
(SUM(((1+AF_Reduced)*('Drop-Downs and Tables'!$H$188:$L$188)+AF_Reduced*(R.TF_Reduced-1)*('Drop-Downs and Tables'!$H$187:$L$187))*((F33 + 460)^('Drop-Downs and Tables'!$H$179:$L$179)-(T.RA_Reduced+460)^('Drop-Downs and Tables'!$H$179:$L$179)))))</f>
        <v>N/A</v>
      </c>
      <c r="G39" s="699" t="s">
        <v>211</v>
      </c>
      <c r="H39" s="126"/>
      <c r="I39" s="126"/>
      <c r="L39" s="1134"/>
      <c r="Q39" s="1133"/>
    </row>
    <row r="40" spans="2:17" ht="17.25" thickBot="1" x14ac:dyDescent="0.35">
      <c r="B40" s="804"/>
      <c r="C40" s="781"/>
      <c r="D40" s="781"/>
      <c r="E40" s="787"/>
      <c r="F40" s="787"/>
      <c r="G40" s="805"/>
      <c r="H40" s="126"/>
      <c r="I40" s="126"/>
      <c r="L40" s="1134"/>
      <c r="Q40" s="1133"/>
    </row>
    <row r="41" spans="2:17" ht="17.25" x14ac:dyDescent="0.3">
      <c r="B41" s="820" t="s">
        <v>416</v>
      </c>
      <c r="C41" s="821"/>
      <c r="D41" s="821"/>
      <c r="E41" s="822"/>
      <c r="F41" s="822"/>
      <c r="G41" s="823"/>
      <c r="H41" s="126"/>
      <c r="I41" s="126"/>
      <c r="L41" s="1134"/>
      <c r="Q41" s="1133"/>
    </row>
    <row r="42" spans="2:17" ht="18" x14ac:dyDescent="0.3">
      <c r="B42" s="808" t="s">
        <v>522</v>
      </c>
      <c r="C42" s="795" t="s">
        <v>490</v>
      </c>
      <c r="D42" s="796" t="str">
        <f>IF(OR($D$14="Unknown",D14="11.1"),"11.2",$D$14) &amp; ".7"</f>
        <v>11.2.7</v>
      </c>
      <c r="E42" s="187" t="str">
        <f>IF($D$14&lt;&gt;E$14,"N/A",'Drop-Downs and Tables'!$E$188)</f>
        <v>N/A</v>
      </c>
      <c r="F42" s="187" t="str">
        <f>IF($D$14&lt;&gt;F$14,"N/A",'Drop-Downs and Tables'!$E$188)</f>
        <v>N/A</v>
      </c>
      <c r="G42" s="807" t="s">
        <v>211</v>
      </c>
      <c r="H42" s="126"/>
      <c r="I42" s="126"/>
      <c r="L42" s="1134"/>
      <c r="Q42" s="1133"/>
    </row>
    <row r="43" spans="2:17" ht="18" x14ac:dyDescent="0.3">
      <c r="B43" s="691" t="s">
        <v>247</v>
      </c>
      <c r="C43" s="134" t="s">
        <v>1051</v>
      </c>
      <c r="D43" s="679" t="str">
        <f>IF($D$14="11.3","11.3.7.1",
IF($D$14="11.5","11.5.7.1",
"11.(3 or 5).7.1"))</f>
        <v>11.(3 or 5).7.1</v>
      </c>
      <c r="E43" s="120" t="str">
        <f>IF($D$14&lt;&gt;E$14,"N/A",IF('Max Test'!M.CSS="","",'Max Test'!M.CSS))</f>
        <v>N/A</v>
      </c>
      <c r="F43" s="120" t="str">
        <f>IF($D$14&lt;&gt;F$14,"N/A",IF('Reduced Test'!M.CSS="","",'Reduced Test'!M.CSS))</f>
        <v>N/A</v>
      </c>
      <c r="G43" s="132" t="s">
        <v>75</v>
      </c>
      <c r="H43" s="126"/>
      <c r="I43" s="126"/>
      <c r="L43" s="1134"/>
      <c r="Q43" s="1133"/>
    </row>
    <row r="44" spans="2:17" ht="18" x14ac:dyDescent="0.3">
      <c r="B44" s="691" t="s">
        <v>516</v>
      </c>
      <c r="C44" s="134" t="s">
        <v>1052</v>
      </c>
      <c r="D44" s="679" t="str">
        <f>IF($D$14="11.3","11.3.7.1",
IF($D$14="11.5","11.5.7.1",
"11.(3 or 5).7.1"))</f>
        <v>11.(3 or 5).7.1</v>
      </c>
      <c r="E44" s="120" t="str">
        <f>IF($D$14&lt;&gt;E$14,"N/A",IF('Max Test'!Q.CSS="","",'Max Test'!Q.CSS))</f>
        <v>N/A</v>
      </c>
      <c r="F44" s="120" t="str">
        <f>IF($D$14&lt;&gt;F$14,"N/A",IF('Reduced Test'!Q.CSS="","",'Reduced Test'!Q.CSS))</f>
        <v>N/A</v>
      </c>
      <c r="G44" s="132" t="s">
        <v>79</v>
      </c>
      <c r="H44" s="126"/>
      <c r="I44" s="126"/>
      <c r="L44" s="1134"/>
      <c r="Q44" s="1133"/>
    </row>
    <row r="45" spans="2:17" ht="18" x14ac:dyDescent="0.3">
      <c r="B45" s="691" t="s">
        <v>469</v>
      </c>
      <c r="C45" s="134" t="s">
        <v>1053</v>
      </c>
      <c r="D45" s="679" t="str">
        <f>IF($D$14="11.3","11.3.7.1",
IF($D$14="11.5","11.5.7.1",
"11.(3 or 5).7.1"))</f>
        <v>11.(3 or 5).7.1</v>
      </c>
      <c r="E45" s="120" t="str">
        <f>IF($D$14&lt;&gt;E$14,"N/A",IFERROR(100*1053.3*M.CSS_Max/Q.CSS_Max,""))</f>
        <v>N/A</v>
      </c>
      <c r="F45" s="120" t="str">
        <f>IF($D$14&lt;&gt;F$14,"N/A",IFERROR(100*1053.3*M.CSS_Reduced/Q.CSS_Reduced,""))</f>
        <v>N/A</v>
      </c>
      <c r="G45" s="132" t="s">
        <v>211</v>
      </c>
      <c r="H45" s="126"/>
      <c r="I45" s="126"/>
      <c r="L45" s="1134"/>
      <c r="Q45" s="1133"/>
    </row>
    <row r="46" spans="2:17" ht="18" x14ac:dyDescent="0.3">
      <c r="B46" s="691" t="s">
        <v>1044</v>
      </c>
      <c r="C46" s="134" t="s">
        <v>1043</v>
      </c>
      <c r="D46" s="679" t="str">
        <f>IF($D$14="11.3","11.3.7.2",
IF($D$14="11.5","11.5.7.2",
"11.(3 or 5).7.2"))</f>
        <v>11.(3 or 5).7.2</v>
      </c>
      <c r="E46" s="120" t="str">
        <f>IF($D$14&lt;&gt;E$14,"N/A",IFERROR(L.GSS_Max*(1*(T.FSS_Max-70)-0.45*(T.FSS_Max-'Cyclic Timing Calculations'!T.OAH))/1053.3,""))</f>
        <v>N/A</v>
      </c>
      <c r="F46" s="120" t="str">
        <f>IF($D$14&lt;&gt;F$14,"N/A",IFERROR(L.GSS_Reduced*(1*(T.FSS_Reduced-70)-0.45*(T.FSS_Reduced-'Cyclic Timing Calculations'!T.OAR))/1053.3,""))</f>
        <v>N/A</v>
      </c>
      <c r="G46" s="132" t="s">
        <v>211</v>
      </c>
      <c r="H46" s="126"/>
      <c r="I46" s="126"/>
      <c r="L46" s="1134"/>
      <c r="Q46" s="1133"/>
    </row>
    <row r="47" spans="2:17" ht="18.75" thickBot="1" x14ac:dyDescent="0.35">
      <c r="B47" s="693" t="s">
        <v>416</v>
      </c>
      <c r="C47" s="694" t="s">
        <v>481</v>
      </c>
      <c r="D47" s="695" t="str">
        <f>IF(OR($D$14="Unknown",D14="11.1"),"11.2",$D$14) &amp; ".7"</f>
        <v>11.2.7</v>
      </c>
      <c r="E47" s="831" t="str">
        <f>IF($D$14&lt;&gt;E$14,"N/A",IFERROR(100-(L.LA_Max+L.SSS_Max-L.GSS_Max+L.CSS_Max),""))</f>
        <v>N/A</v>
      </c>
      <c r="F47" s="832" t="str">
        <f>IF($D$14&lt;&gt;F$14,"N/A",IFERROR(100-(L.LA_Reduced+L.SSS_Reduced-L.GSS_Reduced+L.CSS_Reduced),""))</f>
        <v>N/A</v>
      </c>
      <c r="G47" s="699" t="s">
        <v>211</v>
      </c>
      <c r="H47" s="126"/>
      <c r="I47" s="126"/>
      <c r="L47" s="1134"/>
      <c r="Q47" s="1133"/>
    </row>
    <row r="48" spans="2:17" ht="17.25" thickBot="1" x14ac:dyDescent="0.35">
      <c r="B48" s="804"/>
      <c r="C48" s="781"/>
      <c r="D48" s="781"/>
      <c r="E48" s="790"/>
      <c r="F48" s="790"/>
      <c r="G48" s="805"/>
      <c r="H48" s="126"/>
      <c r="I48" s="126"/>
      <c r="L48" s="1134"/>
      <c r="Q48" s="1133"/>
    </row>
    <row r="49" spans="2:17" ht="17.25" x14ac:dyDescent="0.3">
      <c r="B49" s="820" t="s">
        <v>852</v>
      </c>
      <c r="C49" s="821"/>
      <c r="D49" s="821"/>
      <c r="E49" s="822"/>
      <c r="F49" s="822"/>
      <c r="G49" s="823"/>
      <c r="H49" s="126"/>
      <c r="I49" s="126"/>
      <c r="L49" s="1134"/>
      <c r="Q49" s="1133"/>
    </row>
    <row r="50" spans="2:17" ht="18" x14ac:dyDescent="0.3">
      <c r="B50" s="808" t="s">
        <v>417</v>
      </c>
      <c r="C50" s="795" t="s">
        <v>482</v>
      </c>
      <c r="D50" s="796" t="str">
        <f>IF(OR($D$14="Unknown",D14="11.1"),"11.2",$D$14) &amp; ".8.1"</f>
        <v>11.2.8.1</v>
      </c>
      <c r="E50" s="506" t="str">
        <f>IF($D$14&lt;&gt;E$14,"N/A",'General Info &amp; Test Results'!Nameplate_Maximum_Input)</f>
        <v>N/A</v>
      </c>
      <c r="F50" s="506" t="str">
        <f>IF($D$14&lt;&gt;F$14,"N/A",'General Info &amp; Test Results'!Nameplate_Reduced_Input)</f>
        <v>N/A</v>
      </c>
      <c r="G50" s="807" t="s">
        <v>37</v>
      </c>
      <c r="H50" s="126"/>
      <c r="I50" s="126"/>
      <c r="L50" s="1134"/>
      <c r="Q50" s="1133"/>
    </row>
    <row r="51" spans="2:17" ht="18" x14ac:dyDescent="0.3">
      <c r="B51" s="691" t="s">
        <v>409</v>
      </c>
      <c r="C51" s="134" t="s">
        <v>483</v>
      </c>
      <c r="D51" s="628" t="str">
        <f>IF(D14="11.1","11.1",
IF($D$14="Unknown","11.2",$D$14) &amp; ".8.1")</f>
        <v>11.2.8.1</v>
      </c>
      <c r="E51" s="486" t="str">
        <f>IF($D$14&lt;&gt;E$14,"N/A",IF('Test Conditions'!Jacket_Loss_Factor="","",'Test Conditions'!Jacket_Loss_Factor))</f>
        <v>N/A</v>
      </c>
      <c r="F51" s="486" t="str">
        <f>IF($D$14&lt;&gt;F$14,"N/A",IF('Test Conditions'!Jacket_Loss_Factor="","",'Test Conditions'!Jacket_Loss_Factor))</f>
        <v>N/A</v>
      </c>
      <c r="G51" s="132" t="s">
        <v>273</v>
      </c>
      <c r="H51" s="126"/>
      <c r="I51" s="126"/>
      <c r="L51" s="1134"/>
      <c r="Q51" s="1133"/>
    </row>
    <row r="52" spans="2:17" x14ac:dyDescent="0.3">
      <c r="B52" s="691" t="s">
        <v>419</v>
      </c>
      <c r="C52" s="134" t="s">
        <v>58</v>
      </c>
      <c r="D52" s="628" t="str">
        <f>IF(OR($D$14="Unknown",D14="11.1"),"11.2",$D$14) &amp; ".8.1"</f>
        <v>11.2.8.1</v>
      </c>
      <c r="E52" s="179" t="str">
        <f>IF($D$14&lt;&gt;E$14,"N/A",
IF(OR(Finned_Tube_Boiler="",'Sys. # &amp; Product Characteristic'!Installation=""),"",
IF('Sys. # &amp; Product Characteristic'!Installation="Indoor",0,
IF('Sys. # &amp; Product Characteristic'!Installation="Isolated Combustion System",1.7,
IF(Finned_Tube_Boiler="No",3.3,1)))))</f>
        <v>N/A</v>
      </c>
      <c r="F52" s="179" t="str">
        <f>IF($D$14&lt;&gt;F$14,"N/A",
IF(OR(Finned_Tube_Boiler="",'Sys. # &amp; Product Characteristic'!Installation=""),"",
IF('Sys. # &amp; Product Characteristic'!Installation="Indoor",0,
IF('Sys. # &amp; Product Characteristic'!Installation="Isolated Combustion System",1.7,
IF(Finned_Tube_Boiler="No",3.3,1)))))</f>
        <v>N/A</v>
      </c>
      <c r="G52" s="132" t="s">
        <v>175</v>
      </c>
      <c r="H52" s="126"/>
      <c r="I52" s="126"/>
      <c r="L52" s="1134"/>
      <c r="Q52" s="1133"/>
    </row>
    <row r="53" spans="2:17" ht="18" x14ac:dyDescent="0.3">
      <c r="B53" s="691" t="s">
        <v>1055</v>
      </c>
      <c r="C53" s="134" t="s">
        <v>484</v>
      </c>
      <c r="D53" s="628" t="str">
        <f>IF(OR($D$14="Unknown",D14="11.1"),"11.4",$D$14) &amp; ".8.1-11.8.4.1.2"</f>
        <v>11.4.8.1-11.8.4.1.2</v>
      </c>
      <c r="E53" s="500" t="str">
        <f>IF($D$14&lt;&gt;E$14,"N/A",'Cyclic Timing Calculations'!Q.Out_Max)</f>
        <v>N/A</v>
      </c>
      <c r="F53" s="500" t="str">
        <f>IF($D$14&lt;&gt;F$14,"N/A",'Cyclic Timing Calculations'!Q.OUTR)</f>
        <v>N/A</v>
      </c>
      <c r="G53" s="627" t="s">
        <v>37</v>
      </c>
      <c r="H53" s="126"/>
      <c r="I53" s="126"/>
      <c r="L53" s="1134"/>
      <c r="Q53" s="1133"/>
    </row>
    <row r="54" spans="2:17" x14ac:dyDescent="0.3">
      <c r="B54" s="691" t="s">
        <v>420</v>
      </c>
      <c r="C54" s="134" t="s">
        <v>38</v>
      </c>
      <c r="D54" s="628" t="str">
        <f>IF(OR($D$14="Unknown",D14="11.1"),"11.4",$D$14) &amp; ".8.2"</f>
        <v>11.4.8.2</v>
      </c>
      <c r="E54" s="1147" t="str">
        <f>IF($D$14&lt;&gt;E$14,"N/A",0.7)</f>
        <v>N/A</v>
      </c>
      <c r="F54" s="681"/>
      <c r="G54" s="132" t="s">
        <v>175</v>
      </c>
      <c r="H54" s="126"/>
      <c r="I54" s="126"/>
      <c r="L54" s="1134"/>
      <c r="Q54" s="1133"/>
    </row>
    <row r="55" spans="2:17" ht="18" x14ac:dyDescent="0.3">
      <c r="B55" s="691" t="s">
        <v>1042</v>
      </c>
      <c r="C55" s="134" t="s">
        <v>586</v>
      </c>
      <c r="D55" s="628" t="str">
        <f>IF(OR($D$14="Unknown",D14="11.1"),"11.4",$D$14) &amp; ".8.3"</f>
        <v>11.4.8.3</v>
      </c>
      <c r="E55" s="1153" t="str">
        <f>IF($D$14&lt;&gt;E$14,"N/A",
IF(T.C="","",IF(T.C&lt;5,0,'Cyclic Timing Calculations'!T.OAH
)))</f>
        <v>N/A</v>
      </c>
      <c r="F55" s="1154" t="str">
        <f>IF($D$14&lt;&gt;E$14,"N/A",
IF(T.C="","",IF(T.C&lt;5,42,'Cyclic Timing Calculations'!T.OAR
)))</f>
        <v>N/A</v>
      </c>
      <c r="G55" s="132" t="s">
        <v>51</v>
      </c>
      <c r="H55" s="126"/>
      <c r="I55" s="126"/>
      <c r="L55" s="1134"/>
      <c r="Q55" s="1133"/>
    </row>
    <row r="56" spans="2:17" ht="18" x14ac:dyDescent="0.3">
      <c r="B56" s="691" t="s">
        <v>67</v>
      </c>
      <c r="C56" s="134" t="s">
        <v>587</v>
      </c>
      <c r="D56" s="628" t="str">
        <f>IF(OR($D$14="Unknown",D14="11.1"),"11.4",$D$14) &amp; ".8.4"</f>
        <v>11.4.8.4</v>
      </c>
      <c r="E56" s="1155" t="str">
        <f>IF($D$14&lt;&gt;E$14,"N/A",'Cyclic Timing Calculations'!T.C_Max)</f>
        <v>N/A</v>
      </c>
      <c r="F56" s="681"/>
      <c r="G56" s="132" t="s">
        <v>51</v>
      </c>
      <c r="H56" s="126"/>
      <c r="I56" s="126"/>
      <c r="L56" s="1134"/>
      <c r="Q56" s="1133"/>
    </row>
    <row r="57" spans="2:17" ht="18" x14ac:dyDescent="0.3">
      <c r="B57" s="691" t="s">
        <v>1295</v>
      </c>
      <c r="C57" s="134" t="s">
        <v>588</v>
      </c>
      <c r="D57" s="628" t="str">
        <f>IF(OR($D$14="Unknown",D14="11.1"),"11.4",$D$14) &amp; ".8.5"</f>
        <v>11.4.8.5</v>
      </c>
      <c r="E57" s="670" t="str">
        <f ca="1">IF($D$14&lt;&gt;E$14,"N/A",
IF('Cyclic Timing Calculations'!T.C_Max&lt;5,0,
OFFSET('Drop-Downs and Tables'!$E$222,COUNTIF('Drop-Downs and Tables'!$B$223:$B$239,"&lt;=" &amp; T.C),0)))</f>
        <v>N/A</v>
      </c>
      <c r="F57" s="682"/>
      <c r="G57" s="132" t="s">
        <v>175</v>
      </c>
      <c r="H57" s="126"/>
      <c r="I57" s="126"/>
      <c r="L57" s="1134"/>
      <c r="Q57" s="1133"/>
    </row>
    <row r="58" spans="2:17" ht="18" x14ac:dyDescent="0.3">
      <c r="B58" s="691" t="s">
        <v>491</v>
      </c>
      <c r="C58" s="134" t="s">
        <v>589</v>
      </c>
      <c r="D58" s="628" t="str">
        <f>IF(OR($D$14="Unknown",D14="11.1"),"11.4",$D$14) &amp; ".8.6"</f>
        <v>11.4.8.6</v>
      </c>
      <c r="E58" s="1338"/>
      <c r="F58" s="670" t="str">
        <f>IF($D$14&lt;&gt;F$14,"N/A",IFERROR(1-X.H,""))</f>
        <v>N/A</v>
      </c>
      <c r="G58" s="132" t="s">
        <v>175</v>
      </c>
      <c r="H58" s="126"/>
      <c r="I58" s="126"/>
      <c r="L58" s="1134"/>
      <c r="Q58" s="1133"/>
    </row>
    <row r="59" spans="2:17" ht="33" x14ac:dyDescent="0.3">
      <c r="B59" s="691" t="s">
        <v>68</v>
      </c>
      <c r="C59" s="134" t="s">
        <v>590</v>
      </c>
      <c r="D59" s="628" t="str">
        <f>IF(OR($D$14="Unknown",D14="11.1"),"11.4",$D$14) &amp; ".8.7"</f>
        <v>11.4.8.7</v>
      </c>
      <c r="E59" s="523" t="str">
        <f>IF($D$14&lt;&gt;E$14,"N/A",
IF(T.C&lt;=5,Effy.SS_Reduced,IF('Sys. # &amp; Product Characteristic'!Control_Type&lt;&gt;"Step Modulating","",
(((Q.Out_Max/(1+alpha))-Q.Out_Reduced)/(Q.Out_Max-Q.Out_Reduced))*((T.C-'Cyclic Timing Calculations'!T.OAH)/(T.C-5))*(Effy.SS_Max-Effy.SS_Reduced)+Effy.SS_Reduced)))</f>
        <v>N/A</v>
      </c>
      <c r="F59" s="681"/>
      <c r="G59" s="132" t="s">
        <v>211</v>
      </c>
      <c r="H59" s="126"/>
      <c r="I59" s="126"/>
      <c r="L59" s="1134"/>
      <c r="Q59" s="1133"/>
    </row>
    <row r="60" spans="2:17" ht="18" x14ac:dyDescent="0.3">
      <c r="B60" s="691" t="s">
        <v>69</v>
      </c>
      <c r="C60" s="134" t="s">
        <v>591</v>
      </c>
      <c r="D60" s="628" t="str">
        <f>IF(OR($D$14="Unknown",D14="11.1"),"11.4",$D$14) &amp; ".8.8"</f>
        <v>11.4.8.8</v>
      </c>
      <c r="E60" s="523" t="str">
        <f>IF($D$14&lt;&gt;E$14,"N/A",
IFERROR(IF('Sys. # &amp; Product Characteristic'!Control_Type="Two-Stage Modulating",X.H*Effy.SS_Max+X.R*Effy.SS_Max,
IF('Sys. # &amp; Product Characteristic'!Control_Type="Step Modulating",X.H*Effy.SSM+X.R*Effy.SS_Max,
"")),""))</f>
        <v>N/A</v>
      </c>
      <c r="F60" s="681"/>
      <c r="G60" s="132" t="s">
        <v>211</v>
      </c>
      <c r="H60" s="126"/>
      <c r="I60" s="126"/>
      <c r="L60" s="1134"/>
      <c r="Q60" s="1133"/>
    </row>
    <row r="61" spans="2:17" ht="33.75" thickBot="1" x14ac:dyDescent="0.35">
      <c r="B61" s="693" t="s">
        <v>70</v>
      </c>
      <c r="C61" s="694" t="s">
        <v>592</v>
      </c>
      <c r="D61" s="695" t="str">
        <f>IF(OR($D$14="Unknown",D14="11.1"),"11.4",$D$14) &amp; ".8.9"</f>
        <v>11.4.8.9</v>
      </c>
      <c r="E61" s="824" t="str">
        <f>IF($D$14&lt;&gt;E$14,"N/A",
IF(OR('Sys. # &amp; Product Characteristic'!Control_Type="Two-Stage Modulating",'Sys. # &amp; Product Characteristic'!Control_Type="Step Modulating"),IF(T.C&lt;=5,Q.Out_Reduced,
((Q.Out_Max/(1+alpha)-Q.Out_Reduced)*(T.C-T.OA_Max)/(T.C-5)+Q.Out_Reduced)),""))</f>
        <v>N/A</v>
      </c>
      <c r="F61" s="826"/>
      <c r="G61" s="699" t="s">
        <v>37</v>
      </c>
      <c r="H61" s="126"/>
      <c r="I61" s="126"/>
      <c r="L61" s="1134"/>
      <c r="Q61" s="1133"/>
    </row>
    <row r="62" spans="2:17" ht="17.25" thickBot="1" x14ac:dyDescent="0.35">
      <c r="B62" s="804"/>
      <c r="C62" s="781"/>
      <c r="D62" s="781"/>
      <c r="E62" s="508"/>
      <c r="F62" s="781"/>
      <c r="G62" s="805"/>
      <c r="H62" s="126"/>
      <c r="I62" s="126"/>
      <c r="L62" s="1134"/>
      <c r="Q62" s="1133"/>
    </row>
    <row r="63" spans="2:17" ht="17.25" x14ac:dyDescent="0.3">
      <c r="B63" s="820" t="s">
        <v>1050</v>
      </c>
      <c r="C63" s="821"/>
      <c r="D63" s="821"/>
      <c r="E63" s="822"/>
      <c r="F63" s="822"/>
      <c r="G63" s="823"/>
      <c r="H63" s="126"/>
      <c r="I63" s="126"/>
      <c r="L63" s="1134"/>
      <c r="Q63" s="1133"/>
    </row>
    <row r="64" spans="2:17" ht="18" x14ac:dyDescent="0.3">
      <c r="B64" s="808" t="s">
        <v>214</v>
      </c>
      <c r="C64" s="795" t="s">
        <v>593</v>
      </c>
      <c r="D64" s="796" t="str">
        <f>IF(OR($D$14="Unknown",D14="11.1"),"11.2",$D$14) &amp; ".9.1"</f>
        <v>11.2.9.1</v>
      </c>
      <c r="E64" s="491" t="str">
        <f>IF($D$14&lt;&gt;E$14,"N/A",0.24)</f>
        <v>N/A</v>
      </c>
      <c r="F64" s="491" t="str">
        <f>IF($D$14&lt;&gt;F$14,"N/A",0.24)</f>
        <v>N/A</v>
      </c>
      <c r="G64" s="807" t="s">
        <v>508</v>
      </c>
      <c r="H64" s="126"/>
      <c r="I64" s="126"/>
      <c r="L64" s="1134"/>
      <c r="Q64" s="1133"/>
    </row>
    <row r="65" spans="2:17" ht="18" x14ac:dyDescent="0.3">
      <c r="B65" s="691" t="s">
        <v>421</v>
      </c>
      <c r="C65" s="134" t="s">
        <v>594</v>
      </c>
      <c r="D65" s="628" t="str">
        <f>IF(OR($D$14="Unknown",D14="11.1"),"11.2",$D$14) &amp; ".9.1"</f>
        <v>11.2.9.1</v>
      </c>
      <c r="E65" s="703" t="str">
        <f>IF($D$14&lt;&gt;E$14,"N/A",
IFERROR(100*C.P_Max*(1+R.TF_Max*AF_Max)/HHV.A_Max,""))</f>
        <v>N/A</v>
      </c>
      <c r="F65" s="703" t="str">
        <f>IF($D$14&lt;&gt;F$14,"N/A",
IFERROR(100*C.P_Reduced*(1+R.TF_Reduced*AF_Reduced)/HHV.A_Reduced,""))</f>
        <v>N/A</v>
      </c>
      <c r="G65" s="132" t="s">
        <v>175</v>
      </c>
      <c r="H65" s="126"/>
      <c r="I65" s="126"/>
      <c r="L65" s="1134"/>
      <c r="Q65" s="1133"/>
    </row>
    <row r="66" spans="2:17" x14ac:dyDescent="0.3">
      <c r="B66" s="691" t="s">
        <v>221</v>
      </c>
      <c r="C66" s="134" t="s">
        <v>222</v>
      </c>
      <c r="D66" s="628" t="str">
        <f>IF(OR($D$14="Unknown",D14="11.1"),"11.2",$D$14) &amp; ".9.2"</f>
        <v>11.2.9.2</v>
      </c>
      <c r="E66" s="492" t="str">
        <f>IF($D$14&lt;&gt;E$14,"N/A",0.7)</f>
        <v>N/A</v>
      </c>
      <c r="F66" s="492" t="str">
        <f>IF($D$14&lt;&gt;F$14,"N/A",0.7)</f>
        <v>N/A</v>
      </c>
      <c r="G66" s="132" t="s">
        <v>175</v>
      </c>
      <c r="H66" s="126"/>
      <c r="I66" s="126"/>
      <c r="L66" s="1134"/>
      <c r="Q66" s="1133"/>
    </row>
    <row r="67" spans="2:17" ht="18" x14ac:dyDescent="0.3">
      <c r="B67" s="691" t="s">
        <v>422</v>
      </c>
      <c r="C67" s="134" t="s">
        <v>595</v>
      </c>
      <c r="D67" s="628" t="str">
        <f>IF(OR($D$14="Unknown",D14="11.1"),"11.2",$D$14) &amp; ".9.2"</f>
        <v>11.2.9.2</v>
      </c>
      <c r="E67" s="501" t="str">
        <f>IF($D$14&lt;&gt;E$14,"N/A",
IF(System_Number_Max&gt;=9,0,
IF(OR(SF_Max="",K.SON_Max=""),"",Phi_Max*SF_Max*K.SON_Max)))</f>
        <v>N/A</v>
      </c>
      <c r="F67" s="490" t="str">
        <f>IF($D$14&lt;&gt;F$14,"N/A",
IF(F17&gt;=9,0,
IF(OR(SF_Reduced="",K.SON_Reduced=""),"",Phi_Reduced*SF_Reduced*K.SON_Reduced)))</f>
        <v>N/A</v>
      </c>
      <c r="G67" s="132" t="s">
        <v>175</v>
      </c>
      <c r="H67" s="126"/>
      <c r="I67" s="126"/>
      <c r="L67" s="1134"/>
      <c r="Q67" s="1133"/>
    </row>
    <row r="68" spans="2:17" ht="33" x14ac:dyDescent="0.3">
      <c r="B68" s="691" t="s">
        <v>84</v>
      </c>
      <c r="C68" s="134" t="s">
        <v>596</v>
      </c>
      <c r="D68" s="679" t="str">
        <f>IF($D$14="11.4","11.4.9.2.2",
IF($D$14="11.5","11.5.9.2.2",
"11.(4 or 5).9.2.2"))</f>
        <v>11.(4 or 5).9.2.2</v>
      </c>
      <c r="E68" s="533" t="str">
        <f>IF($D$14&lt;&gt;E$14,"N/A",
IF('Sys. # &amp; Product Characteristic'!Control_Type="Step Modulating",IFERROR((K.ION_Reduced*(70-T.OA_Max)+K.ION_Max*(70-T.OA_Max))/2,""),""))</f>
        <v>N/A</v>
      </c>
      <c r="F68" s="681"/>
      <c r="G68" s="132" t="s">
        <v>211</v>
      </c>
      <c r="H68" s="126"/>
      <c r="I68" s="126"/>
      <c r="L68" s="1134"/>
      <c r="Q68" s="1133"/>
    </row>
    <row r="69" spans="2:17" ht="33" x14ac:dyDescent="0.3">
      <c r="B69" s="691" t="s">
        <v>72</v>
      </c>
      <c r="C69" s="134" t="s">
        <v>597</v>
      </c>
      <c r="D69" s="679" t="str">
        <f>IF($D$14="11.4","11.4.9.2.3",
IF($D$14="11.5","11.5.9.2.3",
"11.(4 or 5).9.2.3"))</f>
        <v>11.(4 or 5).9.2.3</v>
      </c>
      <c r="E69" s="522" t="str">
        <f>IF($D$14&lt;&gt;E$14,"N/A",
IF('Sys. # &amp; Product Characteristic'!Control_Type="Step Modulating",IFERROR(IF('Sys. # &amp; Product Characteristic'!Installation="Indoor",Effy.SSM-L.IONM_Max,Effy.SSM-C.J_Max*L.J_Max),""),""))</f>
        <v>N/A</v>
      </c>
      <c r="F69" s="683"/>
      <c r="G69" s="132" t="s">
        <v>211</v>
      </c>
      <c r="H69" s="126"/>
      <c r="I69" s="126"/>
      <c r="L69" s="1134"/>
      <c r="Q69" s="1133"/>
    </row>
    <row r="70" spans="2:17" ht="18" x14ac:dyDescent="0.3">
      <c r="B70" s="1239" t="s">
        <v>1210</v>
      </c>
      <c r="C70" s="1240" t="s">
        <v>598</v>
      </c>
      <c r="D70" s="1241" t="str">
        <f>IF(OR($D$14="Unknown",D9="11.1"),"11.2",$D$14) &amp; ".9.3"</f>
        <v>11.2.9.3</v>
      </c>
      <c r="E70" s="522" t="str">
        <f>IF($D$14&lt;&gt;E$14,"N/A",
IF('Sys. # &amp; Product Characteristic'!C17="Integral Draft Diverter",T.SSSX_Max,
(1/SF_Max)*(T.FSS_Max-T.RA_Max)+T.RA_Max))</f>
        <v>N/A</v>
      </c>
      <c r="F70" s="522" t="str">
        <f>IF($D$14&lt;&gt;F$14,"N/A",
IF('Sys. # &amp; Product Characteristic'!C17="Integral Draft Diverter",T.SSSX_Reduced,
(1/SF_Reduced)*(T.FSS_Reduced-T.RA_Reduced)+T.RA_Reduced))</f>
        <v>N/A</v>
      </c>
      <c r="G70" s="132"/>
      <c r="H70" s="126"/>
      <c r="I70" s="126"/>
      <c r="L70" s="1134"/>
      <c r="Q70" s="1133"/>
    </row>
    <row r="71" spans="2:17" ht="18" x14ac:dyDescent="0.3">
      <c r="B71" s="691"/>
      <c r="C71" s="134" t="s">
        <v>599</v>
      </c>
      <c r="D71" s="628" t="str">
        <f>IF(OR($D$14="Unknown",D14="11.1"),"11.2",$D$14) &amp; ".9.4"</f>
        <v>11.2.9.4</v>
      </c>
      <c r="E71" s="491" t="str">
        <f>IF($D$14&lt;&gt;E$14,"N/A",1)</f>
        <v>N/A</v>
      </c>
      <c r="F71" s="491" t="str">
        <f>IF($D$14&lt;&gt;F$14,"N/A",1)</f>
        <v>N/A</v>
      </c>
      <c r="G71" s="132" t="s">
        <v>36</v>
      </c>
      <c r="H71" s="126"/>
      <c r="I71" s="126"/>
      <c r="L71" s="1134"/>
      <c r="Q71" s="1133"/>
    </row>
    <row r="72" spans="2:17" ht="18" x14ac:dyDescent="0.3">
      <c r="B72" s="691"/>
      <c r="C72" s="134" t="s">
        <v>600</v>
      </c>
      <c r="D72" s="628" t="str">
        <f>IF(OR($D$14="Unknown",D14="11.1"),"11.2",$D$14) &amp; ".9.4"</f>
        <v>11.2.9.4</v>
      </c>
      <c r="E72" s="491" t="str">
        <f>IF($D$14&lt;&gt;E$14,"N/A",5.5)</f>
        <v>N/A</v>
      </c>
      <c r="F72" s="491" t="str">
        <f>IF($D$14&lt;&gt;F$14,"N/A",5.5)</f>
        <v>N/A</v>
      </c>
      <c r="G72" s="132" t="s">
        <v>36</v>
      </c>
      <c r="H72" s="126"/>
      <c r="I72" s="126"/>
      <c r="L72" s="1134"/>
      <c r="Q72" s="1133"/>
    </row>
    <row r="73" spans="2:17" ht="18" x14ac:dyDescent="0.3">
      <c r="B73" s="691" t="s">
        <v>427</v>
      </c>
      <c r="C73" s="134" t="s">
        <v>601</v>
      </c>
      <c r="D73" s="628" t="str">
        <f>IF(OR($D$14="Unknown",D14="11.1"),"11.2",$D$14) &amp; ".9.4"</f>
        <v>11.2.9.4</v>
      </c>
      <c r="E73" s="491" t="str">
        <f>IF($D$14&lt;&gt;E$14,"N/A",
IF('Max Test'!T.FON.t1&gt;=T.FSS_Max,T.FSS_Max-0.2,
IF('Max Test'!T.FON.t1&gt;='Max Test'!T.FON.t2,T.FON.t2_Max-0.1,
'Max Test'!T.FON.t1)))</f>
        <v>N/A</v>
      </c>
      <c r="F73" s="491" t="str">
        <f>IF($D$14&lt;&gt;F$14,"N/A",
IF('Reduced Test'!T.FON.t1&gt;=T.FSS_Reduced,T.FSS_Reduced-0.2,
IF('Reduced Test'!T.FON.t1&gt;='Reduced Test'!T.FON.t2,T.FON.t2_Reduced-0.1,
'Reduced Test'!T.FON.t1)))</f>
        <v>N/A</v>
      </c>
      <c r="G73" s="132" t="s">
        <v>51</v>
      </c>
      <c r="H73" s="126"/>
      <c r="I73" s="126"/>
      <c r="L73" s="1134"/>
      <c r="Q73" s="1133"/>
    </row>
    <row r="74" spans="2:17" ht="18" x14ac:dyDescent="0.3">
      <c r="B74" s="691" t="s">
        <v>428</v>
      </c>
      <c r="C74" s="134" t="s">
        <v>602</v>
      </c>
      <c r="D74" s="628" t="str">
        <f>IF(OR($D$14="Unknown",D14="11.1"),"11.2",$D$14) &amp; ".9.4"</f>
        <v>11.2.9.4</v>
      </c>
      <c r="E74" s="491" t="str">
        <f>IF($D$14&lt;&gt;E$14,"N/A",
IF('Max Test'!T.FON.t2&gt;=T.FSS_Max,T.FSS_Max-0.1,
'Max Test'!T.FON.t2))</f>
        <v>N/A</v>
      </c>
      <c r="F74" s="491" t="str">
        <f>IF($D$14&lt;&gt;F$14,"N/A",
IF('Reduced Test'!T.FON.t2&gt;=T.FSS_Reduced,T.FSS_Reduced-0.1,'Reduced Test'!T.FON.t2
))</f>
        <v>N/A</v>
      </c>
      <c r="G74" s="132" t="s">
        <v>51</v>
      </c>
      <c r="H74" s="126"/>
      <c r="I74" s="126"/>
      <c r="L74" s="1134"/>
      <c r="Q74" s="1133"/>
    </row>
    <row r="75" spans="2:17" ht="18" x14ac:dyDescent="0.3">
      <c r="B75" s="691" t="s">
        <v>429</v>
      </c>
      <c r="C75" s="134" t="s">
        <v>603</v>
      </c>
      <c r="D75" s="628" t="str">
        <f>IF(OR($D$14="Unknown",D14="11.1"),"11.2",$D$14) &amp; ".9.4"</f>
        <v>11.2.9.4</v>
      </c>
      <c r="E75" s="491" t="str">
        <f>IF($D$14&lt;&gt;E$14,"N/A",(t2_Max-t1_Max)/LN((T.FSS_Max-T.FON.t1_Max)/(T.FSS_Max-T.FON.t2_Max)))</f>
        <v>N/A</v>
      </c>
      <c r="F75" s="491" t="str">
        <f>IF($D$14&lt;&gt;F$14,"N/A",(t2_Reduced-t1_Reduced)/LN((T.FSS_Reduced-T.FON.t1_Reduced)/(T.FSS_Reduced-T.FON.t2_Reduced)))</f>
        <v>N/A</v>
      </c>
      <c r="G75" s="132" t="s">
        <v>36</v>
      </c>
      <c r="H75" s="126"/>
      <c r="I75" s="126"/>
      <c r="L75" s="1134"/>
      <c r="Q75" s="1133"/>
    </row>
    <row r="76" spans="2:17" ht="18" x14ac:dyDescent="0.3">
      <c r="B76" s="691" t="s">
        <v>430</v>
      </c>
      <c r="C76" s="134" t="s">
        <v>604</v>
      </c>
      <c r="D76" s="628" t="str">
        <f>IF(OR($D$14="Unknown",D14="11.1"),"11.2",$D$14) &amp; ".9.5"</f>
        <v>11.2.9.5</v>
      </c>
      <c r="E76" s="491" t="str">
        <f>IF($D$14&lt;&gt;E$14,"N/A",(T.FSS_Max-T.FON.t1_Max)*EXP(t1_Max/Tau.ON_Max))</f>
        <v>N/A</v>
      </c>
      <c r="F76" s="491" t="str">
        <f>IF($D$14&lt;&gt;F$14,"N/A",(T.FSS_Reduced-T.FON.t1_Reduced)*EXP(t1_Reduced/Tau.ON_Reduced))</f>
        <v>N/A</v>
      </c>
      <c r="G76" s="132" t="s">
        <v>36</v>
      </c>
      <c r="H76" s="126"/>
      <c r="I76" s="126"/>
      <c r="L76" s="1134"/>
      <c r="Q76" s="1133"/>
    </row>
    <row r="77" spans="2:17" ht="18" x14ac:dyDescent="0.3">
      <c r="B77" s="691"/>
      <c r="C77" s="134" t="s">
        <v>605</v>
      </c>
      <c r="D77" s="628" t="str">
        <f>IF(OR($D$14="Unknown",D14="11.1"),"11.2",$D$14) &amp; ".9.6"</f>
        <v>11.2.9.6</v>
      </c>
      <c r="E77" s="512" t="str">
        <f>IF($D$14&lt;&gt;E$14,"N/A",IF('Max Test'!Does_the_boiler_employ_a_post_purge?="Yes",tp_Max+3.75,3.75))</f>
        <v>N/A</v>
      </c>
      <c r="F77" s="512" t="str">
        <f>IF($D$14&lt;&gt;F$14,"N/A",IF('Reduced Test'!Post_Purge?="Yes",tp_Reduced+3.75,3.75))</f>
        <v>N/A</v>
      </c>
      <c r="G77" s="132" t="s">
        <v>36</v>
      </c>
      <c r="H77" s="126"/>
      <c r="I77" s="126"/>
      <c r="L77" s="1134"/>
      <c r="Q77" s="1133"/>
    </row>
    <row r="78" spans="2:17" ht="18" x14ac:dyDescent="0.3">
      <c r="B78" s="691"/>
      <c r="C78" s="134" t="s">
        <v>606</v>
      </c>
      <c r="D78" s="628" t="str">
        <f>IF(OR($D$14="Unknown",D14="11.1"),"11.2",$D$14) &amp; ".9.6"</f>
        <v>11.2.9.6</v>
      </c>
      <c r="E78" s="512" t="str">
        <f>IF($D$14&lt;&gt;E$14,"N/A",IF('Max Test'!Does_the_boiler_employ_a_post_purge?="Yes",tp_Max+22.5,22.5))</f>
        <v>N/A</v>
      </c>
      <c r="F78" s="512" t="str">
        <f>IF($D$14&lt;&gt;F$14,"N/A",IF('Max Test'!Does_the_boiler_employ_a_post_purge?="Yes",tp_Reduced+22.5,22.5))</f>
        <v>N/A</v>
      </c>
      <c r="G78" s="132" t="s">
        <v>36</v>
      </c>
      <c r="H78" s="126"/>
      <c r="I78" s="126"/>
      <c r="L78" s="1134"/>
      <c r="Q78" s="1133"/>
    </row>
    <row r="79" spans="2:17" ht="18" x14ac:dyDescent="0.3">
      <c r="B79" s="691"/>
      <c r="C79" s="134" t="s">
        <v>607</v>
      </c>
      <c r="D79" s="628" t="str">
        <f>IF(OR($D$14="Unknown",D14="11.1"),"11.2",$D$14) &amp; ".9.6"</f>
        <v>11.2.9.6</v>
      </c>
      <c r="E79" s="512" t="str">
        <f>IF($D$14&lt;&gt;E$14,"N/A",45)</f>
        <v>N/A</v>
      </c>
      <c r="F79" s="512" t="str">
        <f>IF($D$14&lt;&gt;F$14,"N/A",45)</f>
        <v>N/A</v>
      </c>
      <c r="G79" s="132" t="s">
        <v>36</v>
      </c>
      <c r="H79" s="126"/>
      <c r="I79" s="126"/>
      <c r="L79" s="1134"/>
      <c r="Q79" s="1133"/>
    </row>
    <row r="80" spans="2:17" ht="18" x14ac:dyDescent="0.3">
      <c r="B80" s="691" t="s">
        <v>431</v>
      </c>
      <c r="C80" s="134" t="s">
        <v>608</v>
      </c>
      <c r="D80" s="628" t="str">
        <f>IF(OR($D$14="Unknown",D14="11.1"),"11.2",$D$14) &amp; ".9.6"</f>
        <v>11.2.9.6</v>
      </c>
      <c r="E80" s="493" t="str">
        <f>IF($D$14&lt;&gt;E$14,"N/A",'Max Test'!tp/60)</f>
        <v>N/A</v>
      </c>
      <c r="F80" s="493" t="str">
        <f>IF($D$14&lt;&gt;F$14,"N/A",'Max Test'!tp/60)</f>
        <v>N/A</v>
      </c>
      <c r="G80" s="132" t="s">
        <v>36</v>
      </c>
      <c r="H80" s="126"/>
      <c r="I80" s="126"/>
      <c r="L80" s="1134"/>
      <c r="Q80" s="1133"/>
    </row>
    <row r="81" spans="2:17" ht="18" x14ac:dyDescent="0.3">
      <c r="B81" s="691" t="s">
        <v>432</v>
      </c>
      <c r="C81" s="134" t="s">
        <v>609</v>
      </c>
      <c r="D81" s="628" t="str">
        <f>IF(OR($D$14="Unknown",D14="11.1"),"11.2",$D$14) &amp; ".9.6"</f>
        <v>11.2.9.6</v>
      </c>
      <c r="E81" s="491" t="str">
        <f>IF($D$14&lt;&gt;E$14,"N/A",
IF('Max Test'!T.FOFF.t3&lt;='Max Test'!T.FOFF.t5,'Max Test'!T.FOFF.t5+0.2,
IF('Max Test'!T.FOFF.t3&lt;='Max Test'!T.FOFF.t4,'Max Test'!$C$196+0.1,
'Max Test'!T.FOFF.t3)))</f>
        <v>N/A</v>
      </c>
      <c r="F81" s="491" t="str">
        <f>IF($D$14&lt;&gt;F$14,"N/A",
IF('Reduced Test'!T.FOFF.t3&lt;='Reduced Test'!T.FOFF.t5,'Reduced Test'!T.FOFF.t5+0.2,
IF('Reduced Test'!T.FOFF.t3&lt;='Reduced Test'!T.FOFF.t4,'Reduced Test'!T.FOFF.t4+0.1,'Reduced Test'!T.FOFF.t3
)))</f>
        <v>N/A</v>
      </c>
      <c r="G81" s="132" t="s">
        <v>51</v>
      </c>
      <c r="H81" s="126"/>
      <c r="I81" s="126"/>
      <c r="L81" s="1134"/>
      <c r="Q81" s="1133"/>
    </row>
    <row r="82" spans="2:17" ht="18" x14ac:dyDescent="0.3">
      <c r="B82" s="691" t="s">
        <v>433</v>
      </c>
      <c r="C82" s="134" t="s">
        <v>610</v>
      </c>
      <c r="D82" s="628" t="str">
        <f>IF(OR($D$14="Unknown",D14="11.1"),"11.2",$D$14) &amp; ".9.6"</f>
        <v>11.2.9.6</v>
      </c>
      <c r="E82" s="491" t="str">
        <f>IF($D$14&lt;&gt;E$14,"N/A",
IF('Max Test'!T.FOFF.t4&lt;='Max Test'!T.FOFF.t5,'Max Test'!T.FOFF.t5+0.1,
'Max Test'!T.FOFF.t4))</f>
        <v>N/A</v>
      </c>
      <c r="F82" s="491" t="str" cm="1">
        <f t="array" ref="F82">IF($D$14&lt;&gt;F$14,"N/A",
IF('Max Test'!T.FOFF.t4&lt;='Reduced Test'!T.FOFF.t5,'Reduced Test'!T.FOFF.t5+0.1,
'Reduced Test'!T.FOFF(T4)))</f>
        <v>N/A</v>
      </c>
      <c r="G82" s="132" t="s">
        <v>51</v>
      </c>
      <c r="H82" s="126"/>
      <c r="I82" s="126"/>
      <c r="L82" s="1134"/>
      <c r="Q82" s="1133"/>
    </row>
    <row r="83" spans="2:17" ht="18" x14ac:dyDescent="0.3">
      <c r="B83" s="691" t="s">
        <v>434</v>
      </c>
      <c r="C83" s="134" t="s">
        <v>611</v>
      </c>
      <c r="D83" s="628" t="str">
        <f>IF(OR($D$14="Unknown",D14="11.1"),"11.2",$D$14) &amp; ".9.6"</f>
        <v>11.2.9.6</v>
      </c>
      <c r="E83" s="491" t="str">
        <f>IF($D$14&lt;&gt;E$14,"N/A",'Max Test'!T.FOFF.t5)</f>
        <v>N/A</v>
      </c>
      <c r="F83" s="491" t="str">
        <f>IF($D$14&lt;&gt;F$14,"N/A",'Reduced Test'!T.FOFF.t5)</f>
        <v>N/A</v>
      </c>
      <c r="G83" s="132" t="s">
        <v>51</v>
      </c>
      <c r="H83" s="126"/>
      <c r="I83" s="126"/>
      <c r="L83" s="1134"/>
      <c r="Q83" s="1133"/>
    </row>
    <row r="84" spans="2:17" ht="18" x14ac:dyDescent="0.3">
      <c r="B84" s="691" t="s">
        <v>435</v>
      </c>
      <c r="C84" s="134" t="s">
        <v>612</v>
      </c>
      <c r="D84" s="628" t="str">
        <f>IF(OR($D$14="Unknown",D14="11.1"),"11.2",$D$14) &amp; ".9.6"</f>
        <v>11.2.9.6</v>
      </c>
      <c r="E84" s="490" t="str">
        <f>IF($D$14&lt;&gt;E$14,"N/A",(t4_Max-t3_Max)/LN((T.FOFF.t3_Max-T.FOFF.t5_Max)/(T.FOFF.t4_Max-T.FOFF.t5_Max)))</f>
        <v>N/A</v>
      </c>
      <c r="F84" s="490" t="str">
        <f>IF($D$14&lt;&gt;F$14,"N/A",(t4_Reduced-t3_Reduced)/LN((T.FOFF.t3_Reduced-T.FOFF.t5_Reduced)/(T.FOFF.t4_Reduced-T.FOFF.t5_Reduced)))</f>
        <v>N/A</v>
      </c>
      <c r="G84" s="132" t="s">
        <v>36</v>
      </c>
      <c r="H84" s="126"/>
      <c r="I84" s="126"/>
      <c r="L84" s="1134"/>
      <c r="Q84" s="1133"/>
    </row>
    <row r="85" spans="2:17" ht="18" x14ac:dyDescent="0.3">
      <c r="B85" s="691" t="s">
        <v>436</v>
      </c>
      <c r="C85" s="134" t="s">
        <v>613</v>
      </c>
      <c r="D85" s="628" t="str">
        <f>IF(OR($D$14="Unknown",D14="11.1"),"11.2",$D$14) &amp; ".9.7"</f>
        <v>11.2.9.7</v>
      </c>
      <c r="E85" s="491" t="str">
        <f>IF($D$14&lt;&gt;E$14,"N/A",(T.FOFF.t3_Max-T.FOFF.t5_Max)*EXP(t3_Max/Tau.OFF_Max))</f>
        <v>N/A</v>
      </c>
      <c r="F85" s="491" t="str">
        <f>IF($D$14&lt;&gt;F$14,"N/A",(T.FOFF.t3_Reduced-T.FOFF.t5_Reduced)*EXP(t3_Reduced/Tau.OFF_reduced))</f>
        <v>N/A</v>
      </c>
      <c r="G85" s="132" t="s">
        <v>51</v>
      </c>
      <c r="H85" s="126"/>
      <c r="I85" s="126"/>
      <c r="L85" s="1134"/>
      <c r="Q85" s="1133"/>
    </row>
    <row r="86" spans="2:17" ht="18" x14ac:dyDescent="0.3">
      <c r="B86" s="783" t="s">
        <v>437</v>
      </c>
      <c r="C86" s="785" t="s">
        <v>614</v>
      </c>
      <c r="D86" s="779" t="str">
        <f>IF(OR($D$14="Unknown",D14="11.1"),"11.2",$D$14) &amp; ".9.8"</f>
        <v>11.2.9.8</v>
      </c>
      <c r="E86" s="491" t="str">
        <f>IF($D$14&lt;&gt;E$14,"N/A",T.FOFF.t5_Max-T.RA_Max)</f>
        <v>N/A</v>
      </c>
      <c r="F86" s="491" t="str">
        <f>IF($D$14&lt;&gt;F$14,"N/A",T.FOFF.t5_Reduced-T.RA_Reduced)</f>
        <v>N/A</v>
      </c>
      <c r="G86" s="132" t="s">
        <v>51</v>
      </c>
      <c r="H86" s="126"/>
      <c r="I86" s="126"/>
      <c r="L86" s="1134"/>
      <c r="Q86" s="1133"/>
    </row>
    <row r="87" spans="2:17" ht="18" x14ac:dyDescent="0.3">
      <c r="B87" s="809" t="s">
        <v>810</v>
      </c>
      <c r="C87" s="802" t="s">
        <v>619</v>
      </c>
      <c r="D87" s="803" t="str">
        <f>IF(OR($D$14="Unknown",D14="11.1"),"11.2",$D$14) &amp; ".9.9"</f>
        <v>11.2.9.9</v>
      </c>
      <c r="E87" s="873" t="str">
        <f>IF($D$14&lt;&gt;E$14,"N/A",
IFERROR(IF('Test Conditions'!$D$67="No",0.05,
IF(OR(System_Number_Max=1,AND(System_Number_Max=9,'Sys. # &amp; Product Characteristic'!Installation="Isolated Combustion System")),D.P_Draft_Diverter_Max,D.P_Power_Vent_Direct_Vent_Max)),""))</f>
        <v>N/A</v>
      </c>
      <c r="F87" s="873" t="str">
        <f>IF($D$14&lt;&gt;F$14,"N/A",
IFERROR(IF('Test Conditions'!$D$67="No",0.05,
IF(OR(System_Number_Reduced=1,AND(System_Number_Reduced=9,'General Info &amp; Test Results'!$C$56="Isolated Combustion System")),D.P_Draft_Diverter_Reduced,D.P_Power_Vent_Direct_Vent_Reduced)),""))</f>
        <v>N/A</v>
      </c>
      <c r="G87" s="132" t="s">
        <v>175</v>
      </c>
      <c r="H87" s="126"/>
      <c r="I87" s="126"/>
      <c r="L87" s="1134"/>
      <c r="Q87" s="1133"/>
    </row>
    <row r="88" spans="2:17" ht="18" x14ac:dyDescent="0.3">
      <c r="B88" s="691" t="s">
        <v>811</v>
      </c>
      <c r="C88" s="498" t="s">
        <v>620</v>
      </c>
      <c r="D88" s="628" t="str">
        <f>IF(OR($D$14="Unknown",D14="11.1"),"11.2",$D$14) &amp; ".9.9"</f>
        <v>11.2.9.9</v>
      </c>
      <c r="E88" s="706" t="str">
        <f ca="1">IF($D$14&lt;&gt;E$14,"N/A",
IF('Test Conditions'!$D$67="No",0.05,
IF('Test Conditions'!$D$66="Yes",D.P_Max,
OFFSET('Drop-Downs and Tables'!$B$167,0,MATCH(E17,'Drop-Downs and Tables'!$C$157:$K$157,0)))))</f>
        <v>N/A</v>
      </c>
      <c r="F88" s="706" t="str">
        <f ca="1">IF($D$14&lt;&gt;F$14,"N/A",
IF('Test Conditions'!$D$67="No",0.05,
IF('Test Conditions'!$D$66="Yes",D.P_Reduced,
OFFSET('Drop-Downs and Tables'!$B$167,0,MATCH(F17,'Drop-Downs and Tables'!$C$157:$K$157,0)))))</f>
        <v>N/A</v>
      </c>
      <c r="G88" s="132" t="s">
        <v>175</v>
      </c>
      <c r="H88" s="126"/>
      <c r="I88" s="126"/>
      <c r="L88" s="1134"/>
      <c r="Q88" s="1133"/>
    </row>
    <row r="89" spans="2:17" ht="18" x14ac:dyDescent="0.3">
      <c r="B89" s="691" t="s">
        <v>73</v>
      </c>
      <c r="C89" s="498" t="s">
        <v>623</v>
      </c>
      <c r="D89" s="628" t="str">
        <f>IF(OR($D$14="Unknown",D14="11.1"),"11.2",$D$14) &amp; ".9.9"</f>
        <v>11.2.9.9</v>
      </c>
      <c r="E89" s="192" t="str">
        <f>IF($D$14&lt;&gt;E$14,"N/A",
IF(OR(System_Number_Max=1,System_Number_Max=2,System_Number_Max=5,System_Number_Max=6),1,
IF(System_Number_Max=3,0.4,
IF(OR(System_Number_Max=4,System_Number_Max=8),IF('Test Conditions'!$D$66="No",0.85,(0.79+D.P_Max)/1.4),"N/A"))))</f>
        <v>N/A</v>
      </c>
      <c r="F89" s="192" t="str">
        <f>IF($D$14&lt;&gt;F$14,"N/A",
IF(OR(System_Number_Reduced=1,System_Number_Reduced=2,System_Number_Reduced=5,System_Number_Reduced=6),1,
IF(System_Number_Reduced=3,0.4,
IF(OR(System_Number_Reduced=4,System_Number_Reduced=8),IF('Test Conditions'!$D$66="No",0.85,(0.79+D.P_Reduced)/1.4),"N/A"))))</f>
        <v>N/A</v>
      </c>
      <c r="G89" s="132" t="s">
        <v>175</v>
      </c>
      <c r="H89" s="126"/>
      <c r="I89" s="126"/>
      <c r="L89" s="1134"/>
      <c r="Q89" s="1133"/>
    </row>
    <row r="90" spans="2:17" ht="18" x14ac:dyDescent="0.3">
      <c r="B90" s="691" t="s">
        <v>1293</v>
      </c>
      <c r="C90" s="498" t="s">
        <v>624</v>
      </c>
      <c r="D90" s="628" t="str">
        <f>IF(OR($D$14="Unknown",D14="11.1"),"11.2",$D$14) &amp; ".9.9"</f>
        <v>11.2.9.9</v>
      </c>
      <c r="E90" s="491" t="str">
        <f>IF($D$14&lt;&gt;E$14,"N/A",
IFERROR(IF(OR(System_Number_Max=9,System_Number_Max=10),"N/A",
IF(OR(System_Number_Max&lt;=4,AND(System_Number_Max&gt;=5,System_Number_Max&lt;=8,SF_Max*DO.S_Max&gt;D.F_Max)),D.F_Max*Psi.FIX_Max/(SF_Max*DO.S_Max),
IF(AND(System_Number_Max&gt;=5,System_Number_Max&lt;=8,SF_Max*DO.S_Max&lt;=D.F_Max),Psi.FIX_Max,""))),""))</f>
        <v>N/A</v>
      </c>
      <c r="F90" s="491" t="str">
        <f>IF($D$14&lt;&gt;F$14,"N/A",
IFERROR(IF(OR(System_Number_Reduced=9,System_Number_Reduced=10),"N/A",
IF(OR(System_Number_Reduced&lt;=4,AND(System_Number_Reduced&gt;=5,System_Number_Reduced&lt;=8,SF_Reduced*DO.S_Reduced&gt;D.F_Reduced)),D.F_Reduced*Psi.FIX_Reduced/(SF_Reduced*DO.S_Reduced),
IF(AND(System_Number_Reduced&gt;=5,System_Number_Reduced&lt;=8,SF_Reduced*DO.S_Reduced&lt;=D.F_Reduced),Psi.FIX_Reduced,""))),""))</f>
        <v>N/A</v>
      </c>
      <c r="G90" s="132" t="s">
        <v>51</v>
      </c>
      <c r="H90" s="126"/>
      <c r="I90" s="126"/>
      <c r="L90" s="1134"/>
      <c r="Q90" s="1133"/>
    </row>
    <row r="91" spans="2:17" ht="18" x14ac:dyDescent="0.3">
      <c r="B91" s="691" t="s">
        <v>442</v>
      </c>
      <c r="C91" s="498" t="s">
        <v>626</v>
      </c>
      <c r="D91" s="628" t="str">
        <f>IF(OR($D$14="Unknown",D14="11.1"),"11.2",$D$14) &amp; ".9.11"</f>
        <v>11.2.9.11</v>
      </c>
      <c r="E91" s="491" t="str">
        <f>IF($D$14&lt;&gt;E$14,"N/A",IF(AND('Sys. # &amp; Product Characteristic'!Control_Type="Two-Stage Modulating",T.C&gt;=5),'Cyclic Timing Calculations'!t.ONH,15))</f>
        <v>N/A</v>
      </c>
      <c r="F91" s="491" t="str">
        <f>IF($D$14&lt;&gt;F$14,"N/A",IF(OR('Sys. # &amp; Product Characteristic'!Control_Type="Step Modulating",'Sys. # &amp; Product Characteristic'!Control_Type="Two-Stage Modulating"),'Cyclic Timing Calculations'!t.ONR,15))</f>
        <v>N/A</v>
      </c>
      <c r="G91" s="132" t="s">
        <v>36</v>
      </c>
      <c r="H91" s="126"/>
      <c r="I91" s="126"/>
      <c r="L91" s="1134"/>
      <c r="Q91" s="1133"/>
    </row>
    <row r="92" spans="2:17" ht="18" x14ac:dyDescent="0.3">
      <c r="B92" s="691" t="s">
        <v>441</v>
      </c>
      <c r="C92" s="498" t="s">
        <v>627</v>
      </c>
      <c r="D92" s="628" t="str">
        <f>IF(OR($D$14="Unknown",D14="11.1"),"11.2",$D$14) &amp; ".9.11"</f>
        <v>11.2.9.11</v>
      </c>
      <c r="E92" s="491" t="str">
        <f>IF($D$14&lt;&gt;E$14,"N/A",t.ON_Max/Tau.ON_Max)</f>
        <v>N/A</v>
      </c>
      <c r="F92" s="491" t="str">
        <f>IF($D$14&lt;&gt;F$14,"N/A",t.ON_Reduced/Tau.ON_Reduced)</f>
        <v>N/A</v>
      </c>
      <c r="G92" s="132" t="s">
        <v>175</v>
      </c>
      <c r="H92" s="126"/>
      <c r="I92" s="126"/>
      <c r="L92" s="1134"/>
      <c r="Q92" s="1133"/>
    </row>
    <row r="93" spans="2:17" ht="18" x14ac:dyDescent="0.3">
      <c r="B93" s="691" t="s">
        <v>443</v>
      </c>
      <c r="C93" s="498" t="s">
        <v>628</v>
      </c>
      <c r="D93" s="628" t="str">
        <f>IF(OR($D$14="Unknown",D14="11.1"),"11.2",$D$14) &amp; ".9.12"</f>
        <v>11.2.9.12</v>
      </c>
      <c r="E93" s="491" t="str">
        <f>IF($D$14&lt;&gt;E$14,"N/A",IF(AND('Sys. # &amp; Product Characteristic'!Control_Type="Two-Stage Modulating",T.C&gt;=5),'Cyclic Timing Calculations'!t.OFFH,15))</f>
        <v>N/A</v>
      </c>
      <c r="F93" s="491" t="str">
        <f>IF($D$14&lt;&gt;F$14,"N/A",IF(OR('Sys. # &amp; Product Characteristic'!Control_Type="Step Modulating",'Sys. # &amp; Product Characteristic'!Control_Type="Two-Stage Modulating"),'Cyclic Timing Calculations'!t.OFFR,15))</f>
        <v>N/A</v>
      </c>
      <c r="G93" s="132" t="s">
        <v>36</v>
      </c>
      <c r="H93" s="126"/>
      <c r="I93" s="126"/>
      <c r="L93" s="1134"/>
      <c r="Q93" s="1133"/>
    </row>
    <row r="94" spans="2:17" ht="18" x14ac:dyDescent="0.3">
      <c r="B94" s="691" t="s">
        <v>444</v>
      </c>
      <c r="C94" s="498" t="s">
        <v>629</v>
      </c>
      <c r="D94" s="628" t="str">
        <f>IF(OR($D$14="Unknown",D14="11.1"),"11.2",$D$14) &amp; ".9.12"</f>
        <v>11.2.9.12</v>
      </c>
      <c r="E94" s="491" t="str">
        <f>IF($D$14&lt;&gt;E$14,"N/A",t.OFF_Max/Tau.OFF_Max)</f>
        <v>N/A</v>
      </c>
      <c r="F94" s="491" t="str">
        <f>IF($D$14&lt;&gt;F$14,"N/A",t.OFF_Reduced/Tau.OFF_reduced)</f>
        <v>N/A</v>
      </c>
      <c r="G94" s="132" t="s">
        <v>175</v>
      </c>
      <c r="H94" s="126"/>
      <c r="I94" s="126"/>
      <c r="L94" s="1134"/>
      <c r="Q94" s="1133"/>
    </row>
    <row r="95" spans="2:17" ht="18" x14ac:dyDescent="0.3">
      <c r="B95" s="691" t="s">
        <v>445</v>
      </c>
      <c r="C95" s="498" t="s">
        <v>630</v>
      </c>
      <c r="D95" s="628" t="str">
        <f>IF(OR($D$14="Unknown",D14="11.1"),"11.2",$D$14) &amp; ".9.13"</f>
        <v>11.2.9.13</v>
      </c>
      <c r="E95" s="491" t="str">
        <f>IF($D$14&lt;&gt;E$14,"N/A",(1-Psi.FOX_Max*EXP(-R.OFF_Max)/(T.FSS_Max-T.FOFF.t5_Max))/
(1-Theta.FOX_Max*Psi.FOX_Max*EXP(-(R.ON_Max+R.OFF_Max))/((T.FSS_Max-T.FOFF.t5_Max)^2)))</f>
        <v>N/A</v>
      </c>
      <c r="F95" s="491" t="str">
        <f>IF($D$14&lt;&gt;F$14,"N/A",(1-Psi.FOX_Reduced*EXP(-R.OFF_Reduced)/(T.FSS_Reduced-T.FOFF.t5_Reduced))/
(1-Theta.FOX_Reduced*Psi.FOX_Reduced*EXP(-(R.ON_Reduced+R.OFF_Reduced))/((T.FSS_Reduced-T.FOFF.t5_Reduced)^2)))</f>
        <v>N/A</v>
      </c>
      <c r="G95" s="132" t="s">
        <v>175</v>
      </c>
      <c r="H95" s="126"/>
      <c r="I95" s="126"/>
      <c r="L95" s="1134"/>
      <c r="Q95" s="1133"/>
    </row>
    <row r="96" spans="2:17" ht="18" x14ac:dyDescent="0.3">
      <c r="B96" s="691" t="s">
        <v>447</v>
      </c>
      <c r="C96" s="498" t="s">
        <v>631</v>
      </c>
      <c r="D96" s="628" t="str">
        <f>IF(OR($D$14="Unknown",D14="11.1"),"11.2",$D$14) &amp; ".9.14"</f>
        <v>11.2.9.14</v>
      </c>
      <c r="E96" s="492" t="str">
        <f>IF($D$14&lt;&gt;E$14,"N/A",IF('Sys. # &amp; Product Characteristic'!Ignition="","",IF('Sys. # &amp; Product Characteristic'!Ignition="Continuous Burning Pilot",1,0.9)))</f>
        <v>N/A</v>
      </c>
      <c r="F96" s="492" t="str">
        <f>IF($D$14&lt;&gt;F$14,"N/A",IF('Sys. # &amp; Product Characteristic'!Ignition="","",IF('Sys. # &amp; Product Characteristic'!Ignition="Continuous Burning Pilot",1,0.9)))</f>
        <v>N/A</v>
      </c>
      <c r="G96" s="132" t="s">
        <v>175</v>
      </c>
      <c r="H96" s="126"/>
      <c r="I96" s="126"/>
      <c r="L96" s="1134"/>
      <c r="Q96" s="1133"/>
    </row>
    <row r="97" spans="2:17" ht="18" x14ac:dyDescent="0.3">
      <c r="B97" s="691" t="s">
        <v>446</v>
      </c>
      <c r="C97" s="498" t="s">
        <v>632</v>
      </c>
      <c r="D97" s="628" t="str">
        <f>IF(OR($D$14="Unknown",D14="11.1"),"11.2",$D$14) &amp; ".9.14"</f>
        <v>11.2.9.14</v>
      </c>
      <c r="E97" s="491" t="str">
        <f>IF($D$14&lt;&gt;E$14,"N/A",
C.IID_Max*
(1-Theta.FOX_Max*EXP(-R.ON_Max)/(T.FSS_Max-T.FOFF.t5_Max))/
(1-Theta.FOX_Max*Psi.FOX_Max*EXP(-(R.ON_Max+R.OFF_Max))/((T.FSS_Max-T.FOFF.t5_Max)^2)))</f>
        <v>N/A</v>
      </c>
      <c r="F97" s="491" t="str">
        <f>IF($D$14&lt;&gt;F$14,"N/A",
C.IID_Reduced*
(1-Theta.FOX_Reduced*EXP(-R.ON_Reduced)/(T.FSS_Reduced-T.FOFF.t5_Reduced))/
(1-Theta.FOX_Reduced*Psi.FOX_Reduced*EXP(-(R.ON_Reduced+R.OFF_Reduced))/((T.FSS_Reduced-T.FOFF.t5_Reduced)^2)))</f>
        <v>N/A</v>
      </c>
      <c r="G97" s="132" t="s">
        <v>175</v>
      </c>
      <c r="H97" s="126"/>
      <c r="I97" s="126"/>
      <c r="L97" s="1134"/>
      <c r="Q97" s="1133"/>
    </row>
    <row r="98" spans="2:17" ht="33" x14ac:dyDescent="0.3">
      <c r="B98" s="691" t="s">
        <v>448</v>
      </c>
      <c r="C98" s="498" t="s">
        <v>633</v>
      </c>
      <c r="D98" s="628" t="str">
        <f>IF(OR($D$14="Unknown",D14="11.1"),"11.2",$D$14) &amp; ".9.15"</f>
        <v>11.2.9.15</v>
      </c>
      <c r="E98" s="491" t="str">
        <f>IF($D$14&lt;&gt;E$14,"N/A",IF(OR(System_Number_Max&lt;=8,System_Number_Max=""),"N/A",1.22))</f>
        <v>N/A</v>
      </c>
      <c r="F98" s="491" t="str">
        <f>IF($D$14&lt;&gt;F$14,"N/A",IF(OR(System_Number_Reduced&lt;=8,System_Number_Reduced=""),"N/A",1.22))</f>
        <v>N/A</v>
      </c>
      <c r="G98" s="132" t="s">
        <v>175</v>
      </c>
      <c r="H98" s="126"/>
      <c r="I98" s="126"/>
      <c r="L98" s="1134"/>
      <c r="Q98" s="1133"/>
    </row>
    <row r="99" spans="2:17" ht="33" x14ac:dyDescent="0.3">
      <c r="B99" s="691" t="s">
        <v>449</v>
      </c>
      <c r="C99" s="498" t="s">
        <v>634</v>
      </c>
      <c r="D99" s="628" t="str">
        <f>IF(OR($D$14="Unknown",D14="11.1"),"11.2",$D$14) &amp; ".9.15"</f>
        <v>11.2.9.15</v>
      </c>
      <c r="E99" s="491" t="str">
        <f>IF($D$14&lt;&gt;E$14,"N/A",IF(System_Number_Max&lt;=8,Psi.FOX_Max*C.TOFF_Max,C.TOFF_Max*C1.S_Max*Psi.FOX_Max))</f>
        <v>N/A</v>
      </c>
      <c r="F99" s="491" t="str">
        <f>IF($D$14&lt;&gt;F$14,"N/A",IF(System_Number_Reduced&lt;=8,Psi.FOX_Reduced*C.TOFF_Reduced,C.TOFF_Reduced*C1.S_Reduced*Psi.FOX_Reduced))</f>
        <v>N/A</v>
      </c>
      <c r="G99" s="132" t="s">
        <v>51</v>
      </c>
      <c r="H99" s="126"/>
      <c r="I99" s="126"/>
      <c r="L99" s="1134"/>
      <c r="Q99" s="1133"/>
    </row>
    <row r="100" spans="2:17" ht="33" x14ac:dyDescent="0.3">
      <c r="B100" s="691" t="s">
        <v>1294</v>
      </c>
      <c r="C100" s="498" t="s">
        <v>635</v>
      </c>
      <c r="D100" s="628" t="str">
        <f>IF(OR($D$14="Unknown",D14="11.1"),"11.2",$D$14) &amp; ".9.16"</f>
        <v>11.2.9.16</v>
      </c>
      <c r="E100" s="491" t="str">
        <f>IF($D$14&lt;&gt;E$14,"N/A",IF(System_Number_Max&lt;=8,Psi.FIX_Max,C1.S_Max*Psi.FIX_Max))</f>
        <v>N/A</v>
      </c>
      <c r="F100" s="491" t="str">
        <f>IF($D$14&lt;&gt;F$14,"N/A",IF(System_Number_Reduced&lt;=8,Psi.FIX_Reduced,C1.S_Reduced*Psi.FIX_Reduced))</f>
        <v>N/A</v>
      </c>
      <c r="G100" s="132" t="s">
        <v>51</v>
      </c>
      <c r="H100" s="126"/>
      <c r="I100" s="126"/>
      <c r="L100" s="1134"/>
      <c r="Q100" s="1133"/>
    </row>
    <row r="101" spans="2:17" ht="18" x14ac:dyDescent="0.3">
      <c r="B101" s="691" t="s">
        <v>451</v>
      </c>
      <c r="C101" s="498" t="s">
        <v>637</v>
      </c>
      <c r="D101" s="628" t="str">
        <f>IF(OR($D$14="Unknown",D14="11.1"),"11.2",$D$14) &amp; ".9.18"</f>
        <v>11.2.9.18</v>
      </c>
      <c r="E101" s="516" t="str">
        <f>IF(OR(System_Number_Max=5,System_Number_Max=6,System_Number_Max=8),$C$243,"N/A")</f>
        <v>N/A</v>
      </c>
      <c r="F101" s="516" t="str">
        <f>IF(OR(System_Number_Reduced=5,System_Number_Reduced=6,System_Number_Reduced=8),$C$243,"N/A")</f>
        <v>N/A</v>
      </c>
      <c r="G101" s="132" t="s">
        <v>175</v>
      </c>
      <c r="H101" s="126"/>
      <c r="I101" s="126"/>
      <c r="L101" s="1134"/>
      <c r="Q101" s="1133"/>
    </row>
    <row r="102" spans="2:17" ht="18" x14ac:dyDescent="0.3">
      <c r="B102" s="691" t="s">
        <v>452</v>
      </c>
      <c r="C102" s="498" t="s">
        <v>638</v>
      </c>
      <c r="D102" s="628" t="str">
        <f>IF(OR($D$14="Unknown",D14="11.1"),"11.2",$D$14) &amp; ".9.18"</f>
        <v>11.2.9.18</v>
      </c>
      <c r="E102" s="493" t="str">
        <f>IF(OR(System_Number_Max=5,System_Number_Max=6,System_Number_Max=8),$C$244,"N/A")</f>
        <v>N/A</v>
      </c>
      <c r="F102" s="493" t="str">
        <f>IF(OR(System_Number_Reduced=5,System_Number_Reduced=6,System_Number_Reduced=8),$C$244,"N/A")</f>
        <v>N/A</v>
      </c>
      <c r="G102" s="132" t="s">
        <v>175</v>
      </c>
      <c r="H102" s="126"/>
      <c r="I102" s="126"/>
      <c r="L102" s="1134"/>
      <c r="Q102" s="1133"/>
    </row>
    <row r="103" spans="2:17" ht="18" x14ac:dyDescent="0.3">
      <c r="B103" s="691" t="s">
        <v>73</v>
      </c>
      <c r="C103" s="498" t="s">
        <v>621</v>
      </c>
      <c r="D103" s="628" t="str">
        <f>IF(OR($D$14="Unknown",D14="11.1"),"11.2",$D$14) &amp; ".9.18"</f>
        <v>11.2.9.18</v>
      </c>
      <c r="E103" s="707" t="str">
        <f>IF(System_Number_Max&gt;=9,"N/A",
IF(OR(System_Number_Max=1,System_Number_Max=2),1,
IF(System_Number_Max=3,D.F_Max,
IF(System_Number_Max=4,IF('Test Conditions'!$D$66="No",0.85,(0.79+D.P_Max)/1.4),
IF(OR(System_Number_Max=5,System_Number_Max=6),D.O_Max,
IF('Test Conditions'!$D$66="No",0.85*D.O_Max,(0.79+D.P_Max)/1.4*D.O_Max))))))</f>
        <v>N/A</v>
      </c>
      <c r="F103" s="707" t="str">
        <f>IF(System_Number_Reduced&gt;=9,"N/A",
IF(OR(System_Number_Reduced=1,System_Number_Reduced=2),1,
IF(System_Number_Reduced=3,F88,
IF(System_Number_Reduced=4,IF('Test Conditions'!$D$66="No",0.85,(0.79+D.P_Reduced)/1.4),
IF(OR(System_Number_Reduced=5,System_Number_Reduced=6),D.O_Reduced,
IF('Test Conditions'!$D$66="No",0.85*D.O_Reduced,(0.79+D.P_Reduced)/1.4*D.O_Reduced))))))</f>
        <v>N/A</v>
      </c>
      <c r="G103" s="132" t="s">
        <v>175</v>
      </c>
      <c r="H103" s="126"/>
      <c r="I103" s="126"/>
      <c r="L103" s="1134"/>
      <c r="Q103" s="1133"/>
    </row>
    <row r="104" spans="2:17" ht="18" x14ac:dyDescent="0.3">
      <c r="B104" s="691" t="s">
        <v>812</v>
      </c>
      <c r="C104" s="498" t="s">
        <v>621</v>
      </c>
      <c r="D104" s="680" t="str">
        <f>IF(OR($D$14="Unknown",D14="11.1"),"11.2",$D$14) &amp; ".9.18" &amp; " or 11.7.2"</f>
        <v>11.2.9.18 or 11.7.2</v>
      </c>
      <c r="E104" s="1151" t="str">
        <f>IF($D$14&lt;&gt;E$14,"N/A",
    IF('Test Conditions'!$D$66="Yes",E$161,E$103))</f>
        <v>N/A</v>
      </c>
      <c r="F104" s="1151" t="str">
        <f>IF($D$14&lt;&gt;F$14,"N/A",
    IF('Test Conditions'!$D$66="Yes",D.S_Power_Burner_Direct_Vent_Reduced,F103))</f>
        <v>N/A</v>
      </c>
      <c r="G104" s="132" t="s">
        <v>175</v>
      </c>
      <c r="H104" s="126"/>
      <c r="I104" s="126"/>
      <c r="L104" s="1134"/>
      <c r="Q104" s="1133"/>
    </row>
    <row r="105" spans="2:17" x14ac:dyDescent="0.3">
      <c r="B105" s="691" t="s">
        <v>453</v>
      </c>
      <c r="C105" s="134" t="s">
        <v>454</v>
      </c>
      <c r="D105" s="628" t="str">
        <f>IF(OR($D$14="Unknown",D14="11.1"),"11.2",$D$14) &amp; ".9.19"</f>
        <v>11.2.9.19</v>
      </c>
      <c r="E105" s="546" t="str">
        <f t="shared" ref="E105:E110" si="0">IF($D$14&lt;&gt;E$14,"N/A",$G366)</f>
        <v>N/A</v>
      </c>
      <c r="F105" s="546" t="str">
        <f t="shared" ref="F105:F110" si="1">IF($D$14&lt;&gt;F$14,"N/A",$G375)</f>
        <v>N/A</v>
      </c>
      <c r="G105" s="132" t="s">
        <v>175</v>
      </c>
      <c r="H105" s="126"/>
      <c r="I105" s="126"/>
      <c r="L105" s="1134"/>
      <c r="Q105" s="1133"/>
    </row>
    <row r="106" spans="2:17" x14ac:dyDescent="0.3">
      <c r="B106" s="691" t="s">
        <v>453</v>
      </c>
      <c r="C106" s="134" t="s">
        <v>455</v>
      </c>
      <c r="D106" s="628" t="str">
        <f>IF(OR($D$14="Unknown",D14="11.1"),"11.2",$D$14) &amp; ".9.19"</f>
        <v>11.2.9.19</v>
      </c>
      <c r="E106" s="546" t="str">
        <f t="shared" si="0"/>
        <v>N/A</v>
      </c>
      <c r="F106" s="546" t="str">
        <f t="shared" si="1"/>
        <v>N/A</v>
      </c>
      <c r="G106" s="132" t="s">
        <v>175</v>
      </c>
      <c r="H106" s="126"/>
      <c r="I106" s="126"/>
      <c r="L106" s="1134"/>
      <c r="Q106" s="1133"/>
    </row>
    <row r="107" spans="2:17" x14ac:dyDescent="0.3">
      <c r="B107" s="691" t="s">
        <v>453</v>
      </c>
      <c r="C107" s="498" t="s">
        <v>456</v>
      </c>
      <c r="D107" s="628" t="str">
        <f>IF(OR($D$14="Unknown",D14="11.1"),"11.2",$D$14) &amp; ".9.19"</f>
        <v>11.2.9.19</v>
      </c>
      <c r="E107" s="546" t="str">
        <f t="shared" si="0"/>
        <v>N/A</v>
      </c>
      <c r="F107" s="546" t="str">
        <f t="shared" si="1"/>
        <v>N/A</v>
      </c>
      <c r="G107" s="132" t="s">
        <v>175</v>
      </c>
      <c r="H107" s="126"/>
      <c r="I107" s="126"/>
      <c r="L107" s="1134"/>
      <c r="Q107" s="1133"/>
    </row>
    <row r="108" spans="2:17" x14ac:dyDescent="0.3">
      <c r="B108" s="691" t="s">
        <v>453</v>
      </c>
      <c r="C108" s="498" t="s">
        <v>457</v>
      </c>
      <c r="D108" s="628" t="str">
        <f>IF(OR($D$14="Unknown",D14="11.1"),"11.2",$D$14) &amp; ".9.19"</f>
        <v>11.2.9.19</v>
      </c>
      <c r="E108" s="546" t="str">
        <f t="shared" si="0"/>
        <v>N/A</v>
      </c>
      <c r="F108" s="546" t="str">
        <f t="shared" si="1"/>
        <v>N/A</v>
      </c>
      <c r="G108" s="132" t="s">
        <v>175</v>
      </c>
      <c r="H108" s="126"/>
      <c r="I108" s="126"/>
      <c r="L108" s="1134"/>
      <c r="Q108" s="1133"/>
    </row>
    <row r="109" spans="2:17" x14ac:dyDescent="0.3">
      <c r="B109" s="691" t="s">
        <v>459</v>
      </c>
      <c r="C109" s="498" t="s">
        <v>458</v>
      </c>
      <c r="D109" s="628" t="str">
        <f>IF(OR($D$14="Unknown",D14="11.1"),"11.2",$D$14) &amp; ".9.20"</f>
        <v>11.2.9.20</v>
      </c>
      <c r="E109" s="546" t="str">
        <f t="shared" si="0"/>
        <v>N/A</v>
      </c>
      <c r="F109" s="546" t="str">
        <f t="shared" si="1"/>
        <v>N/A</v>
      </c>
      <c r="G109" s="132" t="s">
        <v>175</v>
      </c>
      <c r="H109" s="126"/>
      <c r="I109" s="126"/>
      <c r="L109" s="1134"/>
      <c r="Q109" s="1133"/>
    </row>
    <row r="110" spans="2:17" ht="17.25" thickBot="1" x14ac:dyDescent="0.35">
      <c r="B110" s="693" t="s">
        <v>459</v>
      </c>
      <c r="C110" s="835" t="s">
        <v>460</v>
      </c>
      <c r="D110" s="695" t="str">
        <f>IF(OR($D$14="Unknown",D14="11.1"),"11.2",$D$14) &amp; ".9.20"</f>
        <v>11.2.9.20</v>
      </c>
      <c r="E110" s="827" t="str">
        <f t="shared" si="0"/>
        <v>N/A</v>
      </c>
      <c r="F110" s="827" t="str">
        <f t="shared" si="1"/>
        <v>N/A</v>
      </c>
      <c r="G110" s="699" t="s">
        <v>175</v>
      </c>
      <c r="H110" s="126"/>
      <c r="I110" s="126"/>
      <c r="L110" s="1134"/>
      <c r="Q110" s="1133"/>
    </row>
    <row r="111" spans="2:17" ht="17.25" thickBot="1" x14ac:dyDescent="0.35">
      <c r="B111" s="804"/>
      <c r="C111" s="781"/>
      <c r="D111" s="781"/>
      <c r="E111" s="793"/>
      <c r="F111" s="793"/>
      <c r="G111" s="805"/>
      <c r="H111" s="126"/>
      <c r="I111" s="126"/>
      <c r="L111" s="1134"/>
      <c r="Q111" s="1133"/>
    </row>
    <row r="112" spans="2:17" ht="17.25" x14ac:dyDescent="0.3">
      <c r="B112" s="820" t="s">
        <v>853</v>
      </c>
      <c r="C112" s="821"/>
      <c r="D112" s="821"/>
      <c r="E112" s="822"/>
      <c r="F112" s="822"/>
      <c r="G112" s="823"/>
      <c r="H112" s="126"/>
      <c r="I112" s="126"/>
      <c r="L112" s="1134"/>
      <c r="Q112" s="1133"/>
    </row>
    <row r="113" spans="2:17" ht="18" x14ac:dyDescent="0.3">
      <c r="B113" s="808" t="s">
        <v>533</v>
      </c>
      <c r="C113" s="795" t="s">
        <v>639</v>
      </c>
      <c r="D113" s="796" t="str">
        <f>IF(OR($D$14="Unknown",D14="11.1"),"11.2",$D$14) &amp; ".10.1"</f>
        <v>11.2.10.1</v>
      </c>
      <c r="E113" s="491" t="str">
        <f>IF($D$14&lt;&gt;E$14,"N/A",IF(System_Number_Max&gt;=9,(T.FSS_Max-T.OA_Max)/(T.FSS_Max-T.RA_Max),IF(System_Number_Max=3,1,"N/A")))</f>
        <v>N/A</v>
      </c>
      <c r="F113" s="491" t="str">
        <f>IF($D$14&lt;&gt;F$14,"N/A",IF(System_Number_Reduced&gt;=9,(T.FSS_Reduced-T.OA_Reduced)/(T.FSS_Reduced-T.RA_Reduced),IF(System_Number_Reduced=3,1,"N/A")))</f>
        <v>N/A</v>
      </c>
      <c r="G113" s="807" t="s">
        <v>175</v>
      </c>
      <c r="H113" s="126"/>
      <c r="I113" s="126"/>
      <c r="L113" s="1134"/>
      <c r="Q113" s="1133"/>
    </row>
    <row r="114" spans="2:17" ht="33" x14ac:dyDescent="0.3">
      <c r="B114" s="691" t="s">
        <v>461</v>
      </c>
      <c r="C114" s="134" t="s">
        <v>640</v>
      </c>
      <c r="D114" s="628" t="str">
        <f>IF(OR($D$14="Unknown",D14="11.1"),"11.2",$D$14) &amp; ".10.2"</f>
        <v>11.2.10.2</v>
      </c>
      <c r="E114" s="491" t="str">
        <f>IF($D$14&lt;&gt;E$14,"N/A",IF(System_Number_Max&lt;=8,C.TON_Max*Theta.FOX_Max,C.TON_Max*C.S_Max*Theta.FOX_Max))</f>
        <v>N/A</v>
      </c>
      <c r="F114" s="491" t="str">
        <f>IF($D$14&lt;&gt;F$14,"N/A",IF(System_Number_Reduced&lt;=8,C.TON_Reduced*Theta.FOX_Reduced,C.TON_Reduced*C.S_Reduced*Theta.FOX_Reduced))</f>
        <v>N/A</v>
      </c>
      <c r="G114" s="132" t="s">
        <v>51</v>
      </c>
      <c r="H114" s="126"/>
      <c r="I114" s="126"/>
      <c r="L114" s="1134"/>
      <c r="Q114" s="1133"/>
    </row>
    <row r="115" spans="2:17" ht="18" x14ac:dyDescent="0.3">
      <c r="B115" s="691" t="s">
        <v>462</v>
      </c>
      <c r="C115" s="498" t="s">
        <v>641</v>
      </c>
      <c r="D115" s="628" t="str">
        <f>IF(OR($D$14="Unknown",D14="11.1"),"11.2",$D$14) &amp; ".10.3"</f>
        <v>11.2.10.3</v>
      </c>
      <c r="E115" s="490" t="str">
        <f>IF($D$14&lt;&gt;E$14,"N/A",IFERROR(
IF(System_Number_Max&lt;=4,(T.FSS_Max-T.RA_Max+530)^1.19*D.F_Max*K.SON_Max/((T.FSS_Max-T.RA_Max)^0.56),
IF(System_Number_Max&lt;=8,(T.SSS_Max-T.RA_Max-530)^1.19*D.S_Max*SF_Max*K.SON_Max/((T.SSS_Max-T.RA_Max+70-T.OA_Max)^0.56),
(T.FSS_Max-T.RA_Max+530)^1.19*K.SON_Max*D.F_Max/((T.FSS_Max-T.RA_Max+70-T.OA_Max)^0.56))),""))</f>
        <v>N/A</v>
      </c>
      <c r="F115" s="490" t="str">
        <f>IF($D$14&lt;&gt;F$14,"N/A",IFERROR(
IF(System_Number_Reduced&lt;=4,(T.FSS_Reduced-T.RA_Reduced+530)^1.19*D.F_Reduced*K.SON_Reduced/((T.FSS_Reduced-T.RA_Reduced)^0.56),
IF(System_Number_Reduced&lt;=8,(#REF!-T.RA_Reduced+530)^1.19*D.S_Reduced*SF_Reduced*K.SON_Reduced/((T.SSS_Reduced-T.RA_Reduced+70-T.OA_Reduced)^0.56),
(T.FSS_Reduced-T.RA_Reduced+530)^1.19*K.SON_Reduced*D.F_Reduced/((T.FSS_Reduced-T.RA_Reduced+70-T.OA_Reduced)^0.56))),""))</f>
        <v>N/A</v>
      </c>
      <c r="G115" s="132" t="s">
        <v>175</v>
      </c>
      <c r="H115" s="126"/>
      <c r="I115" s="126"/>
      <c r="L115" s="1134"/>
      <c r="Q115" s="1133"/>
    </row>
    <row r="116" spans="2:17" ht="18" x14ac:dyDescent="0.3">
      <c r="B116" s="691" t="s">
        <v>463</v>
      </c>
      <c r="C116" s="498" t="s">
        <v>642</v>
      </c>
      <c r="D116" s="628" t="str">
        <f>IF(OR($D$14="Unknown",D14="11.1"),"11.2",$D$14) &amp; ".10.4"</f>
        <v>11.2.10.4</v>
      </c>
      <c r="E116" s="490" t="str">
        <f>IF($D$14&lt;&gt;E$14,"N/A",
IF(OR(System_Number_Max=1,System_Number_Max=2,System_Number_Max=4),(T.SSS_Max-T.RA_Max+530)^1.19*K.ION_Max*D.S_Max/((T.SSS_Max-T.RA_Max+70-T.OA_Max)^0.56),
IF(AND(System_Number_Max&gt;=5,System_Number_Max&lt;=8),(T.SSS_Max-T.RA_Max+530)^1.19*K.ION_Max*D.S_Max/((T.SSS_Max-T.RA_Max+70-T.OA_Max)^0.56)*D.OI_Max/D.O_Max,
IF(System_Number_Max=3,(T.FSS_Max-T.RA_Max+530)^1.19*K.ION_Max*D.S_Max/((T.FSS_Max-T.RA_Max+70-T.OA_Max)^0.56),
0))))</f>
        <v>N/A</v>
      </c>
      <c r="F116" s="490" t="str">
        <f>IF($D$14&lt;&gt;F$14,"N/A",
IF(OR(System_Number_Reduced=1,System_Number_Reduced=2,System_Number_Reduced=4),(T.SSS_Reduced-T.RA_Reduced+530)^1.19*K.ION_Reduced*D.S_Reduced/((T.SSS_Reduced-T.RA_Reduced+70-T.OA_Reduced)^0.56),
IF(AND(System_Number_Reduced&gt;=5,System_Number_Reduced&lt;=8),(T.SSS_Reduced-T.RA_Reduced+530)^1.19*K.ION_Reduced*D.S_Reduced/((T.SSS_Reduced-T.RA_Reduced+70-T.OA_Reduced)^0.56)*D.OI_Reduced/D.O_Reduced,
IF(System_Number_Reduced=3,(T.FSS_Reduced-T.RA_Reduced+530)^1.19*K.ION_Reduced*D.S_Reduced/((T.FSS_Reduced-T.RA_Reduced+70-T.OA_Reduced)^0.56),
0))))</f>
        <v>N/A</v>
      </c>
      <c r="G116" s="132" t="s">
        <v>175</v>
      </c>
      <c r="H116" s="126"/>
      <c r="I116" s="126"/>
      <c r="L116" s="1134"/>
      <c r="Q116" s="1133"/>
    </row>
    <row r="117" spans="2:17" ht="18" x14ac:dyDescent="0.3">
      <c r="B117" s="691" t="s">
        <v>464</v>
      </c>
      <c r="C117" s="498" t="s">
        <v>643</v>
      </c>
      <c r="D117" s="628" t="str">
        <f>IF(OR($D$14="Unknown",D14="11.1"),"11.2",$D$14) &amp; ".10.5"</f>
        <v>11.2.10.5</v>
      </c>
      <c r="E117" s="491" t="str">
        <f>IF($D$14&lt;&gt;E$14,"N/A",IF(System_Number_Max&lt;=8,L.SSS_Max-K.SON_Max*Theta.FO_Max*((1/R.ON_Max)*(1-EXP(-R.ON_Max))),
C.S_Max*L.SSS_Max-K.SON_Max*Theta.FO_Max*((1/R.ON_Max)*(1-EXP(-R.ON_Max)))))</f>
        <v>N/A</v>
      </c>
      <c r="F117" s="491" t="str">
        <f>IF($D$14&lt;&gt;F$14,"N/A",IF(System_Number_Reduced&lt;=8,L.SSS_Reduced-K.SON_Reduced*Theta.FO_Reduced*((1/R.ON_Reduced)*(1-EXP(-R.ON_Reduced))),
C.S_Reduced*L.SSS_Reduced-K.SON_Reduced*Theta.FO_Reduced*((1/R.ON_Reduced)*(1-EXP(-R.ON_Reduced)))))</f>
        <v>N/A</v>
      </c>
      <c r="G117" s="132" t="s">
        <v>211</v>
      </c>
      <c r="H117" s="126"/>
      <c r="I117" s="126"/>
      <c r="L117" s="1134"/>
      <c r="Q117" s="1133"/>
    </row>
    <row r="118" spans="2:17" x14ac:dyDescent="0.3">
      <c r="B118" s="691" t="s">
        <v>386</v>
      </c>
      <c r="C118" s="134" t="s">
        <v>175</v>
      </c>
      <c r="D118" s="628" t="str">
        <f>IF(OR($D$14="Unknown",D14="11.1"),"11.2",$D$14) &amp; ".10.6"</f>
        <v>11.2.10.6</v>
      </c>
      <c r="E118" s="517" t="str">
        <f>IF($D$14&lt;&gt;E$14,"N/A",'Max Test'!Does_the_boiler_employ_a_post_purge?)</f>
        <v>N/A</v>
      </c>
      <c r="F118" s="517" t="str">
        <f>IF($D$14&lt;&gt;F$14,"N/A",'Reduced Test'!Post_Purge?)</f>
        <v>N/A</v>
      </c>
      <c r="G118" s="132" t="s">
        <v>175</v>
      </c>
      <c r="H118" s="126"/>
      <c r="I118" s="126"/>
      <c r="L118" s="1134"/>
      <c r="Q118" s="1133"/>
    </row>
    <row r="119" spans="2:17" ht="33" x14ac:dyDescent="0.3">
      <c r="B119" s="692" t="s">
        <v>672</v>
      </c>
      <c r="C119" s="134" t="s">
        <v>644</v>
      </c>
      <c r="D119" s="628" t="str">
        <f>IF(OR($D$14="Unknown",D14="11.1"),"11.2",$D$14) &amp; ".10.6"</f>
        <v>11.2.10.6</v>
      </c>
      <c r="E119" s="493" t="str">
        <f>IF($D$14&lt;&gt;E$14,"N/A",IF(Post_Purge_Max?="No","N/A",
IF(OR(System_Number_Max=2,System_Number_Max=3,System_Number_Max=4),C.TOFF_Max,
IF(System_Number_Max=10,C.TOFF_Max*C1.S_Max,
"N/A"))))</f>
        <v>N/A</v>
      </c>
      <c r="F119" s="493" t="str">
        <f>IF($D$14&lt;&gt;F$14,"N/A",IF(Post_Purge_Reduced?="No","N/A",
IF(OR(System_Number_Reduced=2,System_Number_Reduced=3,System_Number_Reduced=4),C.TOFF_Reduced,
IF(System_Number_Reduced=10,C.TOFF_Reduced*C1.S_Reduced,
"N/A"))))</f>
        <v>N/A</v>
      </c>
      <c r="G119" s="132" t="s">
        <v>175</v>
      </c>
      <c r="H119" s="126"/>
      <c r="I119" s="126"/>
      <c r="L119" s="1134"/>
      <c r="Q119" s="1133"/>
    </row>
    <row r="120" spans="2:17" ht="18" x14ac:dyDescent="0.3">
      <c r="B120" s="691" t="s">
        <v>511</v>
      </c>
      <c r="C120" s="134" t="s">
        <v>645</v>
      </c>
      <c r="D120" s="628" t="str">
        <f>IF(OR($D$14="Unknown",D14="11.1"),"11.2",$D$14) &amp; ".10.8"</f>
        <v>11.2.10.8</v>
      </c>
      <c r="E120" s="493" t="str">
        <f>IF($D$14&lt;&gt;E$14,"N/A",IF(Post_Purge_Max?="No","N/A",'Max Test'!T.FOFF.tp))</f>
        <v>N/A</v>
      </c>
      <c r="F120" s="493" t="str">
        <f>IF($D$14&lt;&gt;F$14,"N/A",IF(Post_Purge_Reduced?="No","N/A",'Reduced Test'!$C$171))</f>
        <v>N/A</v>
      </c>
      <c r="G120" s="132" t="s">
        <v>51</v>
      </c>
      <c r="H120" s="126"/>
      <c r="I120" s="126"/>
      <c r="L120" s="1134"/>
      <c r="Q120" s="1133"/>
    </row>
    <row r="121" spans="2:17" ht="18" x14ac:dyDescent="0.3">
      <c r="B121" s="691" t="s">
        <v>509</v>
      </c>
      <c r="C121" s="134" t="s">
        <v>646</v>
      </c>
      <c r="D121" s="628" t="str">
        <f>IF(OR($D$14="Unknown",D14="11.1"),"11.2",$D$14) &amp; ".10.6"</f>
        <v>11.2.10.6</v>
      </c>
      <c r="E121" s="517" t="str">
        <f>IF($D$14&lt;&gt;E$14,"N/A",IF(Post_Purge_Max?="No","N/A",
100*C.P_Max*M.FON_Max*tp_Max*(T.FSS_Max+460)*(1/(t.ON_Max*Q.IN_Max/60))*(1+(T.RA_Max+460)/(C.TS_Max*(T.FSS_Max-T.FOFF.tp_Max))*LN((T.RA_Max+460+C.TS_Max*(T.FOFF.tp_Max-T.RA_Max))/(T.RA_Max+460+C.TS_Max*(T.FSS_Max-T.RA_Max))))))</f>
        <v>N/A</v>
      </c>
      <c r="F121" s="517" t="str">
        <f>IF($D$14&lt;&gt;F$14,"N/A",IF(Post_Purge_Reduced?="No","N/A",
100*C.P_Reduced*M.FON_Reduced*tp_Reduced*(T.FSS_Reduced+460)*(1/(t.ON_Reduced*Q.IN_Reduced/60))*(1+(T.RA_Reduced+460)/(C.TS_Reduced*(T.FSS_Reduced-T.FOFF.tp_Reduced))*LN((T.RA_Reduced+460+C.TS_Reduced*(T.FOFF.tp_Reduced-T.RA_Reduced))/(T.RA_Reduced+460+C.TS_Reduced*(T.FSS_Reduced-T.RA_Reduced))))))</f>
        <v>N/A</v>
      </c>
      <c r="G121" s="132" t="s">
        <v>211</v>
      </c>
      <c r="H121" s="126"/>
      <c r="I121" s="126"/>
      <c r="L121" s="1134"/>
      <c r="Q121" s="1133"/>
    </row>
    <row r="122" spans="2:17" ht="18" x14ac:dyDescent="0.3">
      <c r="B122" s="691" t="s">
        <v>510</v>
      </c>
      <c r="C122" s="134" t="s">
        <v>647</v>
      </c>
      <c r="D122" s="628" t="str">
        <f>IF(OR($D$14="Unknown",D14="11.1"),"11.2",$D$14) &amp; ".10.6"</f>
        <v>11.2.10.6</v>
      </c>
      <c r="E122" s="493" t="str">
        <f>IF($D$14&lt;&gt;E$14,"N/A",IF(Post_Purge_Max?="No","N/A",
IF(OR(System_Number_Max=2,System_Number_Max=3,System_Number_Max=4),K.SOFF_Max*((t.OFF_Max-E80)/t.ON_Max)*(F3_Max+Psi.FI_Max*F4_Max),
IF(System_Number_Max=10,K.SOFF_Max*((t.OFF_Max-E80)/t.ON_Max)*('Con, Mod Calculations'!F5_Max+Psi.FI_Max*F6_Max),"N/A"))))</f>
        <v>N/A</v>
      </c>
      <c r="F122" s="493" t="str">
        <f>IF($D$14&lt;&gt;F$14,"N/A",IF(Post_Purge_Reduced?="No","N/A",
IF(OR(System_Number_Reduced=2,System_Number_Reduced=3,System_Number_Reduced=4),K.SOFF_Reduced*((t.OFF_Reduced-tp_Reduced)/t.ON_Reduced)*(F3_Reduced+Psi.FI_Reduced*F4_Reduced),
IF(System_Number_Reduced=10,K.SOFF_Reduced*((t.OFF_Reduced-tp_Reduced)/t.ON_Reduced)*(F5_Reduced+Psi.FI_Reduced*F6_Reduced),"N/A"))))</f>
        <v>N/A</v>
      </c>
      <c r="G122" s="132" t="s">
        <v>211</v>
      </c>
      <c r="H122" s="126"/>
      <c r="I122" s="126"/>
      <c r="L122" s="1134"/>
      <c r="Q122" s="1133"/>
    </row>
    <row r="123" spans="2:17" ht="18" x14ac:dyDescent="0.3">
      <c r="B123" s="691" t="s">
        <v>465</v>
      </c>
      <c r="C123" s="498" t="s">
        <v>648</v>
      </c>
      <c r="D123" s="628" t="str">
        <f>IF(OR($D$14="Unknown",D14="11.1"),"11.2",$D$14) &amp; ".10.6"</f>
        <v>11.2.10.6</v>
      </c>
      <c r="E123" s="491" t="str">
        <f>IF($D$14&lt;&gt;E$14,"N/A",IFERROR(IF(Post_Purge_Max?="No",
IF(System_Number_Max&lt;=4,K.SOFF_Max*(t.OFF_Max/t.ON_Max)*(F3_Max+Psi.FI_Max*F4_Max),
IF(System_Number_Max&lt;=8,K.SOFF_Max*(t.OFF_Max/t.ON_Max)*('Con, Mod Calculations'!F5_Max+Psi.SIX_Max*F6_Max),
K.SOFF_Max*(t.OFF_Max/t.ON_Max)*('Con, Mod Calculations'!F5_Max+Psi.FI_Max*F6_Max))),
L.SOFF1_Max+L.SOFF2_Max),""))</f>
        <v>N/A</v>
      </c>
      <c r="F123" s="491" t="str">
        <f>IF($D$14&lt;&gt;F$14,"N/A",IFERROR(IF(Post_Purge_Reduced?="No",
IF(System_Number_Reduced&lt;=4,K.SOFF_Reduced*(t.OFF_Reduced/t.ON_Reduced)*(F3_Reduced+Psi.FI_Reduced*F4_Reduced),
IF(System_Number_Reduced&lt;=8,K.SOFF_Reduced*(t.OFF_Reduced/t.ON_Reduced)*(F5_Reduced+Psi.SIX_Reduced*F6_Reduced),
K.SOFF_Reduced*(t.OFF_Reduced/t.ON_Reduced)*(F5_Reduced+Psi.FI_Reduced*F6_Reduced))),
L.SOFF1_Reduced+L.SOFF2_Reduced),""))</f>
        <v>N/A</v>
      </c>
      <c r="G123" s="132" t="s">
        <v>211</v>
      </c>
      <c r="H123" s="126"/>
      <c r="I123" s="126"/>
      <c r="L123" s="1134"/>
      <c r="Q123" s="1133"/>
    </row>
    <row r="124" spans="2:17" ht="18" x14ac:dyDescent="0.3">
      <c r="B124" s="691" t="s">
        <v>466</v>
      </c>
      <c r="C124" s="134" t="s">
        <v>649</v>
      </c>
      <c r="D124" s="628" t="str">
        <f>IF(OR($D$14="Unknown",D14="11.1"),"11.2",$D$14) &amp; ".10.7"</f>
        <v>11.2.10.7</v>
      </c>
      <c r="E124" s="704" t="str">
        <f>IF($D$14&lt;&gt;E$14,"N/A",IF(System_Number_Max&lt;=8,K.ION_Max*(70-T.OA_Max),0))</f>
        <v>N/A</v>
      </c>
      <c r="F124" s="704" t="str">
        <f>IF($D$14&lt;&gt;F$14,"N/A",IF(System_Number_Reduced&lt;=8,K.ION_Reduced*(70-T.OA_Reduced),0))</f>
        <v>N/A</v>
      </c>
      <c r="G124" s="132" t="s">
        <v>211</v>
      </c>
      <c r="H124" s="126"/>
      <c r="I124" s="126"/>
      <c r="L124" s="1134"/>
      <c r="Q124" s="1133"/>
    </row>
    <row r="125" spans="2:17" ht="18" x14ac:dyDescent="0.3">
      <c r="B125" s="691" t="s">
        <v>512</v>
      </c>
      <c r="C125" s="134" t="s">
        <v>650</v>
      </c>
      <c r="D125" s="628" t="str">
        <f>IF(OR($D$14="Unknown",D14="11.1"),"11.2",$D$14) &amp; ".10.8"</f>
        <v>11.2.10.8</v>
      </c>
      <c r="E125" s="517" t="str">
        <f>IF($D$14&lt;&gt;E$14,"N/A",IF(Post_Purge_Max?="No","N/A",
IF(OR(System_Number_Max=2,System_Number_Max=3,System_Number_Max=4),100*C.P_Max*M.FON_Max*tp_Max*(T.FSS_Max+460)*(1/(t.ON_Max*Q.IN_Max/60))*((70-T.OA_Max)/(C.TOFF_Max*(T.FSS_Max-T.FOFF.tp_Max))*LN((T.RA_Max+460+C.TOFF_Max*(T.FSS_Max-T.RA_Max))/(T.RA_Max+460+C.TOFF_Max*(T.FOFF.tp_Max-T.RA_Max)))),
IF(System_Number_Max=10,0,
"N/A"))))</f>
        <v>N/A</v>
      </c>
      <c r="F125" s="517" t="str">
        <f>IF($D$14&lt;&gt;F$14,"N/A",IF(Post_Purge_Reduced?="No","N/A",
IF(OR(System_Number_Reduced=2,System_Number_Reduced=3,System_Number_Reduced=4),100*C.P_Reduced*M.FON_Reduced*tp_Reduced*(T.FSS_Reduced+460)*(1/(t.ON_Reduced*Q.IN_Reduced/60))*((70-T.OA_Reduced)/(C.TOFF_Reduced*(T.FSS_Reduced-T.FOFF.tp_Reduced))*LN((T.RA_Reduced+460+C.TOFF_Reduced*(T.FSS_Reduced-T.RA_Reduced))/(T.RA_Reduced+460+C.TOFF_Reduced*(T.FOFF.tp_Reduced-T.RA_Reduced)))),
IF(System_Number_Reduced=10,0,
"N/A"))))</f>
        <v>N/A</v>
      </c>
      <c r="G125" s="132" t="s">
        <v>211</v>
      </c>
      <c r="H125" s="126"/>
      <c r="I125" s="126"/>
      <c r="L125" s="1134"/>
      <c r="Q125" s="1133"/>
    </row>
    <row r="126" spans="2:17" ht="18" x14ac:dyDescent="0.3">
      <c r="B126" s="691" t="s">
        <v>513</v>
      </c>
      <c r="C126" s="134" t="s">
        <v>651</v>
      </c>
      <c r="D126" s="628" t="str">
        <f>IF(OR($D$14="Unknown",D14="11.1"),"11.2",$D$14) &amp; ".10.8"</f>
        <v>11.2.10.8</v>
      </c>
      <c r="E126" s="504" t="str">
        <f>IF($D$14&lt;&gt;E$14,"N/A",IF(Post_Purge_Max?="No","N/A",
IF(System_Number_Max=10,0,
IF(OR(System_Number_Max=2,System_Number_Max=4),K.IOFF_Max*(70-T.OA_Max)*((t.OFF_Max-tp_Max)/t.ON_Max)*(F7_Max+Psi.SIX_Max*F8_Max),
K.IOFF_Max*(70-T.OA_Max)*((t.OFF_Max-tp_Max)/t.ON_Max)*(F7_Max+Psi.FI_Max*F8_Max)))))</f>
        <v>N/A</v>
      </c>
      <c r="F126" s="504" t="str">
        <f>IF($D$14&lt;&gt;F$14,"N/A",IF(Post_Purge_Reduced?="No","N/A",
IF(System_Number_Reduced=10,0,
IF(OR(System_Number_Reduced=2,System_Number_Reduced=4),K.IOFF_Reduced*(70-T.OA_Reduced)*((t.OFF_Reduced-tp_Reduced)/t.ON_Reduced)*(F7_Reduced+Psi.SIX_Reduced*F8_Reduced),
K.IOFF_Reduced*(70-T.OA_Reduced)*((t.OFF_Reduced-tp_Reduced)/t.ON_Reduced)*(F7_Reduced+Psi.FI_Reduced*F8_Reduced)))))</f>
        <v>N/A</v>
      </c>
      <c r="G126" s="132" t="s">
        <v>211</v>
      </c>
      <c r="H126" s="126"/>
      <c r="I126" s="126"/>
      <c r="L126" s="1134"/>
      <c r="Q126" s="1133"/>
    </row>
    <row r="127" spans="2:17" ht="18.75" thickBot="1" x14ac:dyDescent="0.35">
      <c r="B127" s="693" t="s">
        <v>467</v>
      </c>
      <c r="C127" s="835" t="s">
        <v>652</v>
      </c>
      <c r="D127" s="695" t="str">
        <f>IF(OR($D$14="Unknown",D14="11.1"),"11.2",$D$14) &amp; ".10.8"</f>
        <v>11.2.10.8</v>
      </c>
      <c r="E127" s="852" t="str">
        <f>IF($D$14&lt;&gt;E$14,"N/A",IF(Post_Purge_Max?="No",
IF(System_Number_Max=3,K.IOFF_Max*(70-T.OA_Max)*(t.OFF_Max/t.ON_Max)*(F7_Max+Psi.FI_Max*F8_Max),
IF(OR(System_Number_Max=9,System_Number_Max=10),0,
K.IOFF_Max*(70-T.OA_Max)*(t.OFF_Max/t.ON_Max)*(F7_Max+Psi.SIX_Max*F8_Max))),
L.IOFF1_Max+L.IOFF2_Max))</f>
        <v>N/A</v>
      </c>
      <c r="F127" s="852" t="str">
        <f>IF($D$14&lt;&gt;F$14,"N/A",IF(Post_Purge_Reduced?="No",
IF(System_Number_Reduced=3,K.IOFF_Reduced*(70-T.OA_Reduced)*(t.OFF_Reduced/t.ON_Reduced)*(F7_Reduced+Psi.FI_Reduced*F8_Reduced),
IF(OR(System_Number_Reduced=9,System_Number_Reduced=10),0,
K.IOFF_Reduced*(70-T.OA_Reduced)*(t.OFF_Reduced/t.ON_Reduced)*(F7_Reduced+Psi.SIX_Reduced*F8_Reduced))),
L.IOFF1_Reduced+L.IOFF2_Reduced))</f>
        <v>N/A</v>
      </c>
      <c r="G127" s="699" t="s">
        <v>211</v>
      </c>
      <c r="H127" s="126"/>
      <c r="I127" s="126"/>
      <c r="L127" s="1134"/>
      <c r="Q127" s="1133"/>
    </row>
    <row r="128" spans="2:17" ht="17.25" thickBot="1" x14ac:dyDescent="0.35">
      <c r="B128" s="804"/>
      <c r="C128" s="781"/>
      <c r="D128" s="781"/>
      <c r="E128" s="513"/>
      <c r="F128" s="513"/>
      <c r="G128" s="805"/>
      <c r="H128" s="126"/>
      <c r="I128" s="126"/>
      <c r="L128" s="1134"/>
      <c r="Q128" s="1133"/>
    </row>
    <row r="129" spans="2:17" ht="17.25" x14ac:dyDescent="0.3">
      <c r="B129" s="820" t="s">
        <v>150</v>
      </c>
      <c r="C129" s="821"/>
      <c r="D129" s="821"/>
      <c r="E129" s="822"/>
      <c r="F129" s="822"/>
      <c r="G129" s="823"/>
      <c r="H129" s="126"/>
      <c r="I129" s="126"/>
      <c r="L129" s="1134"/>
      <c r="Q129" s="1133"/>
    </row>
    <row r="130" spans="2:17" ht="18" x14ac:dyDescent="0.3">
      <c r="B130" s="808" t="s">
        <v>212</v>
      </c>
      <c r="C130" s="795" t="s">
        <v>653</v>
      </c>
      <c r="D130" s="796" t="str">
        <f>IF(OR($D$14="Unknown",D14="11.1"),"11.2",$D$14) &amp; ".11"</f>
        <v>11.2.11</v>
      </c>
      <c r="E130" s="492" t="str">
        <f>IF($D$14&lt;&gt;E$14,"N/A",IF('Sys. # &amp; Product Characteristic'!Installation="Indoor",0,
IF('Sys. # &amp; Product Characteristic'!Installation="Outdoor",IF(Finned_Tube_Boiler="Yes",1,4.7),
IF(Finned_Tube_Boiler="Yes",0.5,2.4))))</f>
        <v>N/A</v>
      </c>
      <c r="F130" s="492" t="str">
        <f>IF($D$14&lt;&gt;F$14,"N/A",IF('Sys. # &amp; Product Characteristic'!Installation="Indoor",0,
IF('Sys. # &amp; Product Characteristic'!Installation="Outdoor",IF(Finned_Tube_Boiler="Yes",1,4.7),
IF(Finned_Tube_Boiler="Yes",0.5,2.4))))</f>
        <v>N/A</v>
      </c>
      <c r="G130" s="807" t="s">
        <v>175</v>
      </c>
      <c r="H130" s="126"/>
      <c r="I130" s="126"/>
      <c r="L130" s="1134"/>
      <c r="Q130" s="1133"/>
    </row>
    <row r="131" spans="2:17" ht="18" x14ac:dyDescent="0.3">
      <c r="B131" s="691" t="s">
        <v>468</v>
      </c>
      <c r="C131" s="134" t="s">
        <v>654</v>
      </c>
      <c r="D131" s="628" t="str">
        <f>IF(OR($D$14="Unknown",D14="11.1"),"11.2",$D$14) &amp; ".11"</f>
        <v>11.2.11</v>
      </c>
      <c r="E131" s="504" t="str">
        <f>IF($D$14&lt;&gt;E$14,"N/A",'Max Test'!Q.P)</f>
        <v>N/A</v>
      </c>
      <c r="F131" s="504" t="str">
        <f>IF($D$14&lt;&gt;F$14,"N/A",'Reduced Test'!Q.P)</f>
        <v>N/A</v>
      </c>
      <c r="G131" s="132" t="s">
        <v>37</v>
      </c>
      <c r="H131" s="126"/>
      <c r="I131" s="126"/>
      <c r="L131" s="1134"/>
      <c r="Q131" s="1133"/>
    </row>
    <row r="132" spans="2:17" ht="18" x14ac:dyDescent="0.3">
      <c r="B132" s="691" t="s">
        <v>394</v>
      </c>
      <c r="C132" s="134" t="s">
        <v>655</v>
      </c>
      <c r="D132" s="679" t="s">
        <v>74</v>
      </c>
      <c r="E132" s="1336"/>
      <c r="F132" s="517" t="str">
        <f>IF($D$14&lt;&gt;F$14,"N/A",'Reduced Test'!M.C)</f>
        <v>N/A</v>
      </c>
      <c r="G132" s="132" t="s">
        <v>75</v>
      </c>
      <c r="H132" s="126"/>
      <c r="I132" s="126"/>
      <c r="L132" s="1134"/>
      <c r="Q132" s="1133"/>
    </row>
    <row r="133" spans="2:17" ht="18" x14ac:dyDescent="0.3">
      <c r="B133" s="691" t="s">
        <v>471</v>
      </c>
      <c r="C133" s="134" t="s">
        <v>656</v>
      </c>
      <c r="D133" s="679" t="s">
        <v>74</v>
      </c>
      <c r="E133" s="1336"/>
      <c r="F133" s="517" t="str">
        <f>IF($D$14&lt;&gt;F$14,"N/A",'Reduced Test'!Q.C)</f>
        <v>N/A</v>
      </c>
      <c r="G133" s="132" t="s">
        <v>79</v>
      </c>
      <c r="H133" s="126"/>
      <c r="I133" s="126"/>
      <c r="L133" s="1134"/>
      <c r="Q133" s="1133"/>
    </row>
    <row r="134" spans="2:17" ht="18" x14ac:dyDescent="0.3">
      <c r="B134" s="691" t="s">
        <v>470</v>
      </c>
      <c r="C134" s="134" t="s">
        <v>657</v>
      </c>
      <c r="D134" s="679" t="s">
        <v>74</v>
      </c>
      <c r="E134" s="1336"/>
      <c r="F134" s="517" t="str">
        <f>IF($D$14&lt;&gt;F$14,"N/A",(100*1053.3*M.C)/Q.C)</f>
        <v>N/A</v>
      </c>
      <c r="G134" s="132" t="s">
        <v>211</v>
      </c>
      <c r="H134" s="126"/>
      <c r="I134" s="126"/>
      <c r="L134" s="1134"/>
      <c r="Q134" s="1133"/>
    </row>
    <row r="135" spans="2:17" ht="18" x14ac:dyDescent="0.3">
      <c r="B135" s="691" t="s">
        <v>472</v>
      </c>
      <c r="C135" s="134" t="s">
        <v>658</v>
      </c>
      <c r="D135" s="679" t="s">
        <v>80</v>
      </c>
      <c r="E135" s="1336"/>
      <c r="F135" s="517" t="str">
        <f>IF($D$14&lt;&gt;F$14,"N/A",(L.G*(1*(T.FSS_Reduced-70))-(0.45*(T.FSS_Reduced-T.OA_Reduced)))/1053.3)</f>
        <v>N/A</v>
      </c>
      <c r="G135" s="132" t="s">
        <v>211</v>
      </c>
      <c r="H135" s="126"/>
      <c r="I135" s="126"/>
      <c r="L135" s="1134"/>
      <c r="Q135" s="1133"/>
    </row>
    <row r="136" spans="2:17" ht="18" x14ac:dyDescent="0.3">
      <c r="B136" s="691" t="s">
        <v>514</v>
      </c>
      <c r="C136" s="134" t="s">
        <v>659</v>
      </c>
      <c r="D136" s="679" t="str">
        <f>IF($D$14="11.4","11.4.11.1",
IF($D$14="11.5","DOE 10.2",
"11.(4 or 5).11.1"))</f>
        <v>11.(4 or 5).11.1</v>
      </c>
      <c r="E136" s="1337"/>
      <c r="F136" s="493" t="str">
        <f>IF($D$14&lt;&gt;F$14,"N/A",IF('Test Conditions'!$D$67="No",100-L.LA_Reduced+L.G-L.C-C.J_Reduced*L.J_Reduced-(t.ON_Reduced/(t.ON_Reduced+(Q.P_Reduced/Q.IN_Reduced)*t.OFF_Reduced))*(C.S_Reduced*L.SSS_Reduced),
100-L.LA_Reduced+L.G-L.C-C.J_Reduced*L.J_Reduced-(t.ON_Reduced/(t.ON_Reduced+(Q.P_Reduced/Q.IN_Reduced)*t.OFF_Reduced))*(L.SON_Reduced+L.SOFF_Reduced+L.ION_Reduced+L.IOFF_Reduced)))</f>
        <v>N/A</v>
      </c>
      <c r="G136" s="132" t="s">
        <v>211</v>
      </c>
      <c r="H136" s="126"/>
      <c r="I136" s="126"/>
      <c r="L136" s="1134"/>
      <c r="Q136" s="1133"/>
    </row>
    <row r="137" spans="2:17" ht="18" x14ac:dyDescent="0.3">
      <c r="B137" s="691" t="s">
        <v>515</v>
      </c>
      <c r="C137" s="134" t="s">
        <v>660</v>
      </c>
      <c r="D137" s="679" t="str">
        <f>IF($D$14="11.4","11.4.11.2",
IF($D$14="11.5","DOE 10.3",
"11.(4 or 5).11.2"))</f>
        <v>11.(4 or 5).11.2</v>
      </c>
      <c r="E137" s="493" t="str">
        <f>IF($D$14&lt;&gt;E$14,"N/A",IF('Test Conditions'!$D$67="No",100-L.LA_Max+L.G-L.C-C.J_Max*L.J_Max-(t.ON_Max/(t.ON_Max+(Q.P_Max/Q.IN_Max)*t.OFF_Max))*(C.S_Max*L.SSS_Max),
100-L.LA_Max+L.G-L.C-E130*L.J_Max-(t.ON_Max/(t.ON_Max+(Q.P_Max/Q.IN_Max)*t.OFF_Max))*(L.SON+L.SOFF_Max+L.ION_Max+L.IOFF_Max)))</f>
        <v>N/A</v>
      </c>
      <c r="F137" s="681"/>
      <c r="G137" s="132" t="s">
        <v>211</v>
      </c>
      <c r="H137" s="126"/>
      <c r="I137" s="126"/>
      <c r="L137" s="1134"/>
      <c r="Q137" s="1133"/>
    </row>
    <row r="138" spans="2:17" ht="18.75" thickBot="1" x14ac:dyDescent="0.35">
      <c r="B138" s="693" t="s">
        <v>150</v>
      </c>
      <c r="C138" s="694" t="s">
        <v>661</v>
      </c>
      <c r="D138" s="695" t="str">
        <f>IF(D14="11.1","11.1",IF($D$14="Unknown","11.2",$D$14) &amp; ".11")</f>
        <v>11.2.11</v>
      </c>
      <c r="E138" s="855" t="str">
        <f>IF($D$14&lt;&gt;E$14,"N/A",IF('Sys. # &amp; Product Characteristic'!Control_Type="Two-Stage Modulating",X.H*Effy.UH+X.R*Effy.UR,
IF('Sys. # &amp; Product Characteristic'!Control_Type="Step Modulating",X.H*Effy.UM+X.R*Effy.UR,
"N/A")))</f>
        <v>N/A</v>
      </c>
      <c r="F138" s="826"/>
      <c r="G138" s="699" t="s">
        <v>211</v>
      </c>
      <c r="H138" s="126"/>
      <c r="I138" s="126"/>
      <c r="L138" s="1134"/>
      <c r="Q138" s="1133"/>
    </row>
    <row r="139" spans="2:17" ht="17.25" thickBot="1" x14ac:dyDescent="0.35">
      <c r="B139" s="804"/>
      <c r="C139" s="781"/>
      <c r="D139" s="781"/>
      <c r="E139" s="513"/>
      <c r="F139" s="781"/>
      <c r="G139" s="805"/>
      <c r="H139" s="126"/>
      <c r="I139" s="126"/>
      <c r="L139" s="1134"/>
      <c r="Q139" s="1133"/>
    </row>
    <row r="140" spans="2:17" ht="17.25" x14ac:dyDescent="0.3">
      <c r="B140" s="820" t="s">
        <v>151</v>
      </c>
      <c r="C140" s="821"/>
      <c r="D140" s="821"/>
      <c r="E140" s="822"/>
      <c r="F140" s="822"/>
      <c r="G140" s="823"/>
      <c r="H140" s="126"/>
      <c r="I140" s="126"/>
      <c r="L140" s="1134"/>
      <c r="Q140" s="1133"/>
    </row>
    <row r="141" spans="2:17" x14ac:dyDescent="0.3">
      <c r="B141" s="808" t="s">
        <v>673</v>
      </c>
      <c r="C141" s="795" t="s">
        <v>175</v>
      </c>
      <c r="D141" s="796" t="str">
        <f>IF(D10="11.1","11.1",IF($D$14="Unknown","11.2",$D$14) &amp; ".12")</f>
        <v>11.2.12</v>
      </c>
      <c r="E141" s="800" t="str">
        <f>IF($D$14&lt;&gt;E$14,"N/A",5200)</f>
        <v>N/A</v>
      </c>
      <c r="F141" s="797"/>
      <c r="G141" s="807" t="s">
        <v>674</v>
      </c>
      <c r="H141" s="126"/>
      <c r="I141" s="126"/>
      <c r="L141" s="1134"/>
      <c r="Q141" s="1133"/>
    </row>
    <row r="142" spans="2:17" x14ac:dyDescent="0.3">
      <c r="B142" s="691" t="s">
        <v>675</v>
      </c>
      <c r="C142" s="134" t="s">
        <v>175</v>
      </c>
      <c r="D142" s="628" t="str">
        <f>IF(D11="11.1","11.1",IF($D$14="Unknown","11.2",$D$14) &amp; ".12")</f>
        <v>11.2.12</v>
      </c>
      <c r="E142" s="684" t="str">
        <f>IF($D$14&lt;&gt;E$14,"N/A",4600)</f>
        <v>N/A</v>
      </c>
      <c r="F142" s="681"/>
      <c r="G142" s="132" t="s">
        <v>676</v>
      </c>
      <c r="H142" s="126"/>
      <c r="I142" s="126"/>
      <c r="L142" s="1134"/>
      <c r="Q142" s="1133"/>
    </row>
    <row r="143" spans="2:17" x14ac:dyDescent="0.3">
      <c r="B143" s="691" t="s">
        <v>677</v>
      </c>
      <c r="C143" s="134" t="s">
        <v>175</v>
      </c>
      <c r="D143" s="628" t="str">
        <f>IF(D12="11.1","11.1",IF($D$14="Unknown","11.2",$D$14) &amp; ".12")</f>
        <v>11.2.12</v>
      </c>
      <c r="E143" s="711" t="str">
        <f>IF($D$14&lt;&gt;E$14,"N/A",2.5)</f>
        <v>N/A</v>
      </c>
      <c r="F143" s="681"/>
      <c r="G143" s="132" t="s">
        <v>51</v>
      </c>
      <c r="H143" s="126"/>
      <c r="I143" s="126"/>
      <c r="L143" s="1134"/>
      <c r="Q143" s="1133"/>
    </row>
    <row r="144" spans="2:17" x14ac:dyDescent="0.3">
      <c r="B144" s="691" t="s">
        <v>151</v>
      </c>
      <c r="C144" s="134" t="s">
        <v>32</v>
      </c>
      <c r="D144" s="628" t="str">
        <f>IF(D14="11.1","11.1",IF($D$14="Unknown","11.2",$D$14) &amp; ".12")</f>
        <v>11.2.12</v>
      </c>
      <c r="E144" s="491" t="str">
        <f>IF($D$14&lt;&gt;E$14,"N/A",IFERROR(Avg_HDD*Effy.SS_Max*Effy.HS/(Avg_HDD*Effy.SS_Max+HDD_Per_Day*(1+alpha)*Avg_NonHeating_Season_Hrs*Effy.HS*(Q.P_Max/Q.IN_Max)),""))</f>
        <v>N/A</v>
      </c>
      <c r="F144" s="681"/>
      <c r="G144" s="132" t="s">
        <v>211</v>
      </c>
      <c r="H144" s="126"/>
      <c r="I144" s="126"/>
      <c r="L144" s="1134"/>
      <c r="Q144" s="1133"/>
    </row>
    <row r="145" spans="2:17" ht="33.75" thickBot="1" x14ac:dyDescent="0.35">
      <c r="B145" s="693" t="s">
        <v>1316</v>
      </c>
      <c r="C145" s="694" t="s">
        <v>32</v>
      </c>
      <c r="D145" s="695" t="str">
        <f>IF(D17="11.1","11.1",IF($D$14="Unknown","11.2",$D$14) &amp; ".12")</f>
        <v>11.2.12</v>
      </c>
      <c r="E145" s="1163"/>
      <c r="F145" s="826"/>
      <c r="G145" s="699" t="s">
        <v>211</v>
      </c>
      <c r="H145" s="126"/>
      <c r="I145" s="126"/>
      <c r="L145" s="1134"/>
      <c r="Q145" s="1133"/>
    </row>
    <row r="146" spans="2:17" ht="17.25" thickBot="1" x14ac:dyDescent="0.35">
      <c r="B146" s="804"/>
      <c r="C146" s="781"/>
      <c r="D146" s="781"/>
      <c r="E146" s="513"/>
      <c r="F146" s="781"/>
      <c r="G146" s="805"/>
      <c r="H146" s="126"/>
      <c r="I146" s="126"/>
      <c r="L146" s="1134"/>
      <c r="Q146" s="1133"/>
    </row>
    <row r="147" spans="2:17" ht="18.75" x14ac:dyDescent="0.3">
      <c r="B147" s="856" t="s">
        <v>854</v>
      </c>
      <c r="C147" s="821"/>
      <c r="D147" s="821"/>
      <c r="E147" s="822"/>
      <c r="F147" s="822"/>
      <c r="G147" s="823"/>
      <c r="H147" s="126"/>
      <c r="I147" s="126"/>
      <c r="L147" s="1134"/>
      <c r="Q147" s="1133"/>
    </row>
    <row r="148" spans="2:17" ht="18" x14ac:dyDescent="0.3">
      <c r="B148" s="808" t="s">
        <v>493</v>
      </c>
      <c r="C148" s="795" t="s">
        <v>615</v>
      </c>
      <c r="D148" s="799" t="s">
        <v>237</v>
      </c>
      <c r="E148" s="504" t="str">
        <f>IF($D$14&lt;&gt;E$14,"N/A",(R.TF_Max*AF_Max+1)*Q.IN_Max/(HHV.A_Max*60))</f>
        <v>N/A</v>
      </c>
      <c r="F148" s="504" t="str">
        <f>IF($D$14&lt;&gt;F$14,"N/A",(R.TF_Reduced*AF_Reduced+1)*Q.IN_Reduced/(HHV.A_Reduced*60))</f>
        <v>N/A</v>
      </c>
      <c r="G148" s="807" t="s">
        <v>524</v>
      </c>
      <c r="H148" s="126"/>
      <c r="I148" s="126"/>
      <c r="L148" s="1134"/>
      <c r="Q148" s="1133"/>
    </row>
    <row r="149" spans="2:17" ht="18" x14ac:dyDescent="0.3">
      <c r="B149" s="689" t="s">
        <v>241</v>
      </c>
      <c r="C149" s="496" t="s">
        <v>684</v>
      </c>
      <c r="D149" s="679" t="s">
        <v>238</v>
      </c>
      <c r="E149" s="504" t="str">
        <f>IF($D$14&lt;&gt;E$14,"N/A",IF('Max Test'!V.T="","",'Max Test'!V.T))</f>
        <v>N/A</v>
      </c>
      <c r="F149" s="504" t="str">
        <f>IF($D$14&lt;&gt;F$14,"N/A",IF('Reduced Test'!V.T="","",'Reduced Test'!V.T))</f>
        <v>N/A</v>
      </c>
      <c r="G149" s="497" t="s">
        <v>243</v>
      </c>
      <c r="H149" s="126"/>
      <c r="I149" s="126"/>
      <c r="L149" s="1134"/>
      <c r="Q149" s="1133"/>
    </row>
    <row r="150" spans="2:17" ht="18" x14ac:dyDescent="0.3">
      <c r="B150" s="689" t="s">
        <v>240</v>
      </c>
      <c r="C150" s="496" t="s">
        <v>685</v>
      </c>
      <c r="D150" s="679" t="s">
        <v>238</v>
      </c>
      <c r="E150" s="504" t="str">
        <f>IF($D$14&lt;&gt;E$14,"N/A",IF('Max Test'!C.T="","",'Max Test'!C.T))</f>
        <v>N/A</v>
      </c>
      <c r="F150" s="504" t="str">
        <f>IF($D$14&lt;&gt;F$14,"N/A",IF('Reduced Test'!C.T_TG="","",'Reduced Test'!C.T_TG))</f>
        <v>N/A</v>
      </c>
      <c r="G150" s="497" t="s">
        <v>211</v>
      </c>
      <c r="H150" s="126"/>
      <c r="I150" s="126"/>
      <c r="L150" s="1134"/>
      <c r="Q150" s="1133"/>
    </row>
    <row r="151" spans="2:17" ht="32.1" customHeight="1" x14ac:dyDescent="0.3">
      <c r="B151" s="689" t="s">
        <v>1287</v>
      </c>
      <c r="C151" s="496" t="s">
        <v>690</v>
      </c>
      <c r="D151" s="679" t="s">
        <v>238</v>
      </c>
      <c r="E151" s="504" t="str">
        <f>IF($D$14&lt;&gt;E$14,"N/A",IF('Max Test'!C.TM="","",'Max Test'!C.TM))</f>
        <v>N/A</v>
      </c>
      <c r="F151" s="504" t="str">
        <f>IF($D$14&lt;&gt;F$14,"N/A",IF('Reduced Test'!C.TM_TG="","",'Reduced Test'!C.TM_TG))</f>
        <v>N/A</v>
      </c>
      <c r="G151" s="497" t="s">
        <v>211</v>
      </c>
      <c r="H151" s="126"/>
      <c r="I151" s="126"/>
      <c r="L151" s="1134"/>
      <c r="Q151" s="1133"/>
    </row>
    <row r="152" spans="2:17" ht="18" x14ac:dyDescent="0.3">
      <c r="B152" s="689" t="s">
        <v>495</v>
      </c>
      <c r="C152" s="874" t="s">
        <v>863</v>
      </c>
      <c r="D152" s="679" t="s">
        <v>238</v>
      </c>
      <c r="E152" s="504" t="str">
        <f>IF($D$14&lt;&gt;E$14,"N/A",IF('Max Test'!Rho.F="","",'Max Test'!Rho.F))</f>
        <v>N/A</v>
      </c>
      <c r="F152" s="504" t="str">
        <f>IF($D$14&lt;&gt;F$14,"N/A",IF('Reduced Test'!C220="","",'Reduced Test'!C220))</f>
        <v>N/A</v>
      </c>
      <c r="G152" s="497" t="s">
        <v>864</v>
      </c>
      <c r="H152" s="126"/>
      <c r="I152" s="126"/>
      <c r="L152" s="1134"/>
      <c r="Q152" s="1133"/>
    </row>
    <row r="153" spans="2:17" ht="18" x14ac:dyDescent="0.3">
      <c r="B153" s="691" t="s">
        <v>494</v>
      </c>
      <c r="C153" s="134" t="s">
        <v>616</v>
      </c>
      <c r="D153" s="679" t="s">
        <v>238</v>
      </c>
      <c r="E153" s="491" t="str">
        <f>IF($D$14&lt;&gt;E$14,"N/A",IFERROR((C.TM_Max-C.T_Max)*V.T_Max*Rho.F_Max/C.T_Max,""))</f>
        <v>N/A</v>
      </c>
      <c r="F153" s="491" t="str">
        <f>IF($D$14&lt;&gt;F$14,"N/A",IFERROR((C.TM_Reduced-C.T_Reduced)*V.T_Reduced*Rho.F_Reduced/C.T_Reduced,""))</f>
        <v>N/A</v>
      </c>
      <c r="G153" s="132" t="s">
        <v>524</v>
      </c>
      <c r="H153" s="126"/>
      <c r="I153" s="126"/>
      <c r="L153" s="1134"/>
      <c r="Q153" s="1133"/>
    </row>
    <row r="154" spans="2:17" x14ac:dyDescent="0.3">
      <c r="B154" s="691" t="s">
        <v>502</v>
      </c>
      <c r="C154" s="134" t="s">
        <v>175</v>
      </c>
      <c r="D154" s="679" t="s">
        <v>239</v>
      </c>
      <c r="E154" s="491" t="str">
        <f>IF($D$14&lt;&gt;E$14,"N/A",IF('Max Test'!Imposed_draft?="","",'Max Test'!Imposed_draft?))</f>
        <v>N/A</v>
      </c>
      <c r="F154" s="491" t="str">
        <f>IF($D$14&lt;&gt;F$14,"N/A",IF('Reduced Test'!Draft_Imposed?="","",'Reduced Test'!Draft_Imposed?))</f>
        <v>N/A</v>
      </c>
      <c r="G154" s="132" t="s">
        <v>175</v>
      </c>
      <c r="H154" s="126"/>
      <c r="I154" s="126"/>
      <c r="L154" s="1134"/>
      <c r="Q154" s="1133"/>
    </row>
    <row r="155" spans="2:17" ht="18" x14ac:dyDescent="0.3">
      <c r="B155" s="691" t="s">
        <v>501</v>
      </c>
      <c r="C155" s="134" t="s">
        <v>617</v>
      </c>
      <c r="D155" s="679" t="s">
        <v>239</v>
      </c>
      <c r="E155" s="491" t="str">
        <f>IF($D$14&lt;&gt;E$14,"N/A",IF('Max Test'!T.FOFF="","",'Max Test'!T.FOFF))</f>
        <v>N/A</v>
      </c>
      <c r="F155" s="491" t="str">
        <f>IF($D$14&lt;&gt;F$14,"N/A",IF('Reduced Test'!T.FOFF="","",'Reduced Test'!T.FOFF))</f>
        <v>N/A</v>
      </c>
      <c r="G155" s="132" t="s">
        <v>51</v>
      </c>
      <c r="H155" s="126"/>
      <c r="I155" s="126"/>
      <c r="L155" s="1134"/>
      <c r="Q155" s="1133"/>
    </row>
    <row r="156" spans="2:17" ht="18" x14ac:dyDescent="0.3">
      <c r="B156" s="691" t="s">
        <v>500</v>
      </c>
      <c r="C156" s="134" t="s">
        <v>618</v>
      </c>
      <c r="D156" s="679" t="s">
        <v>239</v>
      </c>
      <c r="E156" s="490" t="str">
        <f>IF($D$14&lt;&gt;E$14,"N/A",
IF(Draft_Imposed_Max?="","",
IF(Draft_Imposed_Max?="Yes",M.FM_Max,
M.FM_Max*((T.FSS_Max-T.RA_Max)/(T.FOFF_Max-T.RA_Max))^0.56*((T.FOFF_Max+460)/(T.FSS_Max+460))^1.19
)))</f>
        <v>N/A</v>
      </c>
      <c r="F156" s="490" t="str">
        <f>IF($D$14&lt;&gt;F$14,"N/A",
IF(Draft_Imposed_Reduced?="","",
IF(Draft_Imposed_Reduced?="Yes",M.FM_Reduced,
M.FM_Reduced*((T.FSS_Reduced-T.RA_Reduced)/(T.FOFF_Reduced-T.RA_Reduced))^0.56*((T.FOFF_Reduced+460)/(T.FSS_Reduced+460))^1.19
)))</f>
        <v>N/A</v>
      </c>
      <c r="G156" s="132" t="s">
        <v>524</v>
      </c>
      <c r="H156" s="126"/>
      <c r="I156" s="126"/>
      <c r="L156" s="1134"/>
      <c r="Q156" s="1133"/>
    </row>
    <row r="157" spans="2:17" ht="18.75" thickBot="1" x14ac:dyDescent="0.35">
      <c r="B157" s="693" t="s">
        <v>538</v>
      </c>
      <c r="C157" s="694" t="s">
        <v>619</v>
      </c>
      <c r="D157" s="857" t="s">
        <v>537</v>
      </c>
      <c r="E157" s="858" t="str">
        <f>IF($D$14&lt;&gt;E$14,"N/A",IF(M.FOFF_Max/M.FON_Max&lt;0.1,0.05,M.FOFF_Max/M.FON_Max))</f>
        <v>N/A</v>
      </c>
      <c r="F157" s="858" t="str">
        <f>IF($D$14&lt;&gt;F$14,"N/A",IF(M.FOFF_Reduced/M.FON_Reduced&lt;0.1,0.05,M.FOFF_Reduced/M.FON_Reduced))</f>
        <v>N/A</v>
      </c>
      <c r="G157" s="699" t="s">
        <v>175</v>
      </c>
      <c r="H157" s="126"/>
      <c r="I157" s="126"/>
      <c r="L157" s="1134"/>
      <c r="Q157" s="1133"/>
    </row>
    <row r="158" spans="2:17" ht="17.25" thickBot="1" x14ac:dyDescent="0.35">
      <c r="B158" s="804"/>
      <c r="C158" s="781"/>
      <c r="D158" s="781"/>
      <c r="E158" s="499"/>
      <c r="F158" s="499"/>
      <c r="G158" s="805"/>
      <c r="H158" s="126"/>
      <c r="I158" s="126"/>
      <c r="L158" s="1134"/>
      <c r="Q158" s="1133"/>
    </row>
    <row r="159" spans="2:17" ht="17.25" x14ac:dyDescent="0.3">
      <c r="B159" s="856" t="s">
        <v>855</v>
      </c>
      <c r="C159" s="821"/>
      <c r="D159" s="821"/>
      <c r="E159" s="822"/>
      <c r="F159" s="822"/>
      <c r="G159" s="823"/>
      <c r="H159" s="126"/>
      <c r="I159" s="126"/>
      <c r="L159" s="1134"/>
      <c r="Q159" s="1133"/>
    </row>
    <row r="160" spans="2:17" ht="18" x14ac:dyDescent="0.3">
      <c r="B160" s="808" t="s">
        <v>540</v>
      </c>
      <c r="C160" s="798" t="s">
        <v>620</v>
      </c>
      <c r="D160" s="799" t="s">
        <v>539</v>
      </c>
      <c r="E160" s="490" t="str">
        <f>IF($D$14&lt;&gt;E$14,"N/A",
IF(OR(System_Number_Max=2,System_Number_Max=3,System_Number_Max=4,System_Number_Max=6,System_Number_Max=8,System_Number_Max=10,AND(System_Number_Max=9,'Sys. # &amp; Product Characteristic'!C15&lt;&gt;"No")),E157,"N/A"))</f>
        <v>N/A</v>
      </c>
      <c r="F160" s="490" t="str">
        <f>IF($D$14&lt;&gt;F$14,"N/A",
IF(OR(System_Number_Reduced=2,System_Number_Reduced=3,System_Number_Reduced=4,System_Number_Reduced=6,System_Number_Reduced=8,System_Number_Reduced=10,AND(System_Number_Reduced=9,'Sys. # &amp; Product Characteristic'!C15&lt;&gt;"No")),D.P_Power_Vent_Direct_Vent_Reduced,"N/A"))</f>
        <v>N/A</v>
      </c>
      <c r="G160" s="807" t="s">
        <v>175</v>
      </c>
      <c r="H160" s="126"/>
      <c r="I160" s="126"/>
      <c r="L160" s="1134"/>
      <c r="Q160" s="1133"/>
    </row>
    <row r="161" spans="2:17" ht="18.75" thickBot="1" x14ac:dyDescent="0.35">
      <c r="B161" s="693" t="s">
        <v>542</v>
      </c>
      <c r="C161" s="835" t="s">
        <v>621</v>
      </c>
      <c r="D161" s="859" t="s">
        <v>541</v>
      </c>
      <c r="E161" s="860" t="str">
        <f>IF($D$14&lt;&gt;E$14,"N/A",
IF(System_Number_Max=2,1,
IF(System_Number_Max=3,D.F_Power_Burner_Direct_Vent_Max,
IF(System_Number_Max=4,(0.79+D.P_Power_Vent_Direct_Vent_Max)/1.4,
IF(System_Number_Max=6,D.O_Max,
IF(System_Number_Max=8,((0.79+D.P_Power_Vent_Direct_Vent_Max)/1.4)*D.O_Max,"N/A"))))))</f>
        <v>N/A</v>
      </c>
      <c r="F161" s="860" t="str">
        <f>IF($D$14&lt;&gt;F$14,"N/A",
IF(System_Number_Reduced=2,1,
IF(System_Number_Reduced=3,D.F_Power_Burner_Direct_Vent_Reduced,
IF(System_Number_Reduced=4,(0.79+D.P_Power_Vent_Direct_Vent_Reduced)/1.4,
IF(System_Number_Reduced=6,D.O_Reduced,
IF(System_Number_Reduced=8,((0.79+D.P_Power_Vent_Direct_Vent_Reduced)/1.4)*D.O_Reduced,"N/A"))))))</f>
        <v>N/A</v>
      </c>
      <c r="G161" s="699" t="s">
        <v>175</v>
      </c>
      <c r="H161" s="126"/>
      <c r="I161" s="126"/>
      <c r="L161" s="1134"/>
      <c r="Q161" s="1133"/>
    </row>
    <row r="162" spans="2:17" ht="17.25" thickBot="1" x14ac:dyDescent="0.35">
      <c r="B162" s="804"/>
      <c r="C162" s="781"/>
      <c r="D162" s="781"/>
      <c r="E162" s="791"/>
      <c r="F162" s="792"/>
      <c r="G162" s="792"/>
      <c r="H162" s="792"/>
      <c r="I162" s="792"/>
      <c r="J162" s="792"/>
      <c r="K162" s="792"/>
      <c r="L162" s="781"/>
      <c r="Q162" s="1133"/>
    </row>
    <row r="163" spans="2:17" ht="36" customHeight="1" x14ac:dyDescent="0.3">
      <c r="B163" s="1870" t="s">
        <v>867</v>
      </c>
      <c r="C163" s="1872"/>
      <c r="D163" s="1872"/>
      <c r="E163" s="1872"/>
      <c r="F163" s="1872"/>
      <c r="G163" s="1873"/>
      <c r="H163" s="1231"/>
      <c r="I163" s="1231"/>
      <c r="J163" s="1231"/>
      <c r="K163" s="1231"/>
      <c r="L163" s="1231"/>
      <c r="M163" s="559"/>
      <c r="Q163" s="1133"/>
    </row>
    <row r="164" spans="2:17" ht="18" x14ac:dyDescent="0.3">
      <c r="B164" s="1232" t="s">
        <v>866</v>
      </c>
      <c r="C164" s="1233" t="s">
        <v>692</v>
      </c>
      <c r="D164" s="1234" t="s">
        <v>543</v>
      </c>
      <c r="E164" s="1324" t="str">
        <f>IF($D$14&lt;&gt;E$14,"N/A",IF('Max Test'!Q.SOFF_Closed_TG="","",'Max Test'!Q.SOFF_Closed_TG))</f>
        <v>N/A</v>
      </c>
      <c r="F164" s="1324" t="str">
        <f>IF($D$14&lt;&gt;F$14,"N/A",IF('Reduced Test'!Q.SOFF_Closed="","",'Reduced Test'!Q.SOFF_Closed))</f>
        <v>N/A</v>
      </c>
      <c r="G164" s="1236" t="s">
        <v>175</v>
      </c>
      <c r="H164" s="126"/>
      <c r="I164" s="559"/>
      <c r="L164" s="1134"/>
      <c r="Q164" s="1133"/>
    </row>
    <row r="165" spans="2:17" ht="18" x14ac:dyDescent="0.3">
      <c r="B165" s="778" t="s">
        <v>865</v>
      </c>
      <c r="C165" s="880" t="s">
        <v>692</v>
      </c>
      <c r="D165" s="885" t="s">
        <v>543</v>
      </c>
      <c r="E165" s="491" t="str">
        <f>IF($D$14&lt;&gt;E$14,"N/A",IF(Q.SOFF_Open_TG="","",Q.SOFF_Open_TG))</f>
        <v>N/A</v>
      </c>
      <c r="F165" s="491" t="str">
        <f>IF($D$14&lt;&gt;F$14,"N/A",IF('Reduced Test'!Q.SOFF_Open="","",'Reduced Test'!Q.SOFF_Open))</f>
        <v>N/A</v>
      </c>
      <c r="G165" s="780" t="s">
        <v>175</v>
      </c>
      <c r="H165" s="126"/>
      <c r="I165" s="126"/>
      <c r="L165" s="1134"/>
      <c r="Q165" s="1133"/>
    </row>
    <row r="166" spans="2:17" ht="18" x14ac:dyDescent="0.3">
      <c r="B166" s="809" t="s">
        <v>544</v>
      </c>
      <c r="C166" s="802" t="s">
        <v>622</v>
      </c>
      <c r="D166" s="882" t="s">
        <v>543</v>
      </c>
      <c r="E166" s="491" t="str">
        <f>IF($D$14&lt;&gt;E$14,"N/A",
IF(AND('Sys. # &amp; Product Characteristic'!Burner_Type="Atmospheric",OR('Sys. # &amp; Product Characteristic'!C17="Integral Draft Diverter",'Sys. # &amp; Product Characteristic'!C17="Draft Hood"),'Sys. # &amp; Product Characteristic'!C22="Yes"),Q.SOFF_Closed_Max/Q.SOFF_Open_Max,"N/A"))</f>
        <v>N/A</v>
      </c>
      <c r="F166" s="491" t="str">
        <f>IF($D$14&lt;&gt;F$14,"N/A",
IF(AND('Sys. # &amp; Product Characteristic'!Burner_Type="Atmospheric",OR('Sys. # &amp; Product Characteristic'!C17="Integral Draft Diverter",'Sys. # &amp; Product Characteristic'!C17="Draft Hood"),'Sys. # &amp; Product Characteristic'!C22="Yes"),Q.SOFF_Closed_Reduced/Q.SOFF_Open_Reduced,"N/A"))</f>
        <v>N/A</v>
      </c>
      <c r="G166" s="884" t="s">
        <v>175</v>
      </c>
      <c r="H166" s="126"/>
      <c r="I166" s="126"/>
      <c r="L166" s="1134"/>
      <c r="Q166" s="1133"/>
    </row>
    <row r="167" spans="2:17" ht="18.75" thickBot="1" x14ac:dyDescent="0.35">
      <c r="B167" s="693" t="s">
        <v>538</v>
      </c>
      <c r="C167" s="835" t="s">
        <v>619</v>
      </c>
      <c r="D167" s="859" t="s">
        <v>545</v>
      </c>
      <c r="E167" s="854" t="str">
        <f>IF($D$14&lt;&gt;E$14,"N/A",IF(OR(System_Number_Max=1,AND(System_Number_Max=9,'Sys. # &amp; Product Characteristic'!Installation="Isolated Combustion System")),K.L_Max,"N/A"))</f>
        <v>N/A</v>
      </c>
      <c r="F167" s="854" t="str">
        <f>IF($D$14&lt;&gt;F$14,"N/A",IF(OR(System_Number_Reduced=1,AND(System_Number_Reduced=9,'Sys. # &amp; Product Characteristic'!Installation="Isolated Combustion System")),K.L_Reduced,"N/A"))</f>
        <v>N/A</v>
      </c>
      <c r="G167" s="699" t="s">
        <v>175</v>
      </c>
      <c r="H167" s="126"/>
      <c r="I167" s="126"/>
      <c r="L167" s="1134"/>
      <c r="Q167" s="1133"/>
    </row>
    <row r="168" spans="2:17" ht="17.25" thickBot="1" x14ac:dyDescent="0.35">
      <c r="B168" s="804"/>
      <c r="C168" s="781"/>
      <c r="D168" s="781"/>
      <c r="E168" s="513"/>
      <c r="F168" s="781"/>
      <c r="G168" s="805"/>
      <c r="H168" s="126"/>
      <c r="I168" s="126"/>
      <c r="L168" s="1134"/>
      <c r="Q168" s="1133"/>
    </row>
    <row r="169" spans="2:17" ht="17.25" x14ac:dyDescent="0.3">
      <c r="B169" s="861" t="s">
        <v>761</v>
      </c>
      <c r="C169" s="862"/>
      <c r="D169" s="862"/>
      <c r="E169" s="862"/>
      <c r="F169" s="862"/>
      <c r="G169" s="863"/>
      <c r="H169" s="126"/>
      <c r="I169" s="126"/>
      <c r="L169" s="1134"/>
      <c r="Q169" s="1133"/>
    </row>
    <row r="170" spans="2:17" x14ac:dyDescent="0.3">
      <c r="B170" s="689" t="s">
        <v>699</v>
      </c>
      <c r="C170" s="794" t="s">
        <v>95</v>
      </c>
      <c r="D170" s="734" t="s">
        <v>1242</v>
      </c>
      <c r="E170" s="629" t="str">
        <f>IF($D$14&lt;&gt;E$14,"N/A",IF('Max Test'!PE="","",'Max Test'!PE))</f>
        <v>N/A</v>
      </c>
      <c r="F170" s="629" t="str">
        <f>IF($D$14&lt;&gt;F$14,"N/A",IF('Reduced Test'!PE="","",'Reduced Test'!PE))</f>
        <v>N/A</v>
      </c>
      <c r="G170" s="497" t="s">
        <v>57</v>
      </c>
      <c r="H170" s="126"/>
      <c r="I170" s="126"/>
      <c r="L170" s="1134"/>
      <c r="Q170" s="1133"/>
    </row>
    <row r="171" spans="2:17" x14ac:dyDescent="0.3">
      <c r="B171" s="691" t="s">
        <v>700</v>
      </c>
      <c r="C171" s="628" t="s">
        <v>96</v>
      </c>
      <c r="D171" s="735" t="s">
        <v>1242</v>
      </c>
      <c r="E171" s="629" t="str">
        <f>IF($D$14&lt;&gt;E$14,"N/A",IF('Max Test'!BE="","",'Max Test'!BE))</f>
        <v>N/A</v>
      </c>
      <c r="F171" s="629" t="str">
        <f>IF($D$14&lt;&gt;F$14,"N/A",IF('Reduced Test'!BE="","",'Reduced Test'!BE))</f>
        <v>N/A</v>
      </c>
      <c r="G171" s="132" t="s">
        <v>57</v>
      </c>
      <c r="H171" s="126"/>
      <c r="I171" s="126"/>
      <c r="L171" s="1134"/>
      <c r="Q171" s="1133"/>
    </row>
    <row r="172" spans="2:17" ht="18" x14ac:dyDescent="0.3">
      <c r="B172" s="691" t="s">
        <v>696</v>
      </c>
      <c r="C172" s="628" t="s">
        <v>701</v>
      </c>
      <c r="D172" s="735" t="s">
        <v>1242</v>
      </c>
      <c r="E172" s="486" t="str">
        <f>IF($D$14&lt;&gt;E$14,"N/A",IF(Post_Purge_Max?="No",1,
IF(E120="Yes",IF('Sys. # &amp; Product Characteristic'!Control_Type="Single Stage",1+tp_Max/9.68,1+tp_Max/15),
IF(OR('Sys. # &amp; Product Characteristic'!Control_Type="Step Modulating",'Sys. # &amp; Product Characteristic'!Control_Type="Two-Stage Modulating"),1+(tp_Max/'Cyclic Timing Calculations'!t.ONH),""))))</f>
        <v>N/A</v>
      </c>
      <c r="F172" s="1354" t="str">
        <f>IF($D$14&lt;&gt;E$14,"N/A",IF(AND('Max Test'!Does_the_boiler_employ_a_post_purge? = "Yes", OR('Sys. # &amp; Product Characteristic'!Control_Type = "Step Modulating", 'Sys. # &amp; Product Characteristic'!Control_Type = "Two-Stage Modulating")), (1+(tp_Reduced/'Cyclic Timing Calculations'!t.ONR)), ""))</f>
        <v>N/A</v>
      </c>
      <c r="G172" s="132" t="s">
        <v>175</v>
      </c>
      <c r="H172" s="126"/>
      <c r="I172" s="126"/>
      <c r="L172" s="1134"/>
      <c r="Q172" s="1133"/>
    </row>
    <row r="173" spans="2:17" ht="18" x14ac:dyDescent="0.3">
      <c r="B173" s="691" t="s">
        <v>698</v>
      </c>
      <c r="C173" s="628" t="s">
        <v>678</v>
      </c>
      <c r="D173" s="735" t="s">
        <v>1243</v>
      </c>
      <c r="E173" s="486" t="str">
        <f>IF($D$14&lt;&gt;E$14,"N/A",IF('Max Test'!PE.IG="","",'Max Test'!PE.IG))</f>
        <v>N/A</v>
      </c>
      <c r="F173" s="685"/>
      <c r="G173" s="132" t="s">
        <v>57</v>
      </c>
      <c r="H173" s="126"/>
      <c r="I173" s="126"/>
      <c r="L173" s="1134"/>
      <c r="Q173" s="1133"/>
    </row>
    <row r="174" spans="2:17" ht="18" x14ac:dyDescent="0.3">
      <c r="B174" s="691" t="s">
        <v>703</v>
      </c>
      <c r="C174" s="628" t="s">
        <v>679</v>
      </c>
      <c r="D174" s="735" t="s">
        <v>1243</v>
      </c>
      <c r="E174" s="670" t="str">
        <f>IF($D$14&lt;&gt;E$14,"N/A",IF('Max Test'!t.IG="","",'Max Test'!t.IG))</f>
        <v>N/A</v>
      </c>
      <c r="F174" s="685"/>
      <c r="G174" s="132" t="s">
        <v>36</v>
      </c>
      <c r="H174" s="126"/>
      <c r="I174" s="126"/>
      <c r="L174" s="1134"/>
      <c r="Q174" s="1133"/>
    </row>
    <row r="175" spans="2:17" ht="30.95" customHeight="1" x14ac:dyDescent="0.3">
      <c r="B175" s="691" t="s">
        <v>697</v>
      </c>
      <c r="C175" s="628" t="s">
        <v>702</v>
      </c>
      <c r="D175" s="735" t="s">
        <v>1242</v>
      </c>
      <c r="E175" s="670" t="str">
        <f>IF($D$14&lt;&gt;E$14,"N/A",t.IG/'Cyclic Timing Calculations'!t.ONH)</f>
        <v>N/A</v>
      </c>
      <c r="F175" s="486" t="str">
        <f>IF($D$14&lt;&gt;E$14,"N/A", t.IG/'Cyclic Timing Calculations'!t.ONR)</f>
        <v>N/A</v>
      </c>
      <c r="G175" s="132" t="s">
        <v>175</v>
      </c>
      <c r="H175" s="126"/>
      <c r="I175" s="126"/>
      <c r="L175" s="1134"/>
      <c r="Q175" s="1133"/>
    </row>
    <row r="176" spans="2:17" x14ac:dyDescent="0.3">
      <c r="B176" s="691" t="s">
        <v>387</v>
      </c>
      <c r="C176" s="628" t="s">
        <v>175</v>
      </c>
      <c r="D176" s="628" t="s">
        <v>1245</v>
      </c>
      <c r="E176" s="670" t="str">
        <f>IF($D$14&lt;&gt;E$14,"N/A",IF('Max Test'!Pump_delay?="","",'Max Test'!Pump_delay?))</f>
        <v>N/A</v>
      </c>
      <c r="F176" s="685"/>
      <c r="G176" s="132" t="s">
        <v>175</v>
      </c>
      <c r="H176" s="126"/>
      <c r="I176" s="126"/>
      <c r="L176" s="1134"/>
      <c r="Q176" s="1133"/>
    </row>
    <row r="177" spans="2:17" ht="18" x14ac:dyDescent="0.3">
      <c r="B177" s="691" t="s">
        <v>759</v>
      </c>
      <c r="C177" s="628" t="s">
        <v>760</v>
      </c>
      <c r="D177" s="628" t="s">
        <v>1244</v>
      </c>
      <c r="E177" s="670" t="str">
        <f>IF($D$14&lt;&gt;E$14,"N/A",IF('Max Test'!tplus="","",'Max Test'!tplus))</f>
        <v>N/A</v>
      </c>
      <c r="F177" s="685"/>
      <c r="G177" s="132" t="s">
        <v>36</v>
      </c>
      <c r="H177" s="126"/>
      <c r="I177" s="126"/>
      <c r="L177" s="1134"/>
      <c r="Q177" s="1133"/>
    </row>
    <row r="178" spans="2:17" x14ac:dyDescent="0.3">
      <c r="B178" s="691" t="s">
        <v>758</v>
      </c>
      <c r="C178" s="628" t="s">
        <v>757</v>
      </c>
      <c r="D178" s="628" t="s">
        <v>1242</v>
      </c>
      <c r="E178" s="670" t="str">
        <f>IF($D$14&lt;&gt;E$14,"N/A",IF(Pump_Delay?="No",1,IF('Sys. # &amp; Product Characteristic'!Control_Type="Single Stage",1+tplus/9.68,IF(OR('Sys. # &amp; Product Characteristic'!Control_Type="Step Modulating",'Sys. # &amp; Product Characteristic'!Control_Type="Two-Stage Modulating"),1+(tplus/'Cyclic Timing Calculations'!t.ONH),1+tplus/1.5))))</f>
        <v>N/A</v>
      </c>
      <c r="F178" s="486" t="str">
        <f>IF($D$14&lt;&gt;E$14,"N/A",(1+tplus/'Cyclic Timing Calculations'!t.ONR))</f>
        <v>N/A</v>
      </c>
      <c r="G178" s="132" t="s">
        <v>175</v>
      </c>
      <c r="H178" s="126"/>
      <c r="I178" s="126"/>
      <c r="L178" s="1134"/>
      <c r="Q178" s="1133"/>
    </row>
    <row r="179" spans="2:17" ht="18" x14ac:dyDescent="0.3">
      <c r="B179" s="691" t="s">
        <v>754</v>
      </c>
      <c r="C179" s="628" t="s">
        <v>756</v>
      </c>
      <c r="D179" s="628" t="s">
        <v>1242</v>
      </c>
      <c r="E179" s="670" t="str">
        <f>IF($D$14&lt;&gt;E$14,"N/A",IF('Test Conditions'!Eff.motor="",0,'Test Conditions'!Eff.motor))</f>
        <v>N/A</v>
      </c>
      <c r="F179" s="685"/>
      <c r="G179" s="132" t="s">
        <v>211</v>
      </c>
      <c r="H179" s="126"/>
      <c r="I179" s="126"/>
      <c r="L179" s="1134"/>
      <c r="Q179" s="1133"/>
    </row>
    <row r="180" spans="2:17" ht="18" x14ac:dyDescent="0.3">
      <c r="B180" s="691"/>
      <c r="C180" s="134" t="s">
        <v>1235</v>
      </c>
      <c r="D180" s="628" t="s">
        <v>1249</v>
      </c>
      <c r="E180" s="560" t="str">
        <f>IF($D$14&lt;&gt;E$14,"N/A",
IF(AND('Sys. # &amp; Product Characteristic'!Installation="Indoor",Power_Burner_Option="Forced Draft"),100000/(341200*(y.p*PE_Max+y.IG*PE.IG+y*BE_Max)+(Q.IN_Max-Q.P_Max)*Effy.UH),
IF(AND('Sys. # &amp; Product Characteristic'!Installation="Isolated Combustion System",Power_Burner_Option="Forced Draft"),100000/(341300*(y.p*PE_Max*Eff.motor/100+y.IG*PE.IG+y*BE_Max)+(Q.IN_Max-Q.P_Max)*Effy.HS),
IF(AND('Sys. # &amp; Product Characteristic'!Installation="Indoor",Power_Burner_Option="Induced Draft"),100000/(341200*(y.p*PE_Max*(1-Eff.motor/100)+y.IG*PE.IG+y*BE_Max)+(Q.IN_Max-Q.P_Max)*Effy.UH),
IF(AND('Sys. # &amp; Product Characteristic'!Installation="Isolated Combustion System",Power_Burner_Option="Induced Draft"),100000/(341300*(y.IG*PE.IG+y*BE_Max)+(Q.IN_Max-Q.P_Max)*Effy.HS),
"Undetermined")))))</f>
        <v>N/A</v>
      </c>
      <c r="F180" s="486" t="str">
        <f>IF($D$14&lt;&gt;E$14,"N/A",
IF(AND('Sys. # &amp; Product Characteristic'!Installation="Indoor",Power_Burner_Option="Forced Draft"),100000/(341200*(y.p*PE_Reduced+y.IG*PE.IG+E176*BE_Max)+(Q.IN_Reduced-Q.P_Reduced)*Effy.UR),
IF(AND('Sys. # &amp; Product Characteristic'!Installation="Indoor",Power_Burner_Option="Induced Draft"),100000/(341200*(y.p_Reduced*PE_Reduced*(1-Eff.motor/100)+y.IG_Reduced*PE.IG+y_Reduced*BE_Reduced)+(Q.IN_Reduced-Q.P_Reduced)*Effy.UR))))</f>
        <v>N/A</v>
      </c>
      <c r="G180" s="132" t="s">
        <v>175</v>
      </c>
      <c r="H180" s="126"/>
      <c r="I180" s="126"/>
      <c r="L180" s="1134"/>
      <c r="Q180" s="1133"/>
    </row>
    <row r="181" spans="2:17" ht="18" x14ac:dyDescent="0.3">
      <c r="B181" s="691"/>
      <c r="C181" s="134" t="s">
        <v>1236</v>
      </c>
      <c r="D181" s="628" t="s">
        <v>1249</v>
      </c>
      <c r="E181" s="486" t="str">
        <f>IF($D$14&lt;&gt;E$14,"N/A",2*Q.P_Max*Effy.UH*A_Max/100000)</f>
        <v>N/A</v>
      </c>
      <c r="F181" s="486" t="str">
        <f>IF($D$14&lt;&gt;E$14,"N/A", 2*Q.P_Reduced*Effy.UR*A_DOE_Reduced/100000)</f>
        <v>N/A</v>
      </c>
      <c r="G181" s="132" t="s">
        <v>175</v>
      </c>
      <c r="H181" s="126"/>
      <c r="I181" s="126"/>
      <c r="L181" s="1134"/>
      <c r="Q181" s="1133"/>
    </row>
    <row r="182" spans="2:17" ht="18" x14ac:dyDescent="0.3">
      <c r="B182" s="1350"/>
      <c r="C182" s="1351" t="s">
        <v>1237</v>
      </c>
      <c r="D182" s="1352" t="s">
        <v>1240</v>
      </c>
      <c r="E182" s="486" t="str">
        <f>IF($D$14&lt;&gt;E$14,"N/A",
IF(AND('Sys. # &amp; Product Characteristic'!Installation="Indoor",Power_Burner_Option="Forced Draft"),100000/(341200*(y.p*PE_Max+y.IG*PE.IG+y*BE_Max)+(Q.IN_Max-Q.P_Max)*Effy.UM),
IF(AND('Sys. # &amp; Product Characteristic'!Installation="Indoor",Power_Burner_Option="Induced Draft"),100000/(341200*(y.p*PE_Max*(1-Eff.motor/100)+y.IG*PE.IG+y*BE_Max)+(Q.IN_Max-Q.P_Max)*Effy.UM))))</f>
        <v>N/A</v>
      </c>
      <c r="F182" s="1355"/>
      <c r="G182" s="132"/>
      <c r="H182" s="126"/>
      <c r="I182" s="126"/>
      <c r="L182" s="1134"/>
      <c r="Q182" s="1133"/>
    </row>
    <row r="183" spans="2:17" ht="18" x14ac:dyDescent="0.3">
      <c r="B183" s="1350"/>
      <c r="C183" s="1351" t="s">
        <v>1239</v>
      </c>
      <c r="D183" s="1352" t="s">
        <v>1240</v>
      </c>
      <c r="E183" s="486" t="str">
        <f>IF($D$14&lt;&gt;E$14,"N/A", 2*Q.P_Max*Effy.UM*E180/100000)</f>
        <v>N/A</v>
      </c>
      <c r="F183" s="1355"/>
      <c r="G183" s="132"/>
      <c r="H183" s="126"/>
      <c r="I183" s="126"/>
      <c r="L183" s="1134"/>
      <c r="Q183" s="1133"/>
    </row>
    <row r="184" spans="2:17" x14ac:dyDescent="0.3">
      <c r="B184" s="691" t="s">
        <v>693</v>
      </c>
      <c r="C184" s="134" t="s">
        <v>175</v>
      </c>
      <c r="D184" s="628" t="s">
        <v>1242</v>
      </c>
      <c r="E184" s="486" t="str">
        <f>IF($D$14&lt;&gt;E$14,"N/A",2080)</f>
        <v>N/A</v>
      </c>
      <c r="F184" s="685"/>
      <c r="G184" s="132" t="s">
        <v>694</v>
      </c>
      <c r="H184" s="126"/>
      <c r="I184" s="126"/>
      <c r="L184" s="1134"/>
      <c r="Q184" s="1133"/>
    </row>
    <row r="185" spans="2:17" ht="33" x14ac:dyDescent="0.3">
      <c r="B185" s="691" t="s">
        <v>695</v>
      </c>
      <c r="C185" s="134" t="s">
        <v>175</v>
      </c>
      <c r="D185" s="628" t="s">
        <v>1242</v>
      </c>
      <c r="E185" s="486" t="str">
        <f>IF($D$14&lt;&gt;E$14,"N/A",0.77)</f>
        <v>N/A</v>
      </c>
      <c r="F185" s="685"/>
      <c r="G185" s="132" t="s">
        <v>175</v>
      </c>
      <c r="H185" s="126"/>
      <c r="I185" s="126"/>
      <c r="L185" s="1134"/>
      <c r="Q185" s="1133"/>
    </row>
    <row r="186" spans="2:17" ht="18" x14ac:dyDescent="0.3">
      <c r="B186" s="691" t="s">
        <v>761</v>
      </c>
      <c r="C186" s="134" t="s">
        <v>762</v>
      </c>
      <c r="D186" s="628" t="s">
        <v>1242</v>
      </c>
      <c r="E186" s="492" t="str">
        <f>IF($D$14&lt;&gt;E$14,"N/A",Natl_Avg_Heating_Load_Hrs*DHR_Adjust*A_Max*((Q.Out_Max/1000)/(1+alpha))-Natl_Avg_Heating_Load_Hrs*B_Max)</f>
        <v>N/A</v>
      </c>
      <c r="F186" s="685"/>
      <c r="G186" s="132" t="s">
        <v>694</v>
      </c>
      <c r="H186" s="126"/>
      <c r="I186" s="126"/>
      <c r="L186" s="1134"/>
      <c r="Q186" s="1133"/>
    </row>
    <row r="187" spans="2:17" x14ac:dyDescent="0.3">
      <c r="B187" s="691" t="s">
        <v>763</v>
      </c>
      <c r="C187" s="134" t="s">
        <v>175</v>
      </c>
      <c r="D187" s="628" t="s">
        <v>1247</v>
      </c>
      <c r="E187" s="486" t="str">
        <f>IF($D$14&lt;&gt;E$14,"N/A",8760)</f>
        <v>N/A</v>
      </c>
      <c r="F187" s="685"/>
      <c r="G187" s="132" t="s">
        <v>676</v>
      </c>
      <c r="H187" s="126"/>
      <c r="I187" s="126"/>
      <c r="L187" s="1134"/>
      <c r="Q187" s="1133"/>
    </row>
    <row r="188" spans="2:17" ht="33" x14ac:dyDescent="0.3">
      <c r="B188" s="691" t="s">
        <v>766</v>
      </c>
      <c r="C188" s="134" t="s">
        <v>767</v>
      </c>
      <c r="D188" s="628" t="s">
        <v>1248</v>
      </c>
      <c r="E188" s="486" t="str">
        <f>IF($D$14&lt;&gt;E$14,"N/A",IF('Sys. # &amp; Product Characteristic'!Control_Type="Two-Stage Modulating",X.H*Avg_HLH*DHR_Adjust*((Q.Out_Max/1000)/(1+alpha))*A_DOE_Max-Avg_HLH*B_DOE_Max,
"N/A"))</f>
        <v>N/A</v>
      </c>
      <c r="F188" s="486" t="str">
        <f>IF($D$14&lt;&gt;F$14,"N/A",IF(OR('Sys. # &amp; Product Characteristic'!Control_Type="Two-Stage Modulating", 'Sys. # &amp; Product Characteristic'!Control_Type="Step Modulating"),X.R*Avg_HLH*DHR_Adjust*((Q.Out_Max/1000)/(1+alpha))*A_DOE_Reduced-Avg_HLH*B_DOE_Reduced,
"N/A"))</f>
        <v>N/A</v>
      </c>
      <c r="G188" s="132" t="s">
        <v>694</v>
      </c>
      <c r="H188" s="126"/>
      <c r="I188" s="126"/>
      <c r="L188" s="1134"/>
      <c r="Q188" s="1133"/>
    </row>
    <row r="189" spans="2:17" ht="33" x14ac:dyDescent="0.3">
      <c r="B189" s="691" t="s">
        <v>769</v>
      </c>
      <c r="C189" s="134" t="s">
        <v>768</v>
      </c>
      <c r="D189" s="628" t="s">
        <v>1240</v>
      </c>
      <c r="E189" s="486" t="str">
        <f>IF($D$14&lt;&gt;E$14,"N/A",IF('Sys. # &amp; Product Characteristic'!Control_Type="Step Modulating",D.S_Power_Burner_Direct_Vent_Max/(Effy.SSM/100),
"N/A"))</f>
        <v>N/A</v>
      </c>
      <c r="F189" s="686"/>
      <c r="G189" s="132" t="s">
        <v>37</v>
      </c>
      <c r="H189" s="126"/>
      <c r="I189" s="126"/>
      <c r="L189" s="1134"/>
      <c r="Q189" s="1133"/>
    </row>
    <row r="190" spans="2:17" ht="33.75" thickBot="1" x14ac:dyDescent="0.35">
      <c r="B190" s="693" t="s">
        <v>1241</v>
      </c>
      <c r="C190" s="694" t="s">
        <v>765</v>
      </c>
      <c r="D190" s="695" t="s">
        <v>1240</v>
      </c>
      <c r="E190" s="853" t="str">
        <f>IF($D$14&lt;&gt;E$14,"N/A",IF('Sys. # &amp; Product Characteristic'!Control_Type="Step Modulating",X.H*Avg_HLH*DHR_Adjust*((Q.Out_Max/1000)/(1+alpha))*A_Mod-Avg_HLH*B_Mod,
"N/A"))</f>
        <v>N/A</v>
      </c>
      <c r="F190" s="698"/>
      <c r="G190" s="699" t="s">
        <v>694</v>
      </c>
      <c r="H190" s="126"/>
      <c r="I190" s="126"/>
      <c r="L190" s="1134"/>
      <c r="Q190" s="1133"/>
    </row>
    <row r="191" spans="2:17" ht="17.25" thickBot="1" x14ac:dyDescent="0.35">
      <c r="B191" s="804"/>
      <c r="C191" s="781"/>
      <c r="D191" s="781"/>
      <c r="E191" s="630"/>
      <c r="F191" s="674"/>
      <c r="G191" s="805"/>
      <c r="H191" s="126"/>
      <c r="I191" s="126"/>
      <c r="L191" s="1134"/>
      <c r="Q191" s="1133"/>
    </row>
    <row r="192" spans="2:17" ht="17.25" x14ac:dyDescent="0.3">
      <c r="B192" s="864" t="s">
        <v>857</v>
      </c>
      <c r="C192" s="862"/>
      <c r="D192" s="862"/>
      <c r="E192" s="862"/>
      <c r="F192" s="862"/>
      <c r="G192" s="863"/>
      <c r="H192" s="126"/>
      <c r="I192" s="126"/>
      <c r="L192" s="1134"/>
      <c r="Q192" s="1133"/>
    </row>
    <row r="193" spans="2:17" ht="18.75" thickBot="1" x14ac:dyDescent="0.35">
      <c r="B193" s="865" t="s">
        <v>771</v>
      </c>
      <c r="C193" s="866" t="s">
        <v>772</v>
      </c>
      <c r="D193" s="695" t="str">
        <f>"DOE 10.2.2" &amp; IF(OR('General Info &amp; Test Results'!$C$59="Step Modulating",'General Info &amp; Test Results'!$C$59="Two-Stage Modulating"),".1","")</f>
        <v>DOE 10.2.2</v>
      </c>
      <c r="E193" s="867" t="str">
        <f>IF($D$14&lt;&gt;E$14,"N/A",
IF('Sys. # &amp; Product Characteristic'!Control_Type="Two-Stage Modulating", BOH.RH_Max*Q.IN_Max+BOH.RH_Reduced*Q.IN_Reduced+(8760-(BOH.RH_Max+BOH.RH_Reduced))*Q.P_Max, IF('Sys. # &amp; Product Characteristic'!Control_Type="Step Modulating", BOH.M*Q.INM+BOH.RH_Reduced*(Q.IN_Reduced+(8760-(BOH.RH_Max+BOH.RH_Reduced))*Q.P_Max), "")))</f>
        <v>N/A</v>
      </c>
      <c r="F193" s="698"/>
      <c r="G193" s="868" t="s">
        <v>800</v>
      </c>
      <c r="H193" s="126"/>
      <c r="I193" s="126"/>
      <c r="L193" s="1134"/>
      <c r="Q193" s="1133"/>
    </row>
    <row r="194" spans="2:17" ht="17.25" thickBot="1" x14ac:dyDescent="0.35">
      <c r="B194" s="804"/>
      <c r="C194" s="781"/>
      <c r="D194" s="781"/>
      <c r="E194" s="673"/>
      <c r="F194" s="674"/>
      <c r="G194" s="805"/>
      <c r="H194" s="126"/>
      <c r="I194" s="126"/>
      <c r="L194" s="1134"/>
      <c r="Q194" s="1133"/>
    </row>
    <row r="195" spans="2:17" ht="34.5" x14ac:dyDescent="0.3">
      <c r="B195" s="861" t="s">
        <v>858</v>
      </c>
      <c r="C195" s="862"/>
      <c r="D195" s="862"/>
      <c r="E195" s="862"/>
      <c r="F195" s="862"/>
      <c r="G195" s="863"/>
      <c r="H195" s="126"/>
      <c r="I195" s="126"/>
      <c r="L195" s="1134"/>
      <c r="Q195" s="1133"/>
    </row>
    <row r="196" spans="2:17" ht="18.75" thickBot="1" x14ac:dyDescent="0.35">
      <c r="B196" s="865" t="s">
        <v>773</v>
      </c>
      <c r="C196" s="866" t="s">
        <v>774</v>
      </c>
      <c r="D196" s="695" t="str">
        <f>"DOE 10.2.3" &amp; IF(OR('General Info &amp; Test Results'!$C$59="Step Modulating",'General Info &amp; Test Results'!$C$59="Two-Stage Modulating"),".1","")</f>
        <v>DOE 10.2.3</v>
      </c>
      <c r="E196" s="867" t="str">
        <f>IF($D$14&lt;&gt;E$14,"N/A",
IF('Sys. # &amp; Product Characteristic'!Control_Type="Two-Stage Modulating",BOH.RH_Reduced*(y.p_Reduced*PE_Reduced+y.IG_Reduced*PE.IG+y_Reduced*BE_Reduced)+BOH.RH_Reduced*(y.p_Reduced*PE_Reduced+y.IG_Reduced*PE.IG+y_Reduced*BE_Reduced)+E.SO,
IF('Sys. # &amp; Product Characteristic'!Control_Type="Step Modulating",BOH.RH_Reduced*(y.p_Reduced*PE_Reduced+y.IG_Reduced*PE.IG+y_Reduced*BE_Reduced)+BOH.M*(y.p*PE_Max+y.IG*PE.IG+y*BE_Max)+E.SO,
"N/A")))</f>
        <v>N/A</v>
      </c>
      <c r="F196" s="698"/>
      <c r="G196" s="868" t="s">
        <v>801</v>
      </c>
      <c r="H196" s="126"/>
      <c r="I196" s="126"/>
      <c r="L196" s="1134"/>
      <c r="Q196" s="1133"/>
    </row>
    <row r="197" spans="2:17" ht="17.25" thickBot="1" x14ac:dyDescent="0.35">
      <c r="B197" s="804"/>
      <c r="C197" s="781"/>
      <c r="D197" s="781"/>
      <c r="E197" s="673"/>
      <c r="F197" s="674"/>
      <c r="G197" s="805"/>
      <c r="H197" s="126"/>
      <c r="I197" s="126"/>
      <c r="L197" s="1134"/>
      <c r="Q197" s="1133"/>
    </row>
    <row r="198" spans="2:17" ht="17.25" x14ac:dyDescent="0.3">
      <c r="B198" s="861" t="s">
        <v>778</v>
      </c>
      <c r="C198" s="862"/>
      <c r="D198" s="862"/>
      <c r="E198" s="862"/>
      <c r="F198" s="862"/>
      <c r="G198" s="863"/>
      <c r="H198" s="126"/>
      <c r="I198" s="126"/>
      <c r="L198" s="1134"/>
      <c r="Q198" s="1133"/>
    </row>
    <row r="199" spans="2:17" ht="17.25" thickBot="1" x14ac:dyDescent="0.35">
      <c r="B199" s="865" t="s">
        <v>778</v>
      </c>
      <c r="C199" s="866" t="s">
        <v>770</v>
      </c>
      <c r="D199" s="695" t="str">
        <f>"DOE 10.4" &amp; IF('General Info &amp; Test Results'!C45="Electricity",".2",".1")</f>
        <v>DOE 10.4.1</v>
      </c>
      <c r="E199" s="869" t="str">
        <f>IF($D$14&lt;&gt;E$14,"N/A",(E.F-Avg_NonHeating_Season_Hrs*Q.P_Max)*Effy.HS/(E.F+3412*E.AE))</f>
        <v>N/A</v>
      </c>
      <c r="F199" s="698"/>
      <c r="G199" s="868" t="s">
        <v>211</v>
      </c>
      <c r="H199" s="126"/>
      <c r="I199" s="126"/>
      <c r="L199" s="1134"/>
      <c r="Q199" s="1133"/>
    </row>
    <row r="200" spans="2:17" ht="17.25" thickBot="1" x14ac:dyDescent="0.35">
      <c r="B200" s="804"/>
      <c r="C200" s="781"/>
      <c r="D200" s="781"/>
      <c r="E200" s="675"/>
      <c r="F200" s="674"/>
      <c r="G200" s="805"/>
      <c r="H200" s="126"/>
      <c r="I200" s="126"/>
      <c r="L200" s="1134"/>
      <c r="Q200" s="1133"/>
    </row>
    <row r="201" spans="2:17" ht="17.25" x14ac:dyDescent="0.3">
      <c r="B201" s="864" t="s">
        <v>860</v>
      </c>
      <c r="C201" s="862"/>
      <c r="D201" s="862"/>
      <c r="E201" s="862"/>
      <c r="F201" s="862"/>
      <c r="G201" s="863"/>
      <c r="H201" s="126"/>
      <c r="I201" s="126"/>
      <c r="L201" s="1134"/>
      <c r="Q201" s="1133"/>
    </row>
    <row r="202" spans="2:17" ht="33" x14ac:dyDescent="0.3">
      <c r="B202" s="1367" t="s">
        <v>784</v>
      </c>
      <c r="C202" s="1368" t="s">
        <v>786</v>
      </c>
      <c r="D202" s="1352" t="s">
        <v>1250</v>
      </c>
      <c r="E202" s="1159"/>
      <c r="F202" s="687"/>
      <c r="G202" s="1369" t="s">
        <v>815</v>
      </c>
      <c r="H202" s="126"/>
      <c r="I202" s="126"/>
      <c r="L202" s="1134"/>
      <c r="Q202" s="1133"/>
    </row>
    <row r="203" spans="2:17" ht="33" x14ac:dyDescent="0.3">
      <c r="B203" s="1350" t="s">
        <v>783</v>
      </c>
      <c r="C203" s="1351" t="s">
        <v>779</v>
      </c>
      <c r="D203" s="1352" t="s">
        <v>1250</v>
      </c>
      <c r="E203" s="671" t="str">
        <f>IF($D$14&lt;&gt;E$14,"N/A",(E.F-8760*Q.P_Max)*(HLH/Natl_Avg_Heating_Load_Hrs)+hrs_per_yr*Q.P_Max)</f>
        <v>N/A</v>
      </c>
      <c r="F203" s="687"/>
      <c r="G203" s="132" t="s">
        <v>800</v>
      </c>
      <c r="H203" s="126"/>
      <c r="I203" s="126"/>
      <c r="L203" s="1134"/>
      <c r="Q203" s="1133"/>
    </row>
    <row r="204" spans="2:17" ht="33" x14ac:dyDescent="0.3">
      <c r="B204" s="1350" t="s">
        <v>802</v>
      </c>
      <c r="C204" s="1351" t="s">
        <v>799</v>
      </c>
      <c r="D204" s="1352" t="s">
        <v>787</v>
      </c>
      <c r="E204" s="671" t="str">
        <f>IF($D$14&lt;&gt;E$14,"N/A",(P.WSB*(Avg_Heating_Season_Hrs-BOH*HLH/Natl_Avg_Heating_Load_Hrs)+Avg_NonHeating_Season_Hrs*P.WOFF)*K_Conv)</f>
        <v>N/A</v>
      </c>
      <c r="F204" s="687"/>
      <c r="G204" s="132" t="s">
        <v>801</v>
      </c>
      <c r="H204" s="126"/>
      <c r="I204" s="126"/>
      <c r="L204" s="1134"/>
      <c r="Q204" s="1133"/>
    </row>
    <row r="205" spans="2:17" ht="50.25" thickBot="1" x14ac:dyDescent="0.35">
      <c r="B205" s="693" t="s">
        <v>782</v>
      </c>
      <c r="C205" s="694" t="s">
        <v>780</v>
      </c>
      <c r="D205" s="695" t="s">
        <v>1251</v>
      </c>
      <c r="E205" s="872" t="str">
        <f>IF($D$14&lt;&gt;E$14,"N/A",(E.AE-E.SO)*(HLH/Natl_Avg_Heating_Load_Hrs)+E.SOR)</f>
        <v>N/A</v>
      </c>
      <c r="F205" s="1370"/>
      <c r="G205" s="699" t="s">
        <v>801</v>
      </c>
      <c r="H205" s="126"/>
      <c r="I205" s="126"/>
      <c r="L205" s="1134"/>
      <c r="Q205" s="1133"/>
    </row>
    <row r="206" spans="2:17" ht="17.25" thickBot="1" x14ac:dyDescent="0.35">
      <c r="B206" s="804"/>
      <c r="C206" s="781"/>
      <c r="D206" s="781"/>
      <c r="E206" s="675"/>
      <c r="F206" s="674"/>
      <c r="G206" s="805"/>
      <c r="H206" s="126"/>
      <c r="I206" s="126"/>
      <c r="L206" s="1134"/>
      <c r="Q206" s="1133"/>
    </row>
    <row r="207" spans="2:17" ht="17.25" x14ac:dyDescent="0.3">
      <c r="B207" s="864" t="s">
        <v>795</v>
      </c>
      <c r="C207" s="862"/>
      <c r="D207" s="862"/>
      <c r="E207" s="862"/>
      <c r="F207" s="862"/>
      <c r="G207" s="863"/>
      <c r="H207" s="126"/>
      <c r="I207" s="126"/>
      <c r="L207" s="1134"/>
      <c r="Q207" s="1133"/>
    </row>
    <row r="208" spans="2:17" ht="18" x14ac:dyDescent="0.3">
      <c r="B208" s="689" t="s">
        <v>788</v>
      </c>
      <c r="C208" s="496" t="s">
        <v>790</v>
      </c>
      <c r="D208" s="628" t="s">
        <v>1197</v>
      </c>
      <c r="E208" s="638" t="str">
        <f>IF($D$14&lt;&gt;E$14,"N/A",IF('Standby &amp; Off Power'!P.WSB="","",'Standby &amp; Off Power'!P.WSB))</f>
        <v>N/A</v>
      </c>
      <c r="F208" s="687"/>
      <c r="G208" s="497" t="s">
        <v>179</v>
      </c>
      <c r="H208" s="126"/>
      <c r="I208" s="126"/>
      <c r="L208" s="1134"/>
      <c r="Q208" s="1133"/>
    </row>
    <row r="209" spans="2:17" ht="18" x14ac:dyDescent="0.3">
      <c r="B209" s="691" t="s">
        <v>789</v>
      </c>
      <c r="C209" s="134" t="s">
        <v>791</v>
      </c>
      <c r="D209" s="628" t="s">
        <v>1253</v>
      </c>
      <c r="E209" s="670" t="str">
        <f>IF($D$14&lt;&gt;E$14,"N/A",IF('Standby &amp; Off Power'!P.WOFF="","",'Standby &amp; Off Power'!P.WOFF))</f>
        <v>N/A</v>
      </c>
      <c r="F209" s="687"/>
      <c r="G209" s="132" t="s">
        <v>179</v>
      </c>
      <c r="H209" s="126"/>
      <c r="I209" s="126"/>
      <c r="L209" s="1134"/>
      <c r="Q209" s="1133"/>
    </row>
    <row r="210" spans="2:17" x14ac:dyDescent="0.3">
      <c r="B210" s="691" t="s">
        <v>793</v>
      </c>
      <c r="C210" s="134" t="s">
        <v>792</v>
      </c>
      <c r="D210" s="628" t="s">
        <v>1254</v>
      </c>
      <c r="E210" s="638" t="str">
        <f>IF($D$14&lt;&gt;E$14,"N/A",IF('Sys. # &amp; Product Characteristic'!Control_Type="Two-Stage Modulating",BOH.RH_Max+BOH.RH_Reduced,
IF('Sys. # &amp; Product Characteristic'!Control_Type="Step Modulating",BOH.RH_Reduced+BOH.M,
"N/A")))</f>
        <v>N/A</v>
      </c>
      <c r="F210" s="687"/>
      <c r="G210" s="132" t="s">
        <v>694</v>
      </c>
      <c r="H210" s="126"/>
      <c r="I210" s="126"/>
      <c r="J210" s="559"/>
      <c r="L210" s="1134"/>
      <c r="Q210" s="1133"/>
    </row>
    <row r="211" spans="2:17" x14ac:dyDescent="0.3">
      <c r="B211" s="691" t="s">
        <v>794</v>
      </c>
      <c r="C211" s="134" t="s">
        <v>175</v>
      </c>
      <c r="D211" s="628" t="s">
        <v>1252</v>
      </c>
      <c r="E211" s="671" t="str">
        <f>IF($D$14&lt;&gt;E$14,"N/A",4160)</f>
        <v>N/A</v>
      </c>
      <c r="F211" s="687"/>
      <c r="G211" s="132" t="s">
        <v>676</v>
      </c>
      <c r="H211" s="126"/>
      <c r="I211" s="126"/>
      <c r="J211" s="559"/>
      <c r="L211" s="1134"/>
      <c r="Q211" s="1133"/>
    </row>
    <row r="212" spans="2:17" x14ac:dyDescent="0.3">
      <c r="B212" s="691" t="s">
        <v>797</v>
      </c>
      <c r="C212" s="134" t="s">
        <v>58</v>
      </c>
      <c r="D212" s="628" t="s">
        <v>1252</v>
      </c>
      <c r="E212" s="678" t="str">
        <f>IF($D$14&lt;&gt;E$14,"N/A",0.001)</f>
        <v>N/A</v>
      </c>
      <c r="F212" s="687"/>
      <c r="G212" s="132" t="s">
        <v>798</v>
      </c>
      <c r="H212" s="126"/>
      <c r="I212" s="126"/>
      <c r="L212" s="1134"/>
      <c r="Q212" s="1133"/>
    </row>
    <row r="213" spans="2:17" ht="18.75" thickBot="1" x14ac:dyDescent="0.35">
      <c r="B213" s="693" t="s">
        <v>795</v>
      </c>
      <c r="C213" s="694" t="s">
        <v>796</v>
      </c>
      <c r="D213" s="695" t="s">
        <v>1252</v>
      </c>
      <c r="E213" s="696" t="str">
        <f>IF($D$14&lt;&gt;E$14,"N/A",(P.WSB*(Avg_Heating_Season_Hrs-BOH)+Avg_NonHeating_Season_Hrs*P.WOFF)*K_Conv)</f>
        <v>N/A</v>
      </c>
      <c r="F213" s="698"/>
      <c r="G213" s="699" t="s">
        <v>801</v>
      </c>
      <c r="H213" s="126"/>
      <c r="I213" s="126"/>
      <c r="L213" s="1134"/>
      <c r="Q213" s="1133"/>
    </row>
    <row r="214" spans="2:17" x14ac:dyDescent="0.3">
      <c r="B214" s="126"/>
      <c r="C214" s="126"/>
      <c r="D214" s="126"/>
      <c r="E214" s="126"/>
      <c r="F214" s="126"/>
      <c r="G214" s="126"/>
      <c r="H214" s="126"/>
      <c r="I214" s="126"/>
      <c r="L214" s="1134"/>
      <c r="Q214" s="1133"/>
    </row>
    <row r="215" spans="2:17" x14ac:dyDescent="0.3">
      <c r="B215" s="126"/>
      <c r="C215" s="126"/>
      <c r="D215" s="126"/>
      <c r="E215" s="126"/>
      <c r="F215" s="126"/>
      <c r="G215" s="126"/>
      <c r="H215" s="126"/>
      <c r="I215" s="126"/>
      <c r="L215" s="126"/>
      <c r="Q215" s="1133"/>
    </row>
    <row r="216" spans="2:17" x14ac:dyDescent="0.3">
      <c r="B216" s="126"/>
      <c r="C216" s="126"/>
      <c r="D216" s="126"/>
      <c r="E216" s="126"/>
      <c r="F216" s="126"/>
      <c r="G216" s="126"/>
      <c r="H216" s="126"/>
      <c r="I216" s="126"/>
      <c r="L216" s="126"/>
      <c r="Q216" s="1133"/>
    </row>
    <row r="217" spans="2:17" x14ac:dyDescent="0.3">
      <c r="B217" s="126"/>
      <c r="C217" s="126"/>
      <c r="D217" s="126"/>
      <c r="E217" s="126"/>
      <c r="F217" s="126"/>
      <c r="G217" s="126"/>
      <c r="H217" s="126"/>
      <c r="I217" s="126"/>
      <c r="L217" s="126"/>
      <c r="Q217" s="1133"/>
    </row>
    <row r="218" spans="2:17" x14ac:dyDescent="0.3">
      <c r="B218" s="126"/>
      <c r="C218" s="126"/>
      <c r="D218" s="126"/>
      <c r="E218" s="126"/>
      <c r="F218" s="126"/>
      <c r="G218" s="126"/>
      <c r="H218" s="126"/>
      <c r="I218" s="126"/>
      <c r="L218" s="126"/>
      <c r="Q218" s="1133"/>
    </row>
    <row r="219" spans="2:17" x14ac:dyDescent="0.3">
      <c r="B219" s="126"/>
      <c r="C219" s="126"/>
      <c r="D219" s="126"/>
      <c r="E219" s="126"/>
      <c r="F219" s="126"/>
      <c r="G219" s="126"/>
      <c r="H219" s="126"/>
      <c r="I219" s="126"/>
      <c r="L219" s="126"/>
      <c r="Q219" s="1133"/>
    </row>
    <row r="220" spans="2:17" x14ac:dyDescent="0.3">
      <c r="B220" s="126"/>
      <c r="C220" s="126"/>
      <c r="D220" s="126"/>
      <c r="E220" s="126"/>
      <c r="F220" s="126"/>
      <c r="G220" s="126"/>
      <c r="H220" s="126"/>
      <c r="I220" s="126"/>
      <c r="L220" s="126"/>
      <c r="Q220" s="1133"/>
    </row>
    <row r="221" spans="2:17" x14ac:dyDescent="0.3">
      <c r="B221" s="126"/>
      <c r="C221" s="126"/>
      <c r="D221" s="126"/>
      <c r="E221" s="126"/>
      <c r="F221" s="126"/>
      <c r="G221" s="126"/>
      <c r="H221" s="126"/>
      <c r="I221" s="126"/>
      <c r="L221" s="126"/>
      <c r="Q221" s="1133"/>
    </row>
    <row r="222" spans="2:17" ht="18" thickBot="1" x14ac:dyDescent="0.35">
      <c r="B222" s="126"/>
      <c r="C222" s="126"/>
      <c r="D222" s="126"/>
      <c r="E222" s="176"/>
      <c r="J222" s="122"/>
      <c r="K222" s="122"/>
      <c r="Q222" s="1133"/>
    </row>
    <row r="223" spans="2:17" ht="18" thickBot="1" x14ac:dyDescent="0.35">
      <c r="B223" s="126"/>
      <c r="C223" s="487" t="str">
        <f>"For use in ANSI/ASHRAE Section " &amp; D14 &amp; ".9.18: Off-Cycle Stack Gas Draft Factor"</f>
        <v>For use in ANSI/ASHRAE Section Unknown.9.18: Off-Cycle Stack Gas Draft Factor</v>
      </c>
      <c r="D223" s="597"/>
      <c r="E223" s="598"/>
      <c r="F223" s="599"/>
      <c r="G223" s="599"/>
      <c r="H223" s="599"/>
      <c r="I223" s="599"/>
      <c r="J223" s="600"/>
      <c r="K223" s="122"/>
      <c r="Q223" s="1133"/>
    </row>
    <row r="224" spans="2:17" ht="17.25" x14ac:dyDescent="0.3">
      <c r="B224" s="126"/>
      <c r="C224" s="601" t="s">
        <v>34</v>
      </c>
      <c r="D224" s="595" t="s">
        <v>136</v>
      </c>
      <c r="E224" s="596" t="s">
        <v>33</v>
      </c>
      <c r="F224" s="1852" t="s">
        <v>71</v>
      </c>
      <c r="G224" s="1853"/>
      <c r="H224" s="1853"/>
      <c r="I224" s="1853"/>
      <c r="J224" s="1854"/>
      <c r="K224" s="122"/>
      <c r="Q224" s="1133"/>
    </row>
    <row r="225" spans="2:17" x14ac:dyDescent="0.3">
      <c r="B225" s="126"/>
      <c r="C225" s="580" t="str">
        <f>System_Number_Max</f>
        <v>N/A</v>
      </c>
      <c r="D225" s="558" t="s">
        <v>175</v>
      </c>
      <c r="E225" s="558" t="s">
        <v>175</v>
      </c>
      <c r="F225" s="1845" t="s">
        <v>39</v>
      </c>
      <c r="G225" s="1846"/>
      <c r="H225" s="1846"/>
      <c r="I225" s="1846"/>
      <c r="J225" s="1847"/>
      <c r="K225" s="122"/>
      <c r="Q225" s="1133"/>
    </row>
    <row r="226" spans="2:17" ht="18" x14ac:dyDescent="0.3">
      <c r="B226" s="126"/>
      <c r="C226" s="582">
        <f>'Test Conditions'!C87</f>
        <v>0</v>
      </c>
      <c r="D226" s="558" t="s">
        <v>36</v>
      </c>
      <c r="E226" s="550" t="s">
        <v>568</v>
      </c>
      <c r="F226" s="1845" t="s">
        <v>561</v>
      </c>
      <c r="G226" s="1846"/>
      <c r="H226" s="1846"/>
      <c r="I226" s="1846"/>
      <c r="J226" s="1847"/>
      <c r="K226" s="122"/>
      <c r="Q226" s="1133"/>
    </row>
    <row r="227" spans="2:17" ht="18" x14ac:dyDescent="0.3">
      <c r="B227" s="126"/>
      <c r="C227" s="582" t="str">
        <f>'Test Conditions'!C89</f>
        <v/>
      </c>
      <c r="D227" s="558" t="s">
        <v>36</v>
      </c>
      <c r="E227" s="550" t="s">
        <v>583</v>
      </c>
      <c r="F227" s="1845" t="s">
        <v>582</v>
      </c>
      <c r="G227" s="1846"/>
      <c r="H227" s="1846"/>
      <c r="I227" s="1846"/>
      <c r="J227" s="1847"/>
      <c r="K227" s="122"/>
      <c r="Q227" s="1133"/>
    </row>
    <row r="228" spans="2:17" ht="18" x14ac:dyDescent="0.3">
      <c r="B228" s="126"/>
      <c r="C228" s="582" t="str">
        <f>t.OFF_Max</f>
        <v>N/A</v>
      </c>
      <c r="D228" s="558" t="s">
        <v>36</v>
      </c>
      <c r="E228" s="558" t="s">
        <v>628</v>
      </c>
      <c r="F228" s="1845" t="s">
        <v>443</v>
      </c>
      <c r="G228" s="1846"/>
      <c r="H228" s="1846"/>
      <c r="I228" s="1846"/>
      <c r="J228" s="1847"/>
      <c r="K228" s="122"/>
      <c r="Q228" s="1133"/>
    </row>
    <row r="229" spans="2:17" ht="18" x14ac:dyDescent="0.3">
      <c r="B229" s="126"/>
      <c r="C229" s="582" t="str">
        <f>Tau.OFF_Max</f>
        <v>N/A</v>
      </c>
      <c r="D229" s="558" t="s">
        <v>36</v>
      </c>
      <c r="E229" s="558" t="s">
        <v>612</v>
      </c>
      <c r="F229" s="1845" t="s">
        <v>435</v>
      </c>
      <c r="G229" s="1846"/>
      <c r="H229" s="1846"/>
      <c r="I229" s="1846"/>
      <c r="J229" s="1847"/>
      <c r="K229" s="122"/>
      <c r="Q229" s="1133"/>
    </row>
    <row r="230" spans="2:17" ht="18" x14ac:dyDescent="0.3">
      <c r="B230" s="126"/>
      <c r="C230" s="580">
        <f>COUNT(C247:C346)</f>
        <v>100</v>
      </c>
      <c r="D230" s="558" t="s">
        <v>175</v>
      </c>
      <c r="E230" s="558" t="s">
        <v>546</v>
      </c>
      <c r="F230" s="1845" t="s">
        <v>662</v>
      </c>
      <c r="G230" s="1846"/>
      <c r="H230" s="1846"/>
      <c r="I230" s="1846"/>
      <c r="J230" s="1847"/>
      <c r="K230" s="122"/>
      <c r="Q230" s="1133"/>
    </row>
    <row r="231" spans="2:17" ht="18" x14ac:dyDescent="0.3">
      <c r="B231" s="126"/>
      <c r="C231" s="602">
        <f>1/C230</f>
        <v>0.01</v>
      </c>
      <c r="D231" s="558" t="s">
        <v>175</v>
      </c>
      <c r="E231" s="558" t="s">
        <v>663</v>
      </c>
      <c r="F231" s="1857" t="s">
        <v>585</v>
      </c>
      <c r="G231" s="1857"/>
      <c r="H231" s="1857"/>
      <c r="I231" s="1857"/>
      <c r="J231" s="1858"/>
      <c r="K231" s="122"/>
      <c r="Q231" s="1133"/>
    </row>
    <row r="232" spans="2:17" ht="18" x14ac:dyDescent="0.3">
      <c r="B232" s="126"/>
      <c r="C232" s="581" t="str">
        <f>Psi.SIX_Max</f>
        <v>N/A</v>
      </c>
      <c r="D232" s="558" t="s">
        <v>51</v>
      </c>
      <c r="E232" s="558" t="s">
        <v>624</v>
      </c>
      <c r="F232" s="1857" t="s">
        <v>1293</v>
      </c>
      <c r="G232" s="1857"/>
      <c r="H232" s="1857"/>
      <c r="I232" s="1857"/>
      <c r="J232" s="1858"/>
      <c r="K232" s="122"/>
      <c r="Q232" s="1133"/>
    </row>
    <row r="233" spans="2:17" ht="18" x14ac:dyDescent="0.3">
      <c r="B233" s="126"/>
      <c r="C233" s="581" t="str">
        <f>""</f>
        <v/>
      </c>
      <c r="D233" s="558" t="s">
        <v>51</v>
      </c>
      <c r="E233" s="558" t="s">
        <v>636</v>
      </c>
      <c r="F233" s="1859" t="s">
        <v>450</v>
      </c>
      <c r="G233" s="1859"/>
      <c r="H233" s="1859"/>
      <c r="I233" s="1859"/>
      <c r="J233" s="1860"/>
      <c r="K233" s="122"/>
      <c r="Q233" s="1133"/>
    </row>
    <row r="234" spans="2:17" ht="18" x14ac:dyDescent="0.3">
      <c r="B234" s="126"/>
      <c r="C234" s="581" t="str">
        <f>Psi.FI_Max</f>
        <v>N/A</v>
      </c>
      <c r="D234" s="558" t="s">
        <v>51</v>
      </c>
      <c r="E234" s="558" t="s">
        <v>635</v>
      </c>
      <c r="F234" s="1859" t="s">
        <v>1294</v>
      </c>
      <c r="G234" s="1859"/>
      <c r="H234" s="1859"/>
      <c r="I234" s="1859"/>
      <c r="J234" s="1860"/>
      <c r="K234" s="122"/>
      <c r="Q234" s="1133"/>
    </row>
    <row r="235" spans="2:17" ht="18" x14ac:dyDescent="0.3">
      <c r="B235" s="126"/>
      <c r="C235" s="581" t="str">
        <f>Psi.FO_Max</f>
        <v>N/A</v>
      </c>
      <c r="D235" s="558" t="s">
        <v>51</v>
      </c>
      <c r="E235" s="134" t="s">
        <v>634</v>
      </c>
      <c r="F235" s="1859" t="s">
        <v>449</v>
      </c>
      <c r="G235" s="1859"/>
      <c r="H235" s="1859"/>
      <c r="I235" s="1859"/>
      <c r="J235" s="1860"/>
      <c r="K235" s="122"/>
      <c r="Q235" s="1133"/>
    </row>
    <row r="236" spans="2:17" ht="18" x14ac:dyDescent="0.3">
      <c r="B236" s="126"/>
      <c r="C236" s="581">
        <f>'Test Conditions'!C82</f>
        <v>0</v>
      </c>
      <c r="D236" s="550" t="s">
        <v>563</v>
      </c>
      <c r="E236" s="550" t="s">
        <v>564</v>
      </c>
      <c r="F236" s="1855" t="s">
        <v>556</v>
      </c>
      <c r="G236" s="1855"/>
      <c r="H236" s="1855"/>
      <c r="I236" s="1855"/>
      <c r="J236" s="1856"/>
      <c r="K236" s="122"/>
      <c r="Q236" s="1133"/>
    </row>
    <row r="237" spans="2:17" ht="18" x14ac:dyDescent="0.3">
      <c r="B237" s="126"/>
      <c r="C237" s="581">
        <f>'Test Conditions'!C83</f>
        <v>0</v>
      </c>
      <c r="D237" s="550" t="s">
        <v>563</v>
      </c>
      <c r="E237" s="550" t="s">
        <v>565</v>
      </c>
      <c r="F237" s="1855" t="s">
        <v>557</v>
      </c>
      <c r="G237" s="1855"/>
      <c r="H237" s="1855"/>
      <c r="I237" s="1855"/>
      <c r="J237" s="1856"/>
      <c r="K237" s="122"/>
      <c r="Q237" s="1133"/>
    </row>
    <row r="238" spans="2:17" x14ac:dyDescent="0.3">
      <c r="B238" s="126"/>
      <c r="C238" s="581">
        <f>'Test Conditions'!C84</f>
        <v>0</v>
      </c>
      <c r="D238" s="550" t="s">
        <v>555</v>
      </c>
      <c r="E238" s="550" t="s">
        <v>554</v>
      </c>
      <c r="F238" s="1855" t="s">
        <v>558</v>
      </c>
      <c r="G238" s="1855"/>
      <c r="H238" s="1855"/>
      <c r="I238" s="1855"/>
      <c r="J238" s="1856"/>
      <c r="K238" s="122"/>
      <c r="Q238" s="1133"/>
    </row>
    <row r="239" spans="2:17" ht="18" x14ac:dyDescent="0.3">
      <c r="B239" s="126"/>
      <c r="C239" s="581" t="str">
        <f>'Test Conditions'!C91</f>
        <v/>
      </c>
      <c r="D239" s="558" t="s">
        <v>36</v>
      </c>
      <c r="E239" s="558" t="s">
        <v>580</v>
      </c>
      <c r="F239" s="1857"/>
      <c r="G239" s="1857"/>
      <c r="H239" s="1857"/>
      <c r="I239" s="1857"/>
      <c r="J239" s="1858"/>
      <c r="K239" s="122"/>
      <c r="Q239" s="1133"/>
    </row>
    <row r="240" spans="2:17" ht="18" x14ac:dyDescent="0.3">
      <c r="B240" s="126"/>
      <c r="C240" s="582" t="str">
        <f ca="1">D.F_Max</f>
        <v>N/A</v>
      </c>
      <c r="D240" s="558" t="s">
        <v>175</v>
      </c>
      <c r="E240" s="558" t="s">
        <v>620</v>
      </c>
      <c r="F240" s="1857" t="s">
        <v>439</v>
      </c>
      <c r="G240" s="1857"/>
      <c r="H240" s="1857"/>
      <c r="I240" s="1857"/>
      <c r="J240" s="1858"/>
      <c r="K240" s="122"/>
      <c r="Q240" s="1133"/>
    </row>
    <row r="241" spans="2:17" ht="18" x14ac:dyDescent="0.3">
      <c r="B241" s="126"/>
      <c r="C241" s="582" t="str">
        <f>DO.S_Max</f>
        <v>N/A</v>
      </c>
      <c r="D241" s="558" t="s">
        <v>175</v>
      </c>
      <c r="E241" s="558" t="s">
        <v>623</v>
      </c>
      <c r="F241" s="1857" t="s">
        <v>73</v>
      </c>
      <c r="G241" s="1857"/>
      <c r="H241" s="1857"/>
      <c r="I241" s="1857"/>
      <c r="J241" s="1858"/>
      <c r="K241" s="122"/>
      <c r="Q241" s="1133"/>
    </row>
    <row r="242" spans="2:17" x14ac:dyDescent="0.3">
      <c r="B242" s="126"/>
      <c r="C242" s="603" t="str">
        <f>SF_Max</f>
        <v>N/A</v>
      </c>
      <c r="D242" s="558" t="s">
        <v>175</v>
      </c>
      <c r="E242" s="558" t="s">
        <v>60</v>
      </c>
      <c r="F242" s="1857" t="s">
        <v>412</v>
      </c>
      <c r="G242" s="1857"/>
      <c r="H242" s="1857"/>
      <c r="I242" s="1857"/>
      <c r="J242" s="1858"/>
      <c r="K242" s="122"/>
      <c r="Q242" s="1133"/>
    </row>
    <row r="243" spans="2:17" ht="18" x14ac:dyDescent="0.3">
      <c r="B243" s="126"/>
      <c r="C243" s="602" t="e">
        <f ca="1">SUMPRODUCT(M247:M346*((100-N247:N346)*I247:I346*J247:J346+N247:N346*K247:K346*L247:L346))*C231/
(SUMPRODUCT(((100-C232)*E247:E346*F247:F346+C232*G247:G346*H247:H346))*C231)</f>
        <v>#VALUE!</v>
      </c>
      <c r="D243" s="558" t="s">
        <v>175</v>
      </c>
      <c r="E243" s="558" t="s">
        <v>637</v>
      </c>
      <c r="F243" s="1857" t="s">
        <v>451</v>
      </c>
      <c r="G243" s="1857"/>
      <c r="H243" s="1857"/>
      <c r="I243" s="1857"/>
      <c r="J243" s="1858"/>
      <c r="K243" s="122"/>
      <c r="Q243" s="1133"/>
    </row>
    <row r="244" spans="2:17" ht="18.75" thickBot="1" x14ac:dyDescent="0.35">
      <c r="B244" s="126"/>
      <c r="C244" s="604" t="e">
        <f ca="1">SUMPRODUCT(M247:M346*((100-N247:N346)*J247:J346+N247:N346*L247:L346))*C231/(
SUMPRODUCT(((100-C232)*F247:F346+C232*H247:H346))*C231)</f>
        <v>#VALUE!</v>
      </c>
      <c r="D244" s="605" t="s">
        <v>175</v>
      </c>
      <c r="E244" s="605" t="s">
        <v>638</v>
      </c>
      <c r="F244" s="1861" t="s">
        <v>452</v>
      </c>
      <c r="G244" s="1861"/>
      <c r="H244" s="1861"/>
      <c r="I244" s="1861"/>
      <c r="J244" s="1862"/>
      <c r="K244" s="122"/>
      <c r="Q244" s="1133"/>
    </row>
    <row r="245" spans="2:17" ht="17.25" thickBot="1" x14ac:dyDescent="0.35">
      <c r="B245" s="126"/>
      <c r="C245" s="606"/>
      <c r="D245" s="559"/>
      <c r="E245" s="585"/>
      <c r="F245" s="585"/>
      <c r="G245" s="585"/>
      <c r="H245" s="585"/>
      <c r="I245" s="585"/>
      <c r="J245" s="542"/>
      <c r="Q245" s="1133"/>
    </row>
    <row r="246" spans="2:17" ht="18" x14ac:dyDescent="0.3">
      <c r="B246" s="126"/>
      <c r="C246" s="631" t="s">
        <v>584</v>
      </c>
      <c r="D246" s="632" t="s">
        <v>547</v>
      </c>
      <c r="E246" s="633" t="s">
        <v>1029</v>
      </c>
      <c r="F246" s="633" t="s">
        <v>1030</v>
      </c>
      <c r="G246" s="633" t="s">
        <v>1031</v>
      </c>
      <c r="H246" s="633" t="s">
        <v>1028</v>
      </c>
      <c r="I246" s="633" t="s">
        <v>1032</v>
      </c>
      <c r="J246" s="633" t="s">
        <v>1033</v>
      </c>
      <c r="K246" s="633" t="s">
        <v>1034</v>
      </c>
      <c r="L246" s="633" t="s">
        <v>1035</v>
      </c>
      <c r="M246" s="634" t="s">
        <v>1027</v>
      </c>
      <c r="N246" s="634" t="s">
        <v>664</v>
      </c>
      <c r="O246" s="635" t="s">
        <v>665</v>
      </c>
      <c r="Q246" s="1133"/>
    </row>
    <row r="247" spans="2:17" x14ac:dyDescent="0.3">
      <c r="B247" s="126"/>
      <c r="C247" s="607">
        <v>1</v>
      </c>
      <c r="D247" s="561" t="str">
        <f>IFERROR(C247*$C$231*$C$228,"")</f>
        <v/>
      </c>
      <c r="E247" s="561" t="str">
        <f>IFERROR($C$233*EXP(-$D247/$C$229),"")</f>
        <v/>
      </c>
      <c r="F247" s="561" t="str">
        <f>IFERROR(($E247+28)^(0.56)/(($E247+530)^(1.19)),"")</f>
        <v/>
      </c>
      <c r="G247" s="561" t="str">
        <f t="shared" ref="G247:G310" si="2">IFERROR(E247+100,"")</f>
        <v/>
      </c>
      <c r="H247" s="561" t="str">
        <f>IFERROR(($E247+128)^(0.56)/(($E247+630)^(1.19)),"")</f>
        <v/>
      </c>
      <c r="I247" s="561" t="str">
        <f ca="1">IFERROR($O247*EXP(-$D247/$C$229),"")</f>
        <v/>
      </c>
      <c r="J247" s="561" t="str">
        <f ca="1">IFERROR(($I247+28)^(0.56)/(($I247+530)^(1.19)),"")</f>
        <v/>
      </c>
      <c r="K247" s="561" t="str">
        <f ca="1">IFERROR(I247+100,"")</f>
        <v/>
      </c>
      <c r="L247" s="561" t="str">
        <f ca="1">IFERROR(($I247+128)^(0.56)/(($I247+630)^(1.19)),"")</f>
        <v/>
      </c>
      <c r="M247" s="560" t="str">
        <f t="shared" ref="M247:M310" si="3">IFERROR(IF(D247&lt;$C$226,1,
IF(D247&lt;$C$227,SQRT(5/(5+(2.6*(($C$237/$C$236)*SIN((PI()/2-$C$238)*(D247-$C$226)/($C$227-$C$226)))^1.58)/((1-($C$237/$C$236)*SIN((PI()/2-$C$238)*(D247-$C$226)/($C$227-$C$226)))^2))),
$C$239)),"")</f>
        <v/>
      </c>
      <c r="N247" s="560" t="str">
        <f t="shared" ref="N247:N310" ca="1" si="4">IFERROR(IF($C$242*$M247*$C$241&gt;$C$240,$C$240*$C$234/($C$242*$M247*$C$241),$C$234),"")</f>
        <v/>
      </c>
      <c r="O247" s="636" t="str">
        <f ca="1">IFERROR(IF($C$242*$M247*$C$241&gt;$C$240,$C$240*$C$235/($C$242*$M247*$C$241),$C$235),"")</f>
        <v/>
      </c>
      <c r="Q247" s="1133"/>
    </row>
    <row r="248" spans="2:17" x14ac:dyDescent="0.3">
      <c r="B248" s="126"/>
      <c r="C248" s="607">
        <v>2</v>
      </c>
      <c r="D248" s="561" t="str">
        <f t="shared" ref="D248:D311" si="5">IFERROR(C248*$C$231*$C$228,"")</f>
        <v/>
      </c>
      <c r="E248" s="561" t="str">
        <f t="shared" ref="E248:E311" si="6">IFERROR($C$233*EXP(-$D248/$C$229),"")</f>
        <v/>
      </c>
      <c r="F248" s="561" t="str">
        <f t="shared" ref="F248:F311" si="7">IFERROR(($E248+28)^(0.56)/(($E248+530)^(1.19)),"")</f>
        <v/>
      </c>
      <c r="G248" s="561" t="str">
        <f t="shared" si="2"/>
        <v/>
      </c>
      <c r="H248" s="561" t="str">
        <f t="shared" ref="H248:H311" si="8">IFERROR(($E248+128)^(0.56)/(($E248+630)^(1.19)),"")</f>
        <v/>
      </c>
      <c r="I248" s="561" t="str">
        <f t="shared" ref="I248:I311" ca="1" si="9">IFERROR($O248*EXP(-$D248/$C$229),"")</f>
        <v/>
      </c>
      <c r="J248" s="561" t="str">
        <f t="shared" ref="J248:J311" ca="1" si="10">IFERROR(($I248+28)^(0.56)/(($I248+530)^(1.19)),"")</f>
        <v/>
      </c>
      <c r="K248" s="561" t="str">
        <f t="shared" ref="K248:K311" ca="1" si="11">IFERROR(I248+100,"")</f>
        <v/>
      </c>
      <c r="L248" s="561" t="str">
        <f t="shared" ref="L248:L311" ca="1" si="12">IFERROR(($I248+128)^(0.56)/(($I248+630)^(1.19)),"")</f>
        <v/>
      </c>
      <c r="M248" s="560" t="str">
        <f t="shared" si="3"/>
        <v/>
      </c>
      <c r="N248" s="560" t="str">
        <f t="shared" ca="1" si="4"/>
        <v/>
      </c>
      <c r="O248" s="636" t="str">
        <f t="shared" ref="O248:O311" ca="1" si="13">IFERROR(IF($C$242*$M248*$C$241&gt;$C$240,$C$240*$C$235/($C$242*$M248*$C$241),$C$235),"")</f>
        <v/>
      </c>
      <c r="Q248" s="1133"/>
    </row>
    <row r="249" spans="2:17" x14ac:dyDescent="0.3">
      <c r="B249" s="126"/>
      <c r="C249" s="607">
        <v>3</v>
      </c>
      <c r="D249" s="561" t="str">
        <f t="shared" si="5"/>
        <v/>
      </c>
      <c r="E249" s="561" t="str">
        <f t="shared" si="6"/>
        <v/>
      </c>
      <c r="F249" s="561" t="str">
        <f t="shared" si="7"/>
        <v/>
      </c>
      <c r="G249" s="561" t="str">
        <f t="shared" si="2"/>
        <v/>
      </c>
      <c r="H249" s="561" t="str">
        <f t="shared" si="8"/>
        <v/>
      </c>
      <c r="I249" s="561" t="str">
        <f t="shared" ca="1" si="9"/>
        <v/>
      </c>
      <c r="J249" s="561" t="str">
        <f t="shared" ca="1" si="10"/>
        <v/>
      </c>
      <c r="K249" s="561" t="str">
        <f t="shared" ca="1" si="11"/>
        <v/>
      </c>
      <c r="L249" s="561" t="str">
        <f t="shared" ca="1" si="12"/>
        <v/>
      </c>
      <c r="M249" s="560" t="str">
        <f t="shared" si="3"/>
        <v/>
      </c>
      <c r="N249" s="560" t="str">
        <f t="shared" ca="1" si="4"/>
        <v/>
      </c>
      <c r="O249" s="636" t="str">
        <f t="shared" ca="1" si="13"/>
        <v/>
      </c>
      <c r="Q249" s="1133"/>
    </row>
    <row r="250" spans="2:17" x14ac:dyDescent="0.3">
      <c r="B250" s="126"/>
      <c r="C250" s="607">
        <v>4</v>
      </c>
      <c r="D250" s="561" t="str">
        <f t="shared" si="5"/>
        <v/>
      </c>
      <c r="E250" s="561" t="str">
        <f t="shared" si="6"/>
        <v/>
      </c>
      <c r="F250" s="561" t="str">
        <f t="shared" si="7"/>
        <v/>
      </c>
      <c r="G250" s="561" t="str">
        <f t="shared" si="2"/>
        <v/>
      </c>
      <c r="H250" s="561" t="str">
        <f t="shared" si="8"/>
        <v/>
      </c>
      <c r="I250" s="561" t="str">
        <f t="shared" ca="1" si="9"/>
        <v/>
      </c>
      <c r="J250" s="561" t="str">
        <f t="shared" ca="1" si="10"/>
        <v/>
      </c>
      <c r="K250" s="561" t="str">
        <f t="shared" ca="1" si="11"/>
        <v/>
      </c>
      <c r="L250" s="561" t="str">
        <f t="shared" ca="1" si="12"/>
        <v/>
      </c>
      <c r="M250" s="560" t="str">
        <f t="shared" si="3"/>
        <v/>
      </c>
      <c r="N250" s="560" t="str">
        <f t="shared" ca="1" si="4"/>
        <v/>
      </c>
      <c r="O250" s="636" t="str">
        <f t="shared" ca="1" si="13"/>
        <v/>
      </c>
      <c r="Q250" s="1133"/>
    </row>
    <row r="251" spans="2:17" x14ac:dyDescent="0.3">
      <c r="B251" s="126"/>
      <c r="C251" s="607">
        <v>5</v>
      </c>
      <c r="D251" s="561" t="str">
        <f t="shared" si="5"/>
        <v/>
      </c>
      <c r="E251" s="561" t="str">
        <f t="shared" si="6"/>
        <v/>
      </c>
      <c r="F251" s="561" t="str">
        <f t="shared" si="7"/>
        <v/>
      </c>
      <c r="G251" s="561" t="str">
        <f t="shared" si="2"/>
        <v/>
      </c>
      <c r="H251" s="561" t="str">
        <f t="shared" si="8"/>
        <v/>
      </c>
      <c r="I251" s="561" t="str">
        <f t="shared" ca="1" si="9"/>
        <v/>
      </c>
      <c r="J251" s="561" t="str">
        <f t="shared" ca="1" si="10"/>
        <v/>
      </c>
      <c r="K251" s="561" t="str">
        <f t="shared" ca="1" si="11"/>
        <v/>
      </c>
      <c r="L251" s="561" t="str">
        <f t="shared" ca="1" si="12"/>
        <v/>
      </c>
      <c r="M251" s="560" t="str">
        <f t="shared" si="3"/>
        <v/>
      </c>
      <c r="N251" s="560" t="str">
        <f t="shared" ca="1" si="4"/>
        <v/>
      </c>
      <c r="O251" s="636" t="str">
        <f t="shared" ca="1" si="13"/>
        <v/>
      </c>
      <c r="Q251" s="1133"/>
    </row>
    <row r="252" spans="2:17" x14ac:dyDescent="0.3">
      <c r="B252" s="126"/>
      <c r="C252" s="607">
        <v>6</v>
      </c>
      <c r="D252" s="561" t="str">
        <f t="shared" si="5"/>
        <v/>
      </c>
      <c r="E252" s="561" t="str">
        <f t="shared" si="6"/>
        <v/>
      </c>
      <c r="F252" s="561" t="str">
        <f t="shared" si="7"/>
        <v/>
      </c>
      <c r="G252" s="561" t="str">
        <f t="shared" si="2"/>
        <v/>
      </c>
      <c r="H252" s="561" t="str">
        <f t="shared" si="8"/>
        <v/>
      </c>
      <c r="I252" s="561" t="str">
        <f t="shared" ca="1" si="9"/>
        <v/>
      </c>
      <c r="J252" s="561" t="str">
        <f t="shared" ca="1" si="10"/>
        <v/>
      </c>
      <c r="K252" s="561" t="str">
        <f t="shared" ca="1" si="11"/>
        <v/>
      </c>
      <c r="L252" s="561" t="str">
        <f t="shared" ca="1" si="12"/>
        <v/>
      </c>
      <c r="M252" s="560" t="str">
        <f t="shared" si="3"/>
        <v/>
      </c>
      <c r="N252" s="560" t="str">
        <f t="shared" ca="1" si="4"/>
        <v/>
      </c>
      <c r="O252" s="636" t="str">
        <f t="shared" ca="1" si="13"/>
        <v/>
      </c>
      <c r="Q252" s="1133"/>
    </row>
    <row r="253" spans="2:17" x14ac:dyDescent="0.3">
      <c r="B253" s="126"/>
      <c r="C253" s="607">
        <v>7</v>
      </c>
      <c r="D253" s="561" t="str">
        <f t="shared" si="5"/>
        <v/>
      </c>
      <c r="E253" s="561" t="str">
        <f t="shared" si="6"/>
        <v/>
      </c>
      <c r="F253" s="561" t="str">
        <f t="shared" si="7"/>
        <v/>
      </c>
      <c r="G253" s="561" t="str">
        <f t="shared" si="2"/>
        <v/>
      </c>
      <c r="H253" s="561" t="str">
        <f t="shared" si="8"/>
        <v/>
      </c>
      <c r="I253" s="561" t="str">
        <f t="shared" ca="1" si="9"/>
        <v/>
      </c>
      <c r="J253" s="561" t="str">
        <f t="shared" ca="1" si="10"/>
        <v/>
      </c>
      <c r="K253" s="561" t="str">
        <f t="shared" ca="1" si="11"/>
        <v/>
      </c>
      <c r="L253" s="561" t="str">
        <f t="shared" ca="1" si="12"/>
        <v/>
      </c>
      <c r="M253" s="560" t="str">
        <f t="shared" si="3"/>
        <v/>
      </c>
      <c r="N253" s="560" t="str">
        <f t="shared" ca="1" si="4"/>
        <v/>
      </c>
      <c r="O253" s="636" t="str">
        <f t="shared" ca="1" si="13"/>
        <v/>
      </c>
      <c r="Q253" s="1133"/>
    </row>
    <row r="254" spans="2:17" x14ac:dyDescent="0.3">
      <c r="B254" s="126"/>
      <c r="C254" s="607">
        <v>8</v>
      </c>
      <c r="D254" s="561" t="str">
        <f t="shared" si="5"/>
        <v/>
      </c>
      <c r="E254" s="561" t="str">
        <f t="shared" si="6"/>
        <v/>
      </c>
      <c r="F254" s="561" t="str">
        <f t="shared" si="7"/>
        <v/>
      </c>
      <c r="G254" s="561" t="str">
        <f t="shared" si="2"/>
        <v/>
      </c>
      <c r="H254" s="561" t="str">
        <f t="shared" si="8"/>
        <v/>
      </c>
      <c r="I254" s="561" t="str">
        <f t="shared" ca="1" si="9"/>
        <v/>
      </c>
      <c r="J254" s="561" t="str">
        <f t="shared" ca="1" si="10"/>
        <v/>
      </c>
      <c r="K254" s="561" t="str">
        <f t="shared" ca="1" si="11"/>
        <v/>
      </c>
      <c r="L254" s="561" t="str">
        <f t="shared" ca="1" si="12"/>
        <v/>
      </c>
      <c r="M254" s="560" t="str">
        <f t="shared" si="3"/>
        <v/>
      </c>
      <c r="N254" s="560" t="str">
        <f t="shared" ca="1" si="4"/>
        <v/>
      </c>
      <c r="O254" s="636" t="str">
        <f t="shared" ca="1" si="13"/>
        <v/>
      </c>
      <c r="Q254" s="1133"/>
    </row>
    <row r="255" spans="2:17" x14ac:dyDescent="0.3">
      <c r="B255" s="126"/>
      <c r="C255" s="607">
        <v>9</v>
      </c>
      <c r="D255" s="561" t="str">
        <f t="shared" si="5"/>
        <v/>
      </c>
      <c r="E255" s="561" t="str">
        <f t="shared" si="6"/>
        <v/>
      </c>
      <c r="F255" s="561" t="str">
        <f t="shared" si="7"/>
        <v/>
      </c>
      <c r="G255" s="561" t="str">
        <f t="shared" si="2"/>
        <v/>
      </c>
      <c r="H255" s="561" t="str">
        <f t="shared" si="8"/>
        <v/>
      </c>
      <c r="I255" s="561" t="str">
        <f t="shared" ca="1" si="9"/>
        <v/>
      </c>
      <c r="J255" s="561" t="str">
        <f t="shared" ca="1" si="10"/>
        <v/>
      </c>
      <c r="K255" s="561" t="str">
        <f t="shared" ca="1" si="11"/>
        <v/>
      </c>
      <c r="L255" s="561" t="str">
        <f t="shared" ca="1" si="12"/>
        <v/>
      </c>
      <c r="M255" s="560" t="str">
        <f t="shared" si="3"/>
        <v/>
      </c>
      <c r="N255" s="560" t="str">
        <f t="shared" ca="1" si="4"/>
        <v/>
      </c>
      <c r="O255" s="636" t="str">
        <f t="shared" ca="1" si="13"/>
        <v/>
      </c>
      <c r="Q255" s="1133"/>
    </row>
    <row r="256" spans="2:17" x14ac:dyDescent="0.3">
      <c r="B256" s="126"/>
      <c r="C256" s="607">
        <v>10</v>
      </c>
      <c r="D256" s="561" t="str">
        <f t="shared" si="5"/>
        <v/>
      </c>
      <c r="E256" s="561" t="str">
        <f t="shared" si="6"/>
        <v/>
      </c>
      <c r="F256" s="561" t="str">
        <f t="shared" si="7"/>
        <v/>
      </c>
      <c r="G256" s="561" t="str">
        <f t="shared" si="2"/>
        <v/>
      </c>
      <c r="H256" s="561" t="str">
        <f t="shared" si="8"/>
        <v/>
      </c>
      <c r="I256" s="561" t="str">
        <f t="shared" ca="1" si="9"/>
        <v/>
      </c>
      <c r="J256" s="561" t="str">
        <f t="shared" ca="1" si="10"/>
        <v/>
      </c>
      <c r="K256" s="561" t="str">
        <f t="shared" ca="1" si="11"/>
        <v/>
      </c>
      <c r="L256" s="561" t="str">
        <f t="shared" ca="1" si="12"/>
        <v/>
      </c>
      <c r="M256" s="560" t="str">
        <f t="shared" si="3"/>
        <v/>
      </c>
      <c r="N256" s="560" t="str">
        <f t="shared" ca="1" si="4"/>
        <v/>
      </c>
      <c r="O256" s="636" t="str">
        <f t="shared" ca="1" si="13"/>
        <v/>
      </c>
      <c r="Q256" s="1133"/>
    </row>
    <row r="257" spans="2:17" x14ac:dyDescent="0.3">
      <c r="B257" s="126"/>
      <c r="C257" s="607">
        <v>11</v>
      </c>
      <c r="D257" s="561" t="str">
        <f t="shared" si="5"/>
        <v/>
      </c>
      <c r="E257" s="561" t="str">
        <f t="shared" si="6"/>
        <v/>
      </c>
      <c r="F257" s="561" t="str">
        <f t="shared" si="7"/>
        <v/>
      </c>
      <c r="G257" s="561" t="str">
        <f t="shared" si="2"/>
        <v/>
      </c>
      <c r="H257" s="561" t="str">
        <f t="shared" si="8"/>
        <v/>
      </c>
      <c r="I257" s="561" t="str">
        <f t="shared" ca="1" si="9"/>
        <v/>
      </c>
      <c r="J257" s="561" t="str">
        <f t="shared" ca="1" si="10"/>
        <v/>
      </c>
      <c r="K257" s="561" t="str">
        <f t="shared" ca="1" si="11"/>
        <v/>
      </c>
      <c r="L257" s="561" t="str">
        <f t="shared" ca="1" si="12"/>
        <v/>
      </c>
      <c r="M257" s="560" t="str">
        <f t="shared" si="3"/>
        <v/>
      </c>
      <c r="N257" s="560" t="str">
        <f t="shared" ca="1" si="4"/>
        <v/>
      </c>
      <c r="O257" s="636" t="str">
        <f t="shared" ca="1" si="13"/>
        <v/>
      </c>
      <c r="Q257" s="1133"/>
    </row>
    <row r="258" spans="2:17" x14ac:dyDescent="0.3">
      <c r="B258" s="126"/>
      <c r="C258" s="607">
        <v>12</v>
      </c>
      <c r="D258" s="561" t="str">
        <f t="shared" si="5"/>
        <v/>
      </c>
      <c r="E258" s="561" t="str">
        <f t="shared" si="6"/>
        <v/>
      </c>
      <c r="F258" s="561" t="str">
        <f t="shared" si="7"/>
        <v/>
      </c>
      <c r="G258" s="561" t="str">
        <f t="shared" si="2"/>
        <v/>
      </c>
      <c r="H258" s="561" t="str">
        <f t="shared" si="8"/>
        <v/>
      </c>
      <c r="I258" s="561" t="str">
        <f t="shared" ca="1" si="9"/>
        <v/>
      </c>
      <c r="J258" s="561" t="str">
        <f t="shared" ca="1" si="10"/>
        <v/>
      </c>
      <c r="K258" s="561" t="str">
        <f t="shared" ca="1" si="11"/>
        <v/>
      </c>
      <c r="L258" s="561" t="str">
        <f t="shared" ca="1" si="12"/>
        <v/>
      </c>
      <c r="M258" s="560" t="str">
        <f t="shared" si="3"/>
        <v/>
      </c>
      <c r="N258" s="560" t="str">
        <f t="shared" ca="1" si="4"/>
        <v/>
      </c>
      <c r="O258" s="636" t="str">
        <f t="shared" ca="1" si="13"/>
        <v/>
      </c>
      <c r="Q258" s="1133"/>
    </row>
    <row r="259" spans="2:17" x14ac:dyDescent="0.3">
      <c r="B259" s="126"/>
      <c r="C259" s="607">
        <v>13</v>
      </c>
      <c r="D259" s="561" t="str">
        <f t="shared" si="5"/>
        <v/>
      </c>
      <c r="E259" s="561" t="str">
        <f t="shared" si="6"/>
        <v/>
      </c>
      <c r="F259" s="561" t="str">
        <f t="shared" si="7"/>
        <v/>
      </c>
      <c r="G259" s="561" t="str">
        <f t="shared" si="2"/>
        <v/>
      </c>
      <c r="H259" s="561" t="str">
        <f t="shared" si="8"/>
        <v/>
      </c>
      <c r="I259" s="561" t="str">
        <f t="shared" ca="1" si="9"/>
        <v/>
      </c>
      <c r="J259" s="561" t="str">
        <f t="shared" ca="1" si="10"/>
        <v/>
      </c>
      <c r="K259" s="561" t="str">
        <f t="shared" ca="1" si="11"/>
        <v/>
      </c>
      <c r="L259" s="561" t="str">
        <f t="shared" ca="1" si="12"/>
        <v/>
      </c>
      <c r="M259" s="560" t="str">
        <f t="shared" si="3"/>
        <v/>
      </c>
      <c r="N259" s="560" t="str">
        <f t="shared" ca="1" si="4"/>
        <v/>
      </c>
      <c r="O259" s="636" t="str">
        <f t="shared" ca="1" si="13"/>
        <v/>
      </c>
      <c r="Q259" s="1133"/>
    </row>
    <row r="260" spans="2:17" x14ac:dyDescent="0.3">
      <c r="B260" s="126"/>
      <c r="C260" s="607">
        <v>14</v>
      </c>
      <c r="D260" s="561" t="str">
        <f t="shared" si="5"/>
        <v/>
      </c>
      <c r="E260" s="561" t="str">
        <f t="shared" si="6"/>
        <v/>
      </c>
      <c r="F260" s="561" t="str">
        <f t="shared" si="7"/>
        <v/>
      </c>
      <c r="G260" s="561" t="str">
        <f t="shared" si="2"/>
        <v/>
      </c>
      <c r="H260" s="561" t="str">
        <f t="shared" si="8"/>
        <v/>
      </c>
      <c r="I260" s="561" t="str">
        <f t="shared" ca="1" si="9"/>
        <v/>
      </c>
      <c r="J260" s="561" t="str">
        <f t="shared" ca="1" si="10"/>
        <v/>
      </c>
      <c r="K260" s="561" t="str">
        <f t="shared" ca="1" si="11"/>
        <v/>
      </c>
      <c r="L260" s="561" t="str">
        <f t="shared" ca="1" si="12"/>
        <v/>
      </c>
      <c r="M260" s="560" t="str">
        <f t="shared" si="3"/>
        <v/>
      </c>
      <c r="N260" s="560" t="str">
        <f t="shared" ca="1" si="4"/>
        <v/>
      </c>
      <c r="O260" s="636" t="str">
        <f t="shared" ca="1" si="13"/>
        <v/>
      </c>
      <c r="Q260" s="1133"/>
    </row>
    <row r="261" spans="2:17" x14ac:dyDescent="0.3">
      <c r="B261" s="126"/>
      <c r="C261" s="607">
        <v>15</v>
      </c>
      <c r="D261" s="561" t="str">
        <f t="shared" si="5"/>
        <v/>
      </c>
      <c r="E261" s="561" t="str">
        <f t="shared" si="6"/>
        <v/>
      </c>
      <c r="F261" s="561" t="str">
        <f t="shared" si="7"/>
        <v/>
      </c>
      <c r="G261" s="561" t="str">
        <f t="shared" si="2"/>
        <v/>
      </c>
      <c r="H261" s="561" t="str">
        <f t="shared" si="8"/>
        <v/>
      </c>
      <c r="I261" s="561" t="str">
        <f t="shared" ca="1" si="9"/>
        <v/>
      </c>
      <c r="J261" s="561" t="str">
        <f t="shared" ca="1" si="10"/>
        <v/>
      </c>
      <c r="K261" s="561" t="str">
        <f t="shared" ca="1" si="11"/>
        <v/>
      </c>
      <c r="L261" s="561" t="str">
        <f t="shared" ca="1" si="12"/>
        <v/>
      </c>
      <c r="M261" s="560" t="str">
        <f t="shared" si="3"/>
        <v/>
      </c>
      <c r="N261" s="560" t="str">
        <f t="shared" ca="1" si="4"/>
        <v/>
      </c>
      <c r="O261" s="636" t="str">
        <f t="shared" ca="1" si="13"/>
        <v/>
      </c>
      <c r="Q261" s="1133"/>
    </row>
    <row r="262" spans="2:17" x14ac:dyDescent="0.3">
      <c r="B262" s="126"/>
      <c r="C262" s="607">
        <v>16</v>
      </c>
      <c r="D262" s="561" t="str">
        <f t="shared" si="5"/>
        <v/>
      </c>
      <c r="E262" s="561" t="str">
        <f t="shared" si="6"/>
        <v/>
      </c>
      <c r="F262" s="561" t="str">
        <f t="shared" si="7"/>
        <v/>
      </c>
      <c r="G262" s="561" t="str">
        <f t="shared" si="2"/>
        <v/>
      </c>
      <c r="H262" s="561" t="str">
        <f t="shared" si="8"/>
        <v/>
      </c>
      <c r="I262" s="561" t="str">
        <f t="shared" ca="1" si="9"/>
        <v/>
      </c>
      <c r="J262" s="561" t="str">
        <f t="shared" ca="1" si="10"/>
        <v/>
      </c>
      <c r="K262" s="561" t="str">
        <f t="shared" ca="1" si="11"/>
        <v/>
      </c>
      <c r="L262" s="561" t="str">
        <f t="shared" ca="1" si="12"/>
        <v/>
      </c>
      <c r="M262" s="560" t="str">
        <f t="shared" si="3"/>
        <v/>
      </c>
      <c r="N262" s="560" t="str">
        <f t="shared" ca="1" si="4"/>
        <v/>
      </c>
      <c r="O262" s="636" t="str">
        <f t="shared" ca="1" si="13"/>
        <v/>
      </c>
      <c r="Q262" s="1133"/>
    </row>
    <row r="263" spans="2:17" x14ac:dyDescent="0.3">
      <c r="B263" s="126"/>
      <c r="C263" s="607">
        <v>17</v>
      </c>
      <c r="D263" s="561" t="str">
        <f t="shared" si="5"/>
        <v/>
      </c>
      <c r="E263" s="561" t="str">
        <f t="shared" si="6"/>
        <v/>
      </c>
      <c r="F263" s="561" t="str">
        <f t="shared" si="7"/>
        <v/>
      </c>
      <c r="G263" s="561" t="str">
        <f t="shared" si="2"/>
        <v/>
      </c>
      <c r="H263" s="561" t="str">
        <f t="shared" si="8"/>
        <v/>
      </c>
      <c r="I263" s="561" t="str">
        <f t="shared" ca="1" si="9"/>
        <v/>
      </c>
      <c r="J263" s="561" t="str">
        <f t="shared" ca="1" si="10"/>
        <v/>
      </c>
      <c r="K263" s="561" t="str">
        <f t="shared" ca="1" si="11"/>
        <v/>
      </c>
      <c r="L263" s="561" t="str">
        <f t="shared" ca="1" si="12"/>
        <v/>
      </c>
      <c r="M263" s="560" t="str">
        <f t="shared" si="3"/>
        <v/>
      </c>
      <c r="N263" s="560" t="str">
        <f t="shared" ca="1" si="4"/>
        <v/>
      </c>
      <c r="O263" s="636" t="str">
        <f t="shared" ca="1" si="13"/>
        <v/>
      </c>
      <c r="Q263" s="1133"/>
    </row>
    <row r="264" spans="2:17" x14ac:dyDescent="0.3">
      <c r="B264" s="126"/>
      <c r="C264" s="607">
        <v>18</v>
      </c>
      <c r="D264" s="561" t="str">
        <f t="shared" si="5"/>
        <v/>
      </c>
      <c r="E264" s="561" t="str">
        <f t="shared" si="6"/>
        <v/>
      </c>
      <c r="F264" s="561" t="str">
        <f t="shared" si="7"/>
        <v/>
      </c>
      <c r="G264" s="561" t="str">
        <f t="shared" si="2"/>
        <v/>
      </c>
      <c r="H264" s="561" t="str">
        <f t="shared" si="8"/>
        <v/>
      </c>
      <c r="I264" s="561" t="str">
        <f t="shared" ca="1" si="9"/>
        <v/>
      </c>
      <c r="J264" s="561" t="str">
        <f t="shared" ca="1" si="10"/>
        <v/>
      </c>
      <c r="K264" s="561" t="str">
        <f t="shared" ca="1" si="11"/>
        <v/>
      </c>
      <c r="L264" s="561" t="str">
        <f t="shared" ca="1" si="12"/>
        <v/>
      </c>
      <c r="M264" s="560" t="str">
        <f t="shared" si="3"/>
        <v/>
      </c>
      <c r="N264" s="560" t="str">
        <f t="shared" ca="1" si="4"/>
        <v/>
      </c>
      <c r="O264" s="636" t="str">
        <f t="shared" ca="1" si="13"/>
        <v/>
      </c>
      <c r="Q264" s="1133"/>
    </row>
    <row r="265" spans="2:17" x14ac:dyDescent="0.3">
      <c r="B265" s="126"/>
      <c r="C265" s="607">
        <v>19</v>
      </c>
      <c r="D265" s="561" t="str">
        <f t="shared" si="5"/>
        <v/>
      </c>
      <c r="E265" s="561" t="str">
        <f t="shared" si="6"/>
        <v/>
      </c>
      <c r="F265" s="561" t="str">
        <f t="shared" si="7"/>
        <v/>
      </c>
      <c r="G265" s="561" t="str">
        <f t="shared" si="2"/>
        <v/>
      </c>
      <c r="H265" s="561" t="str">
        <f t="shared" si="8"/>
        <v/>
      </c>
      <c r="I265" s="561" t="str">
        <f t="shared" ca="1" si="9"/>
        <v/>
      </c>
      <c r="J265" s="561" t="str">
        <f t="shared" ca="1" si="10"/>
        <v/>
      </c>
      <c r="K265" s="561" t="str">
        <f t="shared" ca="1" si="11"/>
        <v/>
      </c>
      <c r="L265" s="561" t="str">
        <f t="shared" ca="1" si="12"/>
        <v/>
      </c>
      <c r="M265" s="560" t="str">
        <f t="shared" si="3"/>
        <v/>
      </c>
      <c r="N265" s="560" t="str">
        <f t="shared" ca="1" si="4"/>
        <v/>
      </c>
      <c r="O265" s="636" t="str">
        <f t="shared" ca="1" si="13"/>
        <v/>
      </c>
      <c r="Q265" s="1133"/>
    </row>
    <row r="266" spans="2:17" x14ac:dyDescent="0.3">
      <c r="B266" s="126"/>
      <c r="C266" s="607">
        <v>20</v>
      </c>
      <c r="D266" s="561" t="str">
        <f t="shared" si="5"/>
        <v/>
      </c>
      <c r="E266" s="561" t="str">
        <f t="shared" si="6"/>
        <v/>
      </c>
      <c r="F266" s="561" t="str">
        <f t="shared" si="7"/>
        <v/>
      </c>
      <c r="G266" s="561" t="str">
        <f t="shared" si="2"/>
        <v/>
      </c>
      <c r="H266" s="561" t="str">
        <f t="shared" si="8"/>
        <v/>
      </c>
      <c r="I266" s="561" t="str">
        <f t="shared" ca="1" si="9"/>
        <v/>
      </c>
      <c r="J266" s="561" t="str">
        <f t="shared" ca="1" si="10"/>
        <v/>
      </c>
      <c r="K266" s="561" t="str">
        <f t="shared" ca="1" si="11"/>
        <v/>
      </c>
      <c r="L266" s="561" t="str">
        <f t="shared" ca="1" si="12"/>
        <v/>
      </c>
      <c r="M266" s="560" t="str">
        <f t="shared" si="3"/>
        <v/>
      </c>
      <c r="N266" s="560" t="str">
        <f t="shared" ca="1" si="4"/>
        <v/>
      </c>
      <c r="O266" s="636" t="str">
        <f t="shared" ca="1" si="13"/>
        <v/>
      </c>
      <c r="Q266" s="1133"/>
    </row>
    <row r="267" spans="2:17" x14ac:dyDescent="0.3">
      <c r="B267" s="126"/>
      <c r="C267" s="607">
        <v>21</v>
      </c>
      <c r="D267" s="561" t="str">
        <f t="shared" si="5"/>
        <v/>
      </c>
      <c r="E267" s="561" t="str">
        <f t="shared" si="6"/>
        <v/>
      </c>
      <c r="F267" s="561" t="str">
        <f t="shared" si="7"/>
        <v/>
      </c>
      <c r="G267" s="561" t="str">
        <f t="shared" si="2"/>
        <v/>
      </c>
      <c r="H267" s="561" t="str">
        <f t="shared" si="8"/>
        <v/>
      </c>
      <c r="I267" s="561" t="str">
        <f t="shared" ca="1" si="9"/>
        <v/>
      </c>
      <c r="J267" s="561" t="str">
        <f t="shared" ca="1" si="10"/>
        <v/>
      </c>
      <c r="K267" s="561" t="str">
        <f t="shared" ca="1" si="11"/>
        <v/>
      </c>
      <c r="L267" s="561" t="str">
        <f t="shared" ca="1" si="12"/>
        <v/>
      </c>
      <c r="M267" s="560" t="str">
        <f t="shared" si="3"/>
        <v/>
      </c>
      <c r="N267" s="560" t="str">
        <f t="shared" ca="1" si="4"/>
        <v/>
      </c>
      <c r="O267" s="636" t="str">
        <f t="shared" ca="1" si="13"/>
        <v/>
      </c>
      <c r="Q267" s="1133"/>
    </row>
    <row r="268" spans="2:17" x14ac:dyDescent="0.3">
      <c r="B268" s="126"/>
      <c r="C268" s="607">
        <v>22</v>
      </c>
      <c r="D268" s="561" t="str">
        <f t="shared" si="5"/>
        <v/>
      </c>
      <c r="E268" s="561" t="str">
        <f t="shared" si="6"/>
        <v/>
      </c>
      <c r="F268" s="561" t="str">
        <f t="shared" si="7"/>
        <v/>
      </c>
      <c r="G268" s="561" t="str">
        <f t="shared" si="2"/>
        <v/>
      </c>
      <c r="H268" s="561" t="str">
        <f t="shared" si="8"/>
        <v/>
      </c>
      <c r="I268" s="561" t="str">
        <f t="shared" ca="1" si="9"/>
        <v/>
      </c>
      <c r="J268" s="561" t="str">
        <f t="shared" ca="1" si="10"/>
        <v/>
      </c>
      <c r="K268" s="561" t="str">
        <f t="shared" ca="1" si="11"/>
        <v/>
      </c>
      <c r="L268" s="561" t="str">
        <f t="shared" ca="1" si="12"/>
        <v/>
      </c>
      <c r="M268" s="560" t="str">
        <f t="shared" si="3"/>
        <v/>
      </c>
      <c r="N268" s="560" t="str">
        <f t="shared" ca="1" si="4"/>
        <v/>
      </c>
      <c r="O268" s="636" t="str">
        <f t="shared" ca="1" si="13"/>
        <v/>
      </c>
      <c r="Q268" s="1133"/>
    </row>
    <row r="269" spans="2:17" x14ac:dyDescent="0.3">
      <c r="B269" s="126"/>
      <c r="C269" s="607">
        <v>23</v>
      </c>
      <c r="D269" s="561" t="str">
        <f t="shared" si="5"/>
        <v/>
      </c>
      <c r="E269" s="561" t="str">
        <f t="shared" si="6"/>
        <v/>
      </c>
      <c r="F269" s="561" t="str">
        <f t="shared" si="7"/>
        <v/>
      </c>
      <c r="G269" s="561" t="str">
        <f t="shared" si="2"/>
        <v/>
      </c>
      <c r="H269" s="561" t="str">
        <f t="shared" si="8"/>
        <v/>
      </c>
      <c r="I269" s="561" t="str">
        <f t="shared" ca="1" si="9"/>
        <v/>
      </c>
      <c r="J269" s="561" t="str">
        <f t="shared" ca="1" si="10"/>
        <v/>
      </c>
      <c r="K269" s="561" t="str">
        <f t="shared" ca="1" si="11"/>
        <v/>
      </c>
      <c r="L269" s="561" t="str">
        <f t="shared" ca="1" si="12"/>
        <v/>
      </c>
      <c r="M269" s="560" t="str">
        <f t="shared" si="3"/>
        <v/>
      </c>
      <c r="N269" s="560" t="str">
        <f t="shared" ca="1" si="4"/>
        <v/>
      </c>
      <c r="O269" s="636" t="str">
        <f t="shared" ca="1" si="13"/>
        <v/>
      </c>
      <c r="Q269" s="1133"/>
    </row>
    <row r="270" spans="2:17" x14ac:dyDescent="0.3">
      <c r="B270" s="126"/>
      <c r="C270" s="607">
        <v>24</v>
      </c>
      <c r="D270" s="561" t="str">
        <f t="shared" si="5"/>
        <v/>
      </c>
      <c r="E270" s="561" t="str">
        <f t="shared" si="6"/>
        <v/>
      </c>
      <c r="F270" s="561" t="str">
        <f t="shared" si="7"/>
        <v/>
      </c>
      <c r="G270" s="561" t="str">
        <f t="shared" si="2"/>
        <v/>
      </c>
      <c r="H270" s="561" t="str">
        <f t="shared" si="8"/>
        <v/>
      </c>
      <c r="I270" s="561" t="str">
        <f t="shared" ca="1" si="9"/>
        <v/>
      </c>
      <c r="J270" s="561" t="str">
        <f t="shared" ca="1" si="10"/>
        <v/>
      </c>
      <c r="K270" s="561" t="str">
        <f t="shared" ca="1" si="11"/>
        <v/>
      </c>
      <c r="L270" s="561" t="str">
        <f t="shared" ca="1" si="12"/>
        <v/>
      </c>
      <c r="M270" s="560" t="str">
        <f t="shared" si="3"/>
        <v/>
      </c>
      <c r="N270" s="560" t="str">
        <f t="shared" ca="1" si="4"/>
        <v/>
      </c>
      <c r="O270" s="636" t="str">
        <f t="shared" ca="1" si="13"/>
        <v/>
      </c>
      <c r="Q270" s="1133"/>
    </row>
    <row r="271" spans="2:17" x14ac:dyDescent="0.3">
      <c r="B271" s="126"/>
      <c r="C271" s="607">
        <v>25</v>
      </c>
      <c r="D271" s="561" t="str">
        <f t="shared" si="5"/>
        <v/>
      </c>
      <c r="E271" s="561" t="str">
        <f t="shared" si="6"/>
        <v/>
      </c>
      <c r="F271" s="561" t="str">
        <f t="shared" si="7"/>
        <v/>
      </c>
      <c r="G271" s="561" t="str">
        <f t="shared" si="2"/>
        <v/>
      </c>
      <c r="H271" s="561" t="str">
        <f t="shared" si="8"/>
        <v/>
      </c>
      <c r="I271" s="561" t="str">
        <f t="shared" ca="1" si="9"/>
        <v/>
      </c>
      <c r="J271" s="561" t="str">
        <f t="shared" ca="1" si="10"/>
        <v/>
      </c>
      <c r="K271" s="561" t="str">
        <f t="shared" ca="1" si="11"/>
        <v/>
      </c>
      <c r="L271" s="561" t="str">
        <f t="shared" ca="1" si="12"/>
        <v/>
      </c>
      <c r="M271" s="560" t="str">
        <f t="shared" si="3"/>
        <v/>
      </c>
      <c r="N271" s="560" t="str">
        <f t="shared" ca="1" si="4"/>
        <v/>
      </c>
      <c r="O271" s="636" t="str">
        <f t="shared" ca="1" si="13"/>
        <v/>
      </c>
      <c r="Q271" s="1133"/>
    </row>
    <row r="272" spans="2:17" x14ac:dyDescent="0.3">
      <c r="B272" s="126"/>
      <c r="C272" s="607">
        <v>26</v>
      </c>
      <c r="D272" s="561" t="str">
        <f t="shared" si="5"/>
        <v/>
      </c>
      <c r="E272" s="561" t="str">
        <f t="shared" si="6"/>
        <v/>
      </c>
      <c r="F272" s="561" t="str">
        <f t="shared" si="7"/>
        <v/>
      </c>
      <c r="G272" s="561" t="str">
        <f t="shared" si="2"/>
        <v/>
      </c>
      <c r="H272" s="561" t="str">
        <f t="shared" si="8"/>
        <v/>
      </c>
      <c r="I272" s="561" t="str">
        <f t="shared" ca="1" si="9"/>
        <v/>
      </c>
      <c r="J272" s="561" t="str">
        <f t="shared" ca="1" si="10"/>
        <v/>
      </c>
      <c r="K272" s="561" t="str">
        <f t="shared" ca="1" si="11"/>
        <v/>
      </c>
      <c r="L272" s="561" t="str">
        <f t="shared" ca="1" si="12"/>
        <v/>
      </c>
      <c r="M272" s="560" t="str">
        <f t="shared" si="3"/>
        <v/>
      </c>
      <c r="N272" s="560" t="str">
        <f t="shared" ca="1" si="4"/>
        <v/>
      </c>
      <c r="O272" s="636" t="str">
        <f t="shared" ca="1" si="13"/>
        <v/>
      </c>
      <c r="Q272" s="1133"/>
    </row>
    <row r="273" spans="2:17" x14ac:dyDescent="0.3">
      <c r="B273" s="126"/>
      <c r="C273" s="607">
        <v>27</v>
      </c>
      <c r="D273" s="561" t="str">
        <f t="shared" si="5"/>
        <v/>
      </c>
      <c r="E273" s="561" t="str">
        <f t="shared" si="6"/>
        <v/>
      </c>
      <c r="F273" s="561" t="str">
        <f t="shared" si="7"/>
        <v/>
      </c>
      <c r="G273" s="561" t="str">
        <f t="shared" si="2"/>
        <v/>
      </c>
      <c r="H273" s="561" t="str">
        <f t="shared" si="8"/>
        <v/>
      </c>
      <c r="I273" s="561" t="str">
        <f t="shared" ca="1" si="9"/>
        <v/>
      </c>
      <c r="J273" s="561" t="str">
        <f t="shared" ca="1" si="10"/>
        <v/>
      </c>
      <c r="K273" s="561" t="str">
        <f t="shared" ca="1" si="11"/>
        <v/>
      </c>
      <c r="L273" s="561" t="str">
        <f t="shared" ca="1" si="12"/>
        <v/>
      </c>
      <c r="M273" s="560" t="str">
        <f t="shared" si="3"/>
        <v/>
      </c>
      <c r="N273" s="560" t="str">
        <f t="shared" ca="1" si="4"/>
        <v/>
      </c>
      <c r="O273" s="636" t="str">
        <f t="shared" ca="1" si="13"/>
        <v/>
      </c>
      <c r="Q273" s="1133"/>
    </row>
    <row r="274" spans="2:17" x14ac:dyDescent="0.3">
      <c r="B274" s="126"/>
      <c r="C274" s="607">
        <v>28</v>
      </c>
      <c r="D274" s="561" t="str">
        <f t="shared" si="5"/>
        <v/>
      </c>
      <c r="E274" s="561" t="str">
        <f t="shared" si="6"/>
        <v/>
      </c>
      <c r="F274" s="561" t="str">
        <f t="shared" si="7"/>
        <v/>
      </c>
      <c r="G274" s="561" t="str">
        <f t="shared" si="2"/>
        <v/>
      </c>
      <c r="H274" s="561" t="str">
        <f t="shared" si="8"/>
        <v/>
      </c>
      <c r="I274" s="561" t="str">
        <f t="shared" ca="1" si="9"/>
        <v/>
      </c>
      <c r="J274" s="561" t="str">
        <f t="shared" ca="1" si="10"/>
        <v/>
      </c>
      <c r="K274" s="561" t="str">
        <f t="shared" ca="1" si="11"/>
        <v/>
      </c>
      <c r="L274" s="561" t="str">
        <f t="shared" ca="1" si="12"/>
        <v/>
      </c>
      <c r="M274" s="560" t="str">
        <f t="shared" si="3"/>
        <v/>
      </c>
      <c r="N274" s="560" t="str">
        <f t="shared" ca="1" si="4"/>
        <v/>
      </c>
      <c r="O274" s="636" t="str">
        <f t="shared" ca="1" si="13"/>
        <v/>
      </c>
      <c r="Q274" s="1133"/>
    </row>
    <row r="275" spans="2:17" x14ac:dyDescent="0.3">
      <c r="B275" s="126"/>
      <c r="C275" s="607">
        <v>29</v>
      </c>
      <c r="D275" s="561" t="str">
        <f t="shared" si="5"/>
        <v/>
      </c>
      <c r="E275" s="561" t="str">
        <f t="shared" si="6"/>
        <v/>
      </c>
      <c r="F275" s="561" t="str">
        <f t="shared" si="7"/>
        <v/>
      </c>
      <c r="G275" s="561" t="str">
        <f t="shared" si="2"/>
        <v/>
      </c>
      <c r="H275" s="561" t="str">
        <f t="shared" si="8"/>
        <v/>
      </c>
      <c r="I275" s="561" t="str">
        <f t="shared" ca="1" si="9"/>
        <v/>
      </c>
      <c r="J275" s="561" t="str">
        <f t="shared" ca="1" si="10"/>
        <v/>
      </c>
      <c r="K275" s="561" t="str">
        <f t="shared" ca="1" si="11"/>
        <v/>
      </c>
      <c r="L275" s="561" t="str">
        <f t="shared" ca="1" si="12"/>
        <v/>
      </c>
      <c r="M275" s="560" t="str">
        <f t="shared" si="3"/>
        <v/>
      </c>
      <c r="N275" s="560" t="str">
        <f t="shared" ca="1" si="4"/>
        <v/>
      </c>
      <c r="O275" s="636" t="str">
        <f t="shared" ca="1" si="13"/>
        <v/>
      </c>
      <c r="Q275" s="1133"/>
    </row>
    <row r="276" spans="2:17" x14ac:dyDescent="0.3">
      <c r="B276" s="126"/>
      <c r="C276" s="607">
        <v>30</v>
      </c>
      <c r="D276" s="561" t="str">
        <f t="shared" si="5"/>
        <v/>
      </c>
      <c r="E276" s="561" t="str">
        <f t="shared" si="6"/>
        <v/>
      </c>
      <c r="F276" s="561" t="str">
        <f t="shared" si="7"/>
        <v/>
      </c>
      <c r="G276" s="561" t="str">
        <f t="shared" si="2"/>
        <v/>
      </c>
      <c r="H276" s="561" t="str">
        <f t="shared" si="8"/>
        <v/>
      </c>
      <c r="I276" s="561" t="str">
        <f t="shared" ca="1" si="9"/>
        <v/>
      </c>
      <c r="J276" s="561" t="str">
        <f t="shared" ca="1" si="10"/>
        <v/>
      </c>
      <c r="K276" s="561" t="str">
        <f t="shared" ca="1" si="11"/>
        <v/>
      </c>
      <c r="L276" s="561" t="str">
        <f t="shared" ca="1" si="12"/>
        <v/>
      </c>
      <c r="M276" s="560" t="str">
        <f t="shared" si="3"/>
        <v/>
      </c>
      <c r="N276" s="560" t="str">
        <f t="shared" ca="1" si="4"/>
        <v/>
      </c>
      <c r="O276" s="636" t="str">
        <f t="shared" ca="1" si="13"/>
        <v/>
      </c>
      <c r="Q276" s="1133"/>
    </row>
    <row r="277" spans="2:17" x14ac:dyDescent="0.3">
      <c r="B277" s="126"/>
      <c r="C277" s="607">
        <v>31</v>
      </c>
      <c r="D277" s="561" t="str">
        <f t="shared" si="5"/>
        <v/>
      </c>
      <c r="E277" s="561" t="str">
        <f t="shared" si="6"/>
        <v/>
      </c>
      <c r="F277" s="561" t="str">
        <f t="shared" si="7"/>
        <v/>
      </c>
      <c r="G277" s="561" t="str">
        <f t="shared" si="2"/>
        <v/>
      </c>
      <c r="H277" s="561" t="str">
        <f t="shared" si="8"/>
        <v/>
      </c>
      <c r="I277" s="561" t="str">
        <f t="shared" ca="1" si="9"/>
        <v/>
      </c>
      <c r="J277" s="561" t="str">
        <f t="shared" ca="1" si="10"/>
        <v/>
      </c>
      <c r="K277" s="561" t="str">
        <f t="shared" ca="1" si="11"/>
        <v/>
      </c>
      <c r="L277" s="561" t="str">
        <f t="shared" ca="1" si="12"/>
        <v/>
      </c>
      <c r="M277" s="560" t="str">
        <f t="shared" si="3"/>
        <v/>
      </c>
      <c r="N277" s="560" t="str">
        <f t="shared" ca="1" si="4"/>
        <v/>
      </c>
      <c r="O277" s="636" t="str">
        <f t="shared" ca="1" si="13"/>
        <v/>
      </c>
      <c r="Q277" s="1133"/>
    </row>
    <row r="278" spans="2:17" x14ac:dyDescent="0.3">
      <c r="B278" s="126"/>
      <c r="C278" s="607">
        <v>32</v>
      </c>
      <c r="D278" s="561" t="str">
        <f t="shared" si="5"/>
        <v/>
      </c>
      <c r="E278" s="561" t="str">
        <f t="shared" si="6"/>
        <v/>
      </c>
      <c r="F278" s="561" t="str">
        <f t="shared" si="7"/>
        <v/>
      </c>
      <c r="G278" s="561" t="str">
        <f t="shared" si="2"/>
        <v/>
      </c>
      <c r="H278" s="561" t="str">
        <f t="shared" si="8"/>
        <v/>
      </c>
      <c r="I278" s="561" t="str">
        <f t="shared" ca="1" si="9"/>
        <v/>
      </c>
      <c r="J278" s="561" t="str">
        <f t="shared" ca="1" si="10"/>
        <v/>
      </c>
      <c r="K278" s="561" t="str">
        <f t="shared" ca="1" si="11"/>
        <v/>
      </c>
      <c r="L278" s="561" t="str">
        <f t="shared" ca="1" si="12"/>
        <v/>
      </c>
      <c r="M278" s="560" t="str">
        <f t="shared" si="3"/>
        <v/>
      </c>
      <c r="N278" s="560" t="str">
        <f t="shared" ca="1" si="4"/>
        <v/>
      </c>
      <c r="O278" s="636" t="str">
        <f t="shared" ca="1" si="13"/>
        <v/>
      </c>
      <c r="Q278" s="1133"/>
    </row>
    <row r="279" spans="2:17" x14ac:dyDescent="0.3">
      <c r="B279" s="126"/>
      <c r="C279" s="607">
        <v>33</v>
      </c>
      <c r="D279" s="561" t="str">
        <f t="shared" si="5"/>
        <v/>
      </c>
      <c r="E279" s="561" t="str">
        <f t="shared" si="6"/>
        <v/>
      </c>
      <c r="F279" s="561" t="str">
        <f t="shared" si="7"/>
        <v/>
      </c>
      <c r="G279" s="561" t="str">
        <f t="shared" si="2"/>
        <v/>
      </c>
      <c r="H279" s="561" t="str">
        <f t="shared" si="8"/>
        <v/>
      </c>
      <c r="I279" s="561" t="str">
        <f t="shared" ca="1" si="9"/>
        <v/>
      </c>
      <c r="J279" s="561" t="str">
        <f t="shared" ca="1" si="10"/>
        <v/>
      </c>
      <c r="K279" s="561" t="str">
        <f t="shared" ca="1" si="11"/>
        <v/>
      </c>
      <c r="L279" s="561" t="str">
        <f t="shared" ca="1" si="12"/>
        <v/>
      </c>
      <c r="M279" s="560" t="str">
        <f t="shared" si="3"/>
        <v/>
      </c>
      <c r="N279" s="560" t="str">
        <f t="shared" ca="1" si="4"/>
        <v/>
      </c>
      <c r="O279" s="636" t="str">
        <f t="shared" ca="1" si="13"/>
        <v/>
      </c>
      <c r="Q279" s="1133"/>
    </row>
    <row r="280" spans="2:17" x14ac:dyDescent="0.3">
      <c r="B280" s="126"/>
      <c r="C280" s="607">
        <v>34</v>
      </c>
      <c r="D280" s="561" t="str">
        <f t="shared" si="5"/>
        <v/>
      </c>
      <c r="E280" s="561" t="str">
        <f t="shared" si="6"/>
        <v/>
      </c>
      <c r="F280" s="561" t="str">
        <f t="shared" si="7"/>
        <v/>
      </c>
      <c r="G280" s="561" t="str">
        <f t="shared" si="2"/>
        <v/>
      </c>
      <c r="H280" s="561" t="str">
        <f t="shared" si="8"/>
        <v/>
      </c>
      <c r="I280" s="561" t="str">
        <f t="shared" ca="1" si="9"/>
        <v/>
      </c>
      <c r="J280" s="561" t="str">
        <f t="shared" ca="1" si="10"/>
        <v/>
      </c>
      <c r="K280" s="561" t="str">
        <f t="shared" ca="1" si="11"/>
        <v/>
      </c>
      <c r="L280" s="561" t="str">
        <f t="shared" ca="1" si="12"/>
        <v/>
      </c>
      <c r="M280" s="560" t="str">
        <f t="shared" si="3"/>
        <v/>
      </c>
      <c r="N280" s="560" t="str">
        <f t="shared" ca="1" si="4"/>
        <v/>
      </c>
      <c r="O280" s="636" t="str">
        <f t="shared" ca="1" si="13"/>
        <v/>
      </c>
      <c r="Q280" s="1133"/>
    </row>
    <row r="281" spans="2:17" x14ac:dyDescent="0.3">
      <c r="B281" s="126"/>
      <c r="C281" s="607">
        <v>35</v>
      </c>
      <c r="D281" s="561" t="str">
        <f t="shared" si="5"/>
        <v/>
      </c>
      <c r="E281" s="561" t="str">
        <f t="shared" si="6"/>
        <v/>
      </c>
      <c r="F281" s="561" t="str">
        <f t="shared" si="7"/>
        <v/>
      </c>
      <c r="G281" s="561" t="str">
        <f t="shared" si="2"/>
        <v/>
      </c>
      <c r="H281" s="561" t="str">
        <f t="shared" si="8"/>
        <v/>
      </c>
      <c r="I281" s="561" t="str">
        <f t="shared" ca="1" si="9"/>
        <v/>
      </c>
      <c r="J281" s="561" t="str">
        <f t="shared" ca="1" si="10"/>
        <v/>
      </c>
      <c r="K281" s="561" t="str">
        <f t="shared" ca="1" si="11"/>
        <v/>
      </c>
      <c r="L281" s="561" t="str">
        <f t="shared" ca="1" si="12"/>
        <v/>
      </c>
      <c r="M281" s="560" t="str">
        <f t="shared" si="3"/>
        <v/>
      </c>
      <c r="N281" s="560" t="str">
        <f t="shared" ca="1" si="4"/>
        <v/>
      </c>
      <c r="O281" s="636" t="str">
        <f t="shared" ca="1" si="13"/>
        <v/>
      </c>
      <c r="Q281" s="1133"/>
    </row>
    <row r="282" spans="2:17" x14ac:dyDescent="0.3">
      <c r="B282" s="126"/>
      <c r="C282" s="607">
        <v>36</v>
      </c>
      <c r="D282" s="561" t="str">
        <f t="shared" si="5"/>
        <v/>
      </c>
      <c r="E282" s="561" t="str">
        <f t="shared" si="6"/>
        <v/>
      </c>
      <c r="F282" s="561" t="str">
        <f t="shared" si="7"/>
        <v/>
      </c>
      <c r="G282" s="561" t="str">
        <f t="shared" si="2"/>
        <v/>
      </c>
      <c r="H282" s="561" t="str">
        <f t="shared" si="8"/>
        <v/>
      </c>
      <c r="I282" s="561" t="str">
        <f t="shared" ca="1" si="9"/>
        <v/>
      </c>
      <c r="J282" s="561" t="str">
        <f t="shared" ca="1" si="10"/>
        <v/>
      </c>
      <c r="K282" s="561" t="str">
        <f t="shared" ca="1" si="11"/>
        <v/>
      </c>
      <c r="L282" s="561" t="str">
        <f t="shared" ca="1" si="12"/>
        <v/>
      </c>
      <c r="M282" s="560" t="str">
        <f t="shared" si="3"/>
        <v/>
      </c>
      <c r="N282" s="560" t="str">
        <f t="shared" ca="1" si="4"/>
        <v/>
      </c>
      <c r="O282" s="636" t="str">
        <f t="shared" ca="1" si="13"/>
        <v/>
      </c>
      <c r="Q282" s="1133"/>
    </row>
    <row r="283" spans="2:17" x14ac:dyDescent="0.3">
      <c r="B283" s="126"/>
      <c r="C283" s="607">
        <v>37</v>
      </c>
      <c r="D283" s="561" t="str">
        <f t="shared" si="5"/>
        <v/>
      </c>
      <c r="E283" s="561" t="str">
        <f t="shared" si="6"/>
        <v/>
      </c>
      <c r="F283" s="561" t="str">
        <f t="shared" si="7"/>
        <v/>
      </c>
      <c r="G283" s="561" t="str">
        <f t="shared" si="2"/>
        <v/>
      </c>
      <c r="H283" s="561" t="str">
        <f t="shared" si="8"/>
        <v/>
      </c>
      <c r="I283" s="561" t="str">
        <f t="shared" ca="1" si="9"/>
        <v/>
      </c>
      <c r="J283" s="561" t="str">
        <f t="shared" ca="1" si="10"/>
        <v/>
      </c>
      <c r="K283" s="561" t="str">
        <f t="shared" ca="1" si="11"/>
        <v/>
      </c>
      <c r="L283" s="561" t="str">
        <f t="shared" ca="1" si="12"/>
        <v/>
      </c>
      <c r="M283" s="560" t="str">
        <f t="shared" si="3"/>
        <v/>
      </c>
      <c r="N283" s="560" t="str">
        <f t="shared" ca="1" si="4"/>
        <v/>
      </c>
      <c r="O283" s="636" t="str">
        <f t="shared" ca="1" si="13"/>
        <v/>
      </c>
      <c r="Q283" s="1133"/>
    </row>
    <row r="284" spans="2:17" x14ac:dyDescent="0.3">
      <c r="B284" s="126"/>
      <c r="C284" s="607">
        <v>38</v>
      </c>
      <c r="D284" s="561" t="str">
        <f t="shared" si="5"/>
        <v/>
      </c>
      <c r="E284" s="561" t="str">
        <f t="shared" si="6"/>
        <v/>
      </c>
      <c r="F284" s="561" t="str">
        <f t="shared" si="7"/>
        <v/>
      </c>
      <c r="G284" s="561" t="str">
        <f t="shared" si="2"/>
        <v/>
      </c>
      <c r="H284" s="561" t="str">
        <f t="shared" si="8"/>
        <v/>
      </c>
      <c r="I284" s="561" t="str">
        <f t="shared" ca="1" si="9"/>
        <v/>
      </c>
      <c r="J284" s="561" t="str">
        <f t="shared" ca="1" si="10"/>
        <v/>
      </c>
      <c r="K284" s="561" t="str">
        <f t="shared" ca="1" si="11"/>
        <v/>
      </c>
      <c r="L284" s="561" t="str">
        <f t="shared" ca="1" si="12"/>
        <v/>
      </c>
      <c r="M284" s="560" t="str">
        <f t="shared" si="3"/>
        <v/>
      </c>
      <c r="N284" s="560" t="str">
        <f t="shared" ca="1" si="4"/>
        <v/>
      </c>
      <c r="O284" s="636" t="str">
        <f t="shared" ca="1" si="13"/>
        <v/>
      </c>
      <c r="Q284" s="1133"/>
    </row>
    <row r="285" spans="2:17" x14ac:dyDescent="0.3">
      <c r="B285" s="126"/>
      <c r="C285" s="607">
        <v>39</v>
      </c>
      <c r="D285" s="561" t="str">
        <f t="shared" si="5"/>
        <v/>
      </c>
      <c r="E285" s="561" t="str">
        <f t="shared" si="6"/>
        <v/>
      </c>
      <c r="F285" s="561" t="str">
        <f t="shared" si="7"/>
        <v/>
      </c>
      <c r="G285" s="561" t="str">
        <f t="shared" si="2"/>
        <v/>
      </c>
      <c r="H285" s="561" t="str">
        <f t="shared" si="8"/>
        <v/>
      </c>
      <c r="I285" s="561" t="str">
        <f t="shared" ca="1" si="9"/>
        <v/>
      </c>
      <c r="J285" s="561" t="str">
        <f t="shared" ca="1" si="10"/>
        <v/>
      </c>
      <c r="K285" s="561" t="str">
        <f t="shared" ca="1" si="11"/>
        <v/>
      </c>
      <c r="L285" s="561" t="str">
        <f t="shared" ca="1" si="12"/>
        <v/>
      </c>
      <c r="M285" s="560" t="str">
        <f t="shared" si="3"/>
        <v/>
      </c>
      <c r="N285" s="560" t="str">
        <f t="shared" ca="1" si="4"/>
        <v/>
      </c>
      <c r="O285" s="636" t="str">
        <f t="shared" ca="1" si="13"/>
        <v/>
      </c>
      <c r="Q285" s="1133"/>
    </row>
    <row r="286" spans="2:17" x14ac:dyDescent="0.3">
      <c r="B286" s="126"/>
      <c r="C286" s="607">
        <v>40</v>
      </c>
      <c r="D286" s="561" t="str">
        <f t="shared" si="5"/>
        <v/>
      </c>
      <c r="E286" s="561" t="str">
        <f t="shared" si="6"/>
        <v/>
      </c>
      <c r="F286" s="561" t="str">
        <f t="shared" si="7"/>
        <v/>
      </c>
      <c r="G286" s="561" t="str">
        <f t="shared" si="2"/>
        <v/>
      </c>
      <c r="H286" s="561" t="str">
        <f t="shared" si="8"/>
        <v/>
      </c>
      <c r="I286" s="561" t="str">
        <f t="shared" ca="1" si="9"/>
        <v/>
      </c>
      <c r="J286" s="561" t="str">
        <f t="shared" ca="1" si="10"/>
        <v/>
      </c>
      <c r="K286" s="561" t="str">
        <f t="shared" ca="1" si="11"/>
        <v/>
      </c>
      <c r="L286" s="561" t="str">
        <f t="shared" ca="1" si="12"/>
        <v/>
      </c>
      <c r="M286" s="560" t="str">
        <f t="shared" si="3"/>
        <v/>
      </c>
      <c r="N286" s="560" t="str">
        <f t="shared" ca="1" si="4"/>
        <v/>
      </c>
      <c r="O286" s="636" t="str">
        <f t="shared" ca="1" si="13"/>
        <v/>
      </c>
      <c r="Q286" s="1133"/>
    </row>
    <row r="287" spans="2:17" x14ac:dyDescent="0.3">
      <c r="B287" s="126"/>
      <c r="C287" s="607">
        <v>41</v>
      </c>
      <c r="D287" s="561" t="str">
        <f t="shared" si="5"/>
        <v/>
      </c>
      <c r="E287" s="561" t="str">
        <f t="shared" si="6"/>
        <v/>
      </c>
      <c r="F287" s="561" t="str">
        <f t="shared" si="7"/>
        <v/>
      </c>
      <c r="G287" s="561" t="str">
        <f t="shared" si="2"/>
        <v/>
      </c>
      <c r="H287" s="561" t="str">
        <f t="shared" si="8"/>
        <v/>
      </c>
      <c r="I287" s="561" t="str">
        <f t="shared" ca="1" si="9"/>
        <v/>
      </c>
      <c r="J287" s="561" t="str">
        <f t="shared" ca="1" si="10"/>
        <v/>
      </c>
      <c r="K287" s="561" t="str">
        <f t="shared" ca="1" si="11"/>
        <v/>
      </c>
      <c r="L287" s="561" t="str">
        <f t="shared" ca="1" si="12"/>
        <v/>
      </c>
      <c r="M287" s="560" t="str">
        <f t="shared" si="3"/>
        <v/>
      </c>
      <c r="N287" s="560" t="str">
        <f t="shared" ca="1" si="4"/>
        <v/>
      </c>
      <c r="O287" s="636" t="str">
        <f t="shared" ca="1" si="13"/>
        <v/>
      </c>
      <c r="Q287" s="1133"/>
    </row>
    <row r="288" spans="2:17" x14ac:dyDescent="0.3">
      <c r="B288" s="126"/>
      <c r="C288" s="607">
        <v>42</v>
      </c>
      <c r="D288" s="561" t="str">
        <f t="shared" si="5"/>
        <v/>
      </c>
      <c r="E288" s="561" t="str">
        <f t="shared" si="6"/>
        <v/>
      </c>
      <c r="F288" s="561" t="str">
        <f t="shared" si="7"/>
        <v/>
      </c>
      <c r="G288" s="561" t="str">
        <f t="shared" si="2"/>
        <v/>
      </c>
      <c r="H288" s="561" t="str">
        <f t="shared" si="8"/>
        <v/>
      </c>
      <c r="I288" s="561" t="str">
        <f t="shared" ca="1" si="9"/>
        <v/>
      </c>
      <c r="J288" s="561" t="str">
        <f t="shared" ca="1" si="10"/>
        <v/>
      </c>
      <c r="K288" s="561" t="str">
        <f t="shared" ca="1" si="11"/>
        <v/>
      </c>
      <c r="L288" s="561" t="str">
        <f t="shared" ca="1" si="12"/>
        <v/>
      </c>
      <c r="M288" s="560" t="str">
        <f t="shared" si="3"/>
        <v/>
      </c>
      <c r="N288" s="560" t="str">
        <f t="shared" ca="1" si="4"/>
        <v/>
      </c>
      <c r="O288" s="636" t="str">
        <f t="shared" ca="1" si="13"/>
        <v/>
      </c>
      <c r="Q288" s="1133"/>
    </row>
    <row r="289" spans="2:17" x14ac:dyDescent="0.3">
      <c r="B289" s="126"/>
      <c r="C289" s="607">
        <v>43</v>
      </c>
      <c r="D289" s="561" t="str">
        <f t="shared" si="5"/>
        <v/>
      </c>
      <c r="E289" s="561" t="str">
        <f t="shared" si="6"/>
        <v/>
      </c>
      <c r="F289" s="561" t="str">
        <f t="shared" si="7"/>
        <v/>
      </c>
      <c r="G289" s="561" t="str">
        <f t="shared" si="2"/>
        <v/>
      </c>
      <c r="H289" s="561" t="str">
        <f t="shared" si="8"/>
        <v/>
      </c>
      <c r="I289" s="561" t="str">
        <f t="shared" ca="1" si="9"/>
        <v/>
      </c>
      <c r="J289" s="561" t="str">
        <f t="shared" ca="1" si="10"/>
        <v/>
      </c>
      <c r="K289" s="561" t="str">
        <f t="shared" ca="1" si="11"/>
        <v/>
      </c>
      <c r="L289" s="561" t="str">
        <f t="shared" ca="1" si="12"/>
        <v/>
      </c>
      <c r="M289" s="560" t="str">
        <f t="shared" si="3"/>
        <v/>
      </c>
      <c r="N289" s="560" t="str">
        <f t="shared" ca="1" si="4"/>
        <v/>
      </c>
      <c r="O289" s="636" t="str">
        <f t="shared" ca="1" si="13"/>
        <v/>
      </c>
      <c r="Q289" s="1133"/>
    </row>
    <row r="290" spans="2:17" x14ac:dyDescent="0.3">
      <c r="B290" s="126"/>
      <c r="C290" s="607">
        <v>44</v>
      </c>
      <c r="D290" s="561" t="str">
        <f t="shared" si="5"/>
        <v/>
      </c>
      <c r="E290" s="561" t="str">
        <f t="shared" si="6"/>
        <v/>
      </c>
      <c r="F290" s="561" t="str">
        <f t="shared" si="7"/>
        <v/>
      </c>
      <c r="G290" s="561" t="str">
        <f t="shared" si="2"/>
        <v/>
      </c>
      <c r="H290" s="561" t="str">
        <f t="shared" si="8"/>
        <v/>
      </c>
      <c r="I290" s="561" t="str">
        <f t="shared" ca="1" si="9"/>
        <v/>
      </c>
      <c r="J290" s="561" t="str">
        <f t="shared" ca="1" si="10"/>
        <v/>
      </c>
      <c r="K290" s="561" t="str">
        <f t="shared" ca="1" si="11"/>
        <v/>
      </c>
      <c r="L290" s="561" t="str">
        <f t="shared" ca="1" si="12"/>
        <v/>
      </c>
      <c r="M290" s="560" t="str">
        <f t="shared" si="3"/>
        <v/>
      </c>
      <c r="N290" s="560" t="str">
        <f t="shared" ca="1" si="4"/>
        <v/>
      </c>
      <c r="O290" s="636" t="str">
        <f t="shared" ca="1" si="13"/>
        <v/>
      </c>
      <c r="Q290" s="1133"/>
    </row>
    <row r="291" spans="2:17" x14ac:dyDescent="0.3">
      <c r="B291" s="126"/>
      <c r="C291" s="607">
        <v>45</v>
      </c>
      <c r="D291" s="561" t="str">
        <f t="shared" si="5"/>
        <v/>
      </c>
      <c r="E291" s="561" t="str">
        <f t="shared" si="6"/>
        <v/>
      </c>
      <c r="F291" s="561" t="str">
        <f t="shared" si="7"/>
        <v/>
      </c>
      <c r="G291" s="561" t="str">
        <f t="shared" si="2"/>
        <v/>
      </c>
      <c r="H291" s="561" t="str">
        <f t="shared" si="8"/>
        <v/>
      </c>
      <c r="I291" s="561" t="str">
        <f t="shared" ca="1" si="9"/>
        <v/>
      </c>
      <c r="J291" s="561" t="str">
        <f t="shared" ca="1" si="10"/>
        <v/>
      </c>
      <c r="K291" s="561" t="str">
        <f t="shared" ca="1" si="11"/>
        <v/>
      </c>
      <c r="L291" s="561" t="str">
        <f t="shared" ca="1" si="12"/>
        <v/>
      </c>
      <c r="M291" s="560" t="str">
        <f t="shared" si="3"/>
        <v/>
      </c>
      <c r="N291" s="560" t="str">
        <f t="shared" ca="1" si="4"/>
        <v/>
      </c>
      <c r="O291" s="636" t="str">
        <f t="shared" ca="1" si="13"/>
        <v/>
      </c>
      <c r="Q291" s="1133"/>
    </row>
    <row r="292" spans="2:17" x14ac:dyDescent="0.3">
      <c r="B292" s="126"/>
      <c r="C292" s="607">
        <v>46</v>
      </c>
      <c r="D292" s="561" t="str">
        <f t="shared" si="5"/>
        <v/>
      </c>
      <c r="E292" s="561" t="str">
        <f t="shared" si="6"/>
        <v/>
      </c>
      <c r="F292" s="561" t="str">
        <f t="shared" si="7"/>
        <v/>
      </c>
      <c r="G292" s="561" t="str">
        <f t="shared" si="2"/>
        <v/>
      </c>
      <c r="H292" s="561" t="str">
        <f t="shared" si="8"/>
        <v/>
      </c>
      <c r="I292" s="561" t="str">
        <f t="shared" ca="1" si="9"/>
        <v/>
      </c>
      <c r="J292" s="561" t="str">
        <f t="shared" ca="1" si="10"/>
        <v/>
      </c>
      <c r="K292" s="561" t="str">
        <f t="shared" ca="1" si="11"/>
        <v/>
      </c>
      <c r="L292" s="561" t="str">
        <f t="shared" ca="1" si="12"/>
        <v/>
      </c>
      <c r="M292" s="560" t="str">
        <f t="shared" si="3"/>
        <v/>
      </c>
      <c r="N292" s="560" t="str">
        <f t="shared" ca="1" si="4"/>
        <v/>
      </c>
      <c r="O292" s="636" t="str">
        <f t="shared" ca="1" si="13"/>
        <v/>
      </c>
      <c r="Q292" s="1133"/>
    </row>
    <row r="293" spans="2:17" x14ac:dyDescent="0.3">
      <c r="B293" s="126"/>
      <c r="C293" s="607">
        <v>47</v>
      </c>
      <c r="D293" s="561" t="str">
        <f t="shared" si="5"/>
        <v/>
      </c>
      <c r="E293" s="561" t="str">
        <f t="shared" si="6"/>
        <v/>
      </c>
      <c r="F293" s="561" t="str">
        <f t="shared" si="7"/>
        <v/>
      </c>
      <c r="G293" s="561" t="str">
        <f t="shared" si="2"/>
        <v/>
      </c>
      <c r="H293" s="561" t="str">
        <f t="shared" si="8"/>
        <v/>
      </c>
      <c r="I293" s="561" t="str">
        <f t="shared" ca="1" si="9"/>
        <v/>
      </c>
      <c r="J293" s="561" t="str">
        <f t="shared" ca="1" si="10"/>
        <v/>
      </c>
      <c r="K293" s="561" t="str">
        <f t="shared" ca="1" si="11"/>
        <v/>
      </c>
      <c r="L293" s="561" t="str">
        <f t="shared" ca="1" si="12"/>
        <v/>
      </c>
      <c r="M293" s="560" t="str">
        <f t="shared" si="3"/>
        <v/>
      </c>
      <c r="N293" s="560" t="str">
        <f t="shared" ca="1" si="4"/>
        <v/>
      </c>
      <c r="O293" s="636" t="str">
        <f t="shared" ca="1" si="13"/>
        <v/>
      </c>
      <c r="Q293" s="1133"/>
    </row>
    <row r="294" spans="2:17" x14ac:dyDescent="0.3">
      <c r="B294" s="126"/>
      <c r="C294" s="607">
        <v>48</v>
      </c>
      <c r="D294" s="561" t="str">
        <f t="shared" si="5"/>
        <v/>
      </c>
      <c r="E294" s="561" t="str">
        <f t="shared" si="6"/>
        <v/>
      </c>
      <c r="F294" s="561" t="str">
        <f t="shared" si="7"/>
        <v/>
      </c>
      <c r="G294" s="561" t="str">
        <f t="shared" si="2"/>
        <v/>
      </c>
      <c r="H294" s="561" t="str">
        <f t="shared" si="8"/>
        <v/>
      </c>
      <c r="I294" s="561" t="str">
        <f t="shared" ca="1" si="9"/>
        <v/>
      </c>
      <c r="J294" s="561" t="str">
        <f t="shared" ca="1" si="10"/>
        <v/>
      </c>
      <c r="K294" s="561" t="str">
        <f t="shared" ca="1" si="11"/>
        <v/>
      </c>
      <c r="L294" s="561" t="str">
        <f t="shared" ca="1" si="12"/>
        <v/>
      </c>
      <c r="M294" s="560" t="str">
        <f t="shared" si="3"/>
        <v/>
      </c>
      <c r="N294" s="560" t="str">
        <f t="shared" ca="1" si="4"/>
        <v/>
      </c>
      <c r="O294" s="636" t="str">
        <f t="shared" ca="1" si="13"/>
        <v/>
      </c>
      <c r="Q294" s="1133"/>
    </row>
    <row r="295" spans="2:17" x14ac:dyDescent="0.3">
      <c r="B295" s="126"/>
      <c r="C295" s="607">
        <v>49</v>
      </c>
      <c r="D295" s="561" t="str">
        <f t="shared" si="5"/>
        <v/>
      </c>
      <c r="E295" s="561" t="str">
        <f t="shared" si="6"/>
        <v/>
      </c>
      <c r="F295" s="561" t="str">
        <f t="shared" si="7"/>
        <v/>
      </c>
      <c r="G295" s="561" t="str">
        <f t="shared" si="2"/>
        <v/>
      </c>
      <c r="H295" s="561" t="str">
        <f t="shared" si="8"/>
        <v/>
      </c>
      <c r="I295" s="561" t="str">
        <f t="shared" ca="1" si="9"/>
        <v/>
      </c>
      <c r="J295" s="561" t="str">
        <f t="shared" ca="1" si="10"/>
        <v/>
      </c>
      <c r="K295" s="561" t="str">
        <f t="shared" ca="1" si="11"/>
        <v/>
      </c>
      <c r="L295" s="561" t="str">
        <f t="shared" ca="1" si="12"/>
        <v/>
      </c>
      <c r="M295" s="560" t="str">
        <f t="shared" si="3"/>
        <v/>
      </c>
      <c r="N295" s="560" t="str">
        <f t="shared" ca="1" si="4"/>
        <v/>
      </c>
      <c r="O295" s="636" t="str">
        <f t="shared" ca="1" si="13"/>
        <v/>
      </c>
      <c r="Q295" s="1133"/>
    </row>
    <row r="296" spans="2:17" x14ac:dyDescent="0.3">
      <c r="B296" s="126"/>
      <c r="C296" s="607">
        <v>50</v>
      </c>
      <c r="D296" s="561" t="str">
        <f t="shared" si="5"/>
        <v/>
      </c>
      <c r="E296" s="561" t="str">
        <f t="shared" si="6"/>
        <v/>
      </c>
      <c r="F296" s="561" t="str">
        <f t="shared" si="7"/>
        <v/>
      </c>
      <c r="G296" s="561" t="str">
        <f t="shared" si="2"/>
        <v/>
      </c>
      <c r="H296" s="561" t="str">
        <f t="shared" si="8"/>
        <v/>
      </c>
      <c r="I296" s="561" t="str">
        <f t="shared" ca="1" si="9"/>
        <v/>
      </c>
      <c r="J296" s="561" t="str">
        <f t="shared" ca="1" si="10"/>
        <v/>
      </c>
      <c r="K296" s="561" t="str">
        <f t="shared" ca="1" si="11"/>
        <v/>
      </c>
      <c r="L296" s="561" t="str">
        <f t="shared" ca="1" si="12"/>
        <v/>
      </c>
      <c r="M296" s="560" t="str">
        <f t="shared" si="3"/>
        <v/>
      </c>
      <c r="N296" s="560" t="str">
        <f t="shared" ca="1" si="4"/>
        <v/>
      </c>
      <c r="O296" s="636" t="str">
        <f t="shared" ca="1" si="13"/>
        <v/>
      </c>
      <c r="Q296" s="1133"/>
    </row>
    <row r="297" spans="2:17" x14ac:dyDescent="0.3">
      <c r="B297" s="126"/>
      <c r="C297" s="607">
        <v>51</v>
      </c>
      <c r="D297" s="561" t="str">
        <f t="shared" si="5"/>
        <v/>
      </c>
      <c r="E297" s="561" t="str">
        <f t="shared" si="6"/>
        <v/>
      </c>
      <c r="F297" s="561" t="str">
        <f t="shared" si="7"/>
        <v/>
      </c>
      <c r="G297" s="561" t="str">
        <f t="shared" si="2"/>
        <v/>
      </c>
      <c r="H297" s="561" t="str">
        <f t="shared" si="8"/>
        <v/>
      </c>
      <c r="I297" s="561" t="str">
        <f t="shared" ca="1" si="9"/>
        <v/>
      </c>
      <c r="J297" s="561" t="str">
        <f t="shared" ca="1" si="10"/>
        <v/>
      </c>
      <c r="K297" s="561" t="str">
        <f t="shared" ca="1" si="11"/>
        <v/>
      </c>
      <c r="L297" s="561" t="str">
        <f t="shared" ca="1" si="12"/>
        <v/>
      </c>
      <c r="M297" s="560" t="str">
        <f t="shared" si="3"/>
        <v/>
      </c>
      <c r="N297" s="560" t="str">
        <f t="shared" ca="1" si="4"/>
        <v/>
      </c>
      <c r="O297" s="636" t="str">
        <f t="shared" ca="1" si="13"/>
        <v/>
      </c>
      <c r="Q297" s="1133"/>
    </row>
    <row r="298" spans="2:17" x14ac:dyDescent="0.3">
      <c r="B298" s="126"/>
      <c r="C298" s="607">
        <v>52</v>
      </c>
      <c r="D298" s="561" t="str">
        <f t="shared" si="5"/>
        <v/>
      </c>
      <c r="E298" s="561" t="str">
        <f t="shared" si="6"/>
        <v/>
      </c>
      <c r="F298" s="561" t="str">
        <f t="shared" si="7"/>
        <v/>
      </c>
      <c r="G298" s="561" t="str">
        <f t="shared" si="2"/>
        <v/>
      </c>
      <c r="H298" s="561" t="str">
        <f t="shared" si="8"/>
        <v/>
      </c>
      <c r="I298" s="561" t="str">
        <f t="shared" ca="1" si="9"/>
        <v/>
      </c>
      <c r="J298" s="561" t="str">
        <f t="shared" ca="1" si="10"/>
        <v/>
      </c>
      <c r="K298" s="561" t="str">
        <f t="shared" ca="1" si="11"/>
        <v/>
      </c>
      <c r="L298" s="561" t="str">
        <f t="shared" ca="1" si="12"/>
        <v/>
      </c>
      <c r="M298" s="560" t="str">
        <f t="shared" si="3"/>
        <v/>
      </c>
      <c r="N298" s="560" t="str">
        <f t="shared" ca="1" si="4"/>
        <v/>
      </c>
      <c r="O298" s="636" t="str">
        <f t="shared" ca="1" si="13"/>
        <v/>
      </c>
      <c r="Q298" s="1133"/>
    </row>
    <row r="299" spans="2:17" x14ac:dyDescent="0.3">
      <c r="B299" s="126"/>
      <c r="C299" s="607">
        <v>53</v>
      </c>
      <c r="D299" s="561" t="str">
        <f t="shared" si="5"/>
        <v/>
      </c>
      <c r="E299" s="561" t="str">
        <f t="shared" si="6"/>
        <v/>
      </c>
      <c r="F299" s="561" t="str">
        <f t="shared" si="7"/>
        <v/>
      </c>
      <c r="G299" s="561" t="str">
        <f t="shared" si="2"/>
        <v/>
      </c>
      <c r="H299" s="561" t="str">
        <f t="shared" si="8"/>
        <v/>
      </c>
      <c r="I299" s="561" t="str">
        <f t="shared" ca="1" si="9"/>
        <v/>
      </c>
      <c r="J299" s="561" t="str">
        <f t="shared" ca="1" si="10"/>
        <v/>
      </c>
      <c r="K299" s="561" t="str">
        <f t="shared" ca="1" si="11"/>
        <v/>
      </c>
      <c r="L299" s="561" t="str">
        <f t="shared" ca="1" si="12"/>
        <v/>
      </c>
      <c r="M299" s="560" t="str">
        <f t="shared" si="3"/>
        <v/>
      </c>
      <c r="N299" s="560" t="str">
        <f t="shared" ca="1" si="4"/>
        <v/>
      </c>
      <c r="O299" s="636" t="str">
        <f t="shared" ca="1" si="13"/>
        <v/>
      </c>
      <c r="Q299" s="1133"/>
    </row>
    <row r="300" spans="2:17" x14ac:dyDescent="0.3">
      <c r="B300" s="126"/>
      <c r="C300" s="607">
        <v>54</v>
      </c>
      <c r="D300" s="561" t="str">
        <f t="shared" si="5"/>
        <v/>
      </c>
      <c r="E300" s="561" t="str">
        <f t="shared" si="6"/>
        <v/>
      </c>
      <c r="F300" s="561" t="str">
        <f t="shared" si="7"/>
        <v/>
      </c>
      <c r="G300" s="561" t="str">
        <f t="shared" si="2"/>
        <v/>
      </c>
      <c r="H300" s="561" t="str">
        <f t="shared" si="8"/>
        <v/>
      </c>
      <c r="I300" s="561" t="str">
        <f t="shared" ca="1" si="9"/>
        <v/>
      </c>
      <c r="J300" s="561" t="str">
        <f t="shared" ca="1" si="10"/>
        <v/>
      </c>
      <c r="K300" s="561" t="str">
        <f t="shared" ca="1" si="11"/>
        <v/>
      </c>
      <c r="L300" s="561" t="str">
        <f t="shared" ca="1" si="12"/>
        <v/>
      </c>
      <c r="M300" s="560" t="str">
        <f t="shared" si="3"/>
        <v/>
      </c>
      <c r="N300" s="560" t="str">
        <f t="shared" ca="1" si="4"/>
        <v/>
      </c>
      <c r="O300" s="636" t="str">
        <f t="shared" ca="1" si="13"/>
        <v/>
      </c>
      <c r="Q300" s="1133"/>
    </row>
    <row r="301" spans="2:17" x14ac:dyDescent="0.3">
      <c r="B301" s="126"/>
      <c r="C301" s="607">
        <v>55</v>
      </c>
      <c r="D301" s="561" t="str">
        <f t="shared" si="5"/>
        <v/>
      </c>
      <c r="E301" s="561" t="str">
        <f t="shared" si="6"/>
        <v/>
      </c>
      <c r="F301" s="561" t="str">
        <f t="shared" si="7"/>
        <v/>
      </c>
      <c r="G301" s="561" t="str">
        <f t="shared" si="2"/>
        <v/>
      </c>
      <c r="H301" s="561" t="str">
        <f t="shared" si="8"/>
        <v/>
      </c>
      <c r="I301" s="561" t="str">
        <f t="shared" ca="1" si="9"/>
        <v/>
      </c>
      <c r="J301" s="561" t="str">
        <f t="shared" ca="1" si="10"/>
        <v/>
      </c>
      <c r="K301" s="561" t="str">
        <f t="shared" ca="1" si="11"/>
        <v/>
      </c>
      <c r="L301" s="561" t="str">
        <f t="shared" ca="1" si="12"/>
        <v/>
      </c>
      <c r="M301" s="560" t="str">
        <f t="shared" si="3"/>
        <v/>
      </c>
      <c r="N301" s="560" t="str">
        <f t="shared" ca="1" si="4"/>
        <v/>
      </c>
      <c r="O301" s="636" t="str">
        <f t="shared" ca="1" si="13"/>
        <v/>
      </c>
      <c r="Q301" s="1133"/>
    </row>
    <row r="302" spans="2:17" x14ac:dyDescent="0.3">
      <c r="B302" s="126"/>
      <c r="C302" s="607">
        <v>56</v>
      </c>
      <c r="D302" s="561" t="str">
        <f t="shared" si="5"/>
        <v/>
      </c>
      <c r="E302" s="561" t="str">
        <f t="shared" si="6"/>
        <v/>
      </c>
      <c r="F302" s="561" t="str">
        <f t="shared" si="7"/>
        <v/>
      </c>
      <c r="G302" s="561" t="str">
        <f t="shared" si="2"/>
        <v/>
      </c>
      <c r="H302" s="561" t="str">
        <f t="shared" si="8"/>
        <v/>
      </c>
      <c r="I302" s="561" t="str">
        <f t="shared" ca="1" si="9"/>
        <v/>
      </c>
      <c r="J302" s="561" t="str">
        <f t="shared" ca="1" si="10"/>
        <v/>
      </c>
      <c r="K302" s="561" t="str">
        <f t="shared" ca="1" si="11"/>
        <v/>
      </c>
      <c r="L302" s="561" t="str">
        <f t="shared" ca="1" si="12"/>
        <v/>
      </c>
      <c r="M302" s="560" t="str">
        <f t="shared" si="3"/>
        <v/>
      </c>
      <c r="N302" s="560" t="str">
        <f t="shared" ca="1" si="4"/>
        <v/>
      </c>
      <c r="O302" s="636" t="str">
        <f t="shared" ca="1" si="13"/>
        <v/>
      </c>
      <c r="Q302" s="1133"/>
    </row>
    <row r="303" spans="2:17" x14ac:dyDescent="0.3">
      <c r="B303" s="126"/>
      <c r="C303" s="607">
        <v>57</v>
      </c>
      <c r="D303" s="561" t="str">
        <f t="shared" si="5"/>
        <v/>
      </c>
      <c r="E303" s="561" t="str">
        <f t="shared" si="6"/>
        <v/>
      </c>
      <c r="F303" s="561" t="str">
        <f t="shared" si="7"/>
        <v/>
      </c>
      <c r="G303" s="561" t="str">
        <f t="shared" si="2"/>
        <v/>
      </c>
      <c r="H303" s="561" t="str">
        <f t="shared" si="8"/>
        <v/>
      </c>
      <c r="I303" s="561" t="str">
        <f t="shared" ca="1" si="9"/>
        <v/>
      </c>
      <c r="J303" s="561" t="str">
        <f t="shared" ca="1" si="10"/>
        <v/>
      </c>
      <c r="K303" s="561" t="str">
        <f t="shared" ca="1" si="11"/>
        <v/>
      </c>
      <c r="L303" s="561" t="str">
        <f t="shared" ca="1" si="12"/>
        <v/>
      </c>
      <c r="M303" s="560" t="str">
        <f t="shared" si="3"/>
        <v/>
      </c>
      <c r="N303" s="560" t="str">
        <f t="shared" ca="1" si="4"/>
        <v/>
      </c>
      <c r="O303" s="636" t="str">
        <f t="shared" ca="1" si="13"/>
        <v/>
      </c>
      <c r="Q303" s="1133"/>
    </row>
    <row r="304" spans="2:17" x14ac:dyDescent="0.3">
      <c r="B304" s="126"/>
      <c r="C304" s="607">
        <v>58</v>
      </c>
      <c r="D304" s="561" t="str">
        <f t="shared" si="5"/>
        <v/>
      </c>
      <c r="E304" s="561" t="str">
        <f t="shared" si="6"/>
        <v/>
      </c>
      <c r="F304" s="561" t="str">
        <f t="shared" si="7"/>
        <v/>
      </c>
      <c r="G304" s="561" t="str">
        <f t="shared" si="2"/>
        <v/>
      </c>
      <c r="H304" s="561" t="str">
        <f t="shared" si="8"/>
        <v/>
      </c>
      <c r="I304" s="561" t="str">
        <f t="shared" ca="1" si="9"/>
        <v/>
      </c>
      <c r="J304" s="561" t="str">
        <f t="shared" ca="1" si="10"/>
        <v/>
      </c>
      <c r="K304" s="561" t="str">
        <f t="shared" ca="1" si="11"/>
        <v/>
      </c>
      <c r="L304" s="561" t="str">
        <f t="shared" ca="1" si="12"/>
        <v/>
      </c>
      <c r="M304" s="560" t="str">
        <f t="shared" si="3"/>
        <v/>
      </c>
      <c r="N304" s="560" t="str">
        <f t="shared" ca="1" si="4"/>
        <v/>
      </c>
      <c r="O304" s="636" t="str">
        <f t="shared" ca="1" si="13"/>
        <v/>
      </c>
      <c r="Q304" s="1133"/>
    </row>
    <row r="305" spans="2:17" x14ac:dyDescent="0.3">
      <c r="B305" s="126"/>
      <c r="C305" s="607">
        <v>59</v>
      </c>
      <c r="D305" s="561" t="str">
        <f t="shared" si="5"/>
        <v/>
      </c>
      <c r="E305" s="561" t="str">
        <f t="shared" si="6"/>
        <v/>
      </c>
      <c r="F305" s="561" t="str">
        <f t="shared" si="7"/>
        <v/>
      </c>
      <c r="G305" s="561" t="str">
        <f t="shared" si="2"/>
        <v/>
      </c>
      <c r="H305" s="561" t="str">
        <f t="shared" si="8"/>
        <v/>
      </c>
      <c r="I305" s="561" t="str">
        <f t="shared" ca="1" si="9"/>
        <v/>
      </c>
      <c r="J305" s="561" t="str">
        <f t="shared" ca="1" si="10"/>
        <v/>
      </c>
      <c r="K305" s="561" t="str">
        <f t="shared" ca="1" si="11"/>
        <v/>
      </c>
      <c r="L305" s="561" t="str">
        <f t="shared" ca="1" si="12"/>
        <v/>
      </c>
      <c r="M305" s="560" t="str">
        <f t="shared" si="3"/>
        <v/>
      </c>
      <c r="N305" s="560" t="str">
        <f t="shared" ca="1" si="4"/>
        <v/>
      </c>
      <c r="O305" s="636" t="str">
        <f t="shared" ca="1" si="13"/>
        <v/>
      </c>
      <c r="Q305" s="1133"/>
    </row>
    <row r="306" spans="2:17" x14ac:dyDescent="0.3">
      <c r="B306" s="126"/>
      <c r="C306" s="607">
        <v>60</v>
      </c>
      <c r="D306" s="561" t="str">
        <f t="shared" si="5"/>
        <v/>
      </c>
      <c r="E306" s="561" t="str">
        <f t="shared" si="6"/>
        <v/>
      </c>
      <c r="F306" s="561" t="str">
        <f t="shared" si="7"/>
        <v/>
      </c>
      <c r="G306" s="561" t="str">
        <f t="shared" si="2"/>
        <v/>
      </c>
      <c r="H306" s="561" t="str">
        <f t="shared" si="8"/>
        <v/>
      </c>
      <c r="I306" s="561" t="str">
        <f t="shared" ca="1" si="9"/>
        <v/>
      </c>
      <c r="J306" s="561" t="str">
        <f t="shared" ca="1" si="10"/>
        <v/>
      </c>
      <c r="K306" s="561" t="str">
        <f t="shared" ca="1" si="11"/>
        <v/>
      </c>
      <c r="L306" s="561" t="str">
        <f t="shared" ca="1" si="12"/>
        <v/>
      </c>
      <c r="M306" s="560" t="str">
        <f t="shared" si="3"/>
        <v/>
      </c>
      <c r="N306" s="560" t="str">
        <f t="shared" ca="1" si="4"/>
        <v/>
      </c>
      <c r="O306" s="636" t="str">
        <f t="shared" ca="1" si="13"/>
        <v/>
      </c>
      <c r="Q306" s="1133"/>
    </row>
    <row r="307" spans="2:17" x14ac:dyDescent="0.3">
      <c r="B307" s="126"/>
      <c r="C307" s="607">
        <v>61</v>
      </c>
      <c r="D307" s="561" t="str">
        <f t="shared" si="5"/>
        <v/>
      </c>
      <c r="E307" s="561" t="str">
        <f t="shared" si="6"/>
        <v/>
      </c>
      <c r="F307" s="561" t="str">
        <f t="shared" si="7"/>
        <v/>
      </c>
      <c r="G307" s="561" t="str">
        <f t="shared" si="2"/>
        <v/>
      </c>
      <c r="H307" s="561" t="str">
        <f t="shared" si="8"/>
        <v/>
      </c>
      <c r="I307" s="561" t="str">
        <f t="shared" ca="1" si="9"/>
        <v/>
      </c>
      <c r="J307" s="561" t="str">
        <f t="shared" ca="1" si="10"/>
        <v/>
      </c>
      <c r="K307" s="561" t="str">
        <f t="shared" ca="1" si="11"/>
        <v/>
      </c>
      <c r="L307" s="561" t="str">
        <f t="shared" ca="1" si="12"/>
        <v/>
      </c>
      <c r="M307" s="560" t="str">
        <f t="shared" si="3"/>
        <v/>
      </c>
      <c r="N307" s="560" t="str">
        <f t="shared" ca="1" si="4"/>
        <v/>
      </c>
      <c r="O307" s="636" t="str">
        <f t="shared" ca="1" si="13"/>
        <v/>
      </c>
      <c r="Q307" s="1133"/>
    </row>
    <row r="308" spans="2:17" x14ac:dyDescent="0.3">
      <c r="B308" s="126"/>
      <c r="C308" s="607">
        <v>62</v>
      </c>
      <c r="D308" s="561" t="str">
        <f t="shared" si="5"/>
        <v/>
      </c>
      <c r="E308" s="561" t="str">
        <f t="shared" si="6"/>
        <v/>
      </c>
      <c r="F308" s="561" t="str">
        <f t="shared" si="7"/>
        <v/>
      </c>
      <c r="G308" s="561" t="str">
        <f t="shared" si="2"/>
        <v/>
      </c>
      <c r="H308" s="561" t="str">
        <f t="shared" si="8"/>
        <v/>
      </c>
      <c r="I308" s="561" t="str">
        <f t="shared" ca="1" si="9"/>
        <v/>
      </c>
      <c r="J308" s="561" t="str">
        <f t="shared" ca="1" si="10"/>
        <v/>
      </c>
      <c r="K308" s="561" t="str">
        <f t="shared" ca="1" si="11"/>
        <v/>
      </c>
      <c r="L308" s="561" t="str">
        <f t="shared" ca="1" si="12"/>
        <v/>
      </c>
      <c r="M308" s="560" t="str">
        <f t="shared" si="3"/>
        <v/>
      </c>
      <c r="N308" s="560" t="str">
        <f t="shared" ca="1" si="4"/>
        <v/>
      </c>
      <c r="O308" s="636" t="str">
        <f t="shared" ca="1" si="13"/>
        <v/>
      </c>
      <c r="Q308" s="1133"/>
    </row>
    <row r="309" spans="2:17" x14ac:dyDescent="0.3">
      <c r="B309" s="126"/>
      <c r="C309" s="607">
        <v>63</v>
      </c>
      <c r="D309" s="561" t="str">
        <f t="shared" si="5"/>
        <v/>
      </c>
      <c r="E309" s="561" t="str">
        <f t="shared" si="6"/>
        <v/>
      </c>
      <c r="F309" s="561" t="str">
        <f t="shared" si="7"/>
        <v/>
      </c>
      <c r="G309" s="561" t="str">
        <f t="shared" si="2"/>
        <v/>
      </c>
      <c r="H309" s="561" t="str">
        <f t="shared" si="8"/>
        <v/>
      </c>
      <c r="I309" s="561" t="str">
        <f t="shared" ca="1" si="9"/>
        <v/>
      </c>
      <c r="J309" s="561" t="str">
        <f t="shared" ca="1" si="10"/>
        <v/>
      </c>
      <c r="K309" s="561" t="str">
        <f t="shared" ca="1" si="11"/>
        <v/>
      </c>
      <c r="L309" s="561" t="str">
        <f t="shared" ca="1" si="12"/>
        <v/>
      </c>
      <c r="M309" s="560" t="str">
        <f t="shared" si="3"/>
        <v/>
      </c>
      <c r="N309" s="560" t="str">
        <f t="shared" ca="1" si="4"/>
        <v/>
      </c>
      <c r="O309" s="636" t="str">
        <f t="shared" ca="1" si="13"/>
        <v/>
      </c>
      <c r="Q309" s="1133"/>
    </row>
    <row r="310" spans="2:17" x14ac:dyDescent="0.3">
      <c r="B310" s="126"/>
      <c r="C310" s="607">
        <v>64</v>
      </c>
      <c r="D310" s="561" t="str">
        <f t="shared" si="5"/>
        <v/>
      </c>
      <c r="E310" s="561" t="str">
        <f t="shared" si="6"/>
        <v/>
      </c>
      <c r="F310" s="561" t="str">
        <f t="shared" si="7"/>
        <v/>
      </c>
      <c r="G310" s="561" t="str">
        <f t="shared" si="2"/>
        <v/>
      </c>
      <c r="H310" s="561" t="str">
        <f t="shared" si="8"/>
        <v/>
      </c>
      <c r="I310" s="561" t="str">
        <f t="shared" ca="1" si="9"/>
        <v/>
      </c>
      <c r="J310" s="561" t="str">
        <f t="shared" ca="1" si="10"/>
        <v/>
      </c>
      <c r="K310" s="561" t="str">
        <f t="shared" ca="1" si="11"/>
        <v/>
      </c>
      <c r="L310" s="561" t="str">
        <f t="shared" ca="1" si="12"/>
        <v/>
      </c>
      <c r="M310" s="560" t="str">
        <f t="shared" si="3"/>
        <v/>
      </c>
      <c r="N310" s="560" t="str">
        <f t="shared" ca="1" si="4"/>
        <v/>
      </c>
      <c r="O310" s="636" t="str">
        <f t="shared" ca="1" si="13"/>
        <v/>
      </c>
      <c r="Q310" s="1133"/>
    </row>
    <row r="311" spans="2:17" x14ac:dyDescent="0.3">
      <c r="B311" s="126"/>
      <c r="C311" s="607">
        <v>65</v>
      </c>
      <c r="D311" s="561" t="str">
        <f t="shared" si="5"/>
        <v/>
      </c>
      <c r="E311" s="561" t="str">
        <f t="shared" si="6"/>
        <v/>
      </c>
      <c r="F311" s="561" t="str">
        <f t="shared" si="7"/>
        <v/>
      </c>
      <c r="G311" s="561" t="str">
        <f t="shared" ref="G311:G346" si="14">IFERROR(E311+100,"")</f>
        <v/>
      </c>
      <c r="H311" s="561" t="str">
        <f t="shared" si="8"/>
        <v/>
      </c>
      <c r="I311" s="561" t="str">
        <f t="shared" ca="1" si="9"/>
        <v/>
      </c>
      <c r="J311" s="561" t="str">
        <f t="shared" ca="1" si="10"/>
        <v/>
      </c>
      <c r="K311" s="561" t="str">
        <f t="shared" ca="1" si="11"/>
        <v/>
      </c>
      <c r="L311" s="561" t="str">
        <f t="shared" ca="1" si="12"/>
        <v/>
      </c>
      <c r="M311" s="560" t="str">
        <f t="shared" ref="M311:M346" si="15">IFERROR(IF(D311&lt;$C$226,1,
IF(D311&lt;$C$227,SQRT(5/(5+(2.6*(($C$237/$C$236)*SIN((PI()/2-$C$238)*(D311-$C$226)/($C$227-$C$226)))^1.58)/((1-($C$237/$C$236)*SIN((PI()/2-$C$238)*(D311-$C$226)/($C$227-$C$226)))^2))),
$C$239)),"")</f>
        <v/>
      </c>
      <c r="N311" s="560" t="str">
        <f t="shared" ref="N311:N346" ca="1" si="16">IFERROR(IF($C$242*$M311*$C$241&gt;$C$240,$C$240*$C$234/($C$242*$M311*$C$241),$C$234),"")</f>
        <v/>
      </c>
      <c r="O311" s="636" t="str">
        <f t="shared" ca="1" si="13"/>
        <v/>
      </c>
      <c r="Q311" s="1133"/>
    </row>
    <row r="312" spans="2:17" x14ac:dyDescent="0.3">
      <c r="B312" s="126"/>
      <c r="C312" s="607">
        <v>66</v>
      </c>
      <c r="D312" s="561" t="str">
        <f t="shared" ref="D312:D346" si="17">IFERROR(C312*$C$231*$C$228,"")</f>
        <v/>
      </c>
      <c r="E312" s="561" t="str">
        <f t="shared" ref="E312:E346" si="18">IFERROR($C$233*EXP(-$D312/$C$229),"")</f>
        <v/>
      </c>
      <c r="F312" s="561" t="str">
        <f t="shared" ref="F312:F346" si="19">IFERROR(($E312+28)^(0.56)/(($E312+530)^(1.19)),"")</f>
        <v/>
      </c>
      <c r="G312" s="561" t="str">
        <f t="shared" si="14"/>
        <v/>
      </c>
      <c r="H312" s="561" t="str">
        <f t="shared" ref="H312:H346" si="20">IFERROR(($E312+128)^(0.56)/(($E312+630)^(1.19)),"")</f>
        <v/>
      </c>
      <c r="I312" s="561" t="str">
        <f t="shared" ref="I312:I346" ca="1" si="21">IFERROR($O312*EXP(-$D312/$C$229),"")</f>
        <v/>
      </c>
      <c r="J312" s="561" t="str">
        <f t="shared" ref="J312:J346" ca="1" si="22">IFERROR(($I312+28)^(0.56)/(($I312+530)^(1.19)),"")</f>
        <v/>
      </c>
      <c r="K312" s="561" t="str">
        <f t="shared" ref="K312:K346" ca="1" si="23">IFERROR(I312+100,"")</f>
        <v/>
      </c>
      <c r="L312" s="561" t="str">
        <f t="shared" ref="L312:L346" ca="1" si="24">IFERROR(($I312+128)^(0.56)/(($I312+630)^(1.19)),"")</f>
        <v/>
      </c>
      <c r="M312" s="560" t="str">
        <f t="shared" si="15"/>
        <v/>
      </c>
      <c r="N312" s="560" t="str">
        <f t="shared" ca="1" si="16"/>
        <v/>
      </c>
      <c r="O312" s="636" t="str">
        <f t="shared" ref="O312:O346" ca="1" si="25">IFERROR(IF($C$242*$M312*$C$241&gt;$C$240,$C$240*$C$235/($C$242*$M312*$C$241),$C$235),"")</f>
        <v/>
      </c>
      <c r="Q312" s="1133"/>
    </row>
    <row r="313" spans="2:17" x14ac:dyDescent="0.3">
      <c r="B313" s="126"/>
      <c r="C313" s="607">
        <v>67</v>
      </c>
      <c r="D313" s="561" t="str">
        <f t="shared" si="17"/>
        <v/>
      </c>
      <c r="E313" s="561" t="str">
        <f t="shared" si="18"/>
        <v/>
      </c>
      <c r="F313" s="561" t="str">
        <f t="shared" si="19"/>
        <v/>
      </c>
      <c r="G313" s="561" t="str">
        <f t="shared" si="14"/>
        <v/>
      </c>
      <c r="H313" s="561" t="str">
        <f t="shared" si="20"/>
        <v/>
      </c>
      <c r="I313" s="561" t="str">
        <f t="shared" ca="1" si="21"/>
        <v/>
      </c>
      <c r="J313" s="561" t="str">
        <f t="shared" ca="1" si="22"/>
        <v/>
      </c>
      <c r="K313" s="561" t="str">
        <f t="shared" ca="1" si="23"/>
        <v/>
      </c>
      <c r="L313" s="561" t="str">
        <f t="shared" ca="1" si="24"/>
        <v/>
      </c>
      <c r="M313" s="560" t="str">
        <f t="shared" si="15"/>
        <v/>
      </c>
      <c r="N313" s="560" t="str">
        <f t="shared" ca="1" si="16"/>
        <v/>
      </c>
      <c r="O313" s="636" t="str">
        <f t="shared" ca="1" si="25"/>
        <v/>
      </c>
      <c r="Q313" s="1133"/>
    </row>
    <row r="314" spans="2:17" x14ac:dyDescent="0.3">
      <c r="B314" s="126"/>
      <c r="C314" s="607">
        <v>68</v>
      </c>
      <c r="D314" s="561" t="str">
        <f t="shared" si="17"/>
        <v/>
      </c>
      <c r="E314" s="561" t="str">
        <f t="shared" si="18"/>
        <v/>
      </c>
      <c r="F314" s="561" t="str">
        <f t="shared" si="19"/>
        <v/>
      </c>
      <c r="G314" s="561" t="str">
        <f t="shared" si="14"/>
        <v/>
      </c>
      <c r="H314" s="561" t="str">
        <f t="shared" si="20"/>
        <v/>
      </c>
      <c r="I314" s="561" t="str">
        <f t="shared" ca="1" si="21"/>
        <v/>
      </c>
      <c r="J314" s="561" t="str">
        <f t="shared" ca="1" si="22"/>
        <v/>
      </c>
      <c r="K314" s="561" t="str">
        <f t="shared" ca="1" si="23"/>
        <v/>
      </c>
      <c r="L314" s="561" t="str">
        <f t="shared" ca="1" si="24"/>
        <v/>
      </c>
      <c r="M314" s="560" t="str">
        <f t="shared" si="15"/>
        <v/>
      </c>
      <c r="N314" s="560" t="str">
        <f t="shared" ca="1" si="16"/>
        <v/>
      </c>
      <c r="O314" s="636" t="str">
        <f t="shared" ca="1" si="25"/>
        <v/>
      </c>
      <c r="Q314" s="1133"/>
    </row>
    <row r="315" spans="2:17" x14ac:dyDescent="0.3">
      <c r="B315" s="126"/>
      <c r="C315" s="607">
        <v>69</v>
      </c>
      <c r="D315" s="561" t="str">
        <f t="shared" si="17"/>
        <v/>
      </c>
      <c r="E315" s="561" t="str">
        <f t="shared" si="18"/>
        <v/>
      </c>
      <c r="F315" s="561" t="str">
        <f t="shared" si="19"/>
        <v/>
      </c>
      <c r="G315" s="561" t="str">
        <f t="shared" si="14"/>
        <v/>
      </c>
      <c r="H315" s="561" t="str">
        <f t="shared" si="20"/>
        <v/>
      </c>
      <c r="I315" s="561" t="str">
        <f t="shared" ca="1" si="21"/>
        <v/>
      </c>
      <c r="J315" s="561" t="str">
        <f t="shared" ca="1" si="22"/>
        <v/>
      </c>
      <c r="K315" s="561" t="str">
        <f t="shared" ca="1" si="23"/>
        <v/>
      </c>
      <c r="L315" s="561" t="str">
        <f t="shared" ca="1" si="24"/>
        <v/>
      </c>
      <c r="M315" s="560" t="str">
        <f t="shared" si="15"/>
        <v/>
      </c>
      <c r="N315" s="560" t="str">
        <f t="shared" ca="1" si="16"/>
        <v/>
      </c>
      <c r="O315" s="636" t="str">
        <f t="shared" ca="1" si="25"/>
        <v/>
      </c>
      <c r="Q315" s="1133"/>
    </row>
    <row r="316" spans="2:17" x14ac:dyDescent="0.3">
      <c r="B316" s="126"/>
      <c r="C316" s="607">
        <v>70</v>
      </c>
      <c r="D316" s="561" t="str">
        <f t="shared" si="17"/>
        <v/>
      </c>
      <c r="E316" s="561" t="str">
        <f t="shared" si="18"/>
        <v/>
      </c>
      <c r="F316" s="561" t="str">
        <f t="shared" si="19"/>
        <v/>
      </c>
      <c r="G316" s="561" t="str">
        <f t="shared" si="14"/>
        <v/>
      </c>
      <c r="H316" s="561" t="str">
        <f t="shared" si="20"/>
        <v/>
      </c>
      <c r="I316" s="561" t="str">
        <f t="shared" ca="1" si="21"/>
        <v/>
      </c>
      <c r="J316" s="561" t="str">
        <f t="shared" ca="1" si="22"/>
        <v/>
      </c>
      <c r="K316" s="561" t="str">
        <f t="shared" ca="1" si="23"/>
        <v/>
      </c>
      <c r="L316" s="561" t="str">
        <f t="shared" ca="1" si="24"/>
        <v/>
      </c>
      <c r="M316" s="560" t="str">
        <f t="shared" si="15"/>
        <v/>
      </c>
      <c r="N316" s="560" t="str">
        <f t="shared" ca="1" si="16"/>
        <v/>
      </c>
      <c r="O316" s="636" t="str">
        <f t="shared" ca="1" si="25"/>
        <v/>
      </c>
      <c r="Q316" s="1133"/>
    </row>
    <row r="317" spans="2:17" x14ac:dyDescent="0.3">
      <c r="B317" s="126"/>
      <c r="C317" s="607">
        <v>71</v>
      </c>
      <c r="D317" s="561" t="str">
        <f t="shared" si="17"/>
        <v/>
      </c>
      <c r="E317" s="561" t="str">
        <f t="shared" si="18"/>
        <v/>
      </c>
      <c r="F317" s="561" t="str">
        <f t="shared" si="19"/>
        <v/>
      </c>
      <c r="G317" s="561" t="str">
        <f t="shared" si="14"/>
        <v/>
      </c>
      <c r="H317" s="561" t="str">
        <f t="shared" si="20"/>
        <v/>
      </c>
      <c r="I317" s="561" t="str">
        <f t="shared" ca="1" si="21"/>
        <v/>
      </c>
      <c r="J317" s="561" t="str">
        <f t="shared" ca="1" si="22"/>
        <v/>
      </c>
      <c r="K317" s="561" t="str">
        <f t="shared" ca="1" si="23"/>
        <v/>
      </c>
      <c r="L317" s="561" t="str">
        <f t="shared" ca="1" si="24"/>
        <v/>
      </c>
      <c r="M317" s="560" t="str">
        <f t="shared" si="15"/>
        <v/>
      </c>
      <c r="N317" s="560" t="str">
        <f t="shared" ca="1" si="16"/>
        <v/>
      </c>
      <c r="O317" s="636" t="str">
        <f t="shared" ca="1" si="25"/>
        <v/>
      </c>
      <c r="Q317" s="1133"/>
    </row>
    <row r="318" spans="2:17" x14ac:dyDescent="0.3">
      <c r="B318" s="126"/>
      <c r="C318" s="607">
        <v>72</v>
      </c>
      <c r="D318" s="561" t="str">
        <f t="shared" si="17"/>
        <v/>
      </c>
      <c r="E318" s="561" t="str">
        <f t="shared" si="18"/>
        <v/>
      </c>
      <c r="F318" s="561" t="str">
        <f t="shared" si="19"/>
        <v/>
      </c>
      <c r="G318" s="561" t="str">
        <f t="shared" si="14"/>
        <v/>
      </c>
      <c r="H318" s="561" t="str">
        <f t="shared" si="20"/>
        <v/>
      </c>
      <c r="I318" s="561" t="str">
        <f t="shared" ca="1" si="21"/>
        <v/>
      </c>
      <c r="J318" s="561" t="str">
        <f t="shared" ca="1" si="22"/>
        <v/>
      </c>
      <c r="K318" s="561" t="str">
        <f t="shared" ca="1" si="23"/>
        <v/>
      </c>
      <c r="L318" s="561" t="str">
        <f t="shared" ca="1" si="24"/>
        <v/>
      </c>
      <c r="M318" s="560" t="str">
        <f t="shared" si="15"/>
        <v/>
      </c>
      <c r="N318" s="560" t="str">
        <f t="shared" ca="1" si="16"/>
        <v/>
      </c>
      <c r="O318" s="636" t="str">
        <f t="shared" ca="1" si="25"/>
        <v/>
      </c>
      <c r="Q318" s="1133"/>
    </row>
    <row r="319" spans="2:17" x14ac:dyDescent="0.3">
      <c r="B319" s="126"/>
      <c r="C319" s="607">
        <v>73</v>
      </c>
      <c r="D319" s="561" t="str">
        <f t="shared" si="17"/>
        <v/>
      </c>
      <c r="E319" s="561" t="str">
        <f t="shared" si="18"/>
        <v/>
      </c>
      <c r="F319" s="561" t="str">
        <f t="shared" si="19"/>
        <v/>
      </c>
      <c r="G319" s="561" t="str">
        <f t="shared" si="14"/>
        <v/>
      </c>
      <c r="H319" s="561" t="str">
        <f t="shared" si="20"/>
        <v/>
      </c>
      <c r="I319" s="561" t="str">
        <f t="shared" ca="1" si="21"/>
        <v/>
      </c>
      <c r="J319" s="561" t="str">
        <f t="shared" ca="1" si="22"/>
        <v/>
      </c>
      <c r="K319" s="561" t="str">
        <f t="shared" ca="1" si="23"/>
        <v/>
      </c>
      <c r="L319" s="561" t="str">
        <f t="shared" ca="1" si="24"/>
        <v/>
      </c>
      <c r="M319" s="560" t="str">
        <f t="shared" si="15"/>
        <v/>
      </c>
      <c r="N319" s="560" t="str">
        <f t="shared" ca="1" si="16"/>
        <v/>
      </c>
      <c r="O319" s="636" t="str">
        <f t="shared" ca="1" si="25"/>
        <v/>
      </c>
      <c r="Q319" s="1133"/>
    </row>
    <row r="320" spans="2:17" x14ac:dyDescent="0.3">
      <c r="B320" s="126"/>
      <c r="C320" s="607">
        <v>74</v>
      </c>
      <c r="D320" s="561" t="str">
        <f t="shared" si="17"/>
        <v/>
      </c>
      <c r="E320" s="561" t="str">
        <f t="shared" si="18"/>
        <v/>
      </c>
      <c r="F320" s="561" t="str">
        <f t="shared" si="19"/>
        <v/>
      </c>
      <c r="G320" s="561" t="str">
        <f t="shared" si="14"/>
        <v/>
      </c>
      <c r="H320" s="561" t="str">
        <f t="shared" si="20"/>
        <v/>
      </c>
      <c r="I320" s="561" t="str">
        <f t="shared" ca="1" si="21"/>
        <v/>
      </c>
      <c r="J320" s="561" t="str">
        <f t="shared" ca="1" si="22"/>
        <v/>
      </c>
      <c r="K320" s="561" t="str">
        <f t="shared" ca="1" si="23"/>
        <v/>
      </c>
      <c r="L320" s="561" t="str">
        <f t="shared" ca="1" si="24"/>
        <v/>
      </c>
      <c r="M320" s="560" t="str">
        <f t="shared" si="15"/>
        <v/>
      </c>
      <c r="N320" s="560" t="str">
        <f t="shared" ca="1" si="16"/>
        <v/>
      </c>
      <c r="O320" s="636" t="str">
        <f t="shared" ca="1" si="25"/>
        <v/>
      </c>
      <c r="Q320" s="1133"/>
    </row>
    <row r="321" spans="2:17" x14ac:dyDescent="0.3">
      <c r="B321" s="126"/>
      <c r="C321" s="607">
        <v>75</v>
      </c>
      <c r="D321" s="561" t="str">
        <f t="shared" si="17"/>
        <v/>
      </c>
      <c r="E321" s="561" t="str">
        <f t="shared" si="18"/>
        <v/>
      </c>
      <c r="F321" s="561" t="str">
        <f t="shared" si="19"/>
        <v/>
      </c>
      <c r="G321" s="561" t="str">
        <f t="shared" si="14"/>
        <v/>
      </c>
      <c r="H321" s="561" t="str">
        <f t="shared" si="20"/>
        <v/>
      </c>
      <c r="I321" s="561" t="str">
        <f t="shared" ca="1" si="21"/>
        <v/>
      </c>
      <c r="J321" s="561" t="str">
        <f t="shared" ca="1" si="22"/>
        <v/>
      </c>
      <c r="K321" s="561" t="str">
        <f t="shared" ca="1" si="23"/>
        <v/>
      </c>
      <c r="L321" s="561" t="str">
        <f t="shared" ca="1" si="24"/>
        <v/>
      </c>
      <c r="M321" s="560" t="str">
        <f t="shared" si="15"/>
        <v/>
      </c>
      <c r="N321" s="560" t="str">
        <f t="shared" ca="1" si="16"/>
        <v/>
      </c>
      <c r="O321" s="636" t="str">
        <f t="shared" ca="1" si="25"/>
        <v/>
      </c>
      <c r="Q321" s="1133"/>
    </row>
    <row r="322" spans="2:17" x14ac:dyDescent="0.3">
      <c r="B322" s="126"/>
      <c r="C322" s="607">
        <v>76</v>
      </c>
      <c r="D322" s="561" t="str">
        <f t="shared" si="17"/>
        <v/>
      </c>
      <c r="E322" s="561" t="str">
        <f t="shared" si="18"/>
        <v/>
      </c>
      <c r="F322" s="561" t="str">
        <f t="shared" si="19"/>
        <v/>
      </c>
      <c r="G322" s="561" t="str">
        <f t="shared" si="14"/>
        <v/>
      </c>
      <c r="H322" s="561" t="str">
        <f t="shared" si="20"/>
        <v/>
      </c>
      <c r="I322" s="561" t="str">
        <f t="shared" ca="1" si="21"/>
        <v/>
      </c>
      <c r="J322" s="561" t="str">
        <f t="shared" ca="1" si="22"/>
        <v/>
      </c>
      <c r="K322" s="561" t="str">
        <f t="shared" ca="1" si="23"/>
        <v/>
      </c>
      <c r="L322" s="561" t="str">
        <f t="shared" ca="1" si="24"/>
        <v/>
      </c>
      <c r="M322" s="560" t="str">
        <f t="shared" si="15"/>
        <v/>
      </c>
      <c r="N322" s="560" t="str">
        <f t="shared" ca="1" si="16"/>
        <v/>
      </c>
      <c r="O322" s="636" t="str">
        <f t="shared" ca="1" si="25"/>
        <v/>
      </c>
      <c r="Q322" s="1133"/>
    </row>
    <row r="323" spans="2:17" x14ac:dyDescent="0.3">
      <c r="B323" s="126"/>
      <c r="C323" s="607">
        <v>77</v>
      </c>
      <c r="D323" s="561" t="str">
        <f t="shared" si="17"/>
        <v/>
      </c>
      <c r="E323" s="561" t="str">
        <f t="shared" si="18"/>
        <v/>
      </c>
      <c r="F323" s="561" t="str">
        <f t="shared" si="19"/>
        <v/>
      </c>
      <c r="G323" s="561" t="str">
        <f t="shared" si="14"/>
        <v/>
      </c>
      <c r="H323" s="561" t="str">
        <f t="shared" si="20"/>
        <v/>
      </c>
      <c r="I323" s="561" t="str">
        <f t="shared" ca="1" si="21"/>
        <v/>
      </c>
      <c r="J323" s="561" t="str">
        <f t="shared" ca="1" si="22"/>
        <v/>
      </c>
      <c r="K323" s="561" t="str">
        <f t="shared" ca="1" si="23"/>
        <v/>
      </c>
      <c r="L323" s="561" t="str">
        <f t="shared" ca="1" si="24"/>
        <v/>
      </c>
      <c r="M323" s="560" t="str">
        <f t="shared" si="15"/>
        <v/>
      </c>
      <c r="N323" s="560" t="str">
        <f t="shared" ca="1" si="16"/>
        <v/>
      </c>
      <c r="O323" s="636" t="str">
        <f t="shared" ca="1" si="25"/>
        <v/>
      </c>
      <c r="Q323" s="1133"/>
    </row>
    <row r="324" spans="2:17" x14ac:dyDescent="0.3">
      <c r="B324" s="126"/>
      <c r="C324" s="607">
        <v>78</v>
      </c>
      <c r="D324" s="561" t="str">
        <f t="shared" si="17"/>
        <v/>
      </c>
      <c r="E324" s="561" t="str">
        <f t="shared" si="18"/>
        <v/>
      </c>
      <c r="F324" s="561" t="str">
        <f t="shared" si="19"/>
        <v/>
      </c>
      <c r="G324" s="561" t="str">
        <f t="shared" si="14"/>
        <v/>
      </c>
      <c r="H324" s="561" t="str">
        <f t="shared" si="20"/>
        <v/>
      </c>
      <c r="I324" s="561" t="str">
        <f t="shared" ca="1" si="21"/>
        <v/>
      </c>
      <c r="J324" s="561" t="str">
        <f t="shared" ca="1" si="22"/>
        <v/>
      </c>
      <c r="K324" s="561" t="str">
        <f t="shared" ca="1" si="23"/>
        <v/>
      </c>
      <c r="L324" s="561" t="str">
        <f t="shared" ca="1" si="24"/>
        <v/>
      </c>
      <c r="M324" s="560" t="str">
        <f t="shared" si="15"/>
        <v/>
      </c>
      <c r="N324" s="560" t="str">
        <f t="shared" ca="1" si="16"/>
        <v/>
      </c>
      <c r="O324" s="636" t="str">
        <f t="shared" ca="1" si="25"/>
        <v/>
      </c>
      <c r="Q324" s="1133"/>
    </row>
    <row r="325" spans="2:17" x14ac:dyDescent="0.3">
      <c r="B325" s="126"/>
      <c r="C325" s="607">
        <v>79</v>
      </c>
      <c r="D325" s="561" t="str">
        <f t="shared" si="17"/>
        <v/>
      </c>
      <c r="E325" s="561" t="str">
        <f t="shared" si="18"/>
        <v/>
      </c>
      <c r="F325" s="561" t="str">
        <f t="shared" si="19"/>
        <v/>
      </c>
      <c r="G325" s="561" t="str">
        <f t="shared" si="14"/>
        <v/>
      </c>
      <c r="H325" s="561" t="str">
        <f t="shared" si="20"/>
        <v/>
      </c>
      <c r="I325" s="561" t="str">
        <f t="shared" ca="1" si="21"/>
        <v/>
      </c>
      <c r="J325" s="561" t="str">
        <f t="shared" ca="1" si="22"/>
        <v/>
      </c>
      <c r="K325" s="561" t="str">
        <f t="shared" ca="1" si="23"/>
        <v/>
      </c>
      <c r="L325" s="561" t="str">
        <f t="shared" ca="1" si="24"/>
        <v/>
      </c>
      <c r="M325" s="560" t="str">
        <f t="shared" si="15"/>
        <v/>
      </c>
      <c r="N325" s="560" t="str">
        <f t="shared" ca="1" si="16"/>
        <v/>
      </c>
      <c r="O325" s="636" t="str">
        <f t="shared" ca="1" si="25"/>
        <v/>
      </c>
      <c r="Q325" s="1133"/>
    </row>
    <row r="326" spans="2:17" x14ac:dyDescent="0.3">
      <c r="B326" s="126"/>
      <c r="C326" s="607">
        <v>80</v>
      </c>
      <c r="D326" s="561" t="str">
        <f t="shared" si="17"/>
        <v/>
      </c>
      <c r="E326" s="561" t="str">
        <f t="shared" si="18"/>
        <v/>
      </c>
      <c r="F326" s="561" t="str">
        <f t="shared" si="19"/>
        <v/>
      </c>
      <c r="G326" s="561" t="str">
        <f t="shared" si="14"/>
        <v/>
      </c>
      <c r="H326" s="561" t="str">
        <f t="shared" si="20"/>
        <v/>
      </c>
      <c r="I326" s="561" t="str">
        <f t="shared" ca="1" si="21"/>
        <v/>
      </c>
      <c r="J326" s="561" t="str">
        <f t="shared" ca="1" si="22"/>
        <v/>
      </c>
      <c r="K326" s="561" t="str">
        <f t="shared" ca="1" si="23"/>
        <v/>
      </c>
      <c r="L326" s="561" t="str">
        <f t="shared" ca="1" si="24"/>
        <v/>
      </c>
      <c r="M326" s="560" t="str">
        <f t="shared" si="15"/>
        <v/>
      </c>
      <c r="N326" s="560" t="str">
        <f t="shared" ca="1" si="16"/>
        <v/>
      </c>
      <c r="O326" s="636" t="str">
        <f t="shared" ca="1" si="25"/>
        <v/>
      </c>
      <c r="Q326" s="1133"/>
    </row>
    <row r="327" spans="2:17" x14ac:dyDescent="0.3">
      <c r="B327" s="126"/>
      <c r="C327" s="607">
        <v>81</v>
      </c>
      <c r="D327" s="561" t="str">
        <f t="shared" si="17"/>
        <v/>
      </c>
      <c r="E327" s="561" t="str">
        <f t="shared" si="18"/>
        <v/>
      </c>
      <c r="F327" s="561" t="str">
        <f t="shared" si="19"/>
        <v/>
      </c>
      <c r="G327" s="561" t="str">
        <f t="shared" si="14"/>
        <v/>
      </c>
      <c r="H327" s="561" t="str">
        <f t="shared" si="20"/>
        <v/>
      </c>
      <c r="I327" s="561" t="str">
        <f t="shared" ca="1" si="21"/>
        <v/>
      </c>
      <c r="J327" s="561" t="str">
        <f t="shared" ca="1" si="22"/>
        <v/>
      </c>
      <c r="K327" s="561" t="str">
        <f t="shared" ca="1" si="23"/>
        <v/>
      </c>
      <c r="L327" s="561" t="str">
        <f t="shared" ca="1" si="24"/>
        <v/>
      </c>
      <c r="M327" s="560" t="str">
        <f t="shared" si="15"/>
        <v/>
      </c>
      <c r="N327" s="560" t="str">
        <f t="shared" ca="1" si="16"/>
        <v/>
      </c>
      <c r="O327" s="636" t="str">
        <f t="shared" ca="1" si="25"/>
        <v/>
      </c>
      <c r="Q327" s="1133"/>
    </row>
    <row r="328" spans="2:17" x14ac:dyDescent="0.3">
      <c r="B328" s="126"/>
      <c r="C328" s="607">
        <v>82</v>
      </c>
      <c r="D328" s="561" t="str">
        <f t="shared" si="17"/>
        <v/>
      </c>
      <c r="E328" s="561" t="str">
        <f t="shared" si="18"/>
        <v/>
      </c>
      <c r="F328" s="561" t="str">
        <f t="shared" si="19"/>
        <v/>
      </c>
      <c r="G328" s="561" t="str">
        <f t="shared" si="14"/>
        <v/>
      </c>
      <c r="H328" s="561" t="str">
        <f t="shared" si="20"/>
        <v/>
      </c>
      <c r="I328" s="561" t="str">
        <f t="shared" ca="1" si="21"/>
        <v/>
      </c>
      <c r="J328" s="561" t="str">
        <f t="shared" ca="1" si="22"/>
        <v/>
      </c>
      <c r="K328" s="561" t="str">
        <f t="shared" ca="1" si="23"/>
        <v/>
      </c>
      <c r="L328" s="561" t="str">
        <f t="shared" ca="1" si="24"/>
        <v/>
      </c>
      <c r="M328" s="560" t="str">
        <f t="shared" si="15"/>
        <v/>
      </c>
      <c r="N328" s="560" t="str">
        <f t="shared" ca="1" si="16"/>
        <v/>
      </c>
      <c r="O328" s="636" t="str">
        <f t="shared" ca="1" si="25"/>
        <v/>
      </c>
      <c r="Q328" s="1133"/>
    </row>
    <row r="329" spans="2:17" x14ac:dyDescent="0.3">
      <c r="B329" s="126"/>
      <c r="C329" s="607">
        <v>83</v>
      </c>
      <c r="D329" s="561" t="str">
        <f t="shared" si="17"/>
        <v/>
      </c>
      <c r="E329" s="561" t="str">
        <f t="shared" si="18"/>
        <v/>
      </c>
      <c r="F329" s="561" t="str">
        <f t="shared" si="19"/>
        <v/>
      </c>
      <c r="G329" s="561" t="str">
        <f t="shared" si="14"/>
        <v/>
      </c>
      <c r="H329" s="561" t="str">
        <f t="shared" si="20"/>
        <v/>
      </c>
      <c r="I329" s="561" t="str">
        <f t="shared" ca="1" si="21"/>
        <v/>
      </c>
      <c r="J329" s="561" t="str">
        <f t="shared" ca="1" si="22"/>
        <v/>
      </c>
      <c r="K329" s="561" t="str">
        <f t="shared" ca="1" si="23"/>
        <v/>
      </c>
      <c r="L329" s="561" t="str">
        <f t="shared" ca="1" si="24"/>
        <v/>
      </c>
      <c r="M329" s="560" t="str">
        <f t="shared" si="15"/>
        <v/>
      </c>
      <c r="N329" s="560" t="str">
        <f t="shared" ca="1" si="16"/>
        <v/>
      </c>
      <c r="O329" s="636" t="str">
        <f t="shared" ca="1" si="25"/>
        <v/>
      </c>
      <c r="Q329" s="1133"/>
    </row>
    <row r="330" spans="2:17" x14ac:dyDescent="0.3">
      <c r="B330" s="126"/>
      <c r="C330" s="607">
        <v>84</v>
      </c>
      <c r="D330" s="561" t="str">
        <f t="shared" si="17"/>
        <v/>
      </c>
      <c r="E330" s="561" t="str">
        <f t="shared" si="18"/>
        <v/>
      </c>
      <c r="F330" s="561" t="str">
        <f t="shared" si="19"/>
        <v/>
      </c>
      <c r="G330" s="561" t="str">
        <f t="shared" si="14"/>
        <v/>
      </c>
      <c r="H330" s="561" t="str">
        <f t="shared" si="20"/>
        <v/>
      </c>
      <c r="I330" s="561" t="str">
        <f t="shared" ca="1" si="21"/>
        <v/>
      </c>
      <c r="J330" s="561" t="str">
        <f t="shared" ca="1" si="22"/>
        <v/>
      </c>
      <c r="K330" s="561" t="str">
        <f t="shared" ca="1" si="23"/>
        <v/>
      </c>
      <c r="L330" s="561" t="str">
        <f t="shared" ca="1" si="24"/>
        <v/>
      </c>
      <c r="M330" s="560" t="str">
        <f t="shared" si="15"/>
        <v/>
      </c>
      <c r="N330" s="560" t="str">
        <f t="shared" ca="1" si="16"/>
        <v/>
      </c>
      <c r="O330" s="636" t="str">
        <f t="shared" ca="1" si="25"/>
        <v/>
      </c>
      <c r="Q330" s="1133"/>
    </row>
    <row r="331" spans="2:17" x14ac:dyDescent="0.3">
      <c r="B331" s="126"/>
      <c r="C331" s="607">
        <v>85</v>
      </c>
      <c r="D331" s="561" t="str">
        <f t="shared" si="17"/>
        <v/>
      </c>
      <c r="E331" s="561" t="str">
        <f t="shared" si="18"/>
        <v/>
      </c>
      <c r="F331" s="561" t="str">
        <f t="shared" si="19"/>
        <v/>
      </c>
      <c r="G331" s="561" t="str">
        <f t="shared" si="14"/>
        <v/>
      </c>
      <c r="H331" s="561" t="str">
        <f t="shared" si="20"/>
        <v/>
      </c>
      <c r="I331" s="561" t="str">
        <f t="shared" ca="1" si="21"/>
        <v/>
      </c>
      <c r="J331" s="561" t="str">
        <f t="shared" ca="1" si="22"/>
        <v/>
      </c>
      <c r="K331" s="561" t="str">
        <f t="shared" ca="1" si="23"/>
        <v/>
      </c>
      <c r="L331" s="561" t="str">
        <f t="shared" ca="1" si="24"/>
        <v/>
      </c>
      <c r="M331" s="560" t="str">
        <f t="shared" si="15"/>
        <v/>
      </c>
      <c r="N331" s="560" t="str">
        <f t="shared" ca="1" si="16"/>
        <v/>
      </c>
      <c r="O331" s="636" t="str">
        <f t="shared" ca="1" si="25"/>
        <v/>
      </c>
      <c r="Q331" s="1133"/>
    </row>
    <row r="332" spans="2:17" x14ac:dyDescent="0.3">
      <c r="B332" s="126"/>
      <c r="C332" s="607">
        <v>86</v>
      </c>
      <c r="D332" s="561" t="str">
        <f t="shared" si="17"/>
        <v/>
      </c>
      <c r="E332" s="561" t="str">
        <f t="shared" si="18"/>
        <v/>
      </c>
      <c r="F332" s="561" t="str">
        <f t="shared" si="19"/>
        <v/>
      </c>
      <c r="G332" s="561" t="str">
        <f t="shared" si="14"/>
        <v/>
      </c>
      <c r="H332" s="561" t="str">
        <f t="shared" si="20"/>
        <v/>
      </c>
      <c r="I332" s="561" t="str">
        <f t="shared" ca="1" si="21"/>
        <v/>
      </c>
      <c r="J332" s="561" t="str">
        <f t="shared" ca="1" si="22"/>
        <v/>
      </c>
      <c r="K332" s="561" t="str">
        <f t="shared" ca="1" si="23"/>
        <v/>
      </c>
      <c r="L332" s="561" t="str">
        <f t="shared" ca="1" si="24"/>
        <v/>
      </c>
      <c r="M332" s="560" t="str">
        <f t="shared" si="15"/>
        <v/>
      </c>
      <c r="N332" s="560" t="str">
        <f t="shared" ca="1" si="16"/>
        <v/>
      </c>
      <c r="O332" s="636" t="str">
        <f t="shared" ca="1" si="25"/>
        <v/>
      </c>
      <c r="Q332" s="1133"/>
    </row>
    <row r="333" spans="2:17" x14ac:dyDescent="0.3">
      <c r="B333" s="126"/>
      <c r="C333" s="607">
        <v>87</v>
      </c>
      <c r="D333" s="561" t="str">
        <f t="shared" si="17"/>
        <v/>
      </c>
      <c r="E333" s="561" t="str">
        <f t="shared" si="18"/>
        <v/>
      </c>
      <c r="F333" s="561" t="str">
        <f t="shared" si="19"/>
        <v/>
      </c>
      <c r="G333" s="561" t="str">
        <f t="shared" si="14"/>
        <v/>
      </c>
      <c r="H333" s="561" t="str">
        <f t="shared" si="20"/>
        <v/>
      </c>
      <c r="I333" s="561" t="str">
        <f t="shared" ca="1" si="21"/>
        <v/>
      </c>
      <c r="J333" s="561" t="str">
        <f t="shared" ca="1" si="22"/>
        <v/>
      </c>
      <c r="K333" s="561" t="str">
        <f t="shared" ca="1" si="23"/>
        <v/>
      </c>
      <c r="L333" s="561" t="str">
        <f t="shared" ca="1" si="24"/>
        <v/>
      </c>
      <c r="M333" s="560" t="str">
        <f t="shared" si="15"/>
        <v/>
      </c>
      <c r="N333" s="560" t="str">
        <f t="shared" ca="1" si="16"/>
        <v/>
      </c>
      <c r="O333" s="636" t="str">
        <f t="shared" ca="1" si="25"/>
        <v/>
      </c>
      <c r="Q333" s="1133"/>
    </row>
    <row r="334" spans="2:17" x14ac:dyDescent="0.3">
      <c r="B334" s="126"/>
      <c r="C334" s="607">
        <v>88</v>
      </c>
      <c r="D334" s="561" t="str">
        <f t="shared" si="17"/>
        <v/>
      </c>
      <c r="E334" s="561" t="str">
        <f t="shared" si="18"/>
        <v/>
      </c>
      <c r="F334" s="561" t="str">
        <f t="shared" si="19"/>
        <v/>
      </c>
      <c r="G334" s="561" t="str">
        <f t="shared" si="14"/>
        <v/>
      </c>
      <c r="H334" s="561" t="str">
        <f t="shared" si="20"/>
        <v/>
      </c>
      <c r="I334" s="561" t="str">
        <f t="shared" ca="1" si="21"/>
        <v/>
      </c>
      <c r="J334" s="561" t="str">
        <f t="shared" ca="1" si="22"/>
        <v/>
      </c>
      <c r="K334" s="561" t="str">
        <f t="shared" ca="1" si="23"/>
        <v/>
      </c>
      <c r="L334" s="561" t="str">
        <f t="shared" ca="1" si="24"/>
        <v/>
      </c>
      <c r="M334" s="560" t="str">
        <f t="shared" si="15"/>
        <v/>
      </c>
      <c r="N334" s="560" t="str">
        <f t="shared" ca="1" si="16"/>
        <v/>
      </c>
      <c r="O334" s="636" t="str">
        <f t="shared" ca="1" si="25"/>
        <v/>
      </c>
      <c r="Q334" s="1133"/>
    </row>
    <row r="335" spans="2:17" x14ac:dyDescent="0.3">
      <c r="B335" s="126"/>
      <c r="C335" s="607">
        <v>89</v>
      </c>
      <c r="D335" s="561" t="str">
        <f t="shared" si="17"/>
        <v/>
      </c>
      <c r="E335" s="561" t="str">
        <f t="shared" si="18"/>
        <v/>
      </c>
      <c r="F335" s="561" t="str">
        <f t="shared" si="19"/>
        <v/>
      </c>
      <c r="G335" s="561" t="str">
        <f t="shared" si="14"/>
        <v/>
      </c>
      <c r="H335" s="561" t="str">
        <f t="shared" si="20"/>
        <v/>
      </c>
      <c r="I335" s="561" t="str">
        <f t="shared" ca="1" si="21"/>
        <v/>
      </c>
      <c r="J335" s="561" t="str">
        <f t="shared" ca="1" si="22"/>
        <v/>
      </c>
      <c r="K335" s="561" t="str">
        <f t="shared" ca="1" si="23"/>
        <v/>
      </c>
      <c r="L335" s="561" t="str">
        <f t="shared" ca="1" si="24"/>
        <v/>
      </c>
      <c r="M335" s="560" t="str">
        <f t="shared" si="15"/>
        <v/>
      </c>
      <c r="N335" s="560" t="str">
        <f t="shared" ca="1" si="16"/>
        <v/>
      </c>
      <c r="O335" s="636" t="str">
        <f t="shared" ca="1" si="25"/>
        <v/>
      </c>
      <c r="Q335" s="1133"/>
    </row>
    <row r="336" spans="2:17" x14ac:dyDescent="0.3">
      <c r="B336" s="126"/>
      <c r="C336" s="607">
        <v>90</v>
      </c>
      <c r="D336" s="561" t="str">
        <f t="shared" si="17"/>
        <v/>
      </c>
      <c r="E336" s="561" t="str">
        <f t="shared" si="18"/>
        <v/>
      </c>
      <c r="F336" s="561" t="str">
        <f t="shared" si="19"/>
        <v/>
      </c>
      <c r="G336" s="561" t="str">
        <f t="shared" si="14"/>
        <v/>
      </c>
      <c r="H336" s="561" t="str">
        <f t="shared" si="20"/>
        <v/>
      </c>
      <c r="I336" s="561" t="str">
        <f t="shared" ca="1" si="21"/>
        <v/>
      </c>
      <c r="J336" s="561" t="str">
        <f t="shared" ca="1" si="22"/>
        <v/>
      </c>
      <c r="K336" s="561" t="str">
        <f t="shared" ca="1" si="23"/>
        <v/>
      </c>
      <c r="L336" s="561" t="str">
        <f t="shared" ca="1" si="24"/>
        <v/>
      </c>
      <c r="M336" s="560" t="str">
        <f t="shared" si="15"/>
        <v/>
      </c>
      <c r="N336" s="560" t="str">
        <f t="shared" ca="1" si="16"/>
        <v/>
      </c>
      <c r="O336" s="636" t="str">
        <f t="shared" ca="1" si="25"/>
        <v/>
      </c>
      <c r="Q336" s="1133"/>
    </row>
    <row r="337" spans="2:17" x14ac:dyDescent="0.3">
      <c r="B337" s="126"/>
      <c r="C337" s="607">
        <v>91</v>
      </c>
      <c r="D337" s="561" t="str">
        <f t="shared" si="17"/>
        <v/>
      </c>
      <c r="E337" s="561" t="str">
        <f t="shared" si="18"/>
        <v/>
      </c>
      <c r="F337" s="561" t="str">
        <f t="shared" si="19"/>
        <v/>
      </c>
      <c r="G337" s="561" t="str">
        <f t="shared" si="14"/>
        <v/>
      </c>
      <c r="H337" s="561" t="str">
        <f t="shared" si="20"/>
        <v/>
      </c>
      <c r="I337" s="561" t="str">
        <f t="shared" ca="1" si="21"/>
        <v/>
      </c>
      <c r="J337" s="561" t="str">
        <f t="shared" ca="1" si="22"/>
        <v/>
      </c>
      <c r="K337" s="561" t="str">
        <f t="shared" ca="1" si="23"/>
        <v/>
      </c>
      <c r="L337" s="561" t="str">
        <f t="shared" ca="1" si="24"/>
        <v/>
      </c>
      <c r="M337" s="560" t="str">
        <f t="shared" si="15"/>
        <v/>
      </c>
      <c r="N337" s="560" t="str">
        <f t="shared" ca="1" si="16"/>
        <v/>
      </c>
      <c r="O337" s="636" t="str">
        <f t="shared" ca="1" si="25"/>
        <v/>
      </c>
      <c r="Q337" s="1133"/>
    </row>
    <row r="338" spans="2:17" x14ac:dyDescent="0.3">
      <c r="B338" s="126"/>
      <c r="C338" s="607">
        <v>92</v>
      </c>
      <c r="D338" s="561" t="str">
        <f t="shared" si="17"/>
        <v/>
      </c>
      <c r="E338" s="561" t="str">
        <f t="shared" si="18"/>
        <v/>
      </c>
      <c r="F338" s="561" t="str">
        <f t="shared" si="19"/>
        <v/>
      </c>
      <c r="G338" s="561" t="str">
        <f t="shared" si="14"/>
        <v/>
      </c>
      <c r="H338" s="561" t="str">
        <f t="shared" si="20"/>
        <v/>
      </c>
      <c r="I338" s="561" t="str">
        <f t="shared" ca="1" si="21"/>
        <v/>
      </c>
      <c r="J338" s="561" t="str">
        <f t="shared" ca="1" si="22"/>
        <v/>
      </c>
      <c r="K338" s="561" t="str">
        <f t="shared" ca="1" si="23"/>
        <v/>
      </c>
      <c r="L338" s="561" t="str">
        <f t="shared" ca="1" si="24"/>
        <v/>
      </c>
      <c r="M338" s="560" t="str">
        <f t="shared" si="15"/>
        <v/>
      </c>
      <c r="N338" s="560" t="str">
        <f t="shared" ca="1" si="16"/>
        <v/>
      </c>
      <c r="O338" s="636" t="str">
        <f t="shared" ca="1" si="25"/>
        <v/>
      </c>
      <c r="Q338" s="1133"/>
    </row>
    <row r="339" spans="2:17" x14ac:dyDescent="0.3">
      <c r="B339" s="126"/>
      <c r="C339" s="607">
        <v>93</v>
      </c>
      <c r="D339" s="561" t="str">
        <f t="shared" si="17"/>
        <v/>
      </c>
      <c r="E339" s="561" t="str">
        <f t="shared" si="18"/>
        <v/>
      </c>
      <c r="F339" s="561" t="str">
        <f t="shared" si="19"/>
        <v/>
      </c>
      <c r="G339" s="561" t="str">
        <f t="shared" si="14"/>
        <v/>
      </c>
      <c r="H339" s="561" t="str">
        <f t="shared" si="20"/>
        <v/>
      </c>
      <c r="I339" s="561" t="str">
        <f t="shared" ca="1" si="21"/>
        <v/>
      </c>
      <c r="J339" s="561" t="str">
        <f t="shared" ca="1" si="22"/>
        <v/>
      </c>
      <c r="K339" s="561" t="str">
        <f t="shared" ca="1" si="23"/>
        <v/>
      </c>
      <c r="L339" s="561" t="str">
        <f t="shared" ca="1" si="24"/>
        <v/>
      </c>
      <c r="M339" s="560" t="str">
        <f t="shared" si="15"/>
        <v/>
      </c>
      <c r="N339" s="560" t="str">
        <f t="shared" ca="1" si="16"/>
        <v/>
      </c>
      <c r="O339" s="636" t="str">
        <f t="shared" ca="1" si="25"/>
        <v/>
      </c>
      <c r="Q339" s="1133"/>
    </row>
    <row r="340" spans="2:17" x14ac:dyDescent="0.3">
      <c r="B340" s="126"/>
      <c r="C340" s="607">
        <v>94</v>
      </c>
      <c r="D340" s="561" t="str">
        <f t="shared" si="17"/>
        <v/>
      </c>
      <c r="E340" s="561" t="str">
        <f t="shared" si="18"/>
        <v/>
      </c>
      <c r="F340" s="561" t="str">
        <f t="shared" si="19"/>
        <v/>
      </c>
      <c r="G340" s="561" t="str">
        <f t="shared" si="14"/>
        <v/>
      </c>
      <c r="H340" s="561" t="str">
        <f t="shared" si="20"/>
        <v/>
      </c>
      <c r="I340" s="561" t="str">
        <f t="shared" ca="1" si="21"/>
        <v/>
      </c>
      <c r="J340" s="561" t="str">
        <f t="shared" ca="1" si="22"/>
        <v/>
      </c>
      <c r="K340" s="561" t="str">
        <f t="shared" ca="1" si="23"/>
        <v/>
      </c>
      <c r="L340" s="561" t="str">
        <f t="shared" ca="1" si="24"/>
        <v/>
      </c>
      <c r="M340" s="560" t="str">
        <f t="shared" si="15"/>
        <v/>
      </c>
      <c r="N340" s="560" t="str">
        <f t="shared" ca="1" si="16"/>
        <v/>
      </c>
      <c r="O340" s="636" t="str">
        <f t="shared" ca="1" si="25"/>
        <v/>
      </c>
      <c r="Q340" s="1133"/>
    </row>
    <row r="341" spans="2:17" x14ac:dyDescent="0.3">
      <c r="B341" s="126"/>
      <c r="C341" s="607">
        <v>95</v>
      </c>
      <c r="D341" s="561" t="str">
        <f t="shared" si="17"/>
        <v/>
      </c>
      <c r="E341" s="561" t="str">
        <f t="shared" si="18"/>
        <v/>
      </c>
      <c r="F341" s="561" t="str">
        <f t="shared" si="19"/>
        <v/>
      </c>
      <c r="G341" s="561" t="str">
        <f t="shared" si="14"/>
        <v/>
      </c>
      <c r="H341" s="561" t="str">
        <f t="shared" si="20"/>
        <v/>
      </c>
      <c r="I341" s="561" t="str">
        <f t="shared" ca="1" si="21"/>
        <v/>
      </c>
      <c r="J341" s="561" t="str">
        <f t="shared" ca="1" si="22"/>
        <v/>
      </c>
      <c r="K341" s="561" t="str">
        <f t="shared" ca="1" si="23"/>
        <v/>
      </c>
      <c r="L341" s="561" t="str">
        <f t="shared" ca="1" si="24"/>
        <v/>
      </c>
      <c r="M341" s="560" t="str">
        <f t="shared" si="15"/>
        <v/>
      </c>
      <c r="N341" s="560" t="str">
        <f t="shared" ca="1" si="16"/>
        <v/>
      </c>
      <c r="O341" s="636" t="str">
        <f t="shared" ca="1" si="25"/>
        <v/>
      </c>
      <c r="Q341" s="1133"/>
    </row>
    <row r="342" spans="2:17" x14ac:dyDescent="0.3">
      <c r="B342" s="126"/>
      <c r="C342" s="607">
        <v>96</v>
      </c>
      <c r="D342" s="561" t="str">
        <f t="shared" si="17"/>
        <v/>
      </c>
      <c r="E342" s="561" t="str">
        <f t="shared" si="18"/>
        <v/>
      </c>
      <c r="F342" s="561" t="str">
        <f t="shared" si="19"/>
        <v/>
      </c>
      <c r="G342" s="561" t="str">
        <f t="shared" si="14"/>
        <v/>
      </c>
      <c r="H342" s="561" t="str">
        <f t="shared" si="20"/>
        <v/>
      </c>
      <c r="I342" s="561" t="str">
        <f t="shared" ca="1" si="21"/>
        <v/>
      </c>
      <c r="J342" s="561" t="str">
        <f t="shared" ca="1" si="22"/>
        <v/>
      </c>
      <c r="K342" s="561" t="str">
        <f t="shared" ca="1" si="23"/>
        <v/>
      </c>
      <c r="L342" s="561" t="str">
        <f t="shared" ca="1" si="24"/>
        <v/>
      </c>
      <c r="M342" s="560" t="str">
        <f t="shared" si="15"/>
        <v/>
      </c>
      <c r="N342" s="560" t="str">
        <f t="shared" ca="1" si="16"/>
        <v/>
      </c>
      <c r="O342" s="636" t="str">
        <f t="shared" ca="1" si="25"/>
        <v/>
      </c>
      <c r="Q342" s="1133"/>
    </row>
    <row r="343" spans="2:17" x14ac:dyDescent="0.3">
      <c r="B343" s="126"/>
      <c r="C343" s="607">
        <v>97</v>
      </c>
      <c r="D343" s="561" t="str">
        <f t="shared" si="17"/>
        <v/>
      </c>
      <c r="E343" s="561" t="str">
        <f t="shared" si="18"/>
        <v/>
      </c>
      <c r="F343" s="561" t="str">
        <f t="shared" si="19"/>
        <v/>
      </c>
      <c r="G343" s="561" t="str">
        <f t="shared" si="14"/>
        <v/>
      </c>
      <c r="H343" s="561" t="str">
        <f t="shared" si="20"/>
        <v/>
      </c>
      <c r="I343" s="561" t="str">
        <f t="shared" ca="1" si="21"/>
        <v/>
      </c>
      <c r="J343" s="561" t="str">
        <f t="shared" ca="1" si="22"/>
        <v/>
      </c>
      <c r="K343" s="561" t="str">
        <f t="shared" ca="1" si="23"/>
        <v/>
      </c>
      <c r="L343" s="561" t="str">
        <f t="shared" ca="1" si="24"/>
        <v/>
      </c>
      <c r="M343" s="560" t="str">
        <f t="shared" si="15"/>
        <v/>
      </c>
      <c r="N343" s="560" t="str">
        <f t="shared" ca="1" si="16"/>
        <v/>
      </c>
      <c r="O343" s="636" t="str">
        <f t="shared" ca="1" si="25"/>
        <v/>
      </c>
      <c r="Q343" s="1133"/>
    </row>
    <row r="344" spans="2:17" x14ac:dyDescent="0.3">
      <c r="B344" s="126"/>
      <c r="C344" s="607">
        <v>98</v>
      </c>
      <c r="D344" s="561" t="str">
        <f t="shared" si="17"/>
        <v/>
      </c>
      <c r="E344" s="561" t="str">
        <f t="shared" si="18"/>
        <v/>
      </c>
      <c r="F344" s="561" t="str">
        <f t="shared" si="19"/>
        <v/>
      </c>
      <c r="G344" s="561" t="str">
        <f t="shared" si="14"/>
        <v/>
      </c>
      <c r="H344" s="561" t="str">
        <f t="shared" si="20"/>
        <v/>
      </c>
      <c r="I344" s="561" t="str">
        <f t="shared" ca="1" si="21"/>
        <v/>
      </c>
      <c r="J344" s="561" t="str">
        <f t="shared" ca="1" si="22"/>
        <v/>
      </c>
      <c r="K344" s="561" t="str">
        <f t="shared" ca="1" si="23"/>
        <v/>
      </c>
      <c r="L344" s="561" t="str">
        <f t="shared" ca="1" si="24"/>
        <v/>
      </c>
      <c r="M344" s="560" t="str">
        <f t="shared" si="15"/>
        <v/>
      </c>
      <c r="N344" s="560" t="str">
        <f t="shared" ca="1" si="16"/>
        <v/>
      </c>
      <c r="O344" s="636" t="str">
        <f t="shared" ca="1" si="25"/>
        <v/>
      </c>
      <c r="Q344" s="1133"/>
    </row>
    <row r="345" spans="2:17" x14ac:dyDescent="0.3">
      <c r="B345" s="126"/>
      <c r="C345" s="607">
        <v>99</v>
      </c>
      <c r="D345" s="561" t="str">
        <f t="shared" si="17"/>
        <v/>
      </c>
      <c r="E345" s="561" t="str">
        <f t="shared" si="18"/>
        <v/>
      </c>
      <c r="F345" s="561" t="str">
        <f t="shared" si="19"/>
        <v/>
      </c>
      <c r="G345" s="561" t="str">
        <f t="shared" si="14"/>
        <v/>
      </c>
      <c r="H345" s="561" t="str">
        <f t="shared" si="20"/>
        <v/>
      </c>
      <c r="I345" s="561" t="str">
        <f t="shared" ca="1" si="21"/>
        <v/>
      </c>
      <c r="J345" s="561" t="str">
        <f t="shared" ca="1" si="22"/>
        <v/>
      </c>
      <c r="K345" s="561" t="str">
        <f t="shared" ca="1" si="23"/>
        <v/>
      </c>
      <c r="L345" s="561" t="str">
        <f t="shared" ca="1" si="24"/>
        <v/>
      </c>
      <c r="M345" s="560" t="str">
        <f t="shared" si="15"/>
        <v/>
      </c>
      <c r="N345" s="560" t="str">
        <f t="shared" ca="1" si="16"/>
        <v/>
      </c>
      <c r="O345" s="636" t="str">
        <f t="shared" ca="1" si="25"/>
        <v/>
      </c>
      <c r="Q345" s="1133"/>
    </row>
    <row r="346" spans="2:17" ht="17.25" thickBot="1" x14ac:dyDescent="0.35">
      <c r="B346" s="126"/>
      <c r="C346" s="609">
        <v>100</v>
      </c>
      <c r="D346" s="561" t="str">
        <f t="shared" si="17"/>
        <v/>
      </c>
      <c r="E346" s="561" t="str">
        <f t="shared" si="18"/>
        <v/>
      </c>
      <c r="F346" s="561" t="str">
        <f t="shared" si="19"/>
        <v/>
      </c>
      <c r="G346" s="561" t="str">
        <f t="shared" si="14"/>
        <v/>
      </c>
      <c r="H346" s="561" t="str">
        <f t="shared" si="20"/>
        <v/>
      </c>
      <c r="I346" s="561" t="str">
        <f t="shared" ca="1" si="21"/>
        <v/>
      </c>
      <c r="J346" s="561" t="str">
        <f t="shared" ca="1" si="22"/>
        <v/>
      </c>
      <c r="K346" s="561" t="str">
        <f t="shared" ca="1" si="23"/>
        <v/>
      </c>
      <c r="L346" s="561" t="str">
        <f t="shared" ca="1" si="24"/>
        <v/>
      </c>
      <c r="M346" s="560" t="str">
        <f t="shared" si="15"/>
        <v/>
      </c>
      <c r="N346" s="560" t="str">
        <f t="shared" ca="1" si="16"/>
        <v/>
      </c>
      <c r="O346" s="636" t="str">
        <f t="shared" ca="1" si="25"/>
        <v/>
      </c>
      <c r="Q346" s="1133"/>
    </row>
    <row r="347" spans="2:17" x14ac:dyDescent="0.3">
      <c r="B347" s="126"/>
      <c r="C347" s="126"/>
      <c r="D347" s="126"/>
      <c r="E347" s="577"/>
      <c r="F347" s="577"/>
      <c r="G347" s="577"/>
      <c r="H347" s="577"/>
      <c r="I347" s="577"/>
      <c r="J347" s="122"/>
      <c r="K347" s="122"/>
      <c r="O347" s="1134"/>
      <c r="Q347" s="1133"/>
    </row>
    <row r="348" spans="2:17" ht="17.25" thickBot="1" x14ac:dyDescent="0.35">
      <c r="B348" s="126"/>
      <c r="C348" s="126"/>
      <c r="D348" s="126"/>
      <c r="E348" s="577"/>
      <c r="F348" s="577"/>
      <c r="G348" s="577"/>
      <c r="H348" s="577"/>
      <c r="I348" s="577"/>
      <c r="J348" s="122"/>
      <c r="K348" s="122"/>
      <c r="O348" s="1134"/>
      <c r="Q348" s="1133"/>
    </row>
    <row r="349" spans="2:17" ht="18" thickBot="1" x14ac:dyDescent="0.35">
      <c r="B349" s="126"/>
      <c r="C349" s="487" t="str">
        <f>"ANSI/ASHRAE Sections " &amp; D14 &amp; ".9.19 and " &amp; D14 &amp; ".9.20: Off-Cycle Sensible and Infiltration Heat Loss Integration Factors"</f>
        <v>ANSI/ASHRAE Sections Unknown.9.19 and Unknown.9.20: Off-Cycle Sensible and Infiltration Heat Loss Integration Factors</v>
      </c>
      <c r="D349" s="540"/>
      <c r="E349" s="540"/>
      <c r="F349" s="540"/>
      <c r="G349" s="540"/>
      <c r="H349" s="540"/>
      <c r="I349" s="540"/>
      <c r="J349" s="540"/>
      <c r="K349" s="541"/>
      <c r="O349" s="1134"/>
      <c r="Q349" s="1133"/>
    </row>
    <row r="350" spans="2:17" ht="17.25" thickBot="1" x14ac:dyDescent="0.35">
      <c r="B350" s="126"/>
      <c r="C350" s="1863" t="s">
        <v>536</v>
      </c>
      <c r="D350" s="1864"/>
      <c r="E350" s="1864"/>
      <c r="F350" s="1864"/>
      <c r="G350" s="1864"/>
      <c r="H350" s="1864"/>
      <c r="I350" s="1864"/>
      <c r="J350" s="1864"/>
      <c r="K350" s="1865"/>
      <c r="O350" s="1134"/>
      <c r="Q350" s="1133"/>
    </row>
    <row r="351" spans="2:17" ht="34.5" x14ac:dyDescent="0.3">
      <c r="B351" s="126"/>
      <c r="C351" s="611" t="s">
        <v>488</v>
      </c>
      <c r="D351" s="1193" t="s">
        <v>489</v>
      </c>
      <c r="E351" s="612" t="s">
        <v>136</v>
      </c>
      <c r="F351" s="1195" t="s">
        <v>33</v>
      </c>
      <c r="G351" s="1866" t="s">
        <v>71</v>
      </c>
      <c r="H351" s="1866"/>
      <c r="I351" s="1866"/>
      <c r="J351" s="1866"/>
      <c r="K351" s="1867"/>
      <c r="O351" s="1134"/>
      <c r="Q351" s="1133"/>
    </row>
    <row r="352" spans="2:17" x14ac:dyDescent="0.3">
      <c r="B352" s="126"/>
      <c r="C352" s="580" t="str">
        <f>System_Number_Max</f>
        <v>N/A</v>
      </c>
      <c r="D352" s="578" t="str">
        <f>System_Number_Reduced</f>
        <v>N/A</v>
      </c>
      <c r="E352" s="558" t="s">
        <v>175</v>
      </c>
      <c r="F352" s="558" t="s">
        <v>175</v>
      </c>
      <c r="G352" s="1857" t="s">
        <v>39</v>
      </c>
      <c r="H352" s="1857"/>
      <c r="I352" s="1857"/>
      <c r="J352" s="1857"/>
      <c r="K352" s="1858"/>
      <c r="O352" s="1134"/>
      <c r="Q352" s="1133"/>
    </row>
    <row r="353" spans="2:17" x14ac:dyDescent="0.3">
      <c r="B353" s="126"/>
      <c r="C353" s="580" t="str">
        <f>Post_Purge_Max?</f>
        <v>N/A</v>
      </c>
      <c r="D353" s="578" t="str">
        <f>Post_Purge_Reduced?</f>
        <v>N/A</v>
      </c>
      <c r="E353" s="558" t="s">
        <v>175</v>
      </c>
      <c r="F353" s="558" t="s">
        <v>175</v>
      </c>
      <c r="G353" s="1857" t="s">
        <v>386</v>
      </c>
      <c r="H353" s="1857"/>
      <c r="I353" s="1857"/>
      <c r="J353" s="1857"/>
      <c r="K353" s="1858"/>
      <c r="O353" s="1134"/>
      <c r="Q353" s="1133"/>
    </row>
    <row r="354" spans="2:17" ht="18" x14ac:dyDescent="0.3">
      <c r="B354" s="126"/>
      <c r="C354" s="581" t="str">
        <f>tp_Max</f>
        <v>N/A</v>
      </c>
      <c r="D354" s="561" t="str">
        <f>tp_Reduced</f>
        <v>N/A</v>
      </c>
      <c r="E354" s="558" t="s">
        <v>36</v>
      </c>
      <c r="F354" s="558" t="s">
        <v>608</v>
      </c>
      <c r="G354" s="1857" t="s">
        <v>431</v>
      </c>
      <c r="H354" s="1857"/>
      <c r="I354" s="1857"/>
      <c r="J354" s="1857"/>
      <c r="K354" s="1858"/>
      <c r="O354" s="1134"/>
      <c r="Q354" s="1133"/>
    </row>
    <row r="355" spans="2:17" ht="18" x14ac:dyDescent="0.3">
      <c r="B355" s="126"/>
      <c r="C355" s="581" t="str">
        <f>t.OFF_Max</f>
        <v>N/A</v>
      </c>
      <c r="D355" s="561" t="str">
        <f>t.OFF_Reduced</f>
        <v>N/A</v>
      </c>
      <c r="E355" s="558" t="s">
        <v>36</v>
      </c>
      <c r="F355" s="558" t="s">
        <v>628</v>
      </c>
      <c r="G355" s="1857" t="s">
        <v>443</v>
      </c>
      <c r="H355" s="1857"/>
      <c r="I355" s="1857"/>
      <c r="J355" s="1857"/>
      <c r="K355" s="1858"/>
      <c r="O355" s="1134"/>
      <c r="Q355" s="1133"/>
    </row>
    <row r="356" spans="2:17" ht="18" x14ac:dyDescent="0.3">
      <c r="B356" s="126"/>
      <c r="C356" s="581" t="str">
        <f>Tau.OFF_Max</f>
        <v>N/A</v>
      </c>
      <c r="D356" s="561" t="str">
        <f>Tau.OFF_reduced</f>
        <v>N/A</v>
      </c>
      <c r="E356" s="558" t="s">
        <v>36</v>
      </c>
      <c r="F356" s="558" t="s">
        <v>612</v>
      </c>
      <c r="G356" s="1857" t="s">
        <v>435</v>
      </c>
      <c r="H356" s="1857"/>
      <c r="I356" s="1857"/>
      <c r="J356" s="1857"/>
      <c r="K356" s="1858"/>
      <c r="O356" s="1134"/>
      <c r="Q356" s="1133"/>
    </row>
    <row r="357" spans="2:17" ht="18" x14ac:dyDescent="0.3">
      <c r="B357" s="126"/>
      <c r="C357" s="581" t="str">
        <f>R.OFF_Max</f>
        <v>N/A</v>
      </c>
      <c r="D357" s="561" t="str">
        <f>R.OFF_Reduced</f>
        <v>N/A</v>
      </c>
      <c r="E357" s="558" t="s">
        <v>175</v>
      </c>
      <c r="F357" s="558" t="s">
        <v>629</v>
      </c>
      <c r="G357" s="1857" t="s">
        <v>444</v>
      </c>
      <c r="H357" s="1857"/>
      <c r="I357" s="1857"/>
      <c r="J357" s="1857"/>
      <c r="K357" s="1858"/>
      <c r="O357" s="1134"/>
      <c r="Q357" s="1133"/>
    </row>
    <row r="358" spans="2:17" ht="18" x14ac:dyDescent="0.3">
      <c r="B358" s="126"/>
      <c r="C358" s="579" t="str">
        <f>IF(C353="Yes",(C355-C354)/C356,"N/A")</f>
        <v>N/A</v>
      </c>
      <c r="D358" s="579" t="str">
        <f>IF(D353="Yes",(D355-D354)/D356,"N/A")</f>
        <v>N/A</v>
      </c>
      <c r="E358" s="558" t="s">
        <v>175</v>
      </c>
      <c r="F358" s="558" t="s">
        <v>666</v>
      </c>
      <c r="G358" s="1857" t="s">
        <v>532</v>
      </c>
      <c r="H358" s="1857"/>
      <c r="I358" s="1857"/>
      <c r="J358" s="1857"/>
      <c r="K358" s="1858"/>
      <c r="O358" s="1134"/>
      <c r="Q358" s="1133"/>
    </row>
    <row r="359" spans="2:17" ht="18" x14ac:dyDescent="0.3">
      <c r="B359" s="577"/>
      <c r="C359" s="581" t="str">
        <f>Psi.FO_Max</f>
        <v>N/A</v>
      </c>
      <c r="D359" s="561" t="str">
        <f>Psi.FO_Reduced</f>
        <v>N/A</v>
      </c>
      <c r="E359" s="558" t="s">
        <v>51</v>
      </c>
      <c r="F359" s="558" t="s">
        <v>634</v>
      </c>
      <c r="G359" s="1859" t="s">
        <v>449</v>
      </c>
      <c r="H359" s="1859"/>
      <c r="I359" s="1859"/>
      <c r="J359" s="1859"/>
      <c r="K359" s="1860"/>
      <c r="O359" s="1134"/>
      <c r="Q359" s="1133"/>
    </row>
    <row r="360" spans="2:17" ht="18" x14ac:dyDescent="0.3">
      <c r="B360" s="577"/>
      <c r="C360" s="581" t="str">
        <f>""</f>
        <v/>
      </c>
      <c r="D360" s="561" t="str">
        <f>""</f>
        <v/>
      </c>
      <c r="E360" s="558" t="s">
        <v>51</v>
      </c>
      <c r="F360" s="558" t="s">
        <v>636</v>
      </c>
      <c r="G360" s="1859" t="s">
        <v>450</v>
      </c>
      <c r="H360" s="1859"/>
      <c r="I360" s="1859"/>
      <c r="J360" s="1859"/>
      <c r="K360" s="1860"/>
      <c r="O360" s="1134"/>
      <c r="Q360" s="1133"/>
    </row>
    <row r="361" spans="2:17" x14ac:dyDescent="0.3">
      <c r="B361" s="126"/>
      <c r="C361" s="583">
        <f>COUNT(C383:C1383)-1</f>
        <v>1000</v>
      </c>
      <c r="D361" s="578">
        <f>COUNT(C383:C1383)-1</f>
        <v>1000</v>
      </c>
      <c r="E361" s="558" t="s">
        <v>175</v>
      </c>
      <c r="F361" s="558" t="s">
        <v>175</v>
      </c>
      <c r="G361" s="1857" t="s">
        <v>531</v>
      </c>
      <c r="H361" s="1857"/>
      <c r="I361" s="1857"/>
      <c r="J361" s="1857"/>
      <c r="K361" s="1858"/>
      <c r="O361" s="1134"/>
      <c r="Q361" s="1133"/>
    </row>
    <row r="362" spans="2:17" ht="17.25" thickBot="1" x14ac:dyDescent="0.35">
      <c r="B362" s="126"/>
      <c r="C362" s="613" t="e">
        <f>(C357-0)/C361</f>
        <v>#VALUE!</v>
      </c>
      <c r="D362" s="593" t="e">
        <f>(D357-0)/D361</f>
        <v>#VALUE!</v>
      </c>
      <c r="E362" s="605" t="s">
        <v>175</v>
      </c>
      <c r="F362" s="605" t="s">
        <v>667</v>
      </c>
      <c r="G362" s="1861" t="s">
        <v>525</v>
      </c>
      <c r="H362" s="1861"/>
      <c r="I362" s="1861"/>
      <c r="J362" s="1861"/>
      <c r="K362" s="1862"/>
      <c r="O362" s="1134"/>
      <c r="Q362" s="1133"/>
    </row>
    <row r="363" spans="2:17" ht="17.25" thickBot="1" x14ac:dyDescent="0.35">
      <c r="B363" s="577"/>
      <c r="C363" s="584"/>
      <c r="D363" s="585"/>
      <c r="E363" s="585"/>
      <c r="F363" s="585"/>
      <c r="G363" s="585"/>
      <c r="H363" s="585"/>
      <c r="I363" s="585"/>
      <c r="J363" s="135"/>
      <c r="K363" s="542"/>
      <c r="O363" s="1134"/>
      <c r="Q363" s="1133"/>
    </row>
    <row r="364" spans="2:17" ht="17.25" x14ac:dyDescent="0.3">
      <c r="B364" s="577"/>
      <c r="C364" s="614" t="s">
        <v>488</v>
      </c>
      <c r="D364" s="615"/>
      <c r="E364" s="615"/>
      <c r="F364" s="615"/>
      <c r="G364" s="615"/>
      <c r="H364" s="616"/>
      <c r="I364" s="585"/>
      <c r="J364" s="135"/>
      <c r="K364" s="542"/>
      <c r="O364" s="1134"/>
      <c r="Q364" s="1133"/>
    </row>
    <row r="365" spans="2:17" ht="18.75" x14ac:dyDescent="0.35">
      <c r="B365" s="577"/>
      <c r="C365" s="586" t="s">
        <v>668</v>
      </c>
      <c r="D365" s="545" t="s">
        <v>669</v>
      </c>
      <c r="E365" s="587" t="s">
        <v>534</v>
      </c>
      <c r="F365" s="1192" t="str">
        <f>"f(" &amp; C361 &amp; ")"</f>
        <v>f(1000)</v>
      </c>
      <c r="G365" s="1868" t="s">
        <v>535</v>
      </c>
      <c r="H365" s="1869"/>
      <c r="I365" s="585"/>
      <c r="J365" s="135"/>
      <c r="K365" s="542"/>
      <c r="O365" s="1134"/>
      <c r="Q365" s="1133"/>
    </row>
    <row r="366" spans="2:17" x14ac:dyDescent="0.3">
      <c r="B366" s="577"/>
      <c r="C366" s="582">
        <f>IF($C$352&gt;4,0,IF($C$352=1,$C$357,IF($C$353="Yes",$C$358,$C$357)))</f>
        <v>0</v>
      </c>
      <c r="D366" s="579">
        <f>IF($C$352&gt;4,0,$C$359)</f>
        <v>0</v>
      </c>
      <c r="E366" s="588" t="e">
        <f>(($D366*EXP(-$D$383))^1.56)/(($D366*EXP(-$D$383)+530)^1.19)</f>
        <v>#VALUE!</v>
      </c>
      <c r="F366" s="588" t="e">
        <f>(($D366*EXP(-$D$1383))^1.56)/(($D366*EXP(-$D$1383)+530)^1.19)</f>
        <v>#VALUE!</v>
      </c>
      <c r="G366" s="589">
        <f>IF($C$352&lt;=4,
$C$362/3*
(4*SUMPRODUCT(((($D366*EXP(-$D$383:$D$1383))^1.56)/(($D366*EXP(-$D$383:$D$1383)+530)^1.19))*(MOD($C$383:$C$1383,2)=1))+
2*SUMPRODUCT(((($D366*EXP(-$D$383:$D$1383))^1.56)/(($D366*EXP(-$D$383:$D$1383)+530)^1.19))*(MOD($C$383:$C$1383,2)=0))
-$F366-$E366)/$C366,0)</f>
        <v>0</v>
      </c>
      <c r="H366" s="617" t="s">
        <v>454</v>
      </c>
      <c r="I366" s="585"/>
      <c r="J366" s="135"/>
      <c r="K366" s="542"/>
      <c r="O366" s="1134"/>
      <c r="Q366" s="1133"/>
    </row>
    <row r="367" spans="2:17" x14ac:dyDescent="0.3">
      <c r="B367" s="577"/>
      <c r="C367" s="582">
        <f>C366</f>
        <v>0</v>
      </c>
      <c r="D367" s="579">
        <f>D366</f>
        <v>0</v>
      </c>
      <c r="E367" s="588" t="e">
        <f>(($D367*EXP(-$D$383)+100)^1.56)/(($D367*EXP(-$D$383)+630)^1.19)-(($D367*EXP(-$D$383))^1.56)/(($D367*EXP(-$D$383)+530)^1.19)</f>
        <v>#VALUE!</v>
      </c>
      <c r="F367" s="588" t="e">
        <f>(($D367*EXP(-$D$1383)+100)^1.56)/(($D367*EXP(-$D$1383)+630)^1.19)-(($D367*EXP(-$D$1383))^1.56)/(($D367*EXP(-$D$1383)+530)^1.19)</f>
        <v>#VALUE!</v>
      </c>
      <c r="G367" s="589">
        <f>IF($C$352&lt;=4,
$C$362/3*
(4*SUMPRODUCT(((($D367*EXP(-$D$383:$D$1383)+100)^1.56)/(($D367*EXP(-$D$383:$D$1383)+630)^1.19)-(($D367*EXP(-$D$383:$D$1383))^1.56)/(($D367*EXP(-$D$383:$D$1383)+530)^1.19))*(MOD($C$383:$C$1383,2)=1))+
2*SUMPRODUCT(((($D367*EXP(-$D$383:$D$1383)+100)^1.56)/(($D367*EXP(-$D$383:$D$1383)+630)^1.19)-(($D367*EXP(-$D$383:$D$1383))^1.56)/(($D367*EXP(-$D$383:$D$1383)+530)^1.19))*(MOD($C$383:$C$1383,2)=0))-
$F367-$E367)/(100*$C367),0)</f>
        <v>0</v>
      </c>
      <c r="H367" s="617" t="s">
        <v>455</v>
      </c>
      <c r="I367" s="585"/>
      <c r="J367" s="135"/>
      <c r="K367" s="542"/>
      <c r="O367" s="1134"/>
      <c r="Q367" s="1133"/>
    </row>
    <row r="368" spans="2:17" x14ac:dyDescent="0.3">
      <c r="B368" s="577"/>
      <c r="C368" s="582" t="str">
        <f>IF($C$352&lt;=4,0,IF(AND($C$352=10,$C$353="Yes"),$C$358,$C$357))</f>
        <v>N/A</v>
      </c>
      <c r="D368" s="579" t="str">
        <f>IF($C$352&lt;=4,0,IF($C$352&lt;=8,$C$360,$C$359))</f>
        <v>N/A</v>
      </c>
      <c r="E368" s="588" t="e">
        <f>((($D368*EXP(-$D$383)+28)^0.56)*($D368*EXP(-$D$383)))/
(($D368*EXP(-$D$383)+530)^1.19)</f>
        <v>#VALUE!</v>
      </c>
      <c r="F368" s="588" t="e">
        <f>((($D368*EXP(-$D$1383)+28)^0.56)*($D368*EXP(-$D$1383)))/
(($D368*EXP(-$D$1383)+530)^1.19)</f>
        <v>#VALUE!</v>
      </c>
      <c r="G368" s="589" t="e">
        <f>IF($C$352&gt;4,
$C$362/3*
(4*SUMPRODUCT((((($D368*EXP(-$D$383:$D$1383)+28)^0.56)*($D368*EXP(-$D$383:$D$1383)))/(($D368*EXP(-$D$383:$D$1383)+530)^1.19))*(MOD($C$383:$C$1383,2)=1))+
2*SUMPRODUCT((((($D368*EXP(-$D$383:$D$1383)+28)^0.56)*($D368*EXP(-$D$383:$D$1383)))/(($D368*EXP(-$D$383:$D$1383)+530)^1.19))*(MOD($C$383:$C$1383,2)=0))-
$E368-$F368)/($C368),0)</f>
        <v>#VALUE!</v>
      </c>
      <c r="H368" s="617" t="s">
        <v>456</v>
      </c>
      <c r="I368" s="585"/>
      <c r="J368" s="135"/>
      <c r="K368" s="542"/>
      <c r="O368" s="1134"/>
      <c r="Q368" s="1133"/>
    </row>
    <row r="369" spans="2:17" x14ac:dyDescent="0.3">
      <c r="B369" s="577"/>
      <c r="C369" s="582" t="str">
        <f>C368</f>
        <v>N/A</v>
      </c>
      <c r="D369" s="579" t="str">
        <f>D368</f>
        <v>N/A</v>
      </c>
      <c r="E369" s="588" t="e">
        <f>((($D369*EXP(-$D$383)+128)^0.56)*($D369*EXP(-$D$383)+100))/(($D369*EXP(-$D$383)+630)^1.19)-((($D369*EXP(-$D$383)+28)^0.56)*($D369*EXP(-$D$383)))/(($D369*EXP(-$D$383)+530)^1.19)</f>
        <v>#VALUE!</v>
      </c>
      <c r="F369" s="588" t="e">
        <f>((($D369*EXP(-$D$1383)+128)^0.56)*($D369*EXP(-$D$1383)+100))/(($D369*EXP(-$D$1383)+630)^1.19)-((($D369*EXP(-$D$1383)+28)^0.56)*($D369*EXP(-$D$1383)))/(($D369*EXP(-$D$1383)+530)^1.19)</f>
        <v>#VALUE!</v>
      </c>
      <c r="G369" s="589" t="e">
        <f>IF($C$352&gt;4,
$C$362/3*
(4*SUMPRODUCT((((($D369*EXP(-$D$383:$D$1383)+128)^0.56)*($D369*EXP(-$D$383:$D$1383)+100))/(($D369*EXP(-$D$383:$D$1383)+630)^1.19)-((($D369*EXP(-$D$383:$D$1383)+28)^0.56)*($D369*EXP(-$D$383:$D$1383)))/(($D369*EXP(-$D$383:$D$1383)+530)^1.19))*(MOD($C$383:$C$1383,2)=1))+
2*SUMPRODUCT((((($D369*EXP(-$D$383:$D$1383)+128)^0.56)*($D369*EXP(-$D$383:$D$1383)+100))/(($D369*EXP(-$D$383:$D$1383)+630)^1.19)-((($D369*EXP(-$D$383:$D$1383)+28)^0.56)*($D369*EXP(-$D$383:$D$1383)))/(($D369*EXP(-$D$383:$D$1383)+530)^1.19))*(MOD($C$383:$C$1383,2)=0))-
$F369-$E369)/(100*$C369),0)</f>
        <v>#VALUE!</v>
      </c>
      <c r="H369" s="617" t="s">
        <v>457</v>
      </c>
      <c r="I369" s="585"/>
      <c r="J369" s="135"/>
      <c r="K369" s="542"/>
      <c r="O369" s="1134"/>
      <c r="Q369" s="1133"/>
    </row>
    <row r="370" spans="2:17" x14ac:dyDescent="0.3">
      <c r="B370" s="577"/>
      <c r="C370" s="582">
        <f>IF($C$352&gt;=9,0,IF(AND($C$352&gt;=2,$C$352&lt;=4,$C$353="Yes"),$C$358,$C$357))</f>
        <v>0</v>
      </c>
      <c r="D370" s="579">
        <f>IF($C$352&gt;=9,0,IF($C$352=3,$C$359,$C$360))</f>
        <v>0</v>
      </c>
      <c r="E370" s="588" t="e">
        <f>(($D370*EXP(-$D$383)+28)^0.56)/(($D370*EXP(-$D$383)+530)^1.19)</f>
        <v>#VALUE!</v>
      </c>
      <c r="F370" s="588" t="e">
        <f>(($D370*EXP(-$D$1383)+28)^0.56)/(($D370*EXP(-$D$1383)+530)^1.19)</f>
        <v>#VALUE!</v>
      </c>
      <c r="G370" s="589">
        <f>IF($C$352&gt;=9,0,
$C$362/3*
(4*SUMPRODUCT(((($D370*EXP(-$D$383:$D$1383)+28)^0.56)/(($D370*EXP(-$D$383:$D$1383)+530)^1.19))*(MOD($C$383:$C$1383,2)=1))+
2*SUMPRODUCT(((($D370*EXP(-$D$383:$D$1383)+28)^0.56)/(($D370*EXP(-$D$383:$D$1383)+530)^1.19))*(MOD($C$383:$C$1383,2)=0))-
$F370-$E370)/($C370))</f>
        <v>0</v>
      </c>
      <c r="H370" s="617" t="s">
        <v>458</v>
      </c>
      <c r="I370" s="585"/>
      <c r="J370" s="135"/>
      <c r="K370" s="542"/>
      <c r="O370" s="1134"/>
      <c r="Q370" s="1133"/>
    </row>
    <row r="371" spans="2:17" ht="17.25" thickBot="1" x14ac:dyDescent="0.35">
      <c r="B371" s="577"/>
      <c r="C371" s="618">
        <f>C370</f>
        <v>0</v>
      </c>
      <c r="D371" s="619">
        <f>D370</f>
        <v>0</v>
      </c>
      <c r="E371" s="620" t="e">
        <f>(($D371*EXP(-$D$383)+128)^0.56)/(($D371*EXP(-$D$383)+630)^1.19)-(($D371*EXP(-$D$383)+28)^0.56)/(($D371*EXP(-$D$383)+530)^1.19)</f>
        <v>#VALUE!</v>
      </c>
      <c r="F371" s="620" t="e">
        <f>(($D371*EXP(-$D$1383)+128)^0.56)/(($D371*EXP(-$D$1383)+630)^1.19)-(($D371*EXP(-$D$1383)+28)^0.56)/(($D371*EXP(-$D$1383)+530)^1.19)</f>
        <v>#VALUE!</v>
      </c>
      <c r="G371" s="621">
        <f>IF($C$352&gt;=9,0,
$C$362/3*
(4*SUMPRODUCT(((($D371*EXP(-$D$383:$D$1383)+128)^0.56)/(($D371*EXP(-$D$383:$D$1383)+630)^1.19)-(($D371*EXP(-$D$383:$D$1383)+28)^0.56)/(($D371*EXP(-$D$383:$D$1383)+530)^1.19))*(MOD($C$383:$C$1383,2)=1))+
2*SUMPRODUCT(((($D371*EXP(-$D$383:$D$1383)+128)^0.56)/(($D371*EXP(-$D$383:$D$1383)+630)^1.19)-(($D371*EXP(-$D$383:$D$1383)+28)^0.56)/(($D371*EXP(-$D$383:$D$1383)+530)^1.19))*(MOD($C$383:$C$1383,2)=0))-
$F371-$E371)/(100*$C371))</f>
        <v>0</v>
      </c>
      <c r="H371" s="622" t="s">
        <v>460</v>
      </c>
      <c r="I371" s="585"/>
      <c r="J371" s="135"/>
      <c r="K371" s="542"/>
      <c r="O371" s="1134"/>
      <c r="Q371" s="1133"/>
    </row>
    <row r="372" spans="2:17" ht="17.25" thickBot="1" x14ac:dyDescent="0.35">
      <c r="B372" s="577"/>
      <c r="C372" s="584"/>
      <c r="D372" s="585"/>
      <c r="E372" s="585"/>
      <c r="F372" s="585"/>
      <c r="G372" s="585"/>
      <c r="H372" s="585"/>
      <c r="I372" s="585"/>
      <c r="J372" s="135"/>
      <c r="K372" s="542"/>
      <c r="O372" s="1134"/>
      <c r="Q372" s="1133"/>
    </row>
    <row r="373" spans="2:17" ht="17.25" x14ac:dyDescent="0.3">
      <c r="B373" s="577"/>
      <c r="C373" s="614" t="s">
        <v>489</v>
      </c>
      <c r="D373" s="615"/>
      <c r="E373" s="615"/>
      <c r="F373" s="615"/>
      <c r="G373" s="615"/>
      <c r="H373" s="616"/>
      <c r="I373" s="585"/>
      <c r="J373" s="135"/>
      <c r="K373" s="542"/>
      <c r="O373" s="1134"/>
      <c r="Q373" s="1133"/>
    </row>
    <row r="374" spans="2:17" ht="18.75" x14ac:dyDescent="0.35">
      <c r="B374" s="577"/>
      <c r="C374" s="586" t="s">
        <v>668</v>
      </c>
      <c r="D374" s="545" t="s">
        <v>669</v>
      </c>
      <c r="E374" s="587" t="s">
        <v>534</v>
      </c>
      <c r="F374" s="1192" t="str">
        <f>"f(" &amp; D361 &amp; ")"</f>
        <v>f(1000)</v>
      </c>
      <c r="G374" s="1868" t="s">
        <v>535</v>
      </c>
      <c r="H374" s="1869"/>
      <c r="I374" s="585"/>
      <c r="J374" s="135"/>
      <c r="K374" s="542"/>
      <c r="O374" s="1134"/>
      <c r="Q374" s="1133"/>
    </row>
    <row r="375" spans="2:17" x14ac:dyDescent="0.3">
      <c r="B375" s="577"/>
      <c r="C375" s="582">
        <f>IF($D$352&gt;4,0,IF($D$352=1,$D$357,IF($D$353="Yes",$D$358,$D$357)))</f>
        <v>0</v>
      </c>
      <c r="D375" s="579">
        <f>IF($D$352&gt;4,0,$D$359)</f>
        <v>0</v>
      </c>
      <c r="E375" s="588" t="e">
        <f>(($D375*EXP(-$D$383))^1.56)/(($D375*EXP(-$D$383)+530)^1.19)</f>
        <v>#VALUE!</v>
      </c>
      <c r="F375" s="588" t="e">
        <f>(($D375*EXP(-$D$1383))^1.56)/(($D375*EXP(-$D$1383)+530)^1.19)</f>
        <v>#VALUE!</v>
      </c>
      <c r="G375" s="589">
        <f>IF($D$352&lt;=4,
$D$362/3*
(4*SUMPRODUCT(((($D375*EXP(-$D$383:$D$1383))^1.56)/(($D375*EXP(-$D$383:$D$1383)+530)^1.19))*(MOD($C$383:$C$1383,2)=1))+
2*SUMPRODUCT(((($D375*EXP(-$D$383:$D$1383))^1.56)/(($D375*EXP(-$D$383:$D$1383)+530)^1.19))*(MOD($C$383:$C$1383,2)=0))
-$F375-$E375)/$C375,0)</f>
        <v>0</v>
      </c>
      <c r="H375" s="617" t="s">
        <v>454</v>
      </c>
      <c r="I375" s="585"/>
      <c r="J375" s="135"/>
      <c r="K375" s="542"/>
      <c r="O375" s="1134"/>
      <c r="Q375" s="1133"/>
    </row>
    <row r="376" spans="2:17" x14ac:dyDescent="0.3">
      <c r="B376" s="577"/>
      <c r="C376" s="582">
        <f>C375</f>
        <v>0</v>
      </c>
      <c r="D376" s="579">
        <f>D375</f>
        <v>0</v>
      </c>
      <c r="E376" s="588" t="e">
        <f>(($D376*EXP(-$D$383)+100)^1.56)/(($D376*EXP(-$D$383)+630)^1.19)-(($D376*EXP(-$D$383))^1.56)/(($D376*EXP(-$D$383)+530)^1.19)</f>
        <v>#VALUE!</v>
      </c>
      <c r="F376" s="588" t="e">
        <f>(($D376*EXP(-$D$1383)+100)^1.56)/(($D376*EXP(-$D$1383)+630)^1.19)-(($D376*EXP(-$D$1383))^1.56)/(($D376*EXP(-$D$1383)+530)^1.19)</f>
        <v>#VALUE!</v>
      </c>
      <c r="G376" s="589">
        <f>IF($D$352&lt;=4,
$D$362/3*
(4*SUMPRODUCT(((($D376*EXP(-$D$383:$D$1383)+100)^1.56)/(($D376*EXP(-$D$383:$D$1383)+630)^1.19)-(($D376*EXP(-$D$383:$D$1383))^1.56)/(($D376*EXP(-$D$383:$D$1383)+530)^1.19))*(MOD($C$383:$C$1383,2)=1))+
2*SUMPRODUCT(((($D376*EXP(-$D$383:$D$1383)+100)^1.56)/(($D376*EXP(-$D$383:$D$1383)+630)^1.19)-(($D376*EXP(-$D$383:$D$1383))^1.56)/(($D376*EXP(-$D$383:$D$1383)+530)^1.19))*(MOD($C$383:$C$1383,2)=0))-
$F376-$E376)/(100*$C376),0)</f>
        <v>0</v>
      </c>
      <c r="H376" s="617" t="s">
        <v>455</v>
      </c>
      <c r="I376" s="585"/>
      <c r="J376" s="135"/>
      <c r="K376" s="542"/>
      <c r="O376" s="1134"/>
      <c r="Q376" s="1133"/>
    </row>
    <row r="377" spans="2:17" x14ac:dyDescent="0.3">
      <c r="B377" s="577"/>
      <c r="C377" s="582" t="str">
        <f>IF($D$352&lt;=4,0,IF(AND($D$352=10,$D$353="Yes"),$D$358,$D$357))</f>
        <v>N/A</v>
      </c>
      <c r="D377" s="579" t="str">
        <f>IF($D$352&lt;=4,0,IF($D$352&lt;=8,$D$360,$D$359))</f>
        <v>N/A</v>
      </c>
      <c r="E377" s="588" t="e">
        <f>((($D377*EXP(-$D$383)+28)^0.56)*($D377*EXP(-$D$383)))/
(($D377*EXP(-$D$383)+530)^1.19)</f>
        <v>#VALUE!</v>
      </c>
      <c r="F377" s="588" t="e">
        <f>((($D377*EXP(-$D$1383)+28)^0.56)*($D377*EXP(-$D$1383)))/
(($D377*EXP(-$D$1383)+530)^1.19)</f>
        <v>#VALUE!</v>
      </c>
      <c r="G377" s="589" t="e">
        <f>IF($D$352&gt;4,
$D$362/3*
(4*SUMPRODUCT((((($D377*EXP(-$D$383:$D$1383)+28)^0.56)*($D377*EXP(-$D$383:$D$1383)))/(($D377*EXP(-$D$383:$D$1383)+530)^1.19))*(MOD($C$383:$C$1383,2)=1))+
2*SUMPRODUCT((((($D377*EXP(-$D$383:$D$1383)+28)^0.56)*($D377*EXP(-$D$383:$D$1383)))/(($D377*EXP(-$D$383:$D$1383)+530)^1.19))*(MOD($C$383:$C$1383,2)=0))-
$E377-$F377)/($C377),0)</f>
        <v>#VALUE!</v>
      </c>
      <c r="H377" s="617" t="s">
        <v>456</v>
      </c>
      <c r="I377" s="585"/>
      <c r="J377" s="135"/>
      <c r="K377" s="542"/>
      <c r="O377" s="1134"/>
      <c r="Q377" s="1133"/>
    </row>
    <row r="378" spans="2:17" x14ac:dyDescent="0.3">
      <c r="B378" s="577"/>
      <c r="C378" s="582" t="str">
        <f>C377</f>
        <v>N/A</v>
      </c>
      <c r="D378" s="579" t="str">
        <f>D377</f>
        <v>N/A</v>
      </c>
      <c r="E378" s="588" t="e">
        <f>((($D378*EXP(-$D$383)+128)^0.56)*($D378*EXP(-$D$383)+100))/(($D378*EXP(-$D$383)+630)^1.19)-((($D378*EXP(-$D$383)+28)^0.56)*($D378*EXP(-$D$383)))/(($D378*EXP(-$D$383)+530)^1.19)</f>
        <v>#VALUE!</v>
      </c>
      <c r="F378" s="588" t="e">
        <f>((($D378*EXP(-$D$1383)+128)^0.56)*($D378*EXP(-$D$1383)+100))/(($D378*EXP(-$D$1383)+630)^1.19)-((($D378*EXP(-$D$1383)+28)^0.56)*($D378*EXP(-$D$1383)))/(($D378*EXP(-$D$1383)+530)^1.19)</f>
        <v>#VALUE!</v>
      </c>
      <c r="G378" s="589" t="e">
        <f>IF($D$352&gt;4,
$D$362/3*
(4*SUMPRODUCT((((($D378*EXP(-$D$383:$D$1383)+128)^0.56)*($D378*EXP(-$D$383:$D$1383)+100))/(($D378*EXP(-$D$383:$D$1383)+630)^1.19)-((($D378*EXP(-$D$383:$D$1383)+28)^0.56)*($D378*EXP(-$D$383:$D$1383)))/(($D378*EXP(-$D$383:$D$1383)+530)^1.19))*(MOD($C$383:$C$1383,2)=1))+
2*SUMPRODUCT((((($D378*EXP(-$D$383:$D$1383)+128)^0.56)*($D378*EXP(-$D$383:$D$1383)+100))/(($D378*EXP(-$D$383:$D$1383)+630)^1.19)-((($D378*EXP(-$D$383:$D$1383)+28)^0.56)*($D378*EXP(-$D$383:$D$1383)))/(($D378*EXP(-$D$383:$D$1383)+530)^1.19))*(MOD($C$383:$C$1383,2)=0))-
$F378-$E378)/(100*$C378),0)</f>
        <v>#VALUE!</v>
      </c>
      <c r="H378" s="617" t="s">
        <v>457</v>
      </c>
      <c r="I378" s="585"/>
      <c r="J378" s="135"/>
      <c r="K378" s="542"/>
      <c r="O378" s="1134"/>
      <c r="Q378" s="1133"/>
    </row>
    <row r="379" spans="2:17" x14ac:dyDescent="0.3">
      <c r="B379" s="577"/>
      <c r="C379" s="582">
        <f>IF($D$352&gt;=9,0,IF(AND($D$352&gt;=2,$D$352&lt;=4,$D$353="Yes"),$D$358,$D$357))</f>
        <v>0</v>
      </c>
      <c r="D379" s="579">
        <f>IF($D$352&gt;=9,0,IF($D$352=3,$D$359,$D$360))</f>
        <v>0</v>
      </c>
      <c r="E379" s="588" t="e">
        <f>(($D379*EXP(-$D$383)+28)^0.56)/(($D379*EXP(-$D$383)+530)^1.19)</f>
        <v>#VALUE!</v>
      </c>
      <c r="F379" s="588" t="e">
        <f>(($D379*EXP(-$D$1383)+28)^0.56)/(($D379*EXP(-$D$1383)+530)^1.19)</f>
        <v>#VALUE!</v>
      </c>
      <c r="G379" s="589">
        <f>IF($D$352&gt;=9,0,
$D$362/3*
(4*SUMPRODUCT(((($D379*EXP(-$D$383:$D$1383)+28)^0.56)/(($D379*EXP(-$D$383:$D$1383)+530)^1.19))*(MOD($C$383:$C$1383,2)=1))+
2*SUMPRODUCT(((($D379*EXP(-$D$383:$D$1383)+28)^0.56)/(($D379*EXP(-$D$383:$D$1383)+530)^1.19))*(MOD($C$383:$C$1383,2)=0))-
$F379-$E379)/($C379))</f>
        <v>0</v>
      </c>
      <c r="H379" s="617" t="s">
        <v>458</v>
      </c>
      <c r="I379" s="585"/>
      <c r="J379" s="135"/>
      <c r="K379" s="542"/>
      <c r="O379" s="1134"/>
      <c r="Q379" s="1133"/>
    </row>
    <row r="380" spans="2:17" ht="17.25" thickBot="1" x14ac:dyDescent="0.35">
      <c r="B380" s="577"/>
      <c r="C380" s="618">
        <f>C379</f>
        <v>0</v>
      </c>
      <c r="D380" s="619">
        <f>D379</f>
        <v>0</v>
      </c>
      <c r="E380" s="620" t="e">
        <f>(($D380*EXP(-$D$383)+128)^0.56)/(($D380*EXP(-$D$383)+630)^1.19)-(($D380*EXP(-$D$383)+28)^0.56)/(($D380*EXP(-$D$383)+530)^1.19)</f>
        <v>#VALUE!</v>
      </c>
      <c r="F380" s="620" t="e">
        <f>(($D380*EXP(-$D$1383)+128)^0.56)/(($D380*EXP(-$D$1383)+630)^1.19)-(($D380*EXP(-$D$1383)+28)^0.56)/(($D380*EXP(-$D$1383)+530)^1.19)</f>
        <v>#VALUE!</v>
      </c>
      <c r="G380" s="621">
        <f>IF($D$352&gt;=9,0,
$D$362/3*
(4*SUMPRODUCT(((($D380*EXP(-$D$383:$D$1383)+128)^0.56)/(($D380*EXP(-$D$383:$D$1383)+630)^1.19)-(($D380*EXP(-$D$383:$D$1383)+28)^0.56)/(($D380*EXP(-$D$383:$D$1383)+530)^1.19))*(MOD($C$383:$C$1383,2)=1))+
2*SUMPRODUCT(((($D380*EXP(-$D$383:$D$1383)+128)^0.56)/(($D380*EXP(-$D$383:$D$1383)+630)^1.19)-(($D380*EXP(-$D$383:$D$1383)+28)^0.56)/(($D380*EXP(-$D$383:$D$1383)+530)^1.19))*(MOD($C$383:$C$1383,2)=0))-
$F380-$E380)/(100*$C380))</f>
        <v>0</v>
      </c>
      <c r="H380" s="622" t="s">
        <v>460</v>
      </c>
      <c r="I380" s="585"/>
      <c r="J380" s="135"/>
      <c r="K380" s="542"/>
      <c r="O380" s="1134"/>
      <c r="Q380" s="1133"/>
    </row>
    <row r="381" spans="2:17" ht="17.25" thickBot="1" x14ac:dyDescent="0.35">
      <c r="B381" s="577"/>
      <c r="C381" s="584"/>
      <c r="D381" s="585"/>
      <c r="E381" s="585"/>
      <c r="F381" s="585"/>
      <c r="G381" s="585"/>
      <c r="H381" s="585"/>
      <c r="I381" s="585"/>
      <c r="J381" s="135"/>
      <c r="K381" s="542"/>
      <c r="O381" s="1134"/>
      <c r="Q381" s="1133"/>
    </row>
    <row r="382" spans="2:17" ht="18" x14ac:dyDescent="0.3">
      <c r="B382" s="577"/>
      <c r="C382" s="623" t="s">
        <v>525</v>
      </c>
      <c r="D382" s="624" t="s">
        <v>670</v>
      </c>
      <c r="E382" s="585"/>
      <c r="F382" s="585"/>
      <c r="G382" s="585"/>
      <c r="H382" s="585"/>
      <c r="I382" s="585"/>
      <c r="J382" s="135"/>
      <c r="K382" s="542"/>
      <c r="O382" s="1134"/>
      <c r="Q382" s="1133"/>
    </row>
    <row r="383" spans="2:17" x14ac:dyDescent="0.3">
      <c r="B383" s="577"/>
      <c r="C383" s="583">
        <v>0</v>
      </c>
      <c r="D383" s="625" t="e">
        <f t="shared" ref="D383:D446" si="26">$C$362*C383</f>
        <v>#VALUE!</v>
      </c>
      <c r="E383" s="585"/>
      <c r="F383" s="585"/>
      <c r="G383" s="585"/>
      <c r="H383" s="585"/>
      <c r="I383" s="585"/>
      <c r="J383" s="135"/>
      <c r="K383" s="542"/>
      <c r="O383" s="1134"/>
      <c r="Q383" s="1133"/>
    </row>
    <row r="384" spans="2:17" x14ac:dyDescent="0.3">
      <c r="B384" s="577"/>
      <c r="C384" s="583">
        <v>1</v>
      </c>
      <c r="D384" s="625" t="e">
        <f t="shared" si="26"/>
        <v>#VALUE!</v>
      </c>
      <c r="E384" s="585"/>
      <c r="F384" s="585"/>
      <c r="G384" s="585"/>
      <c r="H384" s="585"/>
      <c r="I384" s="585"/>
      <c r="J384" s="135"/>
      <c r="K384" s="542"/>
      <c r="O384" s="1134"/>
      <c r="Q384" s="1133"/>
    </row>
    <row r="385" spans="2:17" x14ac:dyDescent="0.3">
      <c r="B385" s="577"/>
      <c r="C385" s="583">
        <v>2</v>
      </c>
      <c r="D385" s="625" t="e">
        <f t="shared" si="26"/>
        <v>#VALUE!</v>
      </c>
      <c r="E385" s="585"/>
      <c r="F385" s="585"/>
      <c r="G385" s="585"/>
      <c r="H385" s="585"/>
      <c r="I385" s="585"/>
      <c r="J385" s="135"/>
      <c r="K385" s="542"/>
      <c r="O385" s="1134"/>
      <c r="Q385" s="1133"/>
    </row>
    <row r="386" spans="2:17" x14ac:dyDescent="0.3">
      <c r="B386" s="577"/>
      <c r="C386" s="583">
        <v>3</v>
      </c>
      <c r="D386" s="625" t="e">
        <f>$C$362*C386</f>
        <v>#VALUE!</v>
      </c>
      <c r="E386" s="585"/>
      <c r="F386" s="585"/>
      <c r="G386" s="585"/>
      <c r="H386" s="585"/>
      <c r="I386" s="585"/>
      <c r="J386" s="135"/>
      <c r="K386" s="542"/>
      <c r="O386" s="1134"/>
      <c r="Q386" s="1133"/>
    </row>
    <row r="387" spans="2:17" x14ac:dyDescent="0.3">
      <c r="B387" s="577"/>
      <c r="C387" s="583">
        <v>4</v>
      </c>
      <c r="D387" s="625" t="e">
        <f t="shared" si="26"/>
        <v>#VALUE!</v>
      </c>
      <c r="E387" s="585"/>
      <c r="F387" s="585"/>
      <c r="G387" s="585"/>
      <c r="H387" s="585"/>
      <c r="I387" s="585"/>
      <c r="J387" s="135"/>
      <c r="K387" s="542"/>
      <c r="O387" s="1134"/>
      <c r="Q387" s="1133"/>
    </row>
    <row r="388" spans="2:17" x14ac:dyDescent="0.3">
      <c r="B388" s="577"/>
      <c r="C388" s="583">
        <v>5</v>
      </c>
      <c r="D388" s="625" t="e">
        <f t="shared" si="26"/>
        <v>#VALUE!</v>
      </c>
      <c r="E388" s="585"/>
      <c r="F388" s="585"/>
      <c r="G388" s="585"/>
      <c r="H388" s="585"/>
      <c r="I388" s="585"/>
      <c r="J388" s="135"/>
      <c r="K388" s="542"/>
      <c r="O388" s="1134"/>
      <c r="Q388" s="1133"/>
    </row>
    <row r="389" spans="2:17" x14ac:dyDescent="0.3">
      <c r="B389" s="577"/>
      <c r="C389" s="583">
        <v>6</v>
      </c>
      <c r="D389" s="625" t="e">
        <f t="shared" si="26"/>
        <v>#VALUE!</v>
      </c>
      <c r="E389" s="585"/>
      <c r="F389" s="585"/>
      <c r="G389" s="585"/>
      <c r="H389" s="585"/>
      <c r="I389" s="585"/>
      <c r="J389" s="135"/>
      <c r="K389" s="542"/>
      <c r="O389" s="1134"/>
      <c r="Q389" s="1133"/>
    </row>
    <row r="390" spans="2:17" x14ac:dyDescent="0.3">
      <c r="B390" s="577"/>
      <c r="C390" s="583">
        <v>7</v>
      </c>
      <c r="D390" s="625" t="e">
        <f t="shared" si="26"/>
        <v>#VALUE!</v>
      </c>
      <c r="E390" s="585"/>
      <c r="F390" s="585"/>
      <c r="G390" s="585"/>
      <c r="H390" s="585"/>
      <c r="I390" s="585"/>
      <c r="J390" s="135"/>
      <c r="K390" s="542"/>
      <c r="O390" s="1134"/>
      <c r="Q390" s="1133"/>
    </row>
    <row r="391" spans="2:17" x14ac:dyDescent="0.3">
      <c r="B391" s="126"/>
      <c r="C391" s="583">
        <v>8</v>
      </c>
      <c r="D391" s="625" t="e">
        <f t="shared" si="26"/>
        <v>#VALUE!</v>
      </c>
      <c r="E391" s="590"/>
      <c r="F391" s="590"/>
      <c r="G391" s="590"/>
      <c r="H391" s="590"/>
      <c r="I391" s="590"/>
      <c r="J391" s="590"/>
      <c r="K391" s="542"/>
      <c r="O391" s="1134"/>
      <c r="Q391" s="1133"/>
    </row>
    <row r="392" spans="2:17" x14ac:dyDescent="0.3">
      <c r="B392" s="126"/>
      <c r="C392" s="583">
        <v>9</v>
      </c>
      <c r="D392" s="625" t="e">
        <f t="shared" si="26"/>
        <v>#VALUE!</v>
      </c>
      <c r="E392" s="591"/>
      <c r="F392" s="591"/>
      <c r="G392" s="591"/>
      <c r="H392" s="591"/>
      <c r="I392" s="591"/>
      <c r="J392" s="591"/>
      <c r="K392" s="542"/>
      <c r="O392" s="1134"/>
      <c r="Q392" s="1133"/>
    </row>
    <row r="393" spans="2:17" x14ac:dyDescent="0.3">
      <c r="B393" s="126"/>
      <c r="C393" s="583">
        <v>10</v>
      </c>
      <c r="D393" s="625" t="e">
        <f t="shared" si="26"/>
        <v>#VALUE!</v>
      </c>
      <c r="E393" s="591"/>
      <c r="F393" s="591"/>
      <c r="G393" s="591"/>
      <c r="H393" s="591"/>
      <c r="I393" s="591"/>
      <c r="J393" s="591"/>
      <c r="K393" s="542"/>
      <c r="O393" s="1134"/>
      <c r="Q393" s="1133"/>
    </row>
    <row r="394" spans="2:17" x14ac:dyDescent="0.3">
      <c r="B394" s="126"/>
      <c r="C394" s="583">
        <v>11</v>
      </c>
      <c r="D394" s="625" t="e">
        <f t="shared" si="26"/>
        <v>#VALUE!</v>
      </c>
      <c r="E394" s="591"/>
      <c r="F394" s="591"/>
      <c r="G394" s="591"/>
      <c r="H394" s="591"/>
      <c r="I394" s="591"/>
      <c r="J394" s="591"/>
      <c r="K394" s="542"/>
      <c r="O394" s="1134"/>
      <c r="Q394" s="1133"/>
    </row>
    <row r="395" spans="2:17" x14ac:dyDescent="0.3">
      <c r="B395" s="126"/>
      <c r="C395" s="583">
        <v>12</v>
      </c>
      <c r="D395" s="625" t="e">
        <f t="shared" si="26"/>
        <v>#VALUE!</v>
      </c>
      <c r="E395" s="591"/>
      <c r="F395" s="591"/>
      <c r="G395" s="591"/>
      <c r="H395" s="591"/>
      <c r="I395" s="591"/>
      <c r="J395" s="591"/>
      <c r="K395" s="542"/>
      <c r="O395" s="1134"/>
      <c r="Q395" s="1133"/>
    </row>
    <row r="396" spans="2:17" x14ac:dyDescent="0.3">
      <c r="B396" s="126"/>
      <c r="C396" s="583">
        <v>13</v>
      </c>
      <c r="D396" s="625" t="e">
        <f t="shared" si="26"/>
        <v>#VALUE!</v>
      </c>
      <c r="E396" s="591"/>
      <c r="F396" s="591"/>
      <c r="G396" s="591"/>
      <c r="H396" s="591"/>
      <c r="I396" s="591"/>
      <c r="J396" s="591"/>
      <c r="K396" s="542"/>
      <c r="O396" s="1134"/>
      <c r="Q396" s="1133"/>
    </row>
    <row r="397" spans="2:17" x14ac:dyDescent="0.3">
      <c r="B397" s="126"/>
      <c r="C397" s="583">
        <v>14</v>
      </c>
      <c r="D397" s="625" t="e">
        <f t="shared" si="26"/>
        <v>#VALUE!</v>
      </c>
      <c r="E397" s="591"/>
      <c r="F397" s="591"/>
      <c r="G397" s="591"/>
      <c r="H397" s="591"/>
      <c r="I397" s="591"/>
      <c r="J397" s="591"/>
      <c r="K397" s="542"/>
      <c r="O397" s="1134"/>
      <c r="Q397" s="1133"/>
    </row>
    <row r="398" spans="2:17" x14ac:dyDescent="0.3">
      <c r="B398" s="126"/>
      <c r="C398" s="583">
        <v>15</v>
      </c>
      <c r="D398" s="625" t="e">
        <f t="shared" si="26"/>
        <v>#VALUE!</v>
      </c>
      <c r="E398" s="591"/>
      <c r="F398" s="591"/>
      <c r="G398" s="591"/>
      <c r="H398" s="591"/>
      <c r="I398" s="591"/>
      <c r="J398" s="591"/>
      <c r="K398" s="542"/>
      <c r="O398" s="1134"/>
      <c r="Q398" s="1133"/>
    </row>
    <row r="399" spans="2:17" x14ac:dyDescent="0.3">
      <c r="B399" s="126"/>
      <c r="C399" s="583">
        <v>16</v>
      </c>
      <c r="D399" s="625" t="e">
        <f t="shared" si="26"/>
        <v>#VALUE!</v>
      </c>
      <c r="E399" s="591"/>
      <c r="F399" s="591"/>
      <c r="G399" s="591"/>
      <c r="H399" s="591"/>
      <c r="I399" s="591"/>
      <c r="J399" s="591"/>
      <c r="K399" s="542"/>
      <c r="O399" s="1134"/>
      <c r="Q399" s="1133"/>
    </row>
    <row r="400" spans="2:17" x14ac:dyDescent="0.3">
      <c r="B400" s="126"/>
      <c r="C400" s="583">
        <v>17</v>
      </c>
      <c r="D400" s="625" t="e">
        <f t="shared" si="26"/>
        <v>#VALUE!</v>
      </c>
      <c r="E400" s="591"/>
      <c r="F400" s="591"/>
      <c r="G400" s="591"/>
      <c r="H400" s="591"/>
      <c r="I400" s="591"/>
      <c r="J400" s="591"/>
      <c r="K400" s="542"/>
      <c r="O400" s="1134"/>
      <c r="Q400" s="1133"/>
    </row>
    <row r="401" spans="2:17" x14ac:dyDescent="0.3">
      <c r="B401" s="126"/>
      <c r="C401" s="583">
        <v>18</v>
      </c>
      <c r="D401" s="625" t="e">
        <f t="shared" si="26"/>
        <v>#VALUE!</v>
      </c>
      <c r="E401" s="591"/>
      <c r="F401" s="591"/>
      <c r="G401" s="591"/>
      <c r="H401" s="591"/>
      <c r="I401" s="591"/>
      <c r="J401" s="591"/>
      <c r="K401" s="542"/>
      <c r="O401" s="1134"/>
      <c r="Q401" s="1133"/>
    </row>
    <row r="402" spans="2:17" x14ac:dyDescent="0.3">
      <c r="B402" s="126"/>
      <c r="C402" s="583">
        <v>19</v>
      </c>
      <c r="D402" s="625" t="e">
        <f t="shared" si="26"/>
        <v>#VALUE!</v>
      </c>
      <c r="E402" s="591"/>
      <c r="F402" s="591"/>
      <c r="G402" s="591"/>
      <c r="H402" s="591"/>
      <c r="I402" s="591"/>
      <c r="J402" s="591"/>
      <c r="K402" s="542"/>
      <c r="O402" s="1134"/>
      <c r="Q402" s="1133"/>
    </row>
    <row r="403" spans="2:17" x14ac:dyDescent="0.3">
      <c r="B403" s="126"/>
      <c r="C403" s="583">
        <v>20</v>
      </c>
      <c r="D403" s="625" t="e">
        <f t="shared" si="26"/>
        <v>#VALUE!</v>
      </c>
      <c r="E403" s="591"/>
      <c r="F403" s="591"/>
      <c r="G403" s="591"/>
      <c r="H403" s="591"/>
      <c r="I403" s="591"/>
      <c r="J403" s="591"/>
      <c r="K403" s="542"/>
      <c r="O403" s="1134"/>
      <c r="Q403" s="1133"/>
    </row>
    <row r="404" spans="2:17" x14ac:dyDescent="0.3">
      <c r="B404" s="126"/>
      <c r="C404" s="583">
        <v>21</v>
      </c>
      <c r="D404" s="625" t="e">
        <f t="shared" si="26"/>
        <v>#VALUE!</v>
      </c>
      <c r="E404" s="591"/>
      <c r="F404" s="591"/>
      <c r="G404" s="591"/>
      <c r="H404" s="591"/>
      <c r="I404" s="591"/>
      <c r="J404" s="591"/>
      <c r="K404" s="542"/>
      <c r="O404" s="1134"/>
      <c r="Q404" s="1133"/>
    </row>
    <row r="405" spans="2:17" x14ac:dyDescent="0.3">
      <c r="B405" s="126"/>
      <c r="C405" s="583">
        <v>22</v>
      </c>
      <c r="D405" s="625" t="e">
        <f t="shared" si="26"/>
        <v>#VALUE!</v>
      </c>
      <c r="E405" s="591"/>
      <c r="F405" s="591"/>
      <c r="G405" s="591"/>
      <c r="H405" s="591"/>
      <c r="I405" s="591"/>
      <c r="J405" s="591"/>
      <c r="K405" s="542"/>
      <c r="O405" s="1134"/>
      <c r="Q405" s="1133"/>
    </row>
    <row r="406" spans="2:17" x14ac:dyDescent="0.3">
      <c r="B406" s="126"/>
      <c r="C406" s="583">
        <v>23</v>
      </c>
      <c r="D406" s="625" t="e">
        <f t="shared" si="26"/>
        <v>#VALUE!</v>
      </c>
      <c r="E406" s="591"/>
      <c r="F406" s="591"/>
      <c r="G406" s="591"/>
      <c r="H406" s="591"/>
      <c r="I406" s="591"/>
      <c r="J406" s="591"/>
      <c r="K406" s="542"/>
      <c r="O406" s="1134"/>
      <c r="Q406" s="1133"/>
    </row>
    <row r="407" spans="2:17" x14ac:dyDescent="0.3">
      <c r="B407" s="126"/>
      <c r="C407" s="583">
        <v>24</v>
      </c>
      <c r="D407" s="625" t="e">
        <f t="shared" si="26"/>
        <v>#VALUE!</v>
      </c>
      <c r="E407" s="591"/>
      <c r="F407" s="591"/>
      <c r="G407" s="591"/>
      <c r="H407" s="591"/>
      <c r="I407" s="591"/>
      <c r="J407" s="591"/>
      <c r="K407" s="542"/>
      <c r="O407" s="1134"/>
      <c r="Q407" s="1133"/>
    </row>
    <row r="408" spans="2:17" x14ac:dyDescent="0.3">
      <c r="B408" s="126"/>
      <c r="C408" s="583">
        <v>25</v>
      </c>
      <c r="D408" s="625" t="e">
        <f t="shared" si="26"/>
        <v>#VALUE!</v>
      </c>
      <c r="E408" s="591"/>
      <c r="F408" s="591"/>
      <c r="G408" s="591"/>
      <c r="H408" s="591"/>
      <c r="I408" s="591"/>
      <c r="J408" s="591"/>
      <c r="K408" s="542"/>
      <c r="O408" s="1134"/>
      <c r="Q408" s="1133"/>
    </row>
    <row r="409" spans="2:17" x14ac:dyDescent="0.3">
      <c r="B409" s="126"/>
      <c r="C409" s="583">
        <v>26</v>
      </c>
      <c r="D409" s="625" t="e">
        <f t="shared" si="26"/>
        <v>#VALUE!</v>
      </c>
      <c r="E409" s="591"/>
      <c r="F409" s="591"/>
      <c r="G409" s="591"/>
      <c r="H409" s="591"/>
      <c r="I409" s="591"/>
      <c r="J409" s="591"/>
      <c r="K409" s="542"/>
      <c r="O409" s="1134"/>
      <c r="Q409" s="1133"/>
    </row>
    <row r="410" spans="2:17" x14ac:dyDescent="0.3">
      <c r="B410" s="126"/>
      <c r="C410" s="583">
        <v>27</v>
      </c>
      <c r="D410" s="625" t="e">
        <f t="shared" si="26"/>
        <v>#VALUE!</v>
      </c>
      <c r="E410" s="591"/>
      <c r="F410" s="591"/>
      <c r="G410" s="591"/>
      <c r="H410" s="591"/>
      <c r="I410" s="591"/>
      <c r="J410" s="591"/>
      <c r="K410" s="542"/>
      <c r="O410" s="1134"/>
      <c r="Q410" s="1133"/>
    </row>
    <row r="411" spans="2:17" x14ac:dyDescent="0.3">
      <c r="B411" s="126"/>
      <c r="C411" s="583">
        <v>28</v>
      </c>
      <c r="D411" s="625" t="e">
        <f t="shared" si="26"/>
        <v>#VALUE!</v>
      </c>
      <c r="E411" s="591"/>
      <c r="F411" s="591"/>
      <c r="G411" s="591"/>
      <c r="H411" s="591"/>
      <c r="I411" s="591"/>
      <c r="J411" s="591"/>
      <c r="K411" s="542"/>
      <c r="O411" s="1134"/>
      <c r="Q411" s="1133"/>
    </row>
    <row r="412" spans="2:17" x14ac:dyDescent="0.3">
      <c r="B412" s="126"/>
      <c r="C412" s="583">
        <v>29</v>
      </c>
      <c r="D412" s="625" t="e">
        <f t="shared" si="26"/>
        <v>#VALUE!</v>
      </c>
      <c r="E412" s="591"/>
      <c r="F412" s="591"/>
      <c r="G412" s="591"/>
      <c r="H412" s="591"/>
      <c r="I412" s="591"/>
      <c r="J412" s="591"/>
      <c r="K412" s="542"/>
      <c r="O412" s="1134"/>
      <c r="Q412" s="1133"/>
    </row>
    <row r="413" spans="2:17" x14ac:dyDescent="0.3">
      <c r="B413" s="126"/>
      <c r="C413" s="583">
        <v>30</v>
      </c>
      <c r="D413" s="625" t="e">
        <f t="shared" si="26"/>
        <v>#VALUE!</v>
      </c>
      <c r="E413" s="591"/>
      <c r="F413" s="591"/>
      <c r="G413" s="591"/>
      <c r="H413" s="591"/>
      <c r="I413" s="591"/>
      <c r="J413" s="591"/>
      <c r="K413" s="542"/>
      <c r="O413" s="1134"/>
      <c r="Q413" s="1133"/>
    </row>
    <row r="414" spans="2:17" x14ac:dyDescent="0.3">
      <c r="B414" s="126"/>
      <c r="C414" s="583">
        <v>31</v>
      </c>
      <c r="D414" s="625" t="e">
        <f t="shared" si="26"/>
        <v>#VALUE!</v>
      </c>
      <c r="E414" s="591"/>
      <c r="F414" s="591"/>
      <c r="G414" s="591"/>
      <c r="H414" s="591"/>
      <c r="I414" s="591"/>
      <c r="J414" s="591"/>
      <c r="K414" s="542"/>
      <c r="O414" s="1134"/>
      <c r="Q414" s="1133"/>
    </row>
    <row r="415" spans="2:17" x14ac:dyDescent="0.3">
      <c r="B415" s="126"/>
      <c r="C415" s="583">
        <v>32</v>
      </c>
      <c r="D415" s="625" t="e">
        <f t="shared" si="26"/>
        <v>#VALUE!</v>
      </c>
      <c r="E415" s="591"/>
      <c r="F415" s="591"/>
      <c r="G415" s="591"/>
      <c r="H415" s="591"/>
      <c r="I415" s="591"/>
      <c r="J415" s="591"/>
      <c r="K415" s="542"/>
      <c r="O415" s="1134"/>
      <c r="Q415" s="1133"/>
    </row>
    <row r="416" spans="2:17" x14ac:dyDescent="0.3">
      <c r="B416" s="126"/>
      <c r="C416" s="583">
        <v>33</v>
      </c>
      <c r="D416" s="625" t="e">
        <f t="shared" si="26"/>
        <v>#VALUE!</v>
      </c>
      <c r="E416" s="591"/>
      <c r="F416" s="591"/>
      <c r="G416" s="591"/>
      <c r="H416" s="591"/>
      <c r="I416" s="591"/>
      <c r="J416" s="591"/>
      <c r="K416" s="542"/>
      <c r="O416" s="1134"/>
      <c r="Q416" s="1133"/>
    </row>
    <row r="417" spans="2:17" x14ac:dyDescent="0.3">
      <c r="B417" s="126"/>
      <c r="C417" s="583">
        <v>34</v>
      </c>
      <c r="D417" s="625" t="e">
        <f t="shared" si="26"/>
        <v>#VALUE!</v>
      </c>
      <c r="E417" s="591"/>
      <c r="F417" s="591"/>
      <c r="G417" s="591"/>
      <c r="H417" s="591"/>
      <c r="I417" s="591"/>
      <c r="J417" s="591"/>
      <c r="K417" s="542"/>
      <c r="O417" s="1134"/>
      <c r="Q417" s="1133"/>
    </row>
    <row r="418" spans="2:17" x14ac:dyDescent="0.3">
      <c r="B418" s="126"/>
      <c r="C418" s="583">
        <v>35</v>
      </c>
      <c r="D418" s="625" t="e">
        <f t="shared" si="26"/>
        <v>#VALUE!</v>
      </c>
      <c r="E418" s="591"/>
      <c r="F418" s="591"/>
      <c r="G418" s="591"/>
      <c r="H418" s="591"/>
      <c r="I418" s="591"/>
      <c r="J418" s="591"/>
      <c r="K418" s="542"/>
      <c r="O418" s="1134"/>
      <c r="Q418" s="1133"/>
    </row>
    <row r="419" spans="2:17" x14ac:dyDescent="0.3">
      <c r="B419" s="126"/>
      <c r="C419" s="583">
        <v>36</v>
      </c>
      <c r="D419" s="625" t="e">
        <f t="shared" si="26"/>
        <v>#VALUE!</v>
      </c>
      <c r="E419" s="591"/>
      <c r="F419" s="591"/>
      <c r="G419" s="591"/>
      <c r="H419" s="591"/>
      <c r="I419" s="591"/>
      <c r="J419" s="591"/>
      <c r="K419" s="542"/>
      <c r="O419" s="1134"/>
      <c r="Q419" s="1133"/>
    </row>
    <row r="420" spans="2:17" x14ac:dyDescent="0.3">
      <c r="B420" s="126"/>
      <c r="C420" s="583">
        <v>37</v>
      </c>
      <c r="D420" s="625" t="e">
        <f t="shared" si="26"/>
        <v>#VALUE!</v>
      </c>
      <c r="E420" s="591"/>
      <c r="F420" s="591"/>
      <c r="G420" s="591"/>
      <c r="H420" s="591"/>
      <c r="I420" s="591"/>
      <c r="J420" s="591"/>
      <c r="K420" s="542"/>
      <c r="O420" s="1134"/>
      <c r="Q420" s="1133"/>
    </row>
    <row r="421" spans="2:17" x14ac:dyDescent="0.3">
      <c r="B421" s="126"/>
      <c r="C421" s="583">
        <v>38</v>
      </c>
      <c r="D421" s="625" t="e">
        <f t="shared" si="26"/>
        <v>#VALUE!</v>
      </c>
      <c r="E421" s="591"/>
      <c r="F421" s="591"/>
      <c r="G421" s="591"/>
      <c r="H421" s="591"/>
      <c r="I421" s="591"/>
      <c r="J421" s="591"/>
      <c r="K421" s="542"/>
      <c r="O421" s="1134"/>
      <c r="Q421" s="1133"/>
    </row>
    <row r="422" spans="2:17" x14ac:dyDescent="0.3">
      <c r="B422" s="126"/>
      <c r="C422" s="583">
        <v>39</v>
      </c>
      <c r="D422" s="625" t="e">
        <f t="shared" si="26"/>
        <v>#VALUE!</v>
      </c>
      <c r="E422" s="591"/>
      <c r="F422" s="591"/>
      <c r="G422" s="591"/>
      <c r="H422" s="591"/>
      <c r="I422" s="591"/>
      <c r="J422" s="591"/>
      <c r="K422" s="542"/>
      <c r="O422" s="1134"/>
      <c r="Q422" s="1133"/>
    </row>
    <row r="423" spans="2:17" x14ac:dyDescent="0.3">
      <c r="B423" s="126"/>
      <c r="C423" s="583">
        <v>40</v>
      </c>
      <c r="D423" s="625" t="e">
        <f t="shared" si="26"/>
        <v>#VALUE!</v>
      </c>
      <c r="E423" s="591"/>
      <c r="F423" s="591"/>
      <c r="G423" s="591"/>
      <c r="H423" s="591"/>
      <c r="I423" s="591"/>
      <c r="J423" s="591"/>
      <c r="K423" s="542"/>
      <c r="O423" s="1134"/>
      <c r="Q423" s="1133"/>
    </row>
    <row r="424" spans="2:17" x14ac:dyDescent="0.3">
      <c r="B424" s="126"/>
      <c r="C424" s="583">
        <v>41</v>
      </c>
      <c r="D424" s="625" t="e">
        <f t="shared" si="26"/>
        <v>#VALUE!</v>
      </c>
      <c r="E424" s="591"/>
      <c r="F424" s="591"/>
      <c r="G424" s="591"/>
      <c r="H424" s="591"/>
      <c r="I424" s="591"/>
      <c r="J424" s="591"/>
      <c r="K424" s="542"/>
      <c r="O424" s="1134"/>
      <c r="Q424" s="1133"/>
    </row>
    <row r="425" spans="2:17" x14ac:dyDescent="0.3">
      <c r="B425" s="126"/>
      <c r="C425" s="583">
        <v>42</v>
      </c>
      <c r="D425" s="625" t="e">
        <f t="shared" si="26"/>
        <v>#VALUE!</v>
      </c>
      <c r="E425" s="591"/>
      <c r="F425" s="591"/>
      <c r="G425" s="591"/>
      <c r="H425" s="591"/>
      <c r="I425" s="591"/>
      <c r="J425" s="591"/>
      <c r="K425" s="542"/>
      <c r="O425" s="1134"/>
      <c r="Q425" s="1133"/>
    </row>
    <row r="426" spans="2:17" x14ac:dyDescent="0.3">
      <c r="B426" s="126"/>
      <c r="C426" s="583">
        <v>43</v>
      </c>
      <c r="D426" s="625" t="e">
        <f t="shared" si="26"/>
        <v>#VALUE!</v>
      </c>
      <c r="E426" s="591"/>
      <c r="F426" s="591"/>
      <c r="G426" s="591"/>
      <c r="H426" s="591"/>
      <c r="I426" s="591"/>
      <c r="J426" s="591"/>
      <c r="K426" s="542"/>
      <c r="O426" s="1134"/>
      <c r="Q426" s="1133"/>
    </row>
    <row r="427" spans="2:17" x14ac:dyDescent="0.3">
      <c r="B427" s="126"/>
      <c r="C427" s="583">
        <v>44</v>
      </c>
      <c r="D427" s="625" t="e">
        <f t="shared" si="26"/>
        <v>#VALUE!</v>
      </c>
      <c r="E427" s="591"/>
      <c r="F427" s="591"/>
      <c r="G427" s="591"/>
      <c r="H427" s="591"/>
      <c r="I427" s="591"/>
      <c r="J427" s="591"/>
      <c r="K427" s="542"/>
      <c r="O427" s="1134"/>
      <c r="Q427" s="1133"/>
    </row>
    <row r="428" spans="2:17" x14ac:dyDescent="0.3">
      <c r="B428" s="126"/>
      <c r="C428" s="583">
        <v>45</v>
      </c>
      <c r="D428" s="625" t="e">
        <f t="shared" si="26"/>
        <v>#VALUE!</v>
      </c>
      <c r="E428" s="591"/>
      <c r="F428" s="591"/>
      <c r="G428" s="591"/>
      <c r="H428" s="591"/>
      <c r="I428" s="591"/>
      <c r="J428" s="591"/>
      <c r="K428" s="542"/>
      <c r="O428" s="1134"/>
      <c r="Q428" s="1133"/>
    </row>
    <row r="429" spans="2:17" x14ac:dyDescent="0.3">
      <c r="B429" s="126"/>
      <c r="C429" s="583">
        <v>46</v>
      </c>
      <c r="D429" s="625" t="e">
        <f t="shared" si="26"/>
        <v>#VALUE!</v>
      </c>
      <c r="E429" s="591"/>
      <c r="F429" s="591"/>
      <c r="G429" s="591"/>
      <c r="H429" s="591"/>
      <c r="I429" s="591"/>
      <c r="J429" s="591"/>
      <c r="K429" s="542"/>
      <c r="O429" s="1134"/>
      <c r="Q429" s="1133"/>
    </row>
    <row r="430" spans="2:17" x14ac:dyDescent="0.3">
      <c r="B430" s="126"/>
      <c r="C430" s="583">
        <v>47</v>
      </c>
      <c r="D430" s="625" t="e">
        <f t="shared" si="26"/>
        <v>#VALUE!</v>
      </c>
      <c r="E430" s="591"/>
      <c r="F430" s="591"/>
      <c r="G430" s="591"/>
      <c r="H430" s="591"/>
      <c r="I430" s="591"/>
      <c r="J430" s="591"/>
      <c r="K430" s="542"/>
      <c r="O430" s="1134"/>
      <c r="Q430" s="1133"/>
    </row>
    <row r="431" spans="2:17" x14ac:dyDescent="0.3">
      <c r="B431" s="126"/>
      <c r="C431" s="583">
        <v>48</v>
      </c>
      <c r="D431" s="625" t="e">
        <f t="shared" si="26"/>
        <v>#VALUE!</v>
      </c>
      <c r="E431" s="591"/>
      <c r="F431" s="591"/>
      <c r="G431" s="591"/>
      <c r="H431" s="591"/>
      <c r="I431" s="591"/>
      <c r="J431" s="591"/>
      <c r="K431" s="542"/>
      <c r="O431" s="1134"/>
      <c r="Q431" s="1133"/>
    </row>
    <row r="432" spans="2:17" x14ac:dyDescent="0.3">
      <c r="B432" s="126"/>
      <c r="C432" s="583">
        <v>49</v>
      </c>
      <c r="D432" s="625" t="e">
        <f t="shared" si="26"/>
        <v>#VALUE!</v>
      </c>
      <c r="E432" s="591"/>
      <c r="F432" s="591"/>
      <c r="G432" s="591"/>
      <c r="H432" s="591"/>
      <c r="I432" s="591"/>
      <c r="J432" s="591"/>
      <c r="K432" s="542"/>
      <c r="O432" s="1134"/>
      <c r="Q432" s="1133"/>
    </row>
    <row r="433" spans="2:17" x14ac:dyDescent="0.3">
      <c r="B433" s="126"/>
      <c r="C433" s="583">
        <v>50</v>
      </c>
      <c r="D433" s="625" t="e">
        <f t="shared" si="26"/>
        <v>#VALUE!</v>
      </c>
      <c r="E433" s="591"/>
      <c r="F433" s="591"/>
      <c r="G433" s="591"/>
      <c r="H433" s="591"/>
      <c r="I433" s="591"/>
      <c r="J433" s="591"/>
      <c r="K433" s="542"/>
      <c r="O433" s="1134"/>
      <c r="Q433" s="1133"/>
    </row>
    <row r="434" spans="2:17" x14ac:dyDescent="0.3">
      <c r="B434" s="126"/>
      <c r="C434" s="583">
        <v>51</v>
      </c>
      <c r="D434" s="625" t="e">
        <f t="shared" si="26"/>
        <v>#VALUE!</v>
      </c>
      <c r="E434" s="591"/>
      <c r="F434" s="591"/>
      <c r="G434" s="591"/>
      <c r="H434" s="591"/>
      <c r="I434" s="591"/>
      <c r="J434" s="591"/>
      <c r="K434" s="542"/>
      <c r="O434" s="1134"/>
      <c r="Q434" s="1133"/>
    </row>
    <row r="435" spans="2:17" x14ac:dyDescent="0.3">
      <c r="B435" s="126"/>
      <c r="C435" s="583">
        <v>52</v>
      </c>
      <c r="D435" s="625" t="e">
        <f t="shared" si="26"/>
        <v>#VALUE!</v>
      </c>
      <c r="E435" s="591"/>
      <c r="F435" s="591"/>
      <c r="G435" s="591"/>
      <c r="H435" s="591"/>
      <c r="I435" s="591"/>
      <c r="J435" s="591"/>
      <c r="K435" s="542"/>
      <c r="O435" s="1134"/>
      <c r="Q435" s="1133"/>
    </row>
    <row r="436" spans="2:17" x14ac:dyDescent="0.3">
      <c r="B436" s="126"/>
      <c r="C436" s="583">
        <v>53</v>
      </c>
      <c r="D436" s="625" t="e">
        <f t="shared" si="26"/>
        <v>#VALUE!</v>
      </c>
      <c r="E436" s="591"/>
      <c r="F436" s="591"/>
      <c r="G436" s="591"/>
      <c r="H436" s="591"/>
      <c r="I436" s="591"/>
      <c r="J436" s="591"/>
      <c r="K436" s="542"/>
      <c r="O436" s="1134"/>
      <c r="Q436" s="1133"/>
    </row>
    <row r="437" spans="2:17" x14ac:dyDescent="0.3">
      <c r="B437" s="126"/>
      <c r="C437" s="583">
        <v>54</v>
      </c>
      <c r="D437" s="625" t="e">
        <f t="shared" si="26"/>
        <v>#VALUE!</v>
      </c>
      <c r="E437" s="591"/>
      <c r="F437" s="591"/>
      <c r="G437" s="591"/>
      <c r="H437" s="591"/>
      <c r="I437" s="591"/>
      <c r="J437" s="591"/>
      <c r="K437" s="542"/>
      <c r="O437" s="1134"/>
      <c r="Q437" s="1133"/>
    </row>
    <row r="438" spans="2:17" x14ac:dyDescent="0.3">
      <c r="B438" s="126"/>
      <c r="C438" s="583">
        <v>55</v>
      </c>
      <c r="D438" s="625" t="e">
        <f t="shared" si="26"/>
        <v>#VALUE!</v>
      </c>
      <c r="E438" s="591"/>
      <c r="F438" s="591"/>
      <c r="G438" s="591"/>
      <c r="H438" s="591"/>
      <c r="I438" s="591"/>
      <c r="J438" s="591"/>
      <c r="K438" s="542"/>
      <c r="O438" s="1134"/>
      <c r="Q438" s="1133"/>
    </row>
    <row r="439" spans="2:17" x14ac:dyDescent="0.3">
      <c r="B439" s="126"/>
      <c r="C439" s="583">
        <v>56</v>
      </c>
      <c r="D439" s="625" t="e">
        <f t="shared" si="26"/>
        <v>#VALUE!</v>
      </c>
      <c r="E439" s="591"/>
      <c r="F439" s="591"/>
      <c r="G439" s="591"/>
      <c r="H439" s="591"/>
      <c r="I439" s="591"/>
      <c r="J439" s="591"/>
      <c r="K439" s="542"/>
      <c r="O439" s="1134"/>
      <c r="Q439" s="1133"/>
    </row>
    <row r="440" spans="2:17" x14ac:dyDescent="0.3">
      <c r="B440" s="126"/>
      <c r="C440" s="583">
        <v>57</v>
      </c>
      <c r="D440" s="625" t="e">
        <f t="shared" si="26"/>
        <v>#VALUE!</v>
      </c>
      <c r="E440" s="591"/>
      <c r="F440" s="591"/>
      <c r="G440" s="591"/>
      <c r="H440" s="591"/>
      <c r="I440" s="591"/>
      <c r="J440" s="591"/>
      <c r="K440" s="542"/>
      <c r="O440" s="1134"/>
      <c r="Q440" s="1133"/>
    </row>
    <row r="441" spans="2:17" x14ac:dyDescent="0.3">
      <c r="B441" s="126"/>
      <c r="C441" s="583">
        <v>58</v>
      </c>
      <c r="D441" s="625" t="e">
        <f t="shared" si="26"/>
        <v>#VALUE!</v>
      </c>
      <c r="E441" s="591"/>
      <c r="F441" s="591"/>
      <c r="G441" s="591"/>
      <c r="H441" s="591"/>
      <c r="I441" s="591"/>
      <c r="J441" s="591"/>
      <c r="K441" s="542"/>
      <c r="O441" s="1134"/>
      <c r="Q441" s="1133"/>
    </row>
    <row r="442" spans="2:17" x14ac:dyDescent="0.3">
      <c r="B442" s="126"/>
      <c r="C442" s="583">
        <v>59</v>
      </c>
      <c r="D442" s="625" t="e">
        <f t="shared" si="26"/>
        <v>#VALUE!</v>
      </c>
      <c r="E442" s="591"/>
      <c r="F442" s="591"/>
      <c r="G442" s="591"/>
      <c r="H442" s="591"/>
      <c r="I442" s="591"/>
      <c r="J442" s="591"/>
      <c r="K442" s="542"/>
      <c r="O442" s="1134"/>
      <c r="Q442" s="1133"/>
    </row>
    <row r="443" spans="2:17" x14ac:dyDescent="0.3">
      <c r="B443" s="126"/>
      <c r="C443" s="583">
        <v>60</v>
      </c>
      <c r="D443" s="625" t="e">
        <f t="shared" si="26"/>
        <v>#VALUE!</v>
      </c>
      <c r="E443" s="591"/>
      <c r="F443" s="591"/>
      <c r="G443" s="591"/>
      <c r="H443" s="591"/>
      <c r="I443" s="591"/>
      <c r="J443" s="591"/>
      <c r="K443" s="542"/>
      <c r="O443" s="1134"/>
      <c r="Q443" s="1133"/>
    </row>
    <row r="444" spans="2:17" x14ac:dyDescent="0.3">
      <c r="B444" s="126"/>
      <c r="C444" s="583">
        <v>61</v>
      </c>
      <c r="D444" s="625" t="e">
        <f t="shared" si="26"/>
        <v>#VALUE!</v>
      </c>
      <c r="E444" s="591"/>
      <c r="F444" s="591"/>
      <c r="G444" s="591"/>
      <c r="H444" s="591"/>
      <c r="I444" s="591"/>
      <c r="J444" s="591"/>
      <c r="K444" s="542"/>
      <c r="O444" s="1134"/>
      <c r="Q444" s="1133"/>
    </row>
    <row r="445" spans="2:17" x14ac:dyDescent="0.3">
      <c r="B445" s="126"/>
      <c r="C445" s="583">
        <v>62</v>
      </c>
      <c r="D445" s="625" t="e">
        <f t="shared" si="26"/>
        <v>#VALUE!</v>
      </c>
      <c r="E445" s="591"/>
      <c r="F445" s="591"/>
      <c r="G445" s="591"/>
      <c r="H445" s="591"/>
      <c r="I445" s="591"/>
      <c r="J445" s="591"/>
      <c r="K445" s="542"/>
      <c r="O445" s="1134"/>
      <c r="Q445" s="1133"/>
    </row>
    <row r="446" spans="2:17" x14ac:dyDescent="0.3">
      <c r="B446" s="126"/>
      <c r="C446" s="583">
        <v>63</v>
      </c>
      <c r="D446" s="625" t="e">
        <f t="shared" si="26"/>
        <v>#VALUE!</v>
      </c>
      <c r="E446" s="591"/>
      <c r="F446" s="591"/>
      <c r="G446" s="591"/>
      <c r="H446" s="591"/>
      <c r="I446" s="591"/>
      <c r="J446" s="591"/>
      <c r="K446" s="542"/>
      <c r="O446" s="1134"/>
      <c r="Q446" s="1133"/>
    </row>
    <row r="447" spans="2:17" x14ac:dyDescent="0.3">
      <c r="B447" s="126"/>
      <c r="C447" s="583">
        <v>64</v>
      </c>
      <c r="D447" s="625" t="e">
        <f t="shared" ref="D447:D510" si="27">$C$362*C447</f>
        <v>#VALUE!</v>
      </c>
      <c r="E447" s="591"/>
      <c r="F447" s="591"/>
      <c r="G447" s="591"/>
      <c r="H447" s="591"/>
      <c r="I447" s="591"/>
      <c r="J447" s="591"/>
      <c r="K447" s="542"/>
      <c r="O447" s="1134"/>
      <c r="Q447" s="1133"/>
    </row>
    <row r="448" spans="2:17" x14ac:dyDescent="0.3">
      <c r="B448" s="126"/>
      <c r="C448" s="583">
        <v>65</v>
      </c>
      <c r="D448" s="625" t="e">
        <f t="shared" si="27"/>
        <v>#VALUE!</v>
      </c>
      <c r="E448" s="591"/>
      <c r="F448" s="591"/>
      <c r="G448" s="591"/>
      <c r="H448" s="591"/>
      <c r="I448" s="591"/>
      <c r="J448" s="591"/>
      <c r="K448" s="542"/>
      <c r="O448" s="1134"/>
      <c r="Q448" s="1133"/>
    </row>
    <row r="449" spans="2:17" x14ac:dyDescent="0.3">
      <c r="B449" s="126"/>
      <c r="C449" s="583">
        <v>66</v>
      </c>
      <c r="D449" s="625" t="e">
        <f t="shared" si="27"/>
        <v>#VALUE!</v>
      </c>
      <c r="E449" s="591"/>
      <c r="F449" s="591"/>
      <c r="G449" s="591"/>
      <c r="H449" s="591"/>
      <c r="I449" s="591"/>
      <c r="J449" s="591"/>
      <c r="K449" s="542"/>
      <c r="O449" s="1134"/>
      <c r="Q449" s="1133"/>
    </row>
    <row r="450" spans="2:17" x14ac:dyDescent="0.3">
      <c r="B450" s="126"/>
      <c r="C450" s="583">
        <v>67</v>
      </c>
      <c r="D450" s="625" t="e">
        <f t="shared" si="27"/>
        <v>#VALUE!</v>
      </c>
      <c r="E450" s="591"/>
      <c r="F450" s="591"/>
      <c r="G450" s="591"/>
      <c r="H450" s="591"/>
      <c r="I450" s="591"/>
      <c r="J450" s="591"/>
      <c r="K450" s="542"/>
      <c r="O450" s="1134"/>
      <c r="Q450" s="1133"/>
    </row>
    <row r="451" spans="2:17" x14ac:dyDescent="0.3">
      <c r="B451" s="126"/>
      <c r="C451" s="583">
        <v>68</v>
      </c>
      <c r="D451" s="625" t="e">
        <f t="shared" si="27"/>
        <v>#VALUE!</v>
      </c>
      <c r="E451" s="591"/>
      <c r="F451" s="591"/>
      <c r="G451" s="591"/>
      <c r="H451" s="591"/>
      <c r="I451" s="591"/>
      <c r="J451" s="591"/>
      <c r="K451" s="542"/>
      <c r="O451" s="1134"/>
      <c r="Q451" s="1133"/>
    </row>
    <row r="452" spans="2:17" x14ac:dyDescent="0.3">
      <c r="B452" s="126"/>
      <c r="C452" s="583">
        <v>69</v>
      </c>
      <c r="D452" s="625" t="e">
        <f t="shared" si="27"/>
        <v>#VALUE!</v>
      </c>
      <c r="E452" s="591"/>
      <c r="F452" s="591"/>
      <c r="G452" s="591"/>
      <c r="H452" s="591"/>
      <c r="I452" s="591"/>
      <c r="J452" s="591"/>
      <c r="K452" s="542"/>
      <c r="O452" s="1134"/>
      <c r="Q452" s="1133"/>
    </row>
    <row r="453" spans="2:17" x14ac:dyDescent="0.3">
      <c r="B453" s="126"/>
      <c r="C453" s="583">
        <v>70</v>
      </c>
      <c r="D453" s="625" t="e">
        <f t="shared" si="27"/>
        <v>#VALUE!</v>
      </c>
      <c r="E453" s="591"/>
      <c r="F453" s="591"/>
      <c r="G453" s="591"/>
      <c r="H453" s="591"/>
      <c r="I453" s="591"/>
      <c r="J453" s="591"/>
      <c r="K453" s="542"/>
      <c r="O453" s="1134"/>
      <c r="Q453" s="1133"/>
    </row>
    <row r="454" spans="2:17" x14ac:dyDescent="0.3">
      <c r="B454" s="126"/>
      <c r="C454" s="583">
        <v>71</v>
      </c>
      <c r="D454" s="625" t="e">
        <f t="shared" si="27"/>
        <v>#VALUE!</v>
      </c>
      <c r="E454" s="591"/>
      <c r="F454" s="591"/>
      <c r="G454" s="591"/>
      <c r="H454" s="591"/>
      <c r="I454" s="591"/>
      <c r="J454" s="591"/>
      <c r="K454" s="542"/>
      <c r="O454" s="1134"/>
      <c r="Q454" s="1133"/>
    </row>
    <row r="455" spans="2:17" x14ac:dyDescent="0.3">
      <c r="B455" s="126"/>
      <c r="C455" s="583">
        <v>72</v>
      </c>
      <c r="D455" s="625" t="e">
        <f t="shared" si="27"/>
        <v>#VALUE!</v>
      </c>
      <c r="E455" s="591"/>
      <c r="F455" s="591"/>
      <c r="G455" s="591"/>
      <c r="H455" s="591"/>
      <c r="I455" s="591"/>
      <c r="J455" s="591"/>
      <c r="K455" s="542"/>
      <c r="O455" s="1134"/>
      <c r="Q455" s="1133"/>
    </row>
    <row r="456" spans="2:17" x14ac:dyDescent="0.3">
      <c r="B456" s="126"/>
      <c r="C456" s="583">
        <v>73</v>
      </c>
      <c r="D456" s="625" t="e">
        <f t="shared" si="27"/>
        <v>#VALUE!</v>
      </c>
      <c r="E456" s="591"/>
      <c r="F456" s="591"/>
      <c r="G456" s="591"/>
      <c r="H456" s="591"/>
      <c r="I456" s="591"/>
      <c r="J456" s="591"/>
      <c r="K456" s="542"/>
      <c r="O456" s="1134"/>
      <c r="Q456" s="1133"/>
    </row>
    <row r="457" spans="2:17" x14ac:dyDescent="0.3">
      <c r="B457" s="126"/>
      <c r="C457" s="583">
        <v>74</v>
      </c>
      <c r="D457" s="625" t="e">
        <f t="shared" si="27"/>
        <v>#VALUE!</v>
      </c>
      <c r="E457" s="591"/>
      <c r="F457" s="591"/>
      <c r="G457" s="591"/>
      <c r="H457" s="591"/>
      <c r="I457" s="591"/>
      <c r="J457" s="591"/>
      <c r="K457" s="542"/>
      <c r="O457" s="1134"/>
      <c r="Q457" s="1133"/>
    </row>
    <row r="458" spans="2:17" x14ac:dyDescent="0.3">
      <c r="B458" s="126"/>
      <c r="C458" s="583">
        <v>75</v>
      </c>
      <c r="D458" s="625" t="e">
        <f t="shared" si="27"/>
        <v>#VALUE!</v>
      </c>
      <c r="E458" s="591"/>
      <c r="F458" s="591"/>
      <c r="G458" s="591"/>
      <c r="H458" s="591"/>
      <c r="I458" s="591"/>
      <c r="J458" s="591"/>
      <c r="K458" s="542"/>
      <c r="O458" s="1134"/>
      <c r="Q458" s="1133"/>
    </row>
    <row r="459" spans="2:17" x14ac:dyDescent="0.3">
      <c r="B459" s="126"/>
      <c r="C459" s="583">
        <v>76</v>
      </c>
      <c r="D459" s="625" t="e">
        <f t="shared" si="27"/>
        <v>#VALUE!</v>
      </c>
      <c r="E459" s="591"/>
      <c r="F459" s="591"/>
      <c r="G459" s="591"/>
      <c r="H459" s="591"/>
      <c r="I459" s="591"/>
      <c r="J459" s="591"/>
      <c r="K459" s="542"/>
      <c r="O459" s="1134"/>
      <c r="Q459" s="1133"/>
    </row>
    <row r="460" spans="2:17" x14ac:dyDescent="0.3">
      <c r="B460" s="126"/>
      <c r="C460" s="583">
        <v>77</v>
      </c>
      <c r="D460" s="625" t="e">
        <f t="shared" si="27"/>
        <v>#VALUE!</v>
      </c>
      <c r="E460" s="591"/>
      <c r="F460" s="591"/>
      <c r="G460" s="591"/>
      <c r="H460" s="591"/>
      <c r="I460" s="591"/>
      <c r="J460" s="591"/>
      <c r="K460" s="542"/>
      <c r="O460" s="1134"/>
      <c r="Q460" s="1133"/>
    </row>
    <row r="461" spans="2:17" x14ac:dyDescent="0.3">
      <c r="B461" s="126"/>
      <c r="C461" s="583">
        <v>78</v>
      </c>
      <c r="D461" s="625" t="e">
        <f t="shared" si="27"/>
        <v>#VALUE!</v>
      </c>
      <c r="E461" s="591"/>
      <c r="F461" s="591"/>
      <c r="G461" s="591"/>
      <c r="H461" s="591"/>
      <c r="I461" s="591"/>
      <c r="J461" s="591"/>
      <c r="K461" s="542"/>
      <c r="O461" s="1134"/>
      <c r="Q461" s="1133"/>
    </row>
    <row r="462" spans="2:17" x14ac:dyDescent="0.3">
      <c r="B462" s="126"/>
      <c r="C462" s="583">
        <v>79</v>
      </c>
      <c r="D462" s="625" t="e">
        <f t="shared" si="27"/>
        <v>#VALUE!</v>
      </c>
      <c r="E462" s="591"/>
      <c r="F462" s="591"/>
      <c r="G462" s="591"/>
      <c r="H462" s="591"/>
      <c r="I462" s="591"/>
      <c r="J462" s="591"/>
      <c r="K462" s="542"/>
      <c r="O462" s="1134"/>
      <c r="Q462" s="1133"/>
    </row>
    <row r="463" spans="2:17" x14ac:dyDescent="0.3">
      <c r="B463" s="126"/>
      <c r="C463" s="583">
        <v>80</v>
      </c>
      <c r="D463" s="625" t="e">
        <f t="shared" si="27"/>
        <v>#VALUE!</v>
      </c>
      <c r="E463" s="591"/>
      <c r="F463" s="591"/>
      <c r="G463" s="591"/>
      <c r="H463" s="591"/>
      <c r="I463" s="591"/>
      <c r="J463" s="591"/>
      <c r="K463" s="542"/>
      <c r="O463" s="1134"/>
      <c r="Q463" s="1133"/>
    </row>
    <row r="464" spans="2:17" x14ac:dyDescent="0.3">
      <c r="B464" s="126"/>
      <c r="C464" s="583">
        <v>81</v>
      </c>
      <c r="D464" s="625" t="e">
        <f t="shared" si="27"/>
        <v>#VALUE!</v>
      </c>
      <c r="E464" s="591"/>
      <c r="F464" s="591"/>
      <c r="G464" s="591"/>
      <c r="H464" s="591"/>
      <c r="I464" s="591"/>
      <c r="J464" s="591"/>
      <c r="K464" s="542"/>
      <c r="O464" s="1134"/>
      <c r="Q464" s="1133"/>
    </row>
    <row r="465" spans="2:17" x14ac:dyDescent="0.3">
      <c r="B465" s="126"/>
      <c r="C465" s="583">
        <v>82</v>
      </c>
      <c r="D465" s="625" t="e">
        <f t="shared" si="27"/>
        <v>#VALUE!</v>
      </c>
      <c r="E465" s="591"/>
      <c r="F465" s="591"/>
      <c r="G465" s="591"/>
      <c r="H465" s="591"/>
      <c r="I465" s="591"/>
      <c r="J465" s="591"/>
      <c r="K465" s="542"/>
      <c r="O465" s="1134"/>
      <c r="Q465" s="1133"/>
    </row>
    <row r="466" spans="2:17" x14ac:dyDescent="0.3">
      <c r="B466" s="126"/>
      <c r="C466" s="583">
        <v>83</v>
      </c>
      <c r="D466" s="625" t="e">
        <f t="shared" si="27"/>
        <v>#VALUE!</v>
      </c>
      <c r="E466" s="591"/>
      <c r="F466" s="591"/>
      <c r="G466" s="591"/>
      <c r="H466" s="591"/>
      <c r="I466" s="591"/>
      <c r="J466" s="591"/>
      <c r="K466" s="542"/>
      <c r="O466" s="1134"/>
      <c r="Q466" s="1133"/>
    </row>
    <row r="467" spans="2:17" x14ac:dyDescent="0.3">
      <c r="B467" s="126"/>
      <c r="C467" s="583">
        <v>84</v>
      </c>
      <c r="D467" s="625" t="e">
        <f t="shared" si="27"/>
        <v>#VALUE!</v>
      </c>
      <c r="E467" s="591"/>
      <c r="F467" s="591"/>
      <c r="G467" s="591"/>
      <c r="H467" s="591"/>
      <c r="I467" s="591"/>
      <c r="J467" s="591"/>
      <c r="K467" s="542"/>
      <c r="O467" s="1134"/>
      <c r="Q467" s="1133"/>
    </row>
    <row r="468" spans="2:17" x14ac:dyDescent="0.3">
      <c r="B468" s="126"/>
      <c r="C468" s="583">
        <v>85</v>
      </c>
      <c r="D468" s="625" t="e">
        <f t="shared" si="27"/>
        <v>#VALUE!</v>
      </c>
      <c r="E468" s="591"/>
      <c r="F468" s="591"/>
      <c r="G468" s="591"/>
      <c r="H468" s="591"/>
      <c r="I468" s="591"/>
      <c r="J468" s="591"/>
      <c r="K468" s="542"/>
      <c r="O468" s="1134"/>
      <c r="Q468" s="1133"/>
    </row>
    <row r="469" spans="2:17" x14ac:dyDescent="0.3">
      <c r="B469" s="126"/>
      <c r="C469" s="583">
        <v>86</v>
      </c>
      <c r="D469" s="625" t="e">
        <f t="shared" si="27"/>
        <v>#VALUE!</v>
      </c>
      <c r="E469" s="591"/>
      <c r="F469" s="591"/>
      <c r="G469" s="591"/>
      <c r="H469" s="591"/>
      <c r="I469" s="591"/>
      <c r="J469" s="591"/>
      <c r="K469" s="542"/>
      <c r="O469" s="1134"/>
      <c r="Q469" s="1133"/>
    </row>
    <row r="470" spans="2:17" x14ac:dyDescent="0.3">
      <c r="B470" s="126"/>
      <c r="C470" s="583">
        <v>87</v>
      </c>
      <c r="D470" s="625" t="e">
        <f t="shared" si="27"/>
        <v>#VALUE!</v>
      </c>
      <c r="E470" s="591"/>
      <c r="F470" s="591"/>
      <c r="G470" s="591"/>
      <c r="H470" s="591"/>
      <c r="I470" s="591"/>
      <c r="J470" s="591"/>
      <c r="K470" s="542"/>
      <c r="O470" s="1134"/>
      <c r="Q470" s="1133"/>
    </row>
    <row r="471" spans="2:17" x14ac:dyDescent="0.3">
      <c r="B471" s="126"/>
      <c r="C471" s="583">
        <v>88</v>
      </c>
      <c r="D471" s="625" t="e">
        <f t="shared" si="27"/>
        <v>#VALUE!</v>
      </c>
      <c r="E471" s="591"/>
      <c r="F471" s="591"/>
      <c r="G471" s="591"/>
      <c r="H471" s="591"/>
      <c r="I471" s="591"/>
      <c r="J471" s="591"/>
      <c r="K471" s="542"/>
      <c r="O471" s="1134"/>
      <c r="Q471" s="1133"/>
    </row>
    <row r="472" spans="2:17" x14ac:dyDescent="0.3">
      <c r="B472" s="126"/>
      <c r="C472" s="583">
        <v>89</v>
      </c>
      <c r="D472" s="625" t="e">
        <f t="shared" si="27"/>
        <v>#VALUE!</v>
      </c>
      <c r="E472" s="591"/>
      <c r="F472" s="591"/>
      <c r="G472" s="591"/>
      <c r="H472" s="591"/>
      <c r="I472" s="591"/>
      <c r="J472" s="591"/>
      <c r="K472" s="542"/>
      <c r="O472" s="1134"/>
      <c r="Q472" s="1133"/>
    </row>
    <row r="473" spans="2:17" x14ac:dyDescent="0.3">
      <c r="B473" s="126"/>
      <c r="C473" s="583">
        <v>90</v>
      </c>
      <c r="D473" s="625" t="e">
        <f t="shared" si="27"/>
        <v>#VALUE!</v>
      </c>
      <c r="E473" s="591"/>
      <c r="F473" s="591"/>
      <c r="G473" s="591"/>
      <c r="H473" s="591"/>
      <c r="I473" s="591"/>
      <c r="J473" s="591"/>
      <c r="K473" s="542"/>
      <c r="O473" s="1134"/>
      <c r="Q473" s="1133"/>
    </row>
    <row r="474" spans="2:17" x14ac:dyDescent="0.3">
      <c r="B474" s="126"/>
      <c r="C474" s="583">
        <v>91</v>
      </c>
      <c r="D474" s="625" t="e">
        <f t="shared" si="27"/>
        <v>#VALUE!</v>
      </c>
      <c r="E474" s="591"/>
      <c r="F474" s="591"/>
      <c r="G474" s="591"/>
      <c r="H474" s="591"/>
      <c r="I474" s="591"/>
      <c r="J474" s="591"/>
      <c r="K474" s="542"/>
      <c r="O474" s="1134"/>
      <c r="Q474" s="1133"/>
    </row>
    <row r="475" spans="2:17" x14ac:dyDescent="0.3">
      <c r="B475" s="126"/>
      <c r="C475" s="583">
        <v>92</v>
      </c>
      <c r="D475" s="625" t="e">
        <f t="shared" si="27"/>
        <v>#VALUE!</v>
      </c>
      <c r="E475" s="591"/>
      <c r="F475" s="591"/>
      <c r="G475" s="591"/>
      <c r="H475" s="591"/>
      <c r="I475" s="591"/>
      <c r="J475" s="591"/>
      <c r="K475" s="542"/>
      <c r="O475" s="1134"/>
      <c r="Q475" s="1133"/>
    </row>
    <row r="476" spans="2:17" x14ac:dyDescent="0.3">
      <c r="B476" s="126"/>
      <c r="C476" s="583">
        <v>93</v>
      </c>
      <c r="D476" s="625" t="e">
        <f t="shared" si="27"/>
        <v>#VALUE!</v>
      </c>
      <c r="E476" s="591"/>
      <c r="F476" s="591"/>
      <c r="G476" s="591"/>
      <c r="H476" s="591"/>
      <c r="I476" s="591"/>
      <c r="J476" s="591"/>
      <c r="K476" s="542"/>
      <c r="O476" s="1134"/>
      <c r="Q476" s="1133"/>
    </row>
    <row r="477" spans="2:17" x14ac:dyDescent="0.3">
      <c r="B477" s="126"/>
      <c r="C477" s="583">
        <v>94</v>
      </c>
      <c r="D477" s="625" t="e">
        <f t="shared" si="27"/>
        <v>#VALUE!</v>
      </c>
      <c r="E477" s="591"/>
      <c r="F477" s="591"/>
      <c r="G477" s="591"/>
      <c r="H477" s="591"/>
      <c r="I477" s="591"/>
      <c r="J477" s="591"/>
      <c r="K477" s="542"/>
      <c r="O477" s="1134"/>
      <c r="Q477" s="1133"/>
    </row>
    <row r="478" spans="2:17" x14ac:dyDescent="0.3">
      <c r="B478" s="126"/>
      <c r="C478" s="583">
        <v>95</v>
      </c>
      <c r="D478" s="625" t="e">
        <f t="shared" si="27"/>
        <v>#VALUE!</v>
      </c>
      <c r="E478" s="591"/>
      <c r="F478" s="591"/>
      <c r="G478" s="591"/>
      <c r="H478" s="591"/>
      <c r="I478" s="591"/>
      <c r="J478" s="591"/>
      <c r="K478" s="542"/>
      <c r="O478" s="1134"/>
      <c r="Q478" s="1133"/>
    </row>
    <row r="479" spans="2:17" x14ac:dyDescent="0.3">
      <c r="B479" s="126"/>
      <c r="C479" s="583">
        <v>96</v>
      </c>
      <c r="D479" s="625" t="e">
        <f t="shared" si="27"/>
        <v>#VALUE!</v>
      </c>
      <c r="E479" s="591"/>
      <c r="F479" s="591"/>
      <c r="G479" s="591"/>
      <c r="H479" s="591"/>
      <c r="I479" s="591"/>
      <c r="J479" s="591"/>
      <c r="K479" s="542"/>
      <c r="O479" s="1134"/>
      <c r="Q479" s="1133"/>
    </row>
    <row r="480" spans="2:17" x14ac:dyDescent="0.3">
      <c r="B480" s="126"/>
      <c r="C480" s="583">
        <v>97</v>
      </c>
      <c r="D480" s="625" t="e">
        <f t="shared" si="27"/>
        <v>#VALUE!</v>
      </c>
      <c r="E480" s="591"/>
      <c r="F480" s="591"/>
      <c r="G480" s="591"/>
      <c r="H480" s="591"/>
      <c r="I480" s="591"/>
      <c r="J480" s="591"/>
      <c r="K480" s="542"/>
      <c r="O480" s="1134"/>
      <c r="Q480" s="1133"/>
    </row>
    <row r="481" spans="2:17" x14ac:dyDescent="0.3">
      <c r="B481" s="126"/>
      <c r="C481" s="583">
        <v>98</v>
      </c>
      <c r="D481" s="625" t="e">
        <f t="shared" si="27"/>
        <v>#VALUE!</v>
      </c>
      <c r="E481" s="591"/>
      <c r="F481" s="591"/>
      <c r="G481" s="591"/>
      <c r="H481" s="591"/>
      <c r="I481" s="591"/>
      <c r="J481" s="591"/>
      <c r="K481" s="542"/>
      <c r="O481" s="1134"/>
      <c r="Q481" s="1133"/>
    </row>
    <row r="482" spans="2:17" x14ac:dyDescent="0.3">
      <c r="B482" s="126"/>
      <c r="C482" s="583">
        <v>99</v>
      </c>
      <c r="D482" s="625" t="e">
        <f t="shared" si="27"/>
        <v>#VALUE!</v>
      </c>
      <c r="E482" s="591"/>
      <c r="F482" s="591"/>
      <c r="G482" s="591"/>
      <c r="H482" s="591"/>
      <c r="I482" s="591"/>
      <c r="J482" s="591"/>
      <c r="K482" s="542"/>
      <c r="O482" s="1134"/>
      <c r="Q482" s="1133"/>
    </row>
    <row r="483" spans="2:17" x14ac:dyDescent="0.3">
      <c r="B483" s="126"/>
      <c r="C483" s="583">
        <v>100</v>
      </c>
      <c r="D483" s="625" t="e">
        <f t="shared" si="27"/>
        <v>#VALUE!</v>
      </c>
      <c r="E483" s="591"/>
      <c r="F483" s="591"/>
      <c r="G483" s="591"/>
      <c r="H483" s="591"/>
      <c r="I483" s="591"/>
      <c r="J483" s="591"/>
      <c r="K483" s="542"/>
      <c r="O483" s="1134"/>
      <c r="Q483" s="1133"/>
    </row>
    <row r="484" spans="2:17" x14ac:dyDescent="0.3">
      <c r="B484" s="126"/>
      <c r="C484" s="583">
        <v>101</v>
      </c>
      <c r="D484" s="625" t="e">
        <f t="shared" si="27"/>
        <v>#VALUE!</v>
      </c>
      <c r="E484" s="591"/>
      <c r="F484" s="591"/>
      <c r="G484" s="591"/>
      <c r="H484" s="591"/>
      <c r="I484" s="591"/>
      <c r="J484" s="591"/>
      <c r="K484" s="542"/>
      <c r="O484" s="1134"/>
      <c r="Q484" s="1133"/>
    </row>
    <row r="485" spans="2:17" x14ac:dyDescent="0.3">
      <c r="B485" s="126"/>
      <c r="C485" s="583">
        <v>102</v>
      </c>
      <c r="D485" s="625" t="e">
        <f t="shared" si="27"/>
        <v>#VALUE!</v>
      </c>
      <c r="E485" s="591"/>
      <c r="F485" s="591"/>
      <c r="G485" s="591"/>
      <c r="H485" s="591"/>
      <c r="I485" s="591"/>
      <c r="J485" s="591"/>
      <c r="K485" s="542"/>
      <c r="O485" s="1134"/>
      <c r="Q485" s="1133"/>
    </row>
    <row r="486" spans="2:17" x14ac:dyDescent="0.3">
      <c r="B486" s="126"/>
      <c r="C486" s="583">
        <v>103</v>
      </c>
      <c r="D486" s="625" t="e">
        <f t="shared" si="27"/>
        <v>#VALUE!</v>
      </c>
      <c r="E486" s="591"/>
      <c r="F486" s="591"/>
      <c r="G486" s="591"/>
      <c r="H486" s="591"/>
      <c r="I486" s="591"/>
      <c r="J486" s="591"/>
      <c r="K486" s="542"/>
      <c r="O486" s="1134"/>
      <c r="Q486" s="1133"/>
    </row>
    <row r="487" spans="2:17" x14ac:dyDescent="0.3">
      <c r="B487" s="126"/>
      <c r="C487" s="583">
        <v>104</v>
      </c>
      <c r="D487" s="625" t="e">
        <f t="shared" si="27"/>
        <v>#VALUE!</v>
      </c>
      <c r="E487" s="591"/>
      <c r="F487" s="591"/>
      <c r="G487" s="591"/>
      <c r="H487" s="591"/>
      <c r="I487" s="591"/>
      <c r="J487" s="591"/>
      <c r="K487" s="542"/>
      <c r="O487" s="1134"/>
      <c r="Q487" s="1133"/>
    </row>
    <row r="488" spans="2:17" x14ac:dyDescent="0.3">
      <c r="B488" s="126"/>
      <c r="C488" s="583">
        <v>105</v>
      </c>
      <c r="D488" s="625" t="e">
        <f t="shared" si="27"/>
        <v>#VALUE!</v>
      </c>
      <c r="E488" s="591"/>
      <c r="F488" s="591"/>
      <c r="G488" s="591"/>
      <c r="H488" s="591"/>
      <c r="I488" s="591"/>
      <c r="J488" s="591"/>
      <c r="K488" s="542"/>
      <c r="O488" s="1134"/>
      <c r="Q488" s="1133"/>
    </row>
    <row r="489" spans="2:17" x14ac:dyDescent="0.3">
      <c r="B489" s="126"/>
      <c r="C489" s="583">
        <v>106</v>
      </c>
      <c r="D489" s="625" t="e">
        <f t="shared" si="27"/>
        <v>#VALUE!</v>
      </c>
      <c r="E489" s="591"/>
      <c r="F489" s="591"/>
      <c r="G489" s="591"/>
      <c r="H489" s="591"/>
      <c r="I489" s="591"/>
      <c r="J489" s="591"/>
      <c r="K489" s="542"/>
      <c r="O489" s="1134"/>
      <c r="Q489" s="1133"/>
    </row>
    <row r="490" spans="2:17" x14ac:dyDescent="0.3">
      <c r="B490" s="126"/>
      <c r="C490" s="583">
        <v>107</v>
      </c>
      <c r="D490" s="625" t="e">
        <f t="shared" si="27"/>
        <v>#VALUE!</v>
      </c>
      <c r="E490" s="591"/>
      <c r="F490" s="591"/>
      <c r="G490" s="591"/>
      <c r="H490" s="591"/>
      <c r="I490" s="591"/>
      <c r="J490" s="591"/>
      <c r="K490" s="542"/>
      <c r="O490" s="1134"/>
      <c r="Q490" s="1133"/>
    </row>
    <row r="491" spans="2:17" x14ac:dyDescent="0.3">
      <c r="B491" s="126"/>
      <c r="C491" s="583">
        <v>108</v>
      </c>
      <c r="D491" s="625" t="e">
        <f t="shared" si="27"/>
        <v>#VALUE!</v>
      </c>
      <c r="E491" s="591"/>
      <c r="F491" s="591"/>
      <c r="G491" s="591"/>
      <c r="H491" s="591"/>
      <c r="I491" s="591"/>
      <c r="J491" s="591"/>
      <c r="K491" s="542"/>
      <c r="O491" s="1134"/>
      <c r="Q491" s="1133"/>
    </row>
    <row r="492" spans="2:17" x14ac:dyDescent="0.3">
      <c r="B492" s="126"/>
      <c r="C492" s="583">
        <v>109</v>
      </c>
      <c r="D492" s="625" t="e">
        <f t="shared" si="27"/>
        <v>#VALUE!</v>
      </c>
      <c r="E492" s="591"/>
      <c r="F492" s="591"/>
      <c r="G492" s="591"/>
      <c r="H492" s="591"/>
      <c r="I492" s="591"/>
      <c r="J492" s="591"/>
      <c r="K492" s="542"/>
      <c r="O492" s="1134"/>
      <c r="Q492" s="1133"/>
    </row>
    <row r="493" spans="2:17" x14ac:dyDescent="0.3">
      <c r="B493" s="126"/>
      <c r="C493" s="583">
        <v>110</v>
      </c>
      <c r="D493" s="625" t="e">
        <f t="shared" si="27"/>
        <v>#VALUE!</v>
      </c>
      <c r="E493" s="591"/>
      <c r="F493" s="591"/>
      <c r="G493" s="591"/>
      <c r="H493" s="591"/>
      <c r="I493" s="591"/>
      <c r="J493" s="591"/>
      <c r="K493" s="542"/>
      <c r="O493" s="1134"/>
      <c r="Q493" s="1133"/>
    </row>
    <row r="494" spans="2:17" x14ac:dyDescent="0.3">
      <c r="B494" s="126"/>
      <c r="C494" s="583">
        <v>111</v>
      </c>
      <c r="D494" s="625" t="e">
        <f t="shared" si="27"/>
        <v>#VALUE!</v>
      </c>
      <c r="E494" s="591"/>
      <c r="F494" s="591"/>
      <c r="G494" s="591"/>
      <c r="H494" s="591"/>
      <c r="I494" s="591"/>
      <c r="J494" s="591"/>
      <c r="K494" s="542"/>
      <c r="O494" s="1134"/>
      <c r="Q494" s="1133"/>
    </row>
    <row r="495" spans="2:17" x14ac:dyDescent="0.3">
      <c r="B495" s="126"/>
      <c r="C495" s="583">
        <v>112</v>
      </c>
      <c r="D495" s="625" t="e">
        <f t="shared" si="27"/>
        <v>#VALUE!</v>
      </c>
      <c r="E495" s="591"/>
      <c r="F495" s="591"/>
      <c r="G495" s="591"/>
      <c r="H495" s="591"/>
      <c r="I495" s="591"/>
      <c r="J495" s="591"/>
      <c r="K495" s="542"/>
      <c r="O495" s="1134"/>
      <c r="Q495" s="1133"/>
    </row>
    <row r="496" spans="2:17" x14ac:dyDescent="0.3">
      <c r="B496" s="126"/>
      <c r="C496" s="583">
        <v>113</v>
      </c>
      <c r="D496" s="625" t="e">
        <f t="shared" si="27"/>
        <v>#VALUE!</v>
      </c>
      <c r="E496" s="591"/>
      <c r="F496" s="591"/>
      <c r="G496" s="591"/>
      <c r="H496" s="591"/>
      <c r="I496" s="591"/>
      <c r="J496" s="591"/>
      <c r="K496" s="542"/>
      <c r="O496" s="1134"/>
      <c r="Q496" s="1133"/>
    </row>
    <row r="497" spans="2:17" x14ac:dyDescent="0.3">
      <c r="B497" s="126"/>
      <c r="C497" s="583">
        <v>114</v>
      </c>
      <c r="D497" s="625" t="e">
        <f t="shared" si="27"/>
        <v>#VALUE!</v>
      </c>
      <c r="E497" s="591"/>
      <c r="F497" s="591"/>
      <c r="G497" s="591"/>
      <c r="H497" s="591"/>
      <c r="I497" s="591"/>
      <c r="J497" s="591"/>
      <c r="K497" s="542"/>
      <c r="O497" s="1134"/>
      <c r="Q497" s="1133"/>
    </row>
    <row r="498" spans="2:17" x14ac:dyDescent="0.3">
      <c r="B498" s="126"/>
      <c r="C498" s="583">
        <v>115</v>
      </c>
      <c r="D498" s="625" t="e">
        <f t="shared" si="27"/>
        <v>#VALUE!</v>
      </c>
      <c r="E498" s="591"/>
      <c r="F498" s="591"/>
      <c r="G498" s="591"/>
      <c r="H498" s="591"/>
      <c r="I498" s="591"/>
      <c r="J498" s="591"/>
      <c r="K498" s="542"/>
      <c r="O498" s="1134"/>
      <c r="Q498" s="1133"/>
    </row>
    <row r="499" spans="2:17" x14ac:dyDescent="0.3">
      <c r="B499" s="126"/>
      <c r="C499" s="583">
        <v>116</v>
      </c>
      <c r="D499" s="625" t="e">
        <f t="shared" si="27"/>
        <v>#VALUE!</v>
      </c>
      <c r="E499" s="591"/>
      <c r="F499" s="591"/>
      <c r="G499" s="591"/>
      <c r="H499" s="591"/>
      <c r="I499" s="591"/>
      <c r="J499" s="591"/>
      <c r="K499" s="542"/>
      <c r="O499" s="1134"/>
      <c r="Q499" s="1133"/>
    </row>
    <row r="500" spans="2:17" x14ac:dyDescent="0.3">
      <c r="B500" s="126"/>
      <c r="C500" s="583">
        <v>117</v>
      </c>
      <c r="D500" s="625" t="e">
        <f t="shared" si="27"/>
        <v>#VALUE!</v>
      </c>
      <c r="E500" s="591"/>
      <c r="F500" s="591"/>
      <c r="G500" s="591"/>
      <c r="H500" s="591"/>
      <c r="I500" s="591"/>
      <c r="J500" s="591"/>
      <c r="K500" s="542"/>
      <c r="O500" s="1134"/>
      <c r="Q500" s="1133"/>
    </row>
    <row r="501" spans="2:17" x14ac:dyDescent="0.3">
      <c r="B501" s="126"/>
      <c r="C501" s="583">
        <v>118</v>
      </c>
      <c r="D501" s="625" t="e">
        <f t="shared" si="27"/>
        <v>#VALUE!</v>
      </c>
      <c r="E501" s="591"/>
      <c r="F501" s="591"/>
      <c r="G501" s="591"/>
      <c r="H501" s="591"/>
      <c r="I501" s="591"/>
      <c r="J501" s="591"/>
      <c r="K501" s="542"/>
      <c r="O501" s="1134"/>
      <c r="Q501" s="1133"/>
    </row>
    <row r="502" spans="2:17" x14ac:dyDescent="0.3">
      <c r="B502" s="126"/>
      <c r="C502" s="583">
        <v>119</v>
      </c>
      <c r="D502" s="625" t="e">
        <f t="shared" si="27"/>
        <v>#VALUE!</v>
      </c>
      <c r="E502" s="591"/>
      <c r="F502" s="591"/>
      <c r="G502" s="591"/>
      <c r="H502" s="591"/>
      <c r="I502" s="591"/>
      <c r="J502" s="591"/>
      <c r="K502" s="542"/>
      <c r="O502" s="1134"/>
      <c r="Q502" s="1133"/>
    </row>
    <row r="503" spans="2:17" x14ac:dyDescent="0.3">
      <c r="B503" s="126"/>
      <c r="C503" s="583">
        <v>120</v>
      </c>
      <c r="D503" s="625" t="e">
        <f t="shared" si="27"/>
        <v>#VALUE!</v>
      </c>
      <c r="E503" s="591"/>
      <c r="F503" s="591"/>
      <c r="G503" s="591"/>
      <c r="H503" s="591"/>
      <c r="I503" s="591"/>
      <c r="J503" s="591"/>
      <c r="K503" s="542"/>
      <c r="O503" s="1134"/>
      <c r="Q503" s="1133"/>
    </row>
    <row r="504" spans="2:17" x14ac:dyDescent="0.3">
      <c r="B504" s="126"/>
      <c r="C504" s="583">
        <v>121</v>
      </c>
      <c r="D504" s="625" t="e">
        <f t="shared" si="27"/>
        <v>#VALUE!</v>
      </c>
      <c r="E504" s="591"/>
      <c r="F504" s="591"/>
      <c r="G504" s="591"/>
      <c r="H504" s="591"/>
      <c r="I504" s="591"/>
      <c r="J504" s="591"/>
      <c r="K504" s="542"/>
      <c r="O504" s="1134"/>
      <c r="Q504" s="1133"/>
    </row>
    <row r="505" spans="2:17" x14ac:dyDescent="0.3">
      <c r="B505" s="126"/>
      <c r="C505" s="583">
        <v>122</v>
      </c>
      <c r="D505" s="625" t="e">
        <f t="shared" si="27"/>
        <v>#VALUE!</v>
      </c>
      <c r="E505" s="591"/>
      <c r="F505" s="591"/>
      <c r="G505" s="591"/>
      <c r="H505" s="591"/>
      <c r="I505" s="591"/>
      <c r="J505" s="591"/>
      <c r="K505" s="542"/>
      <c r="O505" s="1134"/>
      <c r="Q505" s="1133"/>
    </row>
    <row r="506" spans="2:17" x14ac:dyDescent="0.3">
      <c r="B506" s="126"/>
      <c r="C506" s="583">
        <v>123</v>
      </c>
      <c r="D506" s="625" t="e">
        <f t="shared" si="27"/>
        <v>#VALUE!</v>
      </c>
      <c r="E506" s="591"/>
      <c r="F506" s="591"/>
      <c r="G506" s="591"/>
      <c r="H506" s="591"/>
      <c r="I506" s="591"/>
      <c r="J506" s="591"/>
      <c r="K506" s="542"/>
      <c r="O506" s="1134"/>
      <c r="Q506" s="1133"/>
    </row>
    <row r="507" spans="2:17" x14ac:dyDescent="0.3">
      <c r="B507" s="126"/>
      <c r="C507" s="583">
        <v>124</v>
      </c>
      <c r="D507" s="625" t="e">
        <f t="shared" si="27"/>
        <v>#VALUE!</v>
      </c>
      <c r="E507" s="591"/>
      <c r="F507" s="591"/>
      <c r="G507" s="591"/>
      <c r="H507" s="591"/>
      <c r="I507" s="591"/>
      <c r="J507" s="591"/>
      <c r="K507" s="542"/>
      <c r="O507" s="1134"/>
      <c r="Q507" s="1133"/>
    </row>
    <row r="508" spans="2:17" x14ac:dyDescent="0.3">
      <c r="B508" s="126"/>
      <c r="C508" s="583">
        <v>125</v>
      </c>
      <c r="D508" s="625" t="e">
        <f t="shared" si="27"/>
        <v>#VALUE!</v>
      </c>
      <c r="E508" s="591"/>
      <c r="F508" s="591"/>
      <c r="G508" s="591"/>
      <c r="H508" s="591"/>
      <c r="I508" s="591"/>
      <c r="J508" s="591"/>
      <c r="K508" s="542"/>
      <c r="O508" s="1134"/>
      <c r="Q508" s="1133"/>
    </row>
    <row r="509" spans="2:17" x14ac:dyDescent="0.3">
      <c r="B509" s="126"/>
      <c r="C509" s="583">
        <v>126</v>
      </c>
      <c r="D509" s="625" t="e">
        <f t="shared" si="27"/>
        <v>#VALUE!</v>
      </c>
      <c r="E509" s="591"/>
      <c r="F509" s="591"/>
      <c r="G509" s="591"/>
      <c r="H509" s="591"/>
      <c r="I509" s="591"/>
      <c r="J509" s="591"/>
      <c r="K509" s="542"/>
      <c r="O509" s="1134"/>
      <c r="Q509" s="1133"/>
    </row>
    <row r="510" spans="2:17" x14ac:dyDescent="0.3">
      <c r="B510" s="126"/>
      <c r="C510" s="583">
        <v>127</v>
      </c>
      <c r="D510" s="625" t="e">
        <f t="shared" si="27"/>
        <v>#VALUE!</v>
      </c>
      <c r="E510" s="591"/>
      <c r="F510" s="591"/>
      <c r="G510" s="591"/>
      <c r="H510" s="591"/>
      <c r="I510" s="591"/>
      <c r="J510" s="591"/>
      <c r="K510" s="542"/>
      <c r="O510" s="1134"/>
      <c r="Q510" s="1133"/>
    </row>
    <row r="511" spans="2:17" x14ac:dyDescent="0.3">
      <c r="B511" s="126"/>
      <c r="C511" s="583">
        <v>128</v>
      </c>
      <c r="D511" s="625" t="e">
        <f t="shared" ref="D511:D574" si="28">$C$362*C511</f>
        <v>#VALUE!</v>
      </c>
      <c r="E511" s="591"/>
      <c r="F511" s="591"/>
      <c r="G511" s="591"/>
      <c r="H511" s="591"/>
      <c r="I511" s="591"/>
      <c r="J511" s="591"/>
      <c r="K511" s="542"/>
      <c r="O511" s="1134"/>
      <c r="Q511" s="1133"/>
    </row>
    <row r="512" spans="2:17" x14ac:dyDescent="0.3">
      <c r="B512" s="126"/>
      <c r="C512" s="583">
        <v>129</v>
      </c>
      <c r="D512" s="625" t="e">
        <f t="shared" si="28"/>
        <v>#VALUE!</v>
      </c>
      <c r="E512" s="591"/>
      <c r="F512" s="591"/>
      <c r="G512" s="591"/>
      <c r="H512" s="591"/>
      <c r="I512" s="591"/>
      <c r="J512" s="591"/>
      <c r="K512" s="542"/>
      <c r="O512" s="1134"/>
      <c r="Q512" s="1133"/>
    </row>
    <row r="513" spans="2:17" x14ac:dyDescent="0.3">
      <c r="B513" s="126"/>
      <c r="C513" s="583">
        <v>130</v>
      </c>
      <c r="D513" s="625" t="e">
        <f t="shared" si="28"/>
        <v>#VALUE!</v>
      </c>
      <c r="E513" s="591"/>
      <c r="F513" s="591"/>
      <c r="G513" s="591"/>
      <c r="H513" s="591"/>
      <c r="I513" s="591"/>
      <c r="J513" s="591"/>
      <c r="K513" s="542"/>
      <c r="O513" s="1134"/>
      <c r="Q513" s="1133"/>
    </row>
    <row r="514" spans="2:17" x14ac:dyDescent="0.3">
      <c r="B514" s="126"/>
      <c r="C514" s="583">
        <v>131</v>
      </c>
      <c r="D514" s="625" t="e">
        <f t="shared" si="28"/>
        <v>#VALUE!</v>
      </c>
      <c r="E514" s="591"/>
      <c r="F514" s="591"/>
      <c r="G514" s="591"/>
      <c r="H514" s="591"/>
      <c r="I514" s="591"/>
      <c r="J514" s="591"/>
      <c r="K514" s="542"/>
      <c r="O514" s="1134"/>
      <c r="Q514" s="1133"/>
    </row>
    <row r="515" spans="2:17" x14ac:dyDescent="0.3">
      <c r="B515" s="126"/>
      <c r="C515" s="583">
        <v>132</v>
      </c>
      <c r="D515" s="625" t="e">
        <f t="shared" si="28"/>
        <v>#VALUE!</v>
      </c>
      <c r="E515" s="591"/>
      <c r="F515" s="591"/>
      <c r="G515" s="591"/>
      <c r="H515" s="591"/>
      <c r="I515" s="591"/>
      <c r="J515" s="591"/>
      <c r="K515" s="542"/>
      <c r="O515" s="1134"/>
      <c r="Q515" s="1133"/>
    </row>
    <row r="516" spans="2:17" x14ac:dyDescent="0.3">
      <c r="B516" s="126"/>
      <c r="C516" s="583">
        <v>133</v>
      </c>
      <c r="D516" s="625" t="e">
        <f t="shared" si="28"/>
        <v>#VALUE!</v>
      </c>
      <c r="E516" s="591"/>
      <c r="F516" s="591"/>
      <c r="G516" s="591"/>
      <c r="H516" s="591"/>
      <c r="I516" s="591"/>
      <c r="J516" s="591"/>
      <c r="K516" s="542"/>
      <c r="O516" s="1134"/>
      <c r="Q516" s="1133"/>
    </row>
    <row r="517" spans="2:17" x14ac:dyDescent="0.3">
      <c r="B517" s="126"/>
      <c r="C517" s="583">
        <v>134</v>
      </c>
      <c r="D517" s="625" t="e">
        <f t="shared" si="28"/>
        <v>#VALUE!</v>
      </c>
      <c r="E517" s="591"/>
      <c r="F517" s="591"/>
      <c r="G517" s="591"/>
      <c r="H517" s="591"/>
      <c r="I517" s="591"/>
      <c r="J517" s="591"/>
      <c r="K517" s="542"/>
      <c r="O517" s="1134"/>
      <c r="Q517" s="1133"/>
    </row>
    <row r="518" spans="2:17" x14ac:dyDescent="0.3">
      <c r="B518" s="126"/>
      <c r="C518" s="583">
        <v>135</v>
      </c>
      <c r="D518" s="625" t="e">
        <f t="shared" si="28"/>
        <v>#VALUE!</v>
      </c>
      <c r="E518" s="591"/>
      <c r="F518" s="591"/>
      <c r="G518" s="591"/>
      <c r="H518" s="591"/>
      <c r="I518" s="591"/>
      <c r="J518" s="591"/>
      <c r="K518" s="542"/>
      <c r="O518" s="1134"/>
      <c r="Q518" s="1133"/>
    </row>
    <row r="519" spans="2:17" x14ac:dyDescent="0.3">
      <c r="B519" s="126"/>
      <c r="C519" s="583">
        <v>136</v>
      </c>
      <c r="D519" s="625" t="e">
        <f t="shared" si="28"/>
        <v>#VALUE!</v>
      </c>
      <c r="E519" s="591"/>
      <c r="F519" s="591"/>
      <c r="G519" s="591"/>
      <c r="H519" s="591"/>
      <c r="I519" s="591"/>
      <c r="J519" s="591"/>
      <c r="K519" s="542"/>
      <c r="O519" s="1134"/>
      <c r="Q519" s="1133"/>
    </row>
    <row r="520" spans="2:17" x14ac:dyDescent="0.3">
      <c r="B520" s="126"/>
      <c r="C520" s="583">
        <v>137</v>
      </c>
      <c r="D520" s="625" t="e">
        <f t="shared" si="28"/>
        <v>#VALUE!</v>
      </c>
      <c r="E520" s="591"/>
      <c r="F520" s="591"/>
      <c r="G520" s="591"/>
      <c r="H520" s="591"/>
      <c r="I520" s="591"/>
      <c r="J520" s="591"/>
      <c r="K520" s="542"/>
      <c r="O520" s="1134"/>
      <c r="Q520" s="1133"/>
    </row>
    <row r="521" spans="2:17" x14ac:dyDescent="0.3">
      <c r="B521" s="126"/>
      <c r="C521" s="583">
        <v>138</v>
      </c>
      <c r="D521" s="625" t="e">
        <f t="shared" si="28"/>
        <v>#VALUE!</v>
      </c>
      <c r="E521" s="591"/>
      <c r="F521" s="591"/>
      <c r="G521" s="591"/>
      <c r="H521" s="591"/>
      <c r="I521" s="591"/>
      <c r="J521" s="591"/>
      <c r="K521" s="542"/>
      <c r="O521" s="1134"/>
      <c r="Q521" s="1133"/>
    </row>
    <row r="522" spans="2:17" x14ac:dyDescent="0.3">
      <c r="B522" s="126"/>
      <c r="C522" s="583">
        <v>139</v>
      </c>
      <c r="D522" s="625" t="e">
        <f t="shared" si="28"/>
        <v>#VALUE!</v>
      </c>
      <c r="E522" s="591"/>
      <c r="F522" s="591"/>
      <c r="G522" s="591"/>
      <c r="H522" s="591"/>
      <c r="I522" s="591"/>
      <c r="J522" s="591"/>
      <c r="K522" s="542"/>
      <c r="O522" s="1134"/>
      <c r="Q522" s="1133"/>
    </row>
    <row r="523" spans="2:17" x14ac:dyDescent="0.3">
      <c r="B523" s="126"/>
      <c r="C523" s="583">
        <v>140</v>
      </c>
      <c r="D523" s="625" t="e">
        <f t="shared" si="28"/>
        <v>#VALUE!</v>
      </c>
      <c r="E523" s="591"/>
      <c r="F523" s="591"/>
      <c r="G523" s="591"/>
      <c r="H523" s="591"/>
      <c r="I523" s="591"/>
      <c r="J523" s="591"/>
      <c r="K523" s="542"/>
      <c r="O523" s="1134"/>
      <c r="Q523" s="1133"/>
    </row>
    <row r="524" spans="2:17" x14ac:dyDescent="0.3">
      <c r="B524" s="126"/>
      <c r="C524" s="583">
        <v>141</v>
      </c>
      <c r="D524" s="625" t="e">
        <f t="shared" si="28"/>
        <v>#VALUE!</v>
      </c>
      <c r="E524" s="591"/>
      <c r="F524" s="591"/>
      <c r="G524" s="591"/>
      <c r="H524" s="591"/>
      <c r="I524" s="591"/>
      <c r="J524" s="591"/>
      <c r="K524" s="542"/>
      <c r="O524" s="1134"/>
      <c r="Q524" s="1133"/>
    </row>
    <row r="525" spans="2:17" x14ac:dyDescent="0.3">
      <c r="B525" s="126"/>
      <c r="C525" s="583">
        <v>142</v>
      </c>
      <c r="D525" s="625" t="e">
        <f t="shared" si="28"/>
        <v>#VALUE!</v>
      </c>
      <c r="E525" s="591"/>
      <c r="F525" s="591"/>
      <c r="G525" s="591"/>
      <c r="H525" s="591"/>
      <c r="I525" s="591"/>
      <c r="J525" s="591"/>
      <c r="K525" s="542"/>
      <c r="O525" s="1134"/>
      <c r="Q525" s="1133"/>
    </row>
    <row r="526" spans="2:17" x14ac:dyDescent="0.3">
      <c r="B526" s="126"/>
      <c r="C526" s="583">
        <v>143</v>
      </c>
      <c r="D526" s="625" t="e">
        <f t="shared" si="28"/>
        <v>#VALUE!</v>
      </c>
      <c r="E526" s="591"/>
      <c r="F526" s="591"/>
      <c r="G526" s="591"/>
      <c r="H526" s="591"/>
      <c r="I526" s="591"/>
      <c r="J526" s="591"/>
      <c r="K526" s="542"/>
      <c r="O526" s="1134"/>
      <c r="Q526" s="1133"/>
    </row>
    <row r="527" spans="2:17" x14ac:dyDescent="0.3">
      <c r="B527" s="126"/>
      <c r="C527" s="583">
        <v>144</v>
      </c>
      <c r="D527" s="625" t="e">
        <f t="shared" si="28"/>
        <v>#VALUE!</v>
      </c>
      <c r="E527" s="591"/>
      <c r="F527" s="591"/>
      <c r="G527" s="591"/>
      <c r="H527" s="591"/>
      <c r="I527" s="591"/>
      <c r="J527" s="591"/>
      <c r="K527" s="542"/>
      <c r="O527" s="1134"/>
      <c r="Q527" s="1133"/>
    </row>
    <row r="528" spans="2:17" x14ac:dyDescent="0.3">
      <c r="B528" s="126"/>
      <c r="C528" s="583">
        <v>145</v>
      </c>
      <c r="D528" s="625" t="e">
        <f t="shared" si="28"/>
        <v>#VALUE!</v>
      </c>
      <c r="E528" s="591"/>
      <c r="F528" s="591"/>
      <c r="G528" s="591"/>
      <c r="H528" s="591"/>
      <c r="I528" s="591"/>
      <c r="J528" s="591"/>
      <c r="K528" s="542"/>
      <c r="O528" s="1134"/>
      <c r="Q528" s="1133"/>
    </row>
    <row r="529" spans="2:17" x14ac:dyDescent="0.3">
      <c r="B529" s="126"/>
      <c r="C529" s="583">
        <v>146</v>
      </c>
      <c r="D529" s="625" t="e">
        <f t="shared" si="28"/>
        <v>#VALUE!</v>
      </c>
      <c r="E529" s="591"/>
      <c r="F529" s="591"/>
      <c r="G529" s="591"/>
      <c r="H529" s="591"/>
      <c r="I529" s="591"/>
      <c r="J529" s="591"/>
      <c r="K529" s="542"/>
      <c r="O529" s="1134"/>
      <c r="Q529" s="1133"/>
    </row>
    <row r="530" spans="2:17" x14ac:dyDescent="0.3">
      <c r="B530" s="126"/>
      <c r="C530" s="583">
        <v>147</v>
      </c>
      <c r="D530" s="625" t="e">
        <f t="shared" si="28"/>
        <v>#VALUE!</v>
      </c>
      <c r="E530" s="591"/>
      <c r="F530" s="591"/>
      <c r="G530" s="591"/>
      <c r="H530" s="591"/>
      <c r="I530" s="591"/>
      <c r="J530" s="591"/>
      <c r="K530" s="542"/>
      <c r="O530" s="1134"/>
      <c r="Q530" s="1133"/>
    </row>
    <row r="531" spans="2:17" x14ac:dyDescent="0.3">
      <c r="B531" s="126"/>
      <c r="C531" s="583">
        <v>148</v>
      </c>
      <c r="D531" s="625" t="e">
        <f t="shared" si="28"/>
        <v>#VALUE!</v>
      </c>
      <c r="E531" s="591"/>
      <c r="F531" s="591"/>
      <c r="G531" s="591"/>
      <c r="H531" s="591"/>
      <c r="I531" s="591"/>
      <c r="J531" s="591"/>
      <c r="K531" s="542"/>
      <c r="O531" s="1134"/>
      <c r="Q531" s="1133"/>
    </row>
    <row r="532" spans="2:17" x14ac:dyDescent="0.3">
      <c r="B532" s="126"/>
      <c r="C532" s="583">
        <v>149</v>
      </c>
      <c r="D532" s="625" t="e">
        <f t="shared" si="28"/>
        <v>#VALUE!</v>
      </c>
      <c r="E532" s="591"/>
      <c r="F532" s="591"/>
      <c r="G532" s="591"/>
      <c r="H532" s="591"/>
      <c r="I532" s="591"/>
      <c r="J532" s="591"/>
      <c r="K532" s="542"/>
      <c r="O532" s="1134"/>
      <c r="Q532" s="1133"/>
    </row>
    <row r="533" spans="2:17" x14ac:dyDescent="0.3">
      <c r="B533" s="126"/>
      <c r="C533" s="583">
        <v>150</v>
      </c>
      <c r="D533" s="625" t="e">
        <f t="shared" si="28"/>
        <v>#VALUE!</v>
      </c>
      <c r="E533" s="591"/>
      <c r="F533" s="591"/>
      <c r="G533" s="591"/>
      <c r="H533" s="591"/>
      <c r="I533" s="591"/>
      <c r="J533" s="591"/>
      <c r="K533" s="542"/>
      <c r="O533" s="1134"/>
      <c r="Q533" s="1133"/>
    </row>
    <row r="534" spans="2:17" x14ac:dyDescent="0.3">
      <c r="B534" s="126"/>
      <c r="C534" s="583">
        <v>151</v>
      </c>
      <c r="D534" s="625" t="e">
        <f t="shared" si="28"/>
        <v>#VALUE!</v>
      </c>
      <c r="E534" s="591"/>
      <c r="F534" s="591"/>
      <c r="G534" s="591"/>
      <c r="H534" s="591"/>
      <c r="I534" s="591"/>
      <c r="J534" s="591"/>
      <c r="K534" s="542"/>
      <c r="O534" s="1134"/>
      <c r="Q534" s="1133"/>
    </row>
    <row r="535" spans="2:17" x14ac:dyDescent="0.3">
      <c r="B535" s="126"/>
      <c r="C535" s="583">
        <v>152</v>
      </c>
      <c r="D535" s="625" t="e">
        <f t="shared" si="28"/>
        <v>#VALUE!</v>
      </c>
      <c r="E535" s="591"/>
      <c r="F535" s="591"/>
      <c r="G535" s="591"/>
      <c r="H535" s="591"/>
      <c r="I535" s="591"/>
      <c r="J535" s="591"/>
      <c r="K535" s="542"/>
      <c r="O535" s="1134"/>
      <c r="Q535" s="1133"/>
    </row>
    <row r="536" spans="2:17" x14ac:dyDescent="0.3">
      <c r="B536" s="126"/>
      <c r="C536" s="583">
        <v>153</v>
      </c>
      <c r="D536" s="625" t="e">
        <f t="shared" si="28"/>
        <v>#VALUE!</v>
      </c>
      <c r="E536" s="591"/>
      <c r="F536" s="591"/>
      <c r="G536" s="591"/>
      <c r="H536" s="591"/>
      <c r="I536" s="591"/>
      <c r="J536" s="591"/>
      <c r="K536" s="542"/>
      <c r="O536" s="1134"/>
      <c r="Q536" s="1133"/>
    </row>
    <row r="537" spans="2:17" x14ac:dyDescent="0.3">
      <c r="B537" s="126"/>
      <c r="C537" s="583">
        <v>154</v>
      </c>
      <c r="D537" s="625" t="e">
        <f t="shared" si="28"/>
        <v>#VALUE!</v>
      </c>
      <c r="E537" s="591"/>
      <c r="F537" s="591"/>
      <c r="G537" s="591"/>
      <c r="H537" s="591"/>
      <c r="I537" s="591"/>
      <c r="J537" s="591"/>
      <c r="K537" s="542"/>
      <c r="O537" s="1134"/>
      <c r="Q537" s="1133"/>
    </row>
    <row r="538" spans="2:17" x14ac:dyDescent="0.3">
      <c r="B538" s="126"/>
      <c r="C538" s="583">
        <v>155</v>
      </c>
      <c r="D538" s="625" t="e">
        <f t="shared" si="28"/>
        <v>#VALUE!</v>
      </c>
      <c r="E538" s="591"/>
      <c r="F538" s="591"/>
      <c r="G538" s="591"/>
      <c r="H538" s="591"/>
      <c r="I538" s="591"/>
      <c r="J538" s="591"/>
      <c r="K538" s="542"/>
      <c r="O538" s="1134"/>
      <c r="Q538" s="1133"/>
    </row>
    <row r="539" spans="2:17" x14ac:dyDescent="0.3">
      <c r="B539" s="126"/>
      <c r="C539" s="583">
        <v>156</v>
      </c>
      <c r="D539" s="625" t="e">
        <f t="shared" si="28"/>
        <v>#VALUE!</v>
      </c>
      <c r="E539" s="591"/>
      <c r="F539" s="591"/>
      <c r="G539" s="591"/>
      <c r="H539" s="591"/>
      <c r="I539" s="591"/>
      <c r="J539" s="591"/>
      <c r="K539" s="542"/>
      <c r="O539" s="1134"/>
      <c r="Q539" s="1133"/>
    </row>
    <row r="540" spans="2:17" x14ac:dyDescent="0.3">
      <c r="B540" s="126"/>
      <c r="C540" s="583">
        <v>157</v>
      </c>
      <c r="D540" s="625" t="e">
        <f t="shared" si="28"/>
        <v>#VALUE!</v>
      </c>
      <c r="E540" s="591"/>
      <c r="F540" s="591"/>
      <c r="G540" s="591"/>
      <c r="H540" s="591"/>
      <c r="I540" s="591"/>
      <c r="J540" s="591"/>
      <c r="K540" s="542"/>
      <c r="O540" s="1134"/>
      <c r="Q540" s="1133"/>
    </row>
    <row r="541" spans="2:17" x14ac:dyDescent="0.3">
      <c r="B541" s="126"/>
      <c r="C541" s="583">
        <v>158</v>
      </c>
      <c r="D541" s="625" t="e">
        <f t="shared" si="28"/>
        <v>#VALUE!</v>
      </c>
      <c r="E541" s="591"/>
      <c r="F541" s="591"/>
      <c r="G541" s="591"/>
      <c r="H541" s="591"/>
      <c r="I541" s="591"/>
      <c r="J541" s="591"/>
      <c r="K541" s="542"/>
      <c r="O541" s="1134"/>
      <c r="Q541" s="1133"/>
    </row>
    <row r="542" spans="2:17" x14ac:dyDescent="0.3">
      <c r="B542" s="126"/>
      <c r="C542" s="583">
        <v>159</v>
      </c>
      <c r="D542" s="625" t="e">
        <f t="shared" si="28"/>
        <v>#VALUE!</v>
      </c>
      <c r="E542" s="591"/>
      <c r="F542" s="591"/>
      <c r="G542" s="591"/>
      <c r="H542" s="591"/>
      <c r="I542" s="591"/>
      <c r="J542" s="591"/>
      <c r="K542" s="542"/>
      <c r="O542" s="1134"/>
      <c r="Q542" s="1133"/>
    </row>
    <row r="543" spans="2:17" x14ac:dyDescent="0.3">
      <c r="B543" s="126"/>
      <c r="C543" s="583">
        <v>160</v>
      </c>
      <c r="D543" s="625" t="e">
        <f t="shared" si="28"/>
        <v>#VALUE!</v>
      </c>
      <c r="E543" s="591"/>
      <c r="F543" s="591"/>
      <c r="G543" s="591"/>
      <c r="H543" s="591"/>
      <c r="I543" s="591"/>
      <c r="J543" s="591"/>
      <c r="K543" s="542"/>
      <c r="O543" s="1134"/>
      <c r="Q543" s="1133"/>
    </row>
    <row r="544" spans="2:17" x14ac:dyDescent="0.3">
      <c r="B544" s="126"/>
      <c r="C544" s="583">
        <v>161</v>
      </c>
      <c r="D544" s="625" t="e">
        <f t="shared" si="28"/>
        <v>#VALUE!</v>
      </c>
      <c r="E544" s="591"/>
      <c r="F544" s="591"/>
      <c r="G544" s="591"/>
      <c r="H544" s="591"/>
      <c r="I544" s="591"/>
      <c r="J544" s="591"/>
      <c r="K544" s="542"/>
      <c r="O544" s="1134"/>
      <c r="Q544" s="1133"/>
    </row>
    <row r="545" spans="2:17" x14ac:dyDescent="0.3">
      <c r="B545" s="126"/>
      <c r="C545" s="583">
        <v>162</v>
      </c>
      <c r="D545" s="625" t="e">
        <f t="shared" si="28"/>
        <v>#VALUE!</v>
      </c>
      <c r="E545" s="591"/>
      <c r="F545" s="591"/>
      <c r="G545" s="591"/>
      <c r="H545" s="591"/>
      <c r="I545" s="591"/>
      <c r="J545" s="591"/>
      <c r="K545" s="542"/>
      <c r="O545" s="1134"/>
      <c r="Q545" s="1133"/>
    </row>
    <row r="546" spans="2:17" x14ac:dyDescent="0.3">
      <c r="B546" s="126"/>
      <c r="C546" s="583">
        <v>163</v>
      </c>
      <c r="D546" s="625" t="e">
        <f t="shared" si="28"/>
        <v>#VALUE!</v>
      </c>
      <c r="E546" s="591"/>
      <c r="F546" s="591"/>
      <c r="G546" s="591"/>
      <c r="H546" s="591"/>
      <c r="I546" s="591"/>
      <c r="J546" s="591"/>
      <c r="K546" s="542"/>
      <c r="O546" s="1134"/>
      <c r="Q546" s="1133"/>
    </row>
    <row r="547" spans="2:17" x14ac:dyDescent="0.3">
      <c r="B547" s="126"/>
      <c r="C547" s="583">
        <v>164</v>
      </c>
      <c r="D547" s="625" t="e">
        <f t="shared" si="28"/>
        <v>#VALUE!</v>
      </c>
      <c r="E547" s="591"/>
      <c r="F547" s="591"/>
      <c r="G547" s="591"/>
      <c r="H547" s="591"/>
      <c r="I547" s="591"/>
      <c r="J547" s="591"/>
      <c r="K547" s="542"/>
      <c r="O547" s="1134"/>
      <c r="Q547" s="1133"/>
    </row>
    <row r="548" spans="2:17" x14ac:dyDescent="0.3">
      <c r="B548" s="126"/>
      <c r="C548" s="583">
        <v>165</v>
      </c>
      <c r="D548" s="625" t="e">
        <f t="shared" si="28"/>
        <v>#VALUE!</v>
      </c>
      <c r="E548" s="591"/>
      <c r="F548" s="591"/>
      <c r="G548" s="591"/>
      <c r="H548" s="591"/>
      <c r="I548" s="591"/>
      <c r="J548" s="591"/>
      <c r="K548" s="542"/>
      <c r="O548" s="1134"/>
      <c r="Q548" s="1133"/>
    </row>
    <row r="549" spans="2:17" x14ac:dyDescent="0.3">
      <c r="B549" s="126"/>
      <c r="C549" s="583">
        <v>166</v>
      </c>
      <c r="D549" s="625" t="e">
        <f t="shared" si="28"/>
        <v>#VALUE!</v>
      </c>
      <c r="E549" s="591"/>
      <c r="F549" s="591"/>
      <c r="G549" s="591"/>
      <c r="H549" s="591"/>
      <c r="I549" s="591"/>
      <c r="J549" s="591"/>
      <c r="K549" s="542"/>
      <c r="O549" s="1134"/>
      <c r="Q549" s="1133"/>
    </row>
    <row r="550" spans="2:17" x14ac:dyDescent="0.3">
      <c r="B550" s="126"/>
      <c r="C550" s="583">
        <v>167</v>
      </c>
      <c r="D550" s="625" t="e">
        <f t="shared" si="28"/>
        <v>#VALUE!</v>
      </c>
      <c r="E550" s="591"/>
      <c r="F550" s="591"/>
      <c r="G550" s="591"/>
      <c r="H550" s="591"/>
      <c r="I550" s="591"/>
      <c r="J550" s="591"/>
      <c r="K550" s="542"/>
      <c r="O550" s="1134"/>
      <c r="Q550" s="1133"/>
    </row>
    <row r="551" spans="2:17" x14ac:dyDescent="0.3">
      <c r="B551" s="126"/>
      <c r="C551" s="583">
        <v>168</v>
      </c>
      <c r="D551" s="625" t="e">
        <f t="shared" si="28"/>
        <v>#VALUE!</v>
      </c>
      <c r="E551" s="591"/>
      <c r="F551" s="591"/>
      <c r="G551" s="591"/>
      <c r="H551" s="591"/>
      <c r="I551" s="591"/>
      <c r="J551" s="591"/>
      <c r="K551" s="542"/>
      <c r="O551" s="1134"/>
      <c r="Q551" s="1133"/>
    </row>
    <row r="552" spans="2:17" x14ac:dyDescent="0.3">
      <c r="B552" s="126"/>
      <c r="C552" s="583">
        <v>169</v>
      </c>
      <c r="D552" s="625" t="e">
        <f t="shared" si="28"/>
        <v>#VALUE!</v>
      </c>
      <c r="E552" s="591"/>
      <c r="F552" s="591"/>
      <c r="G552" s="591"/>
      <c r="H552" s="591"/>
      <c r="I552" s="591"/>
      <c r="J552" s="591"/>
      <c r="K552" s="542"/>
      <c r="O552" s="1134"/>
      <c r="Q552" s="1133"/>
    </row>
    <row r="553" spans="2:17" x14ac:dyDescent="0.3">
      <c r="B553" s="126"/>
      <c r="C553" s="583">
        <v>170</v>
      </c>
      <c r="D553" s="625" t="e">
        <f t="shared" si="28"/>
        <v>#VALUE!</v>
      </c>
      <c r="E553" s="591"/>
      <c r="F553" s="591"/>
      <c r="G553" s="591"/>
      <c r="H553" s="591"/>
      <c r="I553" s="591"/>
      <c r="J553" s="591"/>
      <c r="K553" s="542"/>
      <c r="O553" s="1134"/>
      <c r="Q553" s="1133"/>
    </row>
    <row r="554" spans="2:17" x14ac:dyDescent="0.3">
      <c r="B554" s="126"/>
      <c r="C554" s="583">
        <v>171</v>
      </c>
      <c r="D554" s="625" t="e">
        <f t="shared" si="28"/>
        <v>#VALUE!</v>
      </c>
      <c r="E554" s="591"/>
      <c r="F554" s="591"/>
      <c r="G554" s="591"/>
      <c r="H554" s="591"/>
      <c r="I554" s="591"/>
      <c r="J554" s="591"/>
      <c r="K554" s="542"/>
      <c r="O554" s="1134"/>
      <c r="Q554" s="1133"/>
    </row>
    <row r="555" spans="2:17" x14ac:dyDescent="0.3">
      <c r="B555" s="126"/>
      <c r="C555" s="583">
        <v>172</v>
      </c>
      <c r="D555" s="625" t="e">
        <f t="shared" si="28"/>
        <v>#VALUE!</v>
      </c>
      <c r="E555" s="591"/>
      <c r="F555" s="591"/>
      <c r="G555" s="591"/>
      <c r="H555" s="591"/>
      <c r="I555" s="591"/>
      <c r="J555" s="591"/>
      <c r="K555" s="542"/>
      <c r="O555" s="1134"/>
      <c r="Q555" s="1133"/>
    </row>
    <row r="556" spans="2:17" x14ac:dyDescent="0.3">
      <c r="B556" s="126"/>
      <c r="C556" s="583">
        <v>173</v>
      </c>
      <c r="D556" s="625" t="e">
        <f t="shared" si="28"/>
        <v>#VALUE!</v>
      </c>
      <c r="E556" s="591"/>
      <c r="F556" s="591"/>
      <c r="G556" s="591"/>
      <c r="H556" s="591"/>
      <c r="I556" s="591"/>
      <c r="J556" s="591"/>
      <c r="K556" s="542"/>
      <c r="O556" s="1134"/>
      <c r="Q556" s="1133"/>
    </row>
    <row r="557" spans="2:17" x14ac:dyDescent="0.3">
      <c r="B557" s="126"/>
      <c r="C557" s="583">
        <v>174</v>
      </c>
      <c r="D557" s="625" t="e">
        <f t="shared" si="28"/>
        <v>#VALUE!</v>
      </c>
      <c r="E557" s="591"/>
      <c r="F557" s="591"/>
      <c r="G557" s="591"/>
      <c r="H557" s="591"/>
      <c r="I557" s="591"/>
      <c r="J557" s="591"/>
      <c r="K557" s="542"/>
      <c r="O557" s="1134"/>
      <c r="Q557" s="1133"/>
    </row>
    <row r="558" spans="2:17" x14ac:dyDescent="0.3">
      <c r="B558" s="126"/>
      <c r="C558" s="583">
        <v>175</v>
      </c>
      <c r="D558" s="625" t="e">
        <f t="shared" si="28"/>
        <v>#VALUE!</v>
      </c>
      <c r="E558" s="591"/>
      <c r="F558" s="591"/>
      <c r="G558" s="591"/>
      <c r="H558" s="591"/>
      <c r="I558" s="591"/>
      <c r="J558" s="591"/>
      <c r="K558" s="542"/>
      <c r="O558" s="1134"/>
      <c r="Q558" s="1133"/>
    </row>
    <row r="559" spans="2:17" x14ac:dyDescent="0.3">
      <c r="B559" s="126"/>
      <c r="C559" s="583">
        <v>176</v>
      </c>
      <c r="D559" s="625" t="e">
        <f t="shared" si="28"/>
        <v>#VALUE!</v>
      </c>
      <c r="E559" s="591"/>
      <c r="F559" s="591"/>
      <c r="G559" s="591"/>
      <c r="H559" s="591"/>
      <c r="I559" s="591"/>
      <c r="J559" s="591"/>
      <c r="K559" s="542"/>
      <c r="O559" s="1134"/>
      <c r="Q559" s="1133"/>
    </row>
    <row r="560" spans="2:17" x14ac:dyDescent="0.3">
      <c r="B560" s="126"/>
      <c r="C560" s="583">
        <v>177</v>
      </c>
      <c r="D560" s="625" t="e">
        <f t="shared" si="28"/>
        <v>#VALUE!</v>
      </c>
      <c r="E560" s="591"/>
      <c r="F560" s="591"/>
      <c r="G560" s="591"/>
      <c r="H560" s="591"/>
      <c r="I560" s="591"/>
      <c r="J560" s="591"/>
      <c r="K560" s="542"/>
      <c r="O560" s="1134"/>
      <c r="Q560" s="1133"/>
    </row>
    <row r="561" spans="2:17" x14ac:dyDescent="0.3">
      <c r="B561" s="126"/>
      <c r="C561" s="583">
        <v>178</v>
      </c>
      <c r="D561" s="625" t="e">
        <f t="shared" si="28"/>
        <v>#VALUE!</v>
      </c>
      <c r="E561" s="591"/>
      <c r="F561" s="591"/>
      <c r="G561" s="591"/>
      <c r="H561" s="591"/>
      <c r="I561" s="591"/>
      <c r="J561" s="591"/>
      <c r="K561" s="542"/>
      <c r="O561" s="1134"/>
      <c r="Q561" s="1133"/>
    </row>
    <row r="562" spans="2:17" x14ac:dyDescent="0.3">
      <c r="B562" s="126"/>
      <c r="C562" s="583">
        <v>179</v>
      </c>
      <c r="D562" s="625" t="e">
        <f t="shared" si="28"/>
        <v>#VALUE!</v>
      </c>
      <c r="E562" s="591"/>
      <c r="F562" s="591"/>
      <c r="G562" s="591"/>
      <c r="H562" s="591"/>
      <c r="I562" s="591"/>
      <c r="J562" s="591"/>
      <c r="K562" s="542"/>
      <c r="O562" s="1134"/>
      <c r="Q562" s="1133"/>
    </row>
    <row r="563" spans="2:17" x14ac:dyDescent="0.3">
      <c r="B563" s="126"/>
      <c r="C563" s="583">
        <v>180</v>
      </c>
      <c r="D563" s="625" t="e">
        <f t="shared" si="28"/>
        <v>#VALUE!</v>
      </c>
      <c r="E563" s="591"/>
      <c r="F563" s="591"/>
      <c r="G563" s="591"/>
      <c r="H563" s="591"/>
      <c r="I563" s="591"/>
      <c r="J563" s="591"/>
      <c r="K563" s="542"/>
      <c r="O563" s="1134"/>
      <c r="Q563" s="1133"/>
    </row>
    <row r="564" spans="2:17" x14ac:dyDescent="0.3">
      <c r="B564" s="126"/>
      <c r="C564" s="583">
        <v>181</v>
      </c>
      <c r="D564" s="625" t="e">
        <f t="shared" si="28"/>
        <v>#VALUE!</v>
      </c>
      <c r="E564" s="591"/>
      <c r="F564" s="591"/>
      <c r="G564" s="591"/>
      <c r="H564" s="591"/>
      <c r="I564" s="591"/>
      <c r="J564" s="591"/>
      <c r="K564" s="542"/>
      <c r="O564" s="1134"/>
      <c r="Q564" s="1133"/>
    </row>
    <row r="565" spans="2:17" x14ac:dyDescent="0.3">
      <c r="B565" s="126"/>
      <c r="C565" s="583">
        <v>182</v>
      </c>
      <c r="D565" s="625" t="e">
        <f t="shared" si="28"/>
        <v>#VALUE!</v>
      </c>
      <c r="E565" s="591"/>
      <c r="F565" s="591"/>
      <c r="G565" s="591"/>
      <c r="H565" s="591"/>
      <c r="I565" s="591"/>
      <c r="J565" s="591"/>
      <c r="K565" s="542"/>
      <c r="O565" s="1134"/>
      <c r="Q565" s="1133"/>
    </row>
    <row r="566" spans="2:17" x14ac:dyDescent="0.3">
      <c r="B566" s="126"/>
      <c r="C566" s="583">
        <v>183</v>
      </c>
      <c r="D566" s="625" t="e">
        <f t="shared" si="28"/>
        <v>#VALUE!</v>
      </c>
      <c r="E566" s="591"/>
      <c r="F566" s="591"/>
      <c r="G566" s="591"/>
      <c r="H566" s="591"/>
      <c r="I566" s="591"/>
      <c r="J566" s="591"/>
      <c r="K566" s="542"/>
      <c r="O566" s="1134"/>
      <c r="Q566" s="1133"/>
    </row>
    <row r="567" spans="2:17" x14ac:dyDescent="0.3">
      <c r="B567" s="126"/>
      <c r="C567" s="583">
        <v>184</v>
      </c>
      <c r="D567" s="625" t="e">
        <f t="shared" si="28"/>
        <v>#VALUE!</v>
      </c>
      <c r="E567" s="591"/>
      <c r="F567" s="591"/>
      <c r="G567" s="591"/>
      <c r="H567" s="591"/>
      <c r="I567" s="591"/>
      <c r="J567" s="591"/>
      <c r="K567" s="542"/>
      <c r="O567" s="1134"/>
      <c r="Q567" s="1133"/>
    </row>
    <row r="568" spans="2:17" x14ac:dyDescent="0.3">
      <c r="B568" s="126"/>
      <c r="C568" s="583">
        <v>185</v>
      </c>
      <c r="D568" s="625" t="e">
        <f t="shared" si="28"/>
        <v>#VALUE!</v>
      </c>
      <c r="E568" s="591"/>
      <c r="F568" s="591"/>
      <c r="G568" s="591"/>
      <c r="H568" s="591"/>
      <c r="I568" s="591"/>
      <c r="J568" s="591"/>
      <c r="K568" s="542"/>
      <c r="O568" s="1134"/>
      <c r="Q568" s="1133"/>
    </row>
    <row r="569" spans="2:17" x14ac:dyDescent="0.3">
      <c r="B569" s="126"/>
      <c r="C569" s="583">
        <v>186</v>
      </c>
      <c r="D569" s="625" t="e">
        <f t="shared" si="28"/>
        <v>#VALUE!</v>
      </c>
      <c r="E569" s="591"/>
      <c r="F569" s="591"/>
      <c r="G569" s="591"/>
      <c r="H569" s="591"/>
      <c r="I569" s="591"/>
      <c r="J569" s="591"/>
      <c r="K569" s="542"/>
      <c r="O569" s="1134"/>
      <c r="Q569" s="1133"/>
    </row>
    <row r="570" spans="2:17" x14ac:dyDescent="0.3">
      <c r="B570" s="126"/>
      <c r="C570" s="583">
        <v>187</v>
      </c>
      <c r="D570" s="625" t="e">
        <f t="shared" si="28"/>
        <v>#VALUE!</v>
      </c>
      <c r="E570" s="591"/>
      <c r="F570" s="591"/>
      <c r="G570" s="591"/>
      <c r="H570" s="591"/>
      <c r="I570" s="591"/>
      <c r="J570" s="591"/>
      <c r="K570" s="542"/>
      <c r="O570" s="1134"/>
      <c r="Q570" s="1133"/>
    </row>
    <row r="571" spans="2:17" x14ac:dyDescent="0.3">
      <c r="B571" s="126"/>
      <c r="C571" s="583">
        <v>188</v>
      </c>
      <c r="D571" s="625" t="e">
        <f t="shared" si="28"/>
        <v>#VALUE!</v>
      </c>
      <c r="E571" s="591"/>
      <c r="F571" s="591"/>
      <c r="G571" s="591"/>
      <c r="H571" s="591"/>
      <c r="I571" s="591"/>
      <c r="J571" s="591"/>
      <c r="K571" s="542"/>
      <c r="O571" s="1134"/>
      <c r="Q571" s="1133"/>
    </row>
    <row r="572" spans="2:17" x14ac:dyDescent="0.3">
      <c r="B572" s="126"/>
      <c r="C572" s="583">
        <v>189</v>
      </c>
      <c r="D572" s="625" t="e">
        <f t="shared" si="28"/>
        <v>#VALUE!</v>
      </c>
      <c r="E572" s="591"/>
      <c r="F572" s="591"/>
      <c r="G572" s="591"/>
      <c r="H572" s="591"/>
      <c r="I572" s="591"/>
      <c r="J572" s="591"/>
      <c r="K572" s="542"/>
      <c r="O572" s="1134"/>
      <c r="Q572" s="1133"/>
    </row>
    <row r="573" spans="2:17" x14ac:dyDescent="0.3">
      <c r="B573" s="126"/>
      <c r="C573" s="583">
        <v>190</v>
      </c>
      <c r="D573" s="625" t="e">
        <f t="shared" si="28"/>
        <v>#VALUE!</v>
      </c>
      <c r="E573" s="591"/>
      <c r="F573" s="591"/>
      <c r="G573" s="591"/>
      <c r="H573" s="591"/>
      <c r="I573" s="591"/>
      <c r="J573" s="591"/>
      <c r="K573" s="542"/>
      <c r="O573" s="1134"/>
      <c r="Q573" s="1133"/>
    </row>
    <row r="574" spans="2:17" x14ac:dyDescent="0.3">
      <c r="B574" s="126"/>
      <c r="C574" s="583">
        <v>191</v>
      </c>
      <c r="D574" s="625" t="e">
        <f t="shared" si="28"/>
        <v>#VALUE!</v>
      </c>
      <c r="E574" s="591"/>
      <c r="F574" s="591"/>
      <c r="G574" s="591"/>
      <c r="H574" s="591"/>
      <c r="I574" s="591"/>
      <c r="J574" s="591"/>
      <c r="K574" s="542"/>
      <c r="O574" s="1134"/>
      <c r="Q574" s="1133"/>
    </row>
    <row r="575" spans="2:17" x14ac:dyDescent="0.3">
      <c r="B575" s="126"/>
      <c r="C575" s="583">
        <v>192</v>
      </c>
      <c r="D575" s="625" t="e">
        <f t="shared" ref="D575:D638" si="29">$C$362*C575</f>
        <v>#VALUE!</v>
      </c>
      <c r="E575" s="591"/>
      <c r="F575" s="591"/>
      <c r="G575" s="591"/>
      <c r="H575" s="591"/>
      <c r="I575" s="591"/>
      <c r="J575" s="591"/>
      <c r="K575" s="542"/>
      <c r="O575" s="1134"/>
      <c r="Q575" s="1133"/>
    </row>
    <row r="576" spans="2:17" x14ac:dyDescent="0.3">
      <c r="B576" s="126"/>
      <c r="C576" s="583">
        <v>193</v>
      </c>
      <c r="D576" s="625" t="e">
        <f t="shared" si="29"/>
        <v>#VALUE!</v>
      </c>
      <c r="E576" s="591"/>
      <c r="F576" s="591"/>
      <c r="G576" s="591"/>
      <c r="H576" s="591"/>
      <c r="I576" s="591"/>
      <c r="J576" s="591"/>
      <c r="K576" s="542"/>
      <c r="O576" s="1134"/>
      <c r="Q576" s="1133"/>
    </row>
    <row r="577" spans="2:17" x14ac:dyDescent="0.3">
      <c r="B577" s="126"/>
      <c r="C577" s="583">
        <v>194</v>
      </c>
      <c r="D577" s="625" t="e">
        <f t="shared" si="29"/>
        <v>#VALUE!</v>
      </c>
      <c r="E577" s="591"/>
      <c r="F577" s="591"/>
      <c r="G577" s="591"/>
      <c r="H577" s="591"/>
      <c r="I577" s="591"/>
      <c r="J577" s="591"/>
      <c r="K577" s="542"/>
      <c r="O577" s="1134"/>
      <c r="Q577" s="1133"/>
    </row>
    <row r="578" spans="2:17" x14ac:dyDescent="0.3">
      <c r="B578" s="126"/>
      <c r="C578" s="583">
        <v>195</v>
      </c>
      <c r="D578" s="625" t="e">
        <f t="shared" si="29"/>
        <v>#VALUE!</v>
      </c>
      <c r="E578" s="591"/>
      <c r="F578" s="591"/>
      <c r="G578" s="591"/>
      <c r="H578" s="591"/>
      <c r="I578" s="591"/>
      <c r="J578" s="591"/>
      <c r="K578" s="542"/>
      <c r="O578" s="1134"/>
      <c r="Q578" s="1133"/>
    </row>
    <row r="579" spans="2:17" x14ac:dyDescent="0.3">
      <c r="B579" s="126"/>
      <c r="C579" s="583">
        <v>196</v>
      </c>
      <c r="D579" s="625" t="e">
        <f t="shared" si="29"/>
        <v>#VALUE!</v>
      </c>
      <c r="E579" s="591"/>
      <c r="F579" s="591"/>
      <c r="G579" s="591"/>
      <c r="H579" s="591"/>
      <c r="I579" s="591"/>
      <c r="J579" s="591"/>
      <c r="K579" s="542"/>
      <c r="O579" s="1134"/>
      <c r="Q579" s="1133"/>
    </row>
    <row r="580" spans="2:17" x14ac:dyDescent="0.3">
      <c r="B580" s="126"/>
      <c r="C580" s="583">
        <v>197</v>
      </c>
      <c r="D580" s="625" t="e">
        <f t="shared" si="29"/>
        <v>#VALUE!</v>
      </c>
      <c r="E580" s="591"/>
      <c r="F580" s="591"/>
      <c r="G580" s="591"/>
      <c r="H580" s="591"/>
      <c r="I580" s="591"/>
      <c r="J580" s="591"/>
      <c r="K580" s="542"/>
      <c r="O580" s="1134"/>
      <c r="Q580" s="1133"/>
    </row>
    <row r="581" spans="2:17" x14ac:dyDescent="0.3">
      <c r="B581" s="126"/>
      <c r="C581" s="583">
        <v>198</v>
      </c>
      <c r="D581" s="625" t="e">
        <f t="shared" si="29"/>
        <v>#VALUE!</v>
      </c>
      <c r="E581" s="591"/>
      <c r="F581" s="591"/>
      <c r="G581" s="591"/>
      <c r="H581" s="591"/>
      <c r="I581" s="591"/>
      <c r="J581" s="591"/>
      <c r="K581" s="542"/>
      <c r="O581" s="1134"/>
      <c r="Q581" s="1133"/>
    </row>
    <row r="582" spans="2:17" x14ac:dyDescent="0.3">
      <c r="B582" s="126"/>
      <c r="C582" s="583">
        <v>199</v>
      </c>
      <c r="D582" s="625" t="e">
        <f t="shared" si="29"/>
        <v>#VALUE!</v>
      </c>
      <c r="E582" s="591"/>
      <c r="F582" s="591"/>
      <c r="G582" s="591"/>
      <c r="H582" s="591"/>
      <c r="I582" s="591"/>
      <c r="J582" s="591"/>
      <c r="K582" s="542"/>
      <c r="O582" s="1134"/>
      <c r="Q582" s="1133"/>
    </row>
    <row r="583" spans="2:17" x14ac:dyDescent="0.3">
      <c r="B583" s="126"/>
      <c r="C583" s="583">
        <v>200</v>
      </c>
      <c r="D583" s="625" t="e">
        <f t="shared" si="29"/>
        <v>#VALUE!</v>
      </c>
      <c r="E583" s="591"/>
      <c r="F583" s="591"/>
      <c r="G583" s="591"/>
      <c r="H583" s="591"/>
      <c r="I583" s="591"/>
      <c r="J583" s="591"/>
      <c r="K583" s="542"/>
      <c r="O583" s="1134"/>
      <c r="Q583" s="1133"/>
    </row>
    <row r="584" spans="2:17" x14ac:dyDescent="0.3">
      <c r="B584" s="126"/>
      <c r="C584" s="583">
        <v>201</v>
      </c>
      <c r="D584" s="625" t="e">
        <f t="shared" si="29"/>
        <v>#VALUE!</v>
      </c>
      <c r="E584" s="591"/>
      <c r="F584" s="591"/>
      <c r="G584" s="591"/>
      <c r="H584" s="591"/>
      <c r="I584" s="591"/>
      <c r="J584" s="591"/>
      <c r="K584" s="542"/>
      <c r="O584" s="1134"/>
      <c r="Q584" s="1133"/>
    </row>
    <row r="585" spans="2:17" x14ac:dyDescent="0.3">
      <c r="B585" s="126"/>
      <c r="C585" s="583">
        <v>202</v>
      </c>
      <c r="D585" s="625" t="e">
        <f t="shared" si="29"/>
        <v>#VALUE!</v>
      </c>
      <c r="E585" s="591"/>
      <c r="F585" s="591"/>
      <c r="G585" s="591"/>
      <c r="H585" s="591"/>
      <c r="I585" s="591"/>
      <c r="J585" s="591"/>
      <c r="K585" s="542"/>
      <c r="O585" s="1134"/>
      <c r="Q585" s="1133"/>
    </row>
    <row r="586" spans="2:17" x14ac:dyDescent="0.3">
      <c r="B586" s="126"/>
      <c r="C586" s="583">
        <v>203</v>
      </c>
      <c r="D586" s="625" t="e">
        <f t="shared" si="29"/>
        <v>#VALUE!</v>
      </c>
      <c r="E586" s="591"/>
      <c r="F586" s="591"/>
      <c r="G586" s="591"/>
      <c r="H586" s="591"/>
      <c r="I586" s="591"/>
      <c r="J586" s="591"/>
      <c r="K586" s="542"/>
      <c r="O586" s="1134"/>
      <c r="Q586" s="1133"/>
    </row>
    <row r="587" spans="2:17" x14ac:dyDescent="0.3">
      <c r="B587" s="126"/>
      <c r="C587" s="583">
        <v>204</v>
      </c>
      <c r="D587" s="625" t="e">
        <f t="shared" si="29"/>
        <v>#VALUE!</v>
      </c>
      <c r="E587" s="591"/>
      <c r="F587" s="591"/>
      <c r="G587" s="591"/>
      <c r="H587" s="591"/>
      <c r="I587" s="591"/>
      <c r="J587" s="591"/>
      <c r="K587" s="542"/>
      <c r="O587" s="1134"/>
      <c r="Q587" s="1133"/>
    </row>
    <row r="588" spans="2:17" x14ac:dyDescent="0.3">
      <c r="B588" s="126"/>
      <c r="C588" s="583">
        <v>205</v>
      </c>
      <c r="D588" s="625" t="e">
        <f t="shared" si="29"/>
        <v>#VALUE!</v>
      </c>
      <c r="E588" s="591"/>
      <c r="F588" s="591"/>
      <c r="G588" s="591"/>
      <c r="H588" s="591"/>
      <c r="I588" s="591"/>
      <c r="J588" s="591"/>
      <c r="K588" s="542"/>
      <c r="O588" s="1134"/>
      <c r="Q588" s="1133"/>
    </row>
    <row r="589" spans="2:17" x14ac:dyDescent="0.3">
      <c r="B589" s="126"/>
      <c r="C589" s="583">
        <v>206</v>
      </c>
      <c r="D589" s="625" t="e">
        <f t="shared" si="29"/>
        <v>#VALUE!</v>
      </c>
      <c r="E589" s="591"/>
      <c r="F589" s="591"/>
      <c r="G589" s="591"/>
      <c r="H589" s="591"/>
      <c r="I589" s="591"/>
      <c r="J589" s="591"/>
      <c r="K589" s="542"/>
      <c r="O589" s="1134"/>
      <c r="Q589" s="1133"/>
    </row>
    <row r="590" spans="2:17" x14ac:dyDescent="0.3">
      <c r="B590" s="126"/>
      <c r="C590" s="583">
        <v>207</v>
      </c>
      <c r="D590" s="625" t="e">
        <f t="shared" si="29"/>
        <v>#VALUE!</v>
      </c>
      <c r="E590" s="591"/>
      <c r="F590" s="591"/>
      <c r="G590" s="591"/>
      <c r="H590" s="591"/>
      <c r="I590" s="591"/>
      <c r="J590" s="591"/>
      <c r="K590" s="542"/>
      <c r="O590" s="1134"/>
      <c r="Q590" s="1133"/>
    </row>
    <row r="591" spans="2:17" x14ac:dyDescent="0.3">
      <c r="B591" s="126"/>
      <c r="C591" s="583">
        <v>208</v>
      </c>
      <c r="D591" s="625" t="e">
        <f t="shared" si="29"/>
        <v>#VALUE!</v>
      </c>
      <c r="E591" s="591"/>
      <c r="F591" s="591"/>
      <c r="G591" s="591"/>
      <c r="H591" s="591"/>
      <c r="I591" s="591"/>
      <c r="J591" s="591"/>
      <c r="K591" s="542"/>
      <c r="O591" s="1134"/>
      <c r="Q591" s="1133"/>
    </row>
    <row r="592" spans="2:17" x14ac:dyDescent="0.3">
      <c r="B592" s="126"/>
      <c r="C592" s="583">
        <v>209</v>
      </c>
      <c r="D592" s="625" t="e">
        <f t="shared" si="29"/>
        <v>#VALUE!</v>
      </c>
      <c r="E592" s="591"/>
      <c r="F592" s="591"/>
      <c r="G592" s="591"/>
      <c r="H592" s="591"/>
      <c r="I592" s="591"/>
      <c r="J592" s="591"/>
      <c r="K592" s="542"/>
      <c r="O592" s="1134"/>
      <c r="Q592" s="1133"/>
    </row>
    <row r="593" spans="2:17" x14ac:dyDescent="0.3">
      <c r="B593" s="126"/>
      <c r="C593" s="583">
        <v>210</v>
      </c>
      <c r="D593" s="625" t="e">
        <f t="shared" si="29"/>
        <v>#VALUE!</v>
      </c>
      <c r="E593" s="591"/>
      <c r="F593" s="591"/>
      <c r="G593" s="591"/>
      <c r="H593" s="591"/>
      <c r="I593" s="591"/>
      <c r="J593" s="591"/>
      <c r="K593" s="542"/>
      <c r="O593" s="1134"/>
      <c r="Q593" s="1133"/>
    </row>
    <row r="594" spans="2:17" x14ac:dyDescent="0.3">
      <c r="B594" s="126"/>
      <c r="C594" s="583">
        <v>211</v>
      </c>
      <c r="D594" s="625" t="e">
        <f t="shared" si="29"/>
        <v>#VALUE!</v>
      </c>
      <c r="E594" s="591"/>
      <c r="F594" s="591"/>
      <c r="G594" s="591"/>
      <c r="H594" s="591"/>
      <c r="I594" s="591"/>
      <c r="J594" s="591"/>
      <c r="K594" s="542"/>
      <c r="O594" s="1134"/>
      <c r="Q594" s="1133"/>
    </row>
    <row r="595" spans="2:17" x14ac:dyDescent="0.3">
      <c r="B595" s="126"/>
      <c r="C595" s="583">
        <v>212</v>
      </c>
      <c r="D595" s="625" t="e">
        <f t="shared" si="29"/>
        <v>#VALUE!</v>
      </c>
      <c r="E595" s="591"/>
      <c r="F595" s="591"/>
      <c r="G595" s="591"/>
      <c r="H595" s="591"/>
      <c r="I595" s="591"/>
      <c r="J595" s="591"/>
      <c r="K595" s="542"/>
      <c r="O595" s="1134"/>
      <c r="Q595" s="1133"/>
    </row>
    <row r="596" spans="2:17" x14ac:dyDescent="0.3">
      <c r="B596" s="126"/>
      <c r="C596" s="583">
        <v>213</v>
      </c>
      <c r="D596" s="625" t="e">
        <f t="shared" si="29"/>
        <v>#VALUE!</v>
      </c>
      <c r="E596" s="591"/>
      <c r="F596" s="591"/>
      <c r="G596" s="591"/>
      <c r="H596" s="591"/>
      <c r="I596" s="591"/>
      <c r="J596" s="591"/>
      <c r="K596" s="542"/>
      <c r="O596" s="1134"/>
      <c r="Q596" s="1133"/>
    </row>
    <row r="597" spans="2:17" x14ac:dyDescent="0.3">
      <c r="B597" s="126"/>
      <c r="C597" s="583">
        <v>214</v>
      </c>
      <c r="D597" s="625" t="e">
        <f t="shared" si="29"/>
        <v>#VALUE!</v>
      </c>
      <c r="E597" s="591"/>
      <c r="F597" s="591"/>
      <c r="G597" s="591"/>
      <c r="H597" s="591"/>
      <c r="I597" s="591"/>
      <c r="J597" s="591"/>
      <c r="K597" s="542"/>
      <c r="O597" s="1134"/>
      <c r="Q597" s="1133"/>
    </row>
    <row r="598" spans="2:17" x14ac:dyDescent="0.3">
      <c r="B598" s="126"/>
      <c r="C598" s="583">
        <v>215</v>
      </c>
      <c r="D598" s="625" t="e">
        <f t="shared" si="29"/>
        <v>#VALUE!</v>
      </c>
      <c r="E598" s="591"/>
      <c r="F598" s="591"/>
      <c r="G598" s="591"/>
      <c r="H598" s="591"/>
      <c r="I598" s="591"/>
      <c r="J598" s="591"/>
      <c r="K598" s="542"/>
      <c r="O598" s="1134"/>
      <c r="Q598" s="1133"/>
    </row>
    <row r="599" spans="2:17" x14ac:dyDescent="0.3">
      <c r="B599" s="126"/>
      <c r="C599" s="583">
        <v>216</v>
      </c>
      <c r="D599" s="625" t="e">
        <f t="shared" si="29"/>
        <v>#VALUE!</v>
      </c>
      <c r="E599" s="591"/>
      <c r="F599" s="591"/>
      <c r="G599" s="591"/>
      <c r="H599" s="591"/>
      <c r="I599" s="591"/>
      <c r="J599" s="591"/>
      <c r="K599" s="542"/>
      <c r="O599" s="1134"/>
      <c r="Q599" s="1133"/>
    </row>
    <row r="600" spans="2:17" x14ac:dyDescent="0.3">
      <c r="B600" s="126"/>
      <c r="C600" s="583">
        <v>217</v>
      </c>
      <c r="D600" s="625" t="e">
        <f t="shared" si="29"/>
        <v>#VALUE!</v>
      </c>
      <c r="E600" s="591"/>
      <c r="F600" s="591"/>
      <c r="G600" s="591"/>
      <c r="H600" s="591"/>
      <c r="I600" s="591"/>
      <c r="J600" s="591"/>
      <c r="K600" s="542"/>
      <c r="O600" s="1134"/>
      <c r="Q600" s="1133"/>
    </row>
    <row r="601" spans="2:17" x14ac:dyDescent="0.3">
      <c r="B601" s="126"/>
      <c r="C601" s="583">
        <v>218</v>
      </c>
      <c r="D601" s="625" t="e">
        <f t="shared" si="29"/>
        <v>#VALUE!</v>
      </c>
      <c r="E601" s="591"/>
      <c r="F601" s="591"/>
      <c r="G601" s="591"/>
      <c r="H601" s="591"/>
      <c r="I601" s="591"/>
      <c r="J601" s="591"/>
      <c r="K601" s="542"/>
      <c r="O601" s="1134"/>
      <c r="Q601" s="1133"/>
    </row>
    <row r="602" spans="2:17" x14ac:dyDescent="0.3">
      <c r="B602" s="126"/>
      <c r="C602" s="583">
        <v>219</v>
      </c>
      <c r="D602" s="625" t="e">
        <f t="shared" si="29"/>
        <v>#VALUE!</v>
      </c>
      <c r="E602" s="591"/>
      <c r="F602" s="591"/>
      <c r="G602" s="591"/>
      <c r="H602" s="591"/>
      <c r="I602" s="591"/>
      <c r="J602" s="591"/>
      <c r="K602" s="542"/>
      <c r="O602" s="1134"/>
      <c r="Q602" s="1133"/>
    </row>
    <row r="603" spans="2:17" x14ac:dyDescent="0.3">
      <c r="B603" s="126"/>
      <c r="C603" s="583">
        <v>220</v>
      </c>
      <c r="D603" s="625" t="e">
        <f t="shared" si="29"/>
        <v>#VALUE!</v>
      </c>
      <c r="E603" s="591"/>
      <c r="F603" s="591"/>
      <c r="G603" s="591"/>
      <c r="H603" s="591"/>
      <c r="I603" s="591"/>
      <c r="J603" s="591"/>
      <c r="K603" s="542"/>
      <c r="O603" s="1134"/>
      <c r="Q603" s="1133"/>
    </row>
    <row r="604" spans="2:17" x14ac:dyDescent="0.3">
      <c r="B604" s="126"/>
      <c r="C604" s="583">
        <v>221</v>
      </c>
      <c r="D604" s="625" t="e">
        <f t="shared" si="29"/>
        <v>#VALUE!</v>
      </c>
      <c r="E604" s="591"/>
      <c r="F604" s="591"/>
      <c r="G604" s="591"/>
      <c r="H604" s="591"/>
      <c r="I604" s="591"/>
      <c r="J604" s="591"/>
      <c r="K604" s="542"/>
      <c r="O604" s="1134"/>
      <c r="Q604" s="1133"/>
    </row>
    <row r="605" spans="2:17" x14ac:dyDescent="0.3">
      <c r="B605" s="126"/>
      <c r="C605" s="583">
        <v>222</v>
      </c>
      <c r="D605" s="625" t="e">
        <f t="shared" si="29"/>
        <v>#VALUE!</v>
      </c>
      <c r="E605" s="591"/>
      <c r="F605" s="591"/>
      <c r="G605" s="591"/>
      <c r="H605" s="591"/>
      <c r="I605" s="591"/>
      <c r="J605" s="591"/>
      <c r="K605" s="542"/>
      <c r="O605" s="1134"/>
      <c r="Q605" s="1133"/>
    </row>
    <row r="606" spans="2:17" x14ac:dyDescent="0.3">
      <c r="B606" s="126"/>
      <c r="C606" s="583">
        <v>223</v>
      </c>
      <c r="D606" s="625" t="e">
        <f t="shared" si="29"/>
        <v>#VALUE!</v>
      </c>
      <c r="E606" s="591"/>
      <c r="F606" s="591"/>
      <c r="G606" s="591"/>
      <c r="H606" s="591"/>
      <c r="I606" s="591"/>
      <c r="J606" s="591"/>
      <c r="K606" s="542"/>
      <c r="O606" s="1134"/>
      <c r="Q606" s="1133"/>
    </row>
    <row r="607" spans="2:17" x14ac:dyDescent="0.3">
      <c r="B607" s="126"/>
      <c r="C607" s="583">
        <v>224</v>
      </c>
      <c r="D607" s="625" t="e">
        <f t="shared" si="29"/>
        <v>#VALUE!</v>
      </c>
      <c r="E607" s="591"/>
      <c r="F607" s="591"/>
      <c r="G607" s="591"/>
      <c r="H607" s="591"/>
      <c r="I607" s="591"/>
      <c r="J607" s="591"/>
      <c r="K607" s="542"/>
      <c r="O607" s="1134"/>
      <c r="Q607" s="1133"/>
    </row>
    <row r="608" spans="2:17" x14ac:dyDescent="0.3">
      <c r="B608" s="126"/>
      <c r="C608" s="583">
        <v>225</v>
      </c>
      <c r="D608" s="625" t="e">
        <f t="shared" si="29"/>
        <v>#VALUE!</v>
      </c>
      <c r="E608" s="591"/>
      <c r="F608" s="591"/>
      <c r="G608" s="591"/>
      <c r="H608" s="591"/>
      <c r="I608" s="591"/>
      <c r="J608" s="591"/>
      <c r="K608" s="542"/>
      <c r="O608" s="1134"/>
      <c r="Q608" s="1133"/>
    </row>
    <row r="609" spans="2:17" x14ac:dyDescent="0.3">
      <c r="B609" s="126"/>
      <c r="C609" s="583">
        <v>226</v>
      </c>
      <c r="D609" s="625" t="e">
        <f t="shared" si="29"/>
        <v>#VALUE!</v>
      </c>
      <c r="E609" s="591"/>
      <c r="F609" s="591"/>
      <c r="G609" s="591"/>
      <c r="H609" s="591"/>
      <c r="I609" s="591"/>
      <c r="J609" s="591"/>
      <c r="K609" s="542"/>
      <c r="O609" s="1134"/>
      <c r="Q609" s="1133"/>
    </row>
    <row r="610" spans="2:17" x14ac:dyDescent="0.3">
      <c r="B610" s="126"/>
      <c r="C610" s="583">
        <v>227</v>
      </c>
      <c r="D610" s="625" t="e">
        <f t="shared" si="29"/>
        <v>#VALUE!</v>
      </c>
      <c r="E610" s="591"/>
      <c r="F610" s="591"/>
      <c r="G610" s="591"/>
      <c r="H610" s="591"/>
      <c r="I610" s="591"/>
      <c r="J610" s="591"/>
      <c r="K610" s="542"/>
      <c r="O610" s="1134"/>
      <c r="Q610" s="1133"/>
    </row>
    <row r="611" spans="2:17" x14ac:dyDescent="0.3">
      <c r="B611" s="126"/>
      <c r="C611" s="583">
        <v>228</v>
      </c>
      <c r="D611" s="625" t="e">
        <f t="shared" si="29"/>
        <v>#VALUE!</v>
      </c>
      <c r="E611" s="591"/>
      <c r="F611" s="591"/>
      <c r="G611" s="591"/>
      <c r="H611" s="591"/>
      <c r="I611" s="591"/>
      <c r="J611" s="591"/>
      <c r="K611" s="542"/>
      <c r="O611" s="1134"/>
      <c r="Q611" s="1133"/>
    </row>
    <row r="612" spans="2:17" x14ac:dyDescent="0.3">
      <c r="B612" s="126"/>
      <c r="C612" s="583">
        <v>229</v>
      </c>
      <c r="D612" s="625" t="e">
        <f t="shared" si="29"/>
        <v>#VALUE!</v>
      </c>
      <c r="E612" s="591"/>
      <c r="F612" s="591"/>
      <c r="G612" s="591"/>
      <c r="H612" s="591"/>
      <c r="I612" s="591"/>
      <c r="J612" s="591"/>
      <c r="K612" s="542"/>
      <c r="O612" s="1134"/>
      <c r="Q612" s="1133"/>
    </row>
    <row r="613" spans="2:17" x14ac:dyDescent="0.3">
      <c r="B613" s="126"/>
      <c r="C613" s="583">
        <v>230</v>
      </c>
      <c r="D613" s="625" t="e">
        <f t="shared" si="29"/>
        <v>#VALUE!</v>
      </c>
      <c r="E613" s="591"/>
      <c r="F613" s="591"/>
      <c r="G613" s="591"/>
      <c r="H613" s="591"/>
      <c r="I613" s="591"/>
      <c r="J613" s="591"/>
      <c r="K613" s="542"/>
      <c r="O613" s="1134"/>
      <c r="Q613" s="1133"/>
    </row>
    <row r="614" spans="2:17" x14ac:dyDescent="0.3">
      <c r="B614" s="126"/>
      <c r="C614" s="583">
        <v>231</v>
      </c>
      <c r="D614" s="625" t="e">
        <f t="shared" si="29"/>
        <v>#VALUE!</v>
      </c>
      <c r="E614" s="591"/>
      <c r="F614" s="591"/>
      <c r="G614" s="591"/>
      <c r="H614" s="591"/>
      <c r="I614" s="591"/>
      <c r="J614" s="591"/>
      <c r="K614" s="542"/>
      <c r="O614" s="1134"/>
      <c r="Q614" s="1133"/>
    </row>
    <row r="615" spans="2:17" x14ac:dyDescent="0.3">
      <c r="B615" s="126"/>
      <c r="C615" s="583">
        <v>232</v>
      </c>
      <c r="D615" s="625" t="e">
        <f t="shared" si="29"/>
        <v>#VALUE!</v>
      </c>
      <c r="E615" s="591"/>
      <c r="F615" s="591"/>
      <c r="G615" s="591"/>
      <c r="H615" s="591"/>
      <c r="I615" s="591"/>
      <c r="J615" s="591"/>
      <c r="K615" s="542"/>
      <c r="O615" s="1134"/>
      <c r="Q615" s="1133"/>
    </row>
    <row r="616" spans="2:17" x14ac:dyDescent="0.3">
      <c r="B616" s="126"/>
      <c r="C616" s="583">
        <v>233</v>
      </c>
      <c r="D616" s="625" t="e">
        <f t="shared" si="29"/>
        <v>#VALUE!</v>
      </c>
      <c r="E616" s="591"/>
      <c r="F616" s="591"/>
      <c r="G616" s="591"/>
      <c r="H616" s="591"/>
      <c r="I616" s="591"/>
      <c r="J616" s="591"/>
      <c r="K616" s="542"/>
      <c r="O616" s="1134"/>
      <c r="Q616" s="1133"/>
    </row>
    <row r="617" spans="2:17" x14ac:dyDescent="0.3">
      <c r="B617" s="126"/>
      <c r="C617" s="583">
        <v>234</v>
      </c>
      <c r="D617" s="625" t="e">
        <f t="shared" si="29"/>
        <v>#VALUE!</v>
      </c>
      <c r="E617" s="591"/>
      <c r="F617" s="591"/>
      <c r="G617" s="591"/>
      <c r="H617" s="591"/>
      <c r="I617" s="591"/>
      <c r="J617" s="591"/>
      <c r="K617" s="542"/>
      <c r="O617" s="1134"/>
      <c r="Q617" s="1133"/>
    </row>
    <row r="618" spans="2:17" x14ac:dyDescent="0.3">
      <c r="B618" s="126"/>
      <c r="C618" s="583">
        <v>235</v>
      </c>
      <c r="D618" s="625" t="e">
        <f t="shared" si="29"/>
        <v>#VALUE!</v>
      </c>
      <c r="E618" s="591"/>
      <c r="F618" s="591"/>
      <c r="G618" s="591"/>
      <c r="H618" s="591"/>
      <c r="I618" s="591"/>
      <c r="J618" s="591"/>
      <c r="K618" s="542"/>
      <c r="O618" s="1134"/>
      <c r="Q618" s="1133"/>
    </row>
    <row r="619" spans="2:17" x14ac:dyDescent="0.3">
      <c r="B619" s="126"/>
      <c r="C619" s="583">
        <v>236</v>
      </c>
      <c r="D619" s="625" t="e">
        <f t="shared" si="29"/>
        <v>#VALUE!</v>
      </c>
      <c r="E619" s="591"/>
      <c r="F619" s="591"/>
      <c r="G619" s="591"/>
      <c r="H619" s="591"/>
      <c r="I619" s="591"/>
      <c r="J619" s="591"/>
      <c r="K619" s="542"/>
      <c r="O619" s="1134"/>
      <c r="Q619" s="1133"/>
    </row>
    <row r="620" spans="2:17" x14ac:dyDescent="0.3">
      <c r="B620" s="126"/>
      <c r="C620" s="583">
        <v>237</v>
      </c>
      <c r="D620" s="625" t="e">
        <f t="shared" si="29"/>
        <v>#VALUE!</v>
      </c>
      <c r="E620" s="591"/>
      <c r="F620" s="591"/>
      <c r="G620" s="591"/>
      <c r="H620" s="591"/>
      <c r="I620" s="591"/>
      <c r="J620" s="591"/>
      <c r="K620" s="542"/>
      <c r="O620" s="1134"/>
      <c r="Q620" s="1133"/>
    </row>
    <row r="621" spans="2:17" x14ac:dyDescent="0.3">
      <c r="B621" s="126"/>
      <c r="C621" s="583">
        <v>238</v>
      </c>
      <c r="D621" s="625" t="e">
        <f t="shared" si="29"/>
        <v>#VALUE!</v>
      </c>
      <c r="E621" s="591"/>
      <c r="F621" s="591"/>
      <c r="G621" s="591"/>
      <c r="H621" s="591"/>
      <c r="I621" s="591"/>
      <c r="J621" s="591"/>
      <c r="K621" s="542"/>
      <c r="O621" s="1134"/>
      <c r="Q621" s="1133"/>
    </row>
    <row r="622" spans="2:17" x14ac:dyDescent="0.3">
      <c r="B622" s="126"/>
      <c r="C622" s="583">
        <v>239</v>
      </c>
      <c r="D622" s="625" t="e">
        <f t="shared" si="29"/>
        <v>#VALUE!</v>
      </c>
      <c r="E622" s="591"/>
      <c r="F622" s="591"/>
      <c r="G622" s="591"/>
      <c r="H622" s="591"/>
      <c r="I622" s="591"/>
      <c r="J622" s="591"/>
      <c r="K622" s="542"/>
      <c r="O622" s="1134"/>
      <c r="Q622" s="1133"/>
    </row>
    <row r="623" spans="2:17" x14ac:dyDescent="0.3">
      <c r="B623" s="126"/>
      <c r="C623" s="583">
        <v>240</v>
      </c>
      <c r="D623" s="625" t="e">
        <f t="shared" si="29"/>
        <v>#VALUE!</v>
      </c>
      <c r="E623" s="591"/>
      <c r="F623" s="591"/>
      <c r="G623" s="591"/>
      <c r="H623" s="591"/>
      <c r="I623" s="591"/>
      <c r="J623" s="591"/>
      <c r="K623" s="542"/>
      <c r="O623" s="1134"/>
      <c r="Q623" s="1133"/>
    </row>
    <row r="624" spans="2:17" x14ac:dyDescent="0.3">
      <c r="B624" s="126"/>
      <c r="C624" s="583">
        <v>241</v>
      </c>
      <c r="D624" s="625" t="e">
        <f t="shared" si="29"/>
        <v>#VALUE!</v>
      </c>
      <c r="E624" s="591"/>
      <c r="F624" s="591"/>
      <c r="G624" s="591"/>
      <c r="H624" s="591"/>
      <c r="I624" s="591"/>
      <c r="J624" s="591"/>
      <c r="K624" s="542"/>
      <c r="O624" s="1134"/>
      <c r="Q624" s="1133"/>
    </row>
    <row r="625" spans="2:17" x14ac:dyDescent="0.3">
      <c r="B625" s="126"/>
      <c r="C625" s="583">
        <v>242</v>
      </c>
      <c r="D625" s="625" t="e">
        <f t="shared" si="29"/>
        <v>#VALUE!</v>
      </c>
      <c r="E625" s="591"/>
      <c r="F625" s="591"/>
      <c r="G625" s="591"/>
      <c r="H625" s="591"/>
      <c r="I625" s="591"/>
      <c r="J625" s="591"/>
      <c r="K625" s="542"/>
      <c r="O625" s="1134"/>
      <c r="Q625" s="1133"/>
    </row>
    <row r="626" spans="2:17" x14ac:dyDescent="0.3">
      <c r="B626" s="126"/>
      <c r="C626" s="583">
        <v>243</v>
      </c>
      <c r="D626" s="625" t="e">
        <f t="shared" si="29"/>
        <v>#VALUE!</v>
      </c>
      <c r="E626" s="591"/>
      <c r="F626" s="591"/>
      <c r="G626" s="591"/>
      <c r="H626" s="591"/>
      <c r="I626" s="591"/>
      <c r="J626" s="591"/>
      <c r="K626" s="542"/>
      <c r="O626" s="1134"/>
      <c r="Q626" s="1133"/>
    </row>
    <row r="627" spans="2:17" x14ac:dyDescent="0.3">
      <c r="B627" s="126"/>
      <c r="C627" s="583">
        <v>244</v>
      </c>
      <c r="D627" s="625" t="e">
        <f t="shared" si="29"/>
        <v>#VALUE!</v>
      </c>
      <c r="E627" s="591"/>
      <c r="F627" s="591"/>
      <c r="G627" s="591"/>
      <c r="H627" s="591"/>
      <c r="I627" s="591"/>
      <c r="J627" s="591"/>
      <c r="K627" s="542"/>
      <c r="O627" s="1134"/>
      <c r="Q627" s="1133"/>
    </row>
    <row r="628" spans="2:17" x14ac:dyDescent="0.3">
      <c r="B628" s="126"/>
      <c r="C628" s="583">
        <v>245</v>
      </c>
      <c r="D628" s="625" t="e">
        <f t="shared" si="29"/>
        <v>#VALUE!</v>
      </c>
      <c r="E628" s="591"/>
      <c r="F628" s="591"/>
      <c r="G628" s="591"/>
      <c r="H628" s="591"/>
      <c r="I628" s="591"/>
      <c r="J628" s="591"/>
      <c r="K628" s="542"/>
      <c r="O628" s="1134"/>
      <c r="Q628" s="1133"/>
    </row>
    <row r="629" spans="2:17" x14ac:dyDescent="0.3">
      <c r="B629" s="126"/>
      <c r="C629" s="583">
        <v>246</v>
      </c>
      <c r="D629" s="625" t="e">
        <f t="shared" si="29"/>
        <v>#VALUE!</v>
      </c>
      <c r="E629" s="591"/>
      <c r="F629" s="591"/>
      <c r="G629" s="591"/>
      <c r="H629" s="591"/>
      <c r="I629" s="591"/>
      <c r="J629" s="591"/>
      <c r="K629" s="542"/>
      <c r="O629" s="1134"/>
      <c r="Q629" s="1133"/>
    </row>
    <row r="630" spans="2:17" x14ac:dyDescent="0.3">
      <c r="B630" s="126"/>
      <c r="C630" s="583">
        <v>247</v>
      </c>
      <c r="D630" s="625" t="e">
        <f t="shared" si="29"/>
        <v>#VALUE!</v>
      </c>
      <c r="E630" s="591"/>
      <c r="F630" s="591"/>
      <c r="G630" s="591"/>
      <c r="H630" s="591"/>
      <c r="I630" s="591"/>
      <c r="J630" s="591"/>
      <c r="K630" s="542"/>
      <c r="O630" s="1134"/>
      <c r="Q630" s="1133"/>
    </row>
    <row r="631" spans="2:17" x14ac:dyDescent="0.3">
      <c r="B631" s="126"/>
      <c r="C631" s="583">
        <v>248</v>
      </c>
      <c r="D631" s="625" t="e">
        <f t="shared" si="29"/>
        <v>#VALUE!</v>
      </c>
      <c r="E631" s="591"/>
      <c r="F631" s="591"/>
      <c r="G631" s="591"/>
      <c r="H631" s="591"/>
      <c r="I631" s="591"/>
      <c r="J631" s="591"/>
      <c r="K631" s="542"/>
      <c r="O631" s="1134"/>
      <c r="Q631" s="1133"/>
    </row>
    <row r="632" spans="2:17" x14ac:dyDescent="0.3">
      <c r="B632" s="126"/>
      <c r="C632" s="583">
        <v>249</v>
      </c>
      <c r="D632" s="625" t="e">
        <f t="shared" si="29"/>
        <v>#VALUE!</v>
      </c>
      <c r="E632" s="591"/>
      <c r="F632" s="591"/>
      <c r="G632" s="591"/>
      <c r="H632" s="591"/>
      <c r="I632" s="591"/>
      <c r="J632" s="591"/>
      <c r="K632" s="542"/>
      <c r="O632" s="1134"/>
      <c r="Q632" s="1133"/>
    </row>
    <row r="633" spans="2:17" x14ac:dyDescent="0.3">
      <c r="B633" s="126"/>
      <c r="C633" s="583">
        <v>250</v>
      </c>
      <c r="D633" s="625" t="e">
        <f t="shared" si="29"/>
        <v>#VALUE!</v>
      </c>
      <c r="E633" s="591"/>
      <c r="F633" s="591"/>
      <c r="G633" s="591"/>
      <c r="H633" s="591"/>
      <c r="I633" s="591"/>
      <c r="J633" s="591"/>
      <c r="K633" s="542"/>
      <c r="O633" s="1134"/>
      <c r="Q633" s="1133"/>
    </row>
    <row r="634" spans="2:17" x14ac:dyDescent="0.3">
      <c r="B634" s="126"/>
      <c r="C634" s="583">
        <v>251</v>
      </c>
      <c r="D634" s="625" t="e">
        <f t="shared" si="29"/>
        <v>#VALUE!</v>
      </c>
      <c r="E634" s="591"/>
      <c r="F634" s="591"/>
      <c r="G634" s="591"/>
      <c r="H634" s="591"/>
      <c r="I634" s="591"/>
      <c r="J634" s="591"/>
      <c r="K634" s="542"/>
      <c r="O634" s="1134"/>
      <c r="Q634" s="1133"/>
    </row>
    <row r="635" spans="2:17" x14ac:dyDescent="0.3">
      <c r="B635" s="126"/>
      <c r="C635" s="583">
        <v>252</v>
      </c>
      <c r="D635" s="625" t="e">
        <f t="shared" si="29"/>
        <v>#VALUE!</v>
      </c>
      <c r="E635" s="591"/>
      <c r="F635" s="591"/>
      <c r="G635" s="591"/>
      <c r="H635" s="591"/>
      <c r="I635" s="591"/>
      <c r="J635" s="591"/>
      <c r="K635" s="542"/>
      <c r="O635" s="1134"/>
      <c r="Q635" s="1133"/>
    </row>
    <row r="636" spans="2:17" x14ac:dyDescent="0.3">
      <c r="B636" s="126"/>
      <c r="C636" s="583">
        <v>253</v>
      </c>
      <c r="D636" s="625" t="e">
        <f t="shared" si="29"/>
        <v>#VALUE!</v>
      </c>
      <c r="E636" s="591"/>
      <c r="F636" s="591"/>
      <c r="G636" s="591"/>
      <c r="H636" s="591"/>
      <c r="I636" s="591"/>
      <c r="J636" s="591"/>
      <c r="K636" s="542"/>
      <c r="O636" s="1134"/>
      <c r="Q636" s="1133"/>
    </row>
    <row r="637" spans="2:17" x14ac:dyDescent="0.3">
      <c r="B637" s="126"/>
      <c r="C637" s="583">
        <v>254</v>
      </c>
      <c r="D637" s="625" t="e">
        <f t="shared" si="29"/>
        <v>#VALUE!</v>
      </c>
      <c r="E637" s="591"/>
      <c r="F637" s="591"/>
      <c r="G637" s="591"/>
      <c r="H637" s="591"/>
      <c r="I637" s="591"/>
      <c r="J637" s="591"/>
      <c r="K637" s="542"/>
      <c r="O637" s="1134"/>
      <c r="Q637" s="1133"/>
    </row>
    <row r="638" spans="2:17" x14ac:dyDescent="0.3">
      <c r="B638" s="126"/>
      <c r="C638" s="583">
        <v>255</v>
      </c>
      <c r="D638" s="625" t="e">
        <f t="shared" si="29"/>
        <v>#VALUE!</v>
      </c>
      <c r="E638" s="591"/>
      <c r="F638" s="591"/>
      <c r="G638" s="591"/>
      <c r="H638" s="591"/>
      <c r="I638" s="591"/>
      <c r="J638" s="591"/>
      <c r="K638" s="542"/>
      <c r="O638" s="1134"/>
      <c r="Q638" s="1133"/>
    </row>
    <row r="639" spans="2:17" x14ac:dyDescent="0.3">
      <c r="B639" s="126"/>
      <c r="C639" s="583">
        <v>256</v>
      </c>
      <c r="D639" s="625" t="e">
        <f t="shared" ref="D639:D702" si="30">$C$362*C639</f>
        <v>#VALUE!</v>
      </c>
      <c r="E639" s="591"/>
      <c r="F639" s="591"/>
      <c r="G639" s="591"/>
      <c r="H639" s="591"/>
      <c r="I639" s="591"/>
      <c r="J639" s="591"/>
      <c r="K639" s="542"/>
      <c r="O639" s="1134"/>
      <c r="Q639" s="1133"/>
    </row>
    <row r="640" spans="2:17" x14ac:dyDescent="0.3">
      <c r="B640" s="126"/>
      <c r="C640" s="583">
        <v>257</v>
      </c>
      <c r="D640" s="625" t="e">
        <f t="shared" si="30"/>
        <v>#VALUE!</v>
      </c>
      <c r="E640" s="591"/>
      <c r="F640" s="591"/>
      <c r="G640" s="591"/>
      <c r="H640" s="591"/>
      <c r="I640" s="591"/>
      <c r="J640" s="591"/>
      <c r="K640" s="542"/>
      <c r="O640" s="1134"/>
      <c r="Q640" s="1133"/>
    </row>
    <row r="641" spans="2:17" x14ac:dyDescent="0.3">
      <c r="B641" s="126"/>
      <c r="C641" s="583">
        <v>258</v>
      </c>
      <c r="D641" s="625" t="e">
        <f t="shared" si="30"/>
        <v>#VALUE!</v>
      </c>
      <c r="E641" s="591"/>
      <c r="F641" s="591"/>
      <c r="G641" s="591"/>
      <c r="H641" s="591"/>
      <c r="I641" s="591"/>
      <c r="J641" s="591"/>
      <c r="K641" s="542"/>
      <c r="O641" s="1134"/>
      <c r="Q641" s="1133"/>
    </row>
    <row r="642" spans="2:17" x14ac:dyDescent="0.3">
      <c r="B642" s="126"/>
      <c r="C642" s="583">
        <v>259</v>
      </c>
      <c r="D642" s="625" t="e">
        <f t="shared" si="30"/>
        <v>#VALUE!</v>
      </c>
      <c r="E642" s="591"/>
      <c r="F642" s="591"/>
      <c r="G642" s="591"/>
      <c r="H642" s="591"/>
      <c r="I642" s="591"/>
      <c r="J642" s="591"/>
      <c r="K642" s="542"/>
      <c r="O642" s="1134"/>
      <c r="Q642" s="1133"/>
    </row>
    <row r="643" spans="2:17" x14ac:dyDescent="0.3">
      <c r="B643" s="126"/>
      <c r="C643" s="583">
        <v>260</v>
      </c>
      <c r="D643" s="625" t="e">
        <f t="shared" si="30"/>
        <v>#VALUE!</v>
      </c>
      <c r="E643" s="591"/>
      <c r="F643" s="591"/>
      <c r="G643" s="591"/>
      <c r="H643" s="591"/>
      <c r="I643" s="591"/>
      <c r="J643" s="591"/>
      <c r="K643" s="542"/>
      <c r="O643" s="1134"/>
      <c r="Q643" s="1133"/>
    </row>
    <row r="644" spans="2:17" x14ac:dyDescent="0.3">
      <c r="B644" s="126"/>
      <c r="C644" s="583">
        <v>261</v>
      </c>
      <c r="D644" s="625" t="e">
        <f t="shared" si="30"/>
        <v>#VALUE!</v>
      </c>
      <c r="E644" s="591"/>
      <c r="F644" s="591"/>
      <c r="G644" s="591"/>
      <c r="H644" s="591"/>
      <c r="I644" s="591"/>
      <c r="J644" s="591"/>
      <c r="K644" s="542"/>
      <c r="O644" s="1134"/>
      <c r="Q644" s="1133"/>
    </row>
    <row r="645" spans="2:17" x14ac:dyDescent="0.3">
      <c r="B645" s="126"/>
      <c r="C645" s="583">
        <v>262</v>
      </c>
      <c r="D645" s="625" t="e">
        <f t="shared" si="30"/>
        <v>#VALUE!</v>
      </c>
      <c r="E645" s="591"/>
      <c r="F645" s="591"/>
      <c r="G645" s="591"/>
      <c r="H645" s="591"/>
      <c r="I645" s="591"/>
      <c r="J645" s="591"/>
      <c r="K645" s="542"/>
      <c r="O645" s="1134"/>
      <c r="Q645" s="1133"/>
    </row>
    <row r="646" spans="2:17" x14ac:dyDescent="0.3">
      <c r="B646" s="126"/>
      <c r="C646" s="583">
        <v>263</v>
      </c>
      <c r="D646" s="625" t="e">
        <f t="shared" si="30"/>
        <v>#VALUE!</v>
      </c>
      <c r="E646" s="591"/>
      <c r="F646" s="591"/>
      <c r="G646" s="591"/>
      <c r="H646" s="591"/>
      <c r="I646" s="591"/>
      <c r="J646" s="591"/>
      <c r="K646" s="542"/>
      <c r="O646" s="1134"/>
      <c r="Q646" s="1133"/>
    </row>
    <row r="647" spans="2:17" x14ac:dyDescent="0.3">
      <c r="B647" s="126"/>
      <c r="C647" s="583">
        <v>264</v>
      </c>
      <c r="D647" s="625" t="e">
        <f t="shared" si="30"/>
        <v>#VALUE!</v>
      </c>
      <c r="E647" s="591"/>
      <c r="F647" s="591"/>
      <c r="G647" s="591"/>
      <c r="H647" s="591"/>
      <c r="I647" s="591"/>
      <c r="J647" s="591"/>
      <c r="K647" s="542"/>
      <c r="O647" s="1134"/>
      <c r="Q647" s="1133"/>
    </row>
    <row r="648" spans="2:17" x14ac:dyDescent="0.3">
      <c r="B648" s="126"/>
      <c r="C648" s="583">
        <v>265</v>
      </c>
      <c r="D648" s="625" t="e">
        <f t="shared" si="30"/>
        <v>#VALUE!</v>
      </c>
      <c r="E648" s="591"/>
      <c r="F648" s="591"/>
      <c r="G648" s="591"/>
      <c r="H648" s="591"/>
      <c r="I648" s="591"/>
      <c r="J648" s="591"/>
      <c r="K648" s="542"/>
      <c r="O648" s="1134"/>
      <c r="Q648" s="1133"/>
    </row>
    <row r="649" spans="2:17" x14ac:dyDescent="0.3">
      <c r="B649" s="126"/>
      <c r="C649" s="583">
        <v>266</v>
      </c>
      <c r="D649" s="625" t="e">
        <f t="shared" si="30"/>
        <v>#VALUE!</v>
      </c>
      <c r="E649" s="591"/>
      <c r="F649" s="591"/>
      <c r="G649" s="591"/>
      <c r="H649" s="591"/>
      <c r="I649" s="591"/>
      <c r="J649" s="591"/>
      <c r="K649" s="542"/>
      <c r="O649" s="1134"/>
      <c r="Q649" s="1133"/>
    </row>
    <row r="650" spans="2:17" x14ac:dyDescent="0.3">
      <c r="B650" s="126"/>
      <c r="C650" s="583">
        <v>267</v>
      </c>
      <c r="D650" s="625" t="e">
        <f t="shared" si="30"/>
        <v>#VALUE!</v>
      </c>
      <c r="E650" s="591"/>
      <c r="F650" s="591"/>
      <c r="G650" s="591"/>
      <c r="H650" s="591"/>
      <c r="I650" s="591"/>
      <c r="J650" s="591"/>
      <c r="K650" s="542"/>
      <c r="O650" s="1134"/>
      <c r="Q650" s="1133"/>
    </row>
    <row r="651" spans="2:17" x14ac:dyDescent="0.3">
      <c r="B651" s="126"/>
      <c r="C651" s="583">
        <v>268</v>
      </c>
      <c r="D651" s="625" t="e">
        <f t="shared" si="30"/>
        <v>#VALUE!</v>
      </c>
      <c r="E651" s="591"/>
      <c r="F651" s="591"/>
      <c r="G651" s="591"/>
      <c r="H651" s="591"/>
      <c r="I651" s="591"/>
      <c r="J651" s="591"/>
      <c r="K651" s="542"/>
      <c r="O651" s="1134"/>
      <c r="Q651" s="1133"/>
    </row>
    <row r="652" spans="2:17" x14ac:dyDescent="0.3">
      <c r="B652" s="126"/>
      <c r="C652" s="583">
        <v>269</v>
      </c>
      <c r="D652" s="625" t="e">
        <f t="shared" si="30"/>
        <v>#VALUE!</v>
      </c>
      <c r="E652" s="591"/>
      <c r="F652" s="591"/>
      <c r="G652" s="591"/>
      <c r="H652" s="591"/>
      <c r="I652" s="591"/>
      <c r="J652" s="591"/>
      <c r="K652" s="542"/>
      <c r="O652" s="1134"/>
      <c r="Q652" s="1133"/>
    </row>
    <row r="653" spans="2:17" x14ac:dyDescent="0.3">
      <c r="B653" s="126"/>
      <c r="C653" s="583">
        <v>270</v>
      </c>
      <c r="D653" s="625" t="e">
        <f t="shared" si="30"/>
        <v>#VALUE!</v>
      </c>
      <c r="E653" s="591"/>
      <c r="F653" s="591"/>
      <c r="G653" s="591"/>
      <c r="H653" s="591"/>
      <c r="I653" s="591"/>
      <c r="J653" s="591"/>
      <c r="K653" s="542"/>
      <c r="O653" s="1134"/>
      <c r="Q653" s="1133"/>
    </row>
    <row r="654" spans="2:17" x14ac:dyDescent="0.3">
      <c r="B654" s="126"/>
      <c r="C654" s="583">
        <v>271</v>
      </c>
      <c r="D654" s="625" t="e">
        <f t="shared" si="30"/>
        <v>#VALUE!</v>
      </c>
      <c r="E654" s="591"/>
      <c r="F654" s="591"/>
      <c r="G654" s="591"/>
      <c r="H654" s="591"/>
      <c r="I654" s="591"/>
      <c r="J654" s="591"/>
      <c r="K654" s="542"/>
      <c r="O654" s="1134"/>
      <c r="Q654" s="1133"/>
    </row>
    <row r="655" spans="2:17" x14ac:dyDescent="0.3">
      <c r="B655" s="126"/>
      <c r="C655" s="583">
        <v>272</v>
      </c>
      <c r="D655" s="625" t="e">
        <f t="shared" si="30"/>
        <v>#VALUE!</v>
      </c>
      <c r="E655" s="591"/>
      <c r="F655" s="591"/>
      <c r="G655" s="591"/>
      <c r="H655" s="591"/>
      <c r="I655" s="591"/>
      <c r="J655" s="591"/>
      <c r="K655" s="542"/>
      <c r="O655" s="1134"/>
      <c r="Q655" s="1133"/>
    </row>
    <row r="656" spans="2:17" x14ac:dyDescent="0.3">
      <c r="B656" s="126"/>
      <c r="C656" s="583">
        <v>273</v>
      </c>
      <c r="D656" s="625" t="e">
        <f t="shared" si="30"/>
        <v>#VALUE!</v>
      </c>
      <c r="E656" s="591"/>
      <c r="F656" s="591"/>
      <c r="G656" s="591"/>
      <c r="H656" s="591"/>
      <c r="I656" s="591"/>
      <c r="J656" s="591"/>
      <c r="K656" s="542"/>
      <c r="O656" s="1134"/>
      <c r="Q656" s="1133"/>
    </row>
    <row r="657" spans="2:17" x14ac:dyDescent="0.3">
      <c r="B657" s="126"/>
      <c r="C657" s="583">
        <v>274</v>
      </c>
      <c r="D657" s="625" t="e">
        <f t="shared" si="30"/>
        <v>#VALUE!</v>
      </c>
      <c r="E657" s="591"/>
      <c r="F657" s="591"/>
      <c r="G657" s="591"/>
      <c r="H657" s="591"/>
      <c r="I657" s="591"/>
      <c r="J657" s="591"/>
      <c r="K657" s="542"/>
      <c r="O657" s="1134"/>
      <c r="Q657" s="1133"/>
    </row>
    <row r="658" spans="2:17" x14ac:dyDescent="0.3">
      <c r="B658" s="126"/>
      <c r="C658" s="583">
        <v>275</v>
      </c>
      <c r="D658" s="625" t="e">
        <f t="shared" si="30"/>
        <v>#VALUE!</v>
      </c>
      <c r="E658" s="591"/>
      <c r="F658" s="591"/>
      <c r="G658" s="591"/>
      <c r="H658" s="591"/>
      <c r="I658" s="591"/>
      <c r="J658" s="591"/>
      <c r="K658" s="542"/>
      <c r="O658" s="1134"/>
      <c r="Q658" s="1133"/>
    </row>
    <row r="659" spans="2:17" x14ac:dyDescent="0.3">
      <c r="B659" s="126"/>
      <c r="C659" s="583">
        <v>276</v>
      </c>
      <c r="D659" s="625" t="e">
        <f t="shared" si="30"/>
        <v>#VALUE!</v>
      </c>
      <c r="E659" s="591"/>
      <c r="F659" s="591"/>
      <c r="G659" s="591"/>
      <c r="H659" s="591"/>
      <c r="I659" s="591"/>
      <c r="J659" s="591"/>
      <c r="K659" s="542"/>
      <c r="O659" s="1134"/>
      <c r="Q659" s="1133"/>
    </row>
    <row r="660" spans="2:17" x14ac:dyDescent="0.3">
      <c r="B660" s="126"/>
      <c r="C660" s="583">
        <v>277</v>
      </c>
      <c r="D660" s="625" t="e">
        <f t="shared" si="30"/>
        <v>#VALUE!</v>
      </c>
      <c r="E660" s="591"/>
      <c r="F660" s="591"/>
      <c r="G660" s="591"/>
      <c r="H660" s="591"/>
      <c r="I660" s="591"/>
      <c r="J660" s="591"/>
      <c r="K660" s="542"/>
      <c r="O660" s="1134"/>
      <c r="Q660" s="1133"/>
    </row>
    <row r="661" spans="2:17" x14ac:dyDescent="0.3">
      <c r="B661" s="126"/>
      <c r="C661" s="583">
        <v>278</v>
      </c>
      <c r="D661" s="625" t="e">
        <f t="shared" si="30"/>
        <v>#VALUE!</v>
      </c>
      <c r="E661" s="591"/>
      <c r="F661" s="591"/>
      <c r="G661" s="591"/>
      <c r="H661" s="591"/>
      <c r="I661" s="591"/>
      <c r="J661" s="591"/>
      <c r="K661" s="542"/>
      <c r="O661" s="1134"/>
      <c r="Q661" s="1133"/>
    </row>
    <row r="662" spans="2:17" x14ac:dyDescent="0.3">
      <c r="B662" s="126"/>
      <c r="C662" s="583">
        <v>279</v>
      </c>
      <c r="D662" s="625" t="e">
        <f t="shared" si="30"/>
        <v>#VALUE!</v>
      </c>
      <c r="E662" s="591"/>
      <c r="F662" s="591"/>
      <c r="G662" s="591"/>
      <c r="H662" s="591"/>
      <c r="I662" s="591"/>
      <c r="J662" s="591"/>
      <c r="K662" s="542"/>
      <c r="O662" s="1134"/>
      <c r="Q662" s="1133"/>
    </row>
    <row r="663" spans="2:17" x14ac:dyDescent="0.3">
      <c r="B663" s="126"/>
      <c r="C663" s="583">
        <v>280</v>
      </c>
      <c r="D663" s="625" t="e">
        <f t="shared" si="30"/>
        <v>#VALUE!</v>
      </c>
      <c r="E663" s="591"/>
      <c r="F663" s="591"/>
      <c r="G663" s="591"/>
      <c r="H663" s="591"/>
      <c r="I663" s="591"/>
      <c r="J663" s="591"/>
      <c r="K663" s="542"/>
      <c r="O663" s="1134"/>
      <c r="Q663" s="1133"/>
    </row>
    <row r="664" spans="2:17" x14ac:dyDescent="0.3">
      <c r="B664" s="126"/>
      <c r="C664" s="583">
        <v>281</v>
      </c>
      <c r="D664" s="625" t="e">
        <f t="shared" si="30"/>
        <v>#VALUE!</v>
      </c>
      <c r="E664" s="591"/>
      <c r="F664" s="591"/>
      <c r="G664" s="591"/>
      <c r="H664" s="591"/>
      <c r="I664" s="591"/>
      <c r="J664" s="591"/>
      <c r="K664" s="542"/>
      <c r="O664" s="1134"/>
      <c r="Q664" s="1133"/>
    </row>
    <row r="665" spans="2:17" x14ac:dyDescent="0.3">
      <c r="B665" s="126"/>
      <c r="C665" s="583">
        <v>282</v>
      </c>
      <c r="D665" s="625" t="e">
        <f t="shared" si="30"/>
        <v>#VALUE!</v>
      </c>
      <c r="E665" s="591"/>
      <c r="F665" s="591"/>
      <c r="G665" s="591"/>
      <c r="H665" s="591"/>
      <c r="I665" s="591"/>
      <c r="J665" s="591"/>
      <c r="K665" s="542"/>
      <c r="O665" s="1134"/>
      <c r="Q665" s="1133"/>
    </row>
    <row r="666" spans="2:17" x14ac:dyDescent="0.3">
      <c r="B666" s="126"/>
      <c r="C666" s="583">
        <v>283</v>
      </c>
      <c r="D666" s="625" t="e">
        <f t="shared" si="30"/>
        <v>#VALUE!</v>
      </c>
      <c r="E666" s="591"/>
      <c r="F666" s="591"/>
      <c r="G666" s="591"/>
      <c r="H666" s="591"/>
      <c r="I666" s="591"/>
      <c r="J666" s="591"/>
      <c r="K666" s="542"/>
      <c r="O666" s="1134"/>
      <c r="Q666" s="1133"/>
    </row>
    <row r="667" spans="2:17" x14ac:dyDescent="0.3">
      <c r="B667" s="126"/>
      <c r="C667" s="583">
        <v>284</v>
      </c>
      <c r="D667" s="625" t="e">
        <f t="shared" si="30"/>
        <v>#VALUE!</v>
      </c>
      <c r="E667" s="591"/>
      <c r="F667" s="591"/>
      <c r="G667" s="591"/>
      <c r="H667" s="591"/>
      <c r="I667" s="591"/>
      <c r="J667" s="591"/>
      <c r="K667" s="542"/>
      <c r="O667" s="1134"/>
      <c r="Q667" s="1133"/>
    </row>
    <row r="668" spans="2:17" x14ac:dyDescent="0.3">
      <c r="B668" s="126"/>
      <c r="C668" s="583">
        <v>285</v>
      </c>
      <c r="D668" s="625" t="e">
        <f t="shared" si="30"/>
        <v>#VALUE!</v>
      </c>
      <c r="E668" s="591"/>
      <c r="F668" s="591"/>
      <c r="G668" s="591"/>
      <c r="H668" s="591"/>
      <c r="I668" s="591"/>
      <c r="J668" s="591"/>
      <c r="K668" s="542"/>
      <c r="O668" s="1134"/>
      <c r="Q668" s="1133"/>
    </row>
    <row r="669" spans="2:17" x14ac:dyDescent="0.3">
      <c r="B669" s="126"/>
      <c r="C669" s="583">
        <v>286</v>
      </c>
      <c r="D669" s="625" t="e">
        <f t="shared" si="30"/>
        <v>#VALUE!</v>
      </c>
      <c r="E669" s="591"/>
      <c r="F669" s="591"/>
      <c r="G669" s="591"/>
      <c r="H669" s="591"/>
      <c r="I669" s="591"/>
      <c r="J669" s="591"/>
      <c r="K669" s="542"/>
      <c r="O669" s="1134"/>
      <c r="Q669" s="1133"/>
    </row>
    <row r="670" spans="2:17" x14ac:dyDescent="0.3">
      <c r="B670" s="126"/>
      <c r="C670" s="583">
        <v>287</v>
      </c>
      <c r="D670" s="625" t="e">
        <f t="shared" si="30"/>
        <v>#VALUE!</v>
      </c>
      <c r="E670" s="591"/>
      <c r="F670" s="591"/>
      <c r="G670" s="591"/>
      <c r="H670" s="591"/>
      <c r="I670" s="591"/>
      <c r="J670" s="591"/>
      <c r="K670" s="542"/>
      <c r="O670" s="1134"/>
      <c r="Q670" s="1133"/>
    </row>
    <row r="671" spans="2:17" x14ac:dyDescent="0.3">
      <c r="B671" s="126"/>
      <c r="C671" s="583">
        <v>288</v>
      </c>
      <c r="D671" s="625" t="e">
        <f t="shared" si="30"/>
        <v>#VALUE!</v>
      </c>
      <c r="E671" s="591"/>
      <c r="F671" s="591"/>
      <c r="G671" s="591"/>
      <c r="H671" s="591"/>
      <c r="I671" s="591"/>
      <c r="J671" s="591"/>
      <c r="K671" s="542"/>
      <c r="O671" s="1134"/>
      <c r="Q671" s="1133"/>
    </row>
    <row r="672" spans="2:17" x14ac:dyDescent="0.3">
      <c r="B672" s="126"/>
      <c r="C672" s="583">
        <v>289</v>
      </c>
      <c r="D672" s="625" t="e">
        <f t="shared" si="30"/>
        <v>#VALUE!</v>
      </c>
      <c r="E672" s="591"/>
      <c r="F672" s="591"/>
      <c r="G672" s="591"/>
      <c r="H672" s="591"/>
      <c r="I672" s="591"/>
      <c r="J672" s="591"/>
      <c r="K672" s="542"/>
      <c r="O672" s="1134"/>
      <c r="Q672" s="1133"/>
    </row>
    <row r="673" spans="2:17" x14ac:dyDescent="0.3">
      <c r="B673" s="126"/>
      <c r="C673" s="583">
        <v>290</v>
      </c>
      <c r="D673" s="625" t="e">
        <f t="shared" si="30"/>
        <v>#VALUE!</v>
      </c>
      <c r="E673" s="591"/>
      <c r="F673" s="591"/>
      <c r="G673" s="591"/>
      <c r="H673" s="591"/>
      <c r="I673" s="591"/>
      <c r="J673" s="591"/>
      <c r="K673" s="542"/>
      <c r="O673" s="1134"/>
      <c r="Q673" s="1133"/>
    </row>
    <row r="674" spans="2:17" x14ac:dyDescent="0.3">
      <c r="B674" s="126"/>
      <c r="C674" s="583">
        <v>291</v>
      </c>
      <c r="D674" s="625" t="e">
        <f t="shared" si="30"/>
        <v>#VALUE!</v>
      </c>
      <c r="E674" s="591"/>
      <c r="F674" s="591"/>
      <c r="G674" s="591"/>
      <c r="H674" s="591"/>
      <c r="I674" s="591"/>
      <c r="J674" s="591"/>
      <c r="K674" s="542"/>
      <c r="O674" s="1134"/>
      <c r="Q674" s="1133"/>
    </row>
    <row r="675" spans="2:17" x14ac:dyDescent="0.3">
      <c r="B675" s="126"/>
      <c r="C675" s="583">
        <v>292</v>
      </c>
      <c r="D675" s="625" t="e">
        <f t="shared" si="30"/>
        <v>#VALUE!</v>
      </c>
      <c r="E675" s="591"/>
      <c r="F675" s="591"/>
      <c r="G675" s="591"/>
      <c r="H675" s="591"/>
      <c r="I675" s="591"/>
      <c r="J675" s="591"/>
      <c r="K675" s="542"/>
      <c r="O675" s="1134"/>
      <c r="Q675" s="1133"/>
    </row>
    <row r="676" spans="2:17" x14ac:dyDescent="0.3">
      <c r="B676" s="126"/>
      <c r="C676" s="583">
        <v>293</v>
      </c>
      <c r="D676" s="625" t="e">
        <f t="shared" si="30"/>
        <v>#VALUE!</v>
      </c>
      <c r="E676" s="591"/>
      <c r="F676" s="591"/>
      <c r="G676" s="591"/>
      <c r="H676" s="591"/>
      <c r="I676" s="591"/>
      <c r="J676" s="591"/>
      <c r="K676" s="542"/>
      <c r="O676" s="1134"/>
      <c r="Q676" s="1133"/>
    </row>
    <row r="677" spans="2:17" x14ac:dyDescent="0.3">
      <c r="B677" s="126"/>
      <c r="C677" s="583">
        <v>294</v>
      </c>
      <c r="D677" s="625" t="e">
        <f t="shared" si="30"/>
        <v>#VALUE!</v>
      </c>
      <c r="E677" s="591"/>
      <c r="F677" s="591"/>
      <c r="G677" s="591"/>
      <c r="H677" s="591"/>
      <c r="I677" s="591"/>
      <c r="J677" s="591"/>
      <c r="K677" s="542"/>
      <c r="O677" s="1134"/>
      <c r="Q677" s="1133"/>
    </row>
    <row r="678" spans="2:17" x14ac:dyDescent="0.3">
      <c r="B678" s="126"/>
      <c r="C678" s="583">
        <v>295</v>
      </c>
      <c r="D678" s="625" t="e">
        <f t="shared" si="30"/>
        <v>#VALUE!</v>
      </c>
      <c r="E678" s="591"/>
      <c r="F678" s="591"/>
      <c r="G678" s="591"/>
      <c r="H678" s="591"/>
      <c r="I678" s="591"/>
      <c r="J678" s="591"/>
      <c r="K678" s="542"/>
      <c r="O678" s="1134"/>
      <c r="Q678" s="1133"/>
    </row>
    <row r="679" spans="2:17" x14ac:dyDescent="0.3">
      <c r="B679" s="126"/>
      <c r="C679" s="583">
        <v>296</v>
      </c>
      <c r="D679" s="625" t="e">
        <f t="shared" si="30"/>
        <v>#VALUE!</v>
      </c>
      <c r="E679" s="591"/>
      <c r="F679" s="591"/>
      <c r="G679" s="591"/>
      <c r="H679" s="591"/>
      <c r="I679" s="591"/>
      <c r="J679" s="591"/>
      <c r="K679" s="542"/>
      <c r="O679" s="1134"/>
      <c r="Q679" s="1133"/>
    </row>
    <row r="680" spans="2:17" x14ac:dyDescent="0.3">
      <c r="B680" s="126"/>
      <c r="C680" s="583">
        <v>297</v>
      </c>
      <c r="D680" s="625" t="e">
        <f t="shared" si="30"/>
        <v>#VALUE!</v>
      </c>
      <c r="E680" s="591"/>
      <c r="F680" s="591"/>
      <c r="G680" s="591"/>
      <c r="H680" s="591"/>
      <c r="I680" s="591"/>
      <c r="J680" s="591"/>
      <c r="K680" s="542"/>
      <c r="O680" s="1134"/>
      <c r="Q680" s="1133"/>
    </row>
    <row r="681" spans="2:17" x14ac:dyDescent="0.3">
      <c r="B681" s="126"/>
      <c r="C681" s="583">
        <v>298</v>
      </c>
      <c r="D681" s="625" t="e">
        <f t="shared" si="30"/>
        <v>#VALUE!</v>
      </c>
      <c r="E681" s="591"/>
      <c r="F681" s="591"/>
      <c r="G681" s="591"/>
      <c r="H681" s="591"/>
      <c r="I681" s="591"/>
      <c r="J681" s="591"/>
      <c r="K681" s="542"/>
      <c r="O681" s="1134"/>
      <c r="Q681" s="1133"/>
    </row>
    <row r="682" spans="2:17" x14ac:dyDescent="0.3">
      <c r="B682" s="126"/>
      <c r="C682" s="583">
        <v>299</v>
      </c>
      <c r="D682" s="625" t="e">
        <f t="shared" si="30"/>
        <v>#VALUE!</v>
      </c>
      <c r="E682" s="591"/>
      <c r="F682" s="591"/>
      <c r="G682" s="591"/>
      <c r="H682" s="591"/>
      <c r="I682" s="591"/>
      <c r="J682" s="591"/>
      <c r="K682" s="542"/>
      <c r="O682" s="1134"/>
      <c r="Q682" s="1133"/>
    </row>
    <row r="683" spans="2:17" x14ac:dyDescent="0.3">
      <c r="B683" s="126"/>
      <c r="C683" s="583">
        <v>300</v>
      </c>
      <c r="D683" s="625" t="e">
        <f t="shared" si="30"/>
        <v>#VALUE!</v>
      </c>
      <c r="E683" s="591"/>
      <c r="F683" s="591"/>
      <c r="G683" s="591"/>
      <c r="H683" s="591"/>
      <c r="I683" s="591"/>
      <c r="J683" s="591"/>
      <c r="K683" s="542"/>
      <c r="O683" s="1134"/>
      <c r="Q683" s="1133"/>
    </row>
    <row r="684" spans="2:17" x14ac:dyDescent="0.3">
      <c r="B684" s="126"/>
      <c r="C684" s="583">
        <v>301</v>
      </c>
      <c r="D684" s="625" t="e">
        <f t="shared" si="30"/>
        <v>#VALUE!</v>
      </c>
      <c r="E684" s="591"/>
      <c r="F684" s="591"/>
      <c r="G684" s="591"/>
      <c r="H684" s="591"/>
      <c r="I684" s="591"/>
      <c r="J684" s="591"/>
      <c r="K684" s="542"/>
      <c r="O684" s="1134"/>
      <c r="Q684" s="1133"/>
    </row>
    <row r="685" spans="2:17" x14ac:dyDescent="0.3">
      <c r="B685" s="126"/>
      <c r="C685" s="583">
        <v>302</v>
      </c>
      <c r="D685" s="625" t="e">
        <f t="shared" si="30"/>
        <v>#VALUE!</v>
      </c>
      <c r="E685" s="591"/>
      <c r="F685" s="591"/>
      <c r="G685" s="591"/>
      <c r="H685" s="591"/>
      <c r="I685" s="591"/>
      <c r="J685" s="591"/>
      <c r="K685" s="542"/>
      <c r="O685" s="1134"/>
      <c r="Q685" s="1133"/>
    </row>
    <row r="686" spans="2:17" x14ac:dyDescent="0.3">
      <c r="B686" s="126"/>
      <c r="C686" s="583">
        <v>303</v>
      </c>
      <c r="D686" s="625" t="e">
        <f t="shared" si="30"/>
        <v>#VALUE!</v>
      </c>
      <c r="E686" s="591"/>
      <c r="F686" s="591"/>
      <c r="G686" s="591"/>
      <c r="H686" s="591"/>
      <c r="I686" s="591"/>
      <c r="J686" s="591"/>
      <c r="K686" s="542"/>
      <c r="O686" s="1134"/>
      <c r="Q686" s="1133"/>
    </row>
    <row r="687" spans="2:17" x14ac:dyDescent="0.3">
      <c r="B687" s="126"/>
      <c r="C687" s="583">
        <v>304</v>
      </c>
      <c r="D687" s="625" t="e">
        <f t="shared" si="30"/>
        <v>#VALUE!</v>
      </c>
      <c r="E687" s="591"/>
      <c r="F687" s="591"/>
      <c r="G687" s="591"/>
      <c r="H687" s="591"/>
      <c r="I687" s="591"/>
      <c r="J687" s="591"/>
      <c r="K687" s="542"/>
      <c r="O687" s="1134"/>
      <c r="Q687" s="1133"/>
    </row>
    <row r="688" spans="2:17" x14ac:dyDescent="0.3">
      <c r="B688" s="126"/>
      <c r="C688" s="583">
        <v>305</v>
      </c>
      <c r="D688" s="625" t="e">
        <f t="shared" si="30"/>
        <v>#VALUE!</v>
      </c>
      <c r="E688" s="591"/>
      <c r="F688" s="591"/>
      <c r="G688" s="591"/>
      <c r="H688" s="591"/>
      <c r="I688" s="591"/>
      <c r="J688" s="591"/>
      <c r="K688" s="542"/>
      <c r="O688" s="1134"/>
      <c r="Q688" s="1133"/>
    </row>
    <row r="689" spans="2:17" x14ac:dyDescent="0.3">
      <c r="B689" s="126"/>
      <c r="C689" s="583">
        <v>306</v>
      </c>
      <c r="D689" s="625" t="e">
        <f t="shared" si="30"/>
        <v>#VALUE!</v>
      </c>
      <c r="E689" s="591"/>
      <c r="F689" s="591"/>
      <c r="G689" s="591"/>
      <c r="H689" s="591"/>
      <c r="I689" s="591"/>
      <c r="J689" s="591"/>
      <c r="K689" s="542"/>
      <c r="O689" s="1134"/>
      <c r="Q689" s="1133"/>
    </row>
    <row r="690" spans="2:17" x14ac:dyDescent="0.3">
      <c r="B690" s="126"/>
      <c r="C690" s="583">
        <v>307</v>
      </c>
      <c r="D690" s="625" t="e">
        <f t="shared" si="30"/>
        <v>#VALUE!</v>
      </c>
      <c r="E690" s="591"/>
      <c r="F690" s="591"/>
      <c r="G690" s="591"/>
      <c r="H690" s="591"/>
      <c r="I690" s="591"/>
      <c r="J690" s="591"/>
      <c r="K690" s="542"/>
      <c r="O690" s="1134"/>
      <c r="Q690" s="1133"/>
    </row>
    <row r="691" spans="2:17" x14ac:dyDescent="0.3">
      <c r="B691" s="126"/>
      <c r="C691" s="583">
        <v>308</v>
      </c>
      <c r="D691" s="625" t="e">
        <f t="shared" si="30"/>
        <v>#VALUE!</v>
      </c>
      <c r="E691" s="591"/>
      <c r="F691" s="591"/>
      <c r="G691" s="591"/>
      <c r="H691" s="591"/>
      <c r="I691" s="591"/>
      <c r="J691" s="591"/>
      <c r="K691" s="542"/>
      <c r="O691" s="1134"/>
      <c r="Q691" s="1133"/>
    </row>
    <row r="692" spans="2:17" x14ac:dyDescent="0.3">
      <c r="B692" s="126"/>
      <c r="C692" s="583">
        <v>309</v>
      </c>
      <c r="D692" s="625" t="e">
        <f t="shared" si="30"/>
        <v>#VALUE!</v>
      </c>
      <c r="E692" s="591"/>
      <c r="F692" s="591"/>
      <c r="G692" s="591"/>
      <c r="H692" s="591"/>
      <c r="I692" s="591"/>
      <c r="J692" s="591"/>
      <c r="K692" s="542"/>
      <c r="O692" s="1134"/>
      <c r="Q692" s="1133"/>
    </row>
    <row r="693" spans="2:17" x14ac:dyDescent="0.3">
      <c r="B693" s="126"/>
      <c r="C693" s="583">
        <v>310</v>
      </c>
      <c r="D693" s="625" t="e">
        <f t="shared" si="30"/>
        <v>#VALUE!</v>
      </c>
      <c r="E693" s="591"/>
      <c r="F693" s="591"/>
      <c r="G693" s="591"/>
      <c r="H693" s="591"/>
      <c r="I693" s="591"/>
      <c r="J693" s="591"/>
      <c r="K693" s="542"/>
      <c r="O693" s="1134"/>
      <c r="Q693" s="1133"/>
    </row>
    <row r="694" spans="2:17" x14ac:dyDescent="0.3">
      <c r="B694" s="126"/>
      <c r="C694" s="583">
        <v>311</v>
      </c>
      <c r="D694" s="625" t="e">
        <f t="shared" si="30"/>
        <v>#VALUE!</v>
      </c>
      <c r="E694" s="591"/>
      <c r="F694" s="591"/>
      <c r="G694" s="591"/>
      <c r="H694" s="591"/>
      <c r="I694" s="591"/>
      <c r="J694" s="591"/>
      <c r="K694" s="542"/>
      <c r="O694" s="1134"/>
      <c r="Q694" s="1133"/>
    </row>
    <row r="695" spans="2:17" x14ac:dyDescent="0.3">
      <c r="B695" s="126"/>
      <c r="C695" s="583">
        <v>312</v>
      </c>
      <c r="D695" s="625" t="e">
        <f t="shared" si="30"/>
        <v>#VALUE!</v>
      </c>
      <c r="E695" s="591"/>
      <c r="F695" s="591"/>
      <c r="G695" s="591"/>
      <c r="H695" s="591"/>
      <c r="I695" s="591"/>
      <c r="J695" s="591"/>
      <c r="K695" s="542"/>
      <c r="O695" s="1134"/>
      <c r="Q695" s="1133"/>
    </row>
    <row r="696" spans="2:17" x14ac:dyDescent="0.3">
      <c r="B696" s="126"/>
      <c r="C696" s="583">
        <v>313</v>
      </c>
      <c r="D696" s="625" t="e">
        <f t="shared" si="30"/>
        <v>#VALUE!</v>
      </c>
      <c r="E696" s="591"/>
      <c r="F696" s="591"/>
      <c r="G696" s="591"/>
      <c r="H696" s="591"/>
      <c r="I696" s="591"/>
      <c r="J696" s="591"/>
      <c r="K696" s="542"/>
      <c r="O696" s="1134"/>
      <c r="Q696" s="1133"/>
    </row>
    <row r="697" spans="2:17" x14ac:dyDescent="0.3">
      <c r="B697" s="126"/>
      <c r="C697" s="583">
        <v>314</v>
      </c>
      <c r="D697" s="625" t="e">
        <f t="shared" si="30"/>
        <v>#VALUE!</v>
      </c>
      <c r="E697" s="591"/>
      <c r="F697" s="591"/>
      <c r="G697" s="591"/>
      <c r="H697" s="591"/>
      <c r="I697" s="591"/>
      <c r="J697" s="591"/>
      <c r="K697" s="542"/>
      <c r="O697" s="1134"/>
      <c r="Q697" s="1133"/>
    </row>
    <row r="698" spans="2:17" x14ac:dyDescent="0.3">
      <c r="B698" s="126"/>
      <c r="C698" s="583">
        <v>315</v>
      </c>
      <c r="D698" s="625" t="e">
        <f t="shared" si="30"/>
        <v>#VALUE!</v>
      </c>
      <c r="E698" s="591"/>
      <c r="F698" s="591"/>
      <c r="G698" s="591"/>
      <c r="H698" s="591"/>
      <c r="I698" s="591"/>
      <c r="J698" s="591"/>
      <c r="K698" s="542"/>
      <c r="O698" s="1134"/>
      <c r="Q698" s="1133"/>
    </row>
    <row r="699" spans="2:17" x14ac:dyDescent="0.3">
      <c r="B699" s="126"/>
      <c r="C699" s="583">
        <v>316</v>
      </c>
      <c r="D699" s="625" t="e">
        <f t="shared" si="30"/>
        <v>#VALUE!</v>
      </c>
      <c r="E699" s="591"/>
      <c r="F699" s="591"/>
      <c r="G699" s="591"/>
      <c r="H699" s="591"/>
      <c r="I699" s="591"/>
      <c r="J699" s="591"/>
      <c r="K699" s="542"/>
      <c r="O699" s="1134"/>
      <c r="Q699" s="1133"/>
    </row>
    <row r="700" spans="2:17" x14ac:dyDescent="0.3">
      <c r="B700" s="126"/>
      <c r="C700" s="583">
        <v>317</v>
      </c>
      <c r="D700" s="625" t="e">
        <f t="shared" si="30"/>
        <v>#VALUE!</v>
      </c>
      <c r="E700" s="591"/>
      <c r="F700" s="591"/>
      <c r="G700" s="591"/>
      <c r="H700" s="591"/>
      <c r="I700" s="591"/>
      <c r="J700" s="591"/>
      <c r="K700" s="542"/>
      <c r="O700" s="1134"/>
      <c r="Q700" s="1133"/>
    </row>
    <row r="701" spans="2:17" x14ac:dyDescent="0.3">
      <c r="B701" s="126"/>
      <c r="C701" s="583">
        <v>318</v>
      </c>
      <c r="D701" s="625" t="e">
        <f t="shared" si="30"/>
        <v>#VALUE!</v>
      </c>
      <c r="E701" s="591"/>
      <c r="F701" s="591"/>
      <c r="G701" s="591"/>
      <c r="H701" s="591"/>
      <c r="I701" s="591"/>
      <c r="J701" s="591"/>
      <c r="K701" s="542"/>
      <c r="O701" s="1134"/>
      <c r="Q701" s="1133"/>
    </row>
    <row r="702" spans="2:17" x14ac:dyDescent="0.3">
      <c r="B702" s="126"/>
      <c r="C702" s="583">
        <v>319</v>
      </c>
      <c r="D702" s="625" t="e">
        <f t="shared" si="30"/>
        <v>#VALUE!</v>
      </c>
      <c r="E702" s="591"/>
      <c r="F702" s="591"/>
      <c r="G702" s="591"/>
      <c r="H702" s="591"/>
      <c r="I702" s="591"/>
      <c r="J702" s="591"/>
      <c r="K702" s="542"/>
      <c r="O702" s="1134"/>
      <c r="Q702" s="1133"/>
    </row>
    <row r="703" spans="2:17" x14ac:dyDescent="0.3">
      <c r="B703" s="126"/>
      <c r="C703" s="583">
        <v>320</v>
      </c>
      <c r="D703" s="625" t="e">
        <f t="shared" ref="D703:D766" si="31">$C$362*C703</f>
        <v>#VALUE!</v>
      </c>
      <c r="E703" s="591"/>
      <c r="F703" s="591"/>
      <c r="G703" s="591"/>
      <c r="H703" s="591"/>
      <c r="I703" s="591"/>
      <c r="J703" s="591"/>
      <c r="K703" s="542"/>
      <c r="O703" s="1134"/>
      <c r="Q703" s="1133"/>
    </row>
    <row r="704" spans="2:17" x14ac:dyDescent="0.3">
      <c r="B704" s="126"/>
      <c r="C704" s="583">
        <v>321</v>
      </c>
      <c r="D704" s="625" t="e">
        <f t="shared" si="31"/>
        <v>#VALUE!</v>
      </c>
      <c r="E704" s="591"/>
      <c r="F704" s="591"/>
      <c r="G704" s="591"/>
      <c r="H704" s="591"/>
      <c r="I704" s="591"/>
      <c r="J704" s="591"/>
      <c r="K704" s="542"/>
      <c r="O704" s="1134"/>
      <c r="Q704" s="1133"/>
    </row>
    <row r="705" spans="2:17" x14ac:dyDescent="0.3">
      <c r="B705" s="126"/>
      <c r="C705" s="583">
        <v>322</v>
      </c>
      <c r="D705" s="625" t="e">
        <f t="shared" si="31"/>
        <v>#VALUE!</v>
      </c>
      <c r="E705" s="591"/>
      <c r="F705" s="591"/>
      <c r="G705" s="591"/>
      <c r="H705" s="591"/>
      <c r="I705" s="591"/>
      <c r="J705" s="591"/>
      <c r="K705" s="542"/>
      <c r="O705" s="1134"/>
      <c r="Q705" s="1133"/>
    </row>
    <row r="706" spans="2:17" x14ac:dyDescent="0.3">
      <c r="B706" s="126"/>
      <c r="C706" s="583">
        <v>323</v>
      </c>
      <c r="D706" s="625" t="e">
        <f t="shared" si="31"/>
        <v>#VALUE!</v>
      </c>
      <c r="E706" s="591"/>
      <c r="F706" s="591"/>
      <c r="G706" s="591"/>
      <c r="H706" s="591"/>
      <c r="I706" s="591"/>
      <c r="J706" s="591"/>
      <c r="K706" s="542"/>
      <c r="O706" s="1134"/>
      <c r="Q706" s="1133"/>
    </row>
    <row r="707" spans="2:17" x14ac:dyDescent="0.3">
      <c r="B707" s="126"/>
      <c r="C707" s="583">
        <v>324</v>
      </c>
      <c r="D707" s="625" t="e">
        <f t="shared" si="31"/>
        <v>#VALUE!</v>
      </c>
      <c r="E707" s="591"/>
      <c r="F707" s="591"/>
      <c r="G707" s="591"/>
      <c r="H707" s="591"/>
      <c r="I707" s="591"/>
      <c r="J707" s="591"/>
      <c r="K707" s="542"/>
      <c r="O707" s="1134"/>
      <c r="Q707" s="1133"/>
    </row>
    <row r="708" spans="2:17" x14ac:dyDescent="0.3">
      <c r="B708" s="126"/>
      <c r="C708" s="583">
        <v>325</v>
      </c>
      <c r="D708" s="625" t="e">
        <f t="shared" si="31"/>
        <v>#VALUE!</v>
      </c>
      <c r="E708" s="591"/>
      <c r="F708" s="591"/>
      <c r="G708" s="591"/>
      <c r="H708" s="591"/>
      <c r="I708" s="591"/>
      <c r="J708" s="591"/>
      <c r="K708" s="542"/>
      <c r="O708" s="1134"/>
      <c r="Q708" s="1133"/>
    </row>
    <row r="709" spans="2:17" x14ac:dyDescent="0.3">
      <c r="B709" s="126"/>
      <c r="C709" s="583">
        <v>326</v>
      </c>
      <c r="D709" s="625" t="e">
        <f t="shared" si="31"/>
        <v>#VALUE!</v>
      </c>
      <c r="E709" s="591"/>
      <c r="F709" s="591"/>
      <c r="G709" s="591"/>
      <c r="H709" s="591"/>
      <c r="I709" s="591"/>
      <c r="J709" s="591"/>
      <c r="K709" s="542"/>
      <c r="O709" s="1134"/>
      <c r="Q709" s="1133"/>
    </row>
    <row r="710" spans="2:17" x14ac:dyDescent="0.3">
      <c r="B710" s="126"/>
      <c r="C710" s="583">
        <v>327</v>
      </c>
      <c r="D710" s="625" t="e">
        <f t="shared" si="31"/>
        <v>#VALUE!</v>
      </c>
      <c r="E710" s="591"/>
      <c r="F710" s="591"/>
      <c r="G710" s="591"/>
      <c r="H710" s="591"/>
      <c r="I710" s="591"/>
      <c r="J710" s="591"/>
      <c r="K710" s="542"/>
      <c r="O710" s="1134"/>
      <c r="Q710" s="1133"/>
    </row>
    <row r="711" spans="2:17" x14ac:dyDescent="0.3">
      <c r="B711" s="126"/>
      <c r="C711" s="583">
        <v>328</v>
      </c>
      <c r="D711" s="625" t="e">
        <f t="shared" si="31"/>
        <v>#VALUE!</v>
      </c>
      <c r="E711" s="591"/>
      <c r="F711" s="591"/>
      <c r="G711" s="591"/>
      <c r="H711" s="591"/>
      <c r="I711" s="591"/>
      <c r="J711" s="591"/>
      <c r="K711" s="542"/>
      <c r="O711" s="1134"/>
      <c r="Q711" s="1133"/>
    </row>
    <row r="712" spans="2:17" x14ac:dyDescent="0.3">
      <c r="B712" s="126"/>
      <c r="C712" s="583">
        <v>329</v>
      </c>
      <c r="D712" s="625" t="e">
        <f t="shared" si="31"/>
        <v>#VALUE!</v>
      </c>
      <c r="E712" s="591"/>
      <c r="F712" s="591"/>
      <c r="G712" s="591"/>
      <c r="H712" s="591"/>
      <c r="I712" s="591"/>
      <c r="J712" s="591"/>
      <c r="K712" s="542"/>
      <c r="O712" s="1134"/>
      <c r="Q712" s="1133"/>
    </row>
    <row r="713" spans="2:17" x14ac:dyDescent="0.3">
      <c r="B713" s="126"/>
      <c r="C713" s="583">
        <v>330</v>
      </c>
      <c r="D713" s="625" t="e">
        <f t="shared" si="31"/>
        <v>#VALUE!</v>
      </c>
      <c r="E713" s="591"/>
      <c r="F713" s="591"/>
      <c r="G713" s="591"/>
      <c r="H713" s="591"/>
      <c r="I713" s="591"/>
      <c r="J713" s="591"/>
      <c r="K713" s="542"/>
      <c r="O713" s="1134"/>
      <c r="Q713" s="1133"/>
    </row>
    <row r="714" spans="2:17" x14ac:dyDescent="0.3">
      <c r="B714" s="126"/>
      <c r="C714" s="583">
        <v>331</v>
      </c>
      <c r="D714" s="625" t="e">
        <f t="shared" si="31"/>
        <v>#VALUE!</v>
      </c>
      <c r="E714" s="591"/>
      <c r="F714" s="591"/>
      <c r="G714" s="591"/>
      <c r="H714" s="591"/>
      <c r="I714" s="591"/>
      <c r="J714" s="591"/>
      <c r="K714" s="542"/>
      <c r="O714" s="1134"/>
      <c r="Q714" s="1133"/>
    </row>
    <row r="715" spans="2:17" x14ac:dyDescent="0.3">
      <c r="B715" s="126"/>
      <c r="C715" s="583">
        <v>332</v>
      </c>
      <c r="D715" s="625" t="e">
        <f t="shared" si="31"/>
        <v>#VALUE!</v>
      </c>
      <c r="E715" s="591"/>
      <c r="F715" s="591"/>
      <c r="G715" s="591"/>
      <c r="H715" s="591"/>
      <c r="I715" s="591"/>
      <c r="J715" s="591"/>
      <c r="K715" s="542"/>
      <c r="O715" s="1134"/>
      <c r="Q715" s="1133"/>
    </row>
    <row r="716" spans="2:17" x14ac:dyDescent="0.3">
      <c r="B716" s="126"/>
      <c r="C716" s="583">
        <v>333</v>
      </c>
      <c r="D716" s="625" t="e">
        <f t="shared" si="31"/>
        <v>#VALUE!</v>
      </c>
      <c r="E716" s="591"/>
      <c r="F716" s="591"/>
      <c r="G716" s="591"/>
      <c r="H716" s="591"/>
      <c r="I716" s="591"/>
      <c r="J716" s="591"/>
      <c r="K716" s="542"/>
      <c r="O716" s="1134"/>
      <c r="Q716" s="1133"/>
    </row>
    <row r="717" spans="2:17" x14ac:dyDescent="0.3">
      <c r="B717" s="126"/>
      <c r="C717" s="583">
        <v>334</v>
      </c>
      <c r="D717" s="625" t="e">
        <f t="shared" si="31"/>
        <v>#VALUE!</v>
      </c>
      <c r="E717" s="591"/>
      <c r="F717" s="591"/>
      <c r="G717" s="591"/>
      <c r="H717" s="591"/>
      <c r="I717" s="591"/>
      <c r="J717" s="591"/>
      <c r="K717" s="542"/>
      <c r="O717" s="1134"/>
      <c r="Q717" s="1133"/>
    </row>
    <row r="718" spans="2:17" x14ac:dyDescent="0.3">
      <c r="B718" s="126"/>
      <c r="C718" s="583">
        <v>335</v>
      </c>
      <c r="D718" s="625" t="e">
        <f t="shared" si="31"/>
        <v>#VALUE!</v>
      </c>
      <c r="E718" s="591"/>
      <c r="F718" s="591"/>
      <c r="G718" s="591"/>
      <c r="H718" s="591"/>
      <c r="I718" s="591"/>
      <c r="J718" s="591"/>
      <c r="K718" s="542"/>
      <c r="O718" s="1134"/>
      <c r="Q718" s="1133"/>
    </row>
    <row r="719" spans="2:17" x14ac:dyDescent="0.3">
      <c r="B719" s="126"/>
      <c r="C719" s="583">
        <v>336</v>
      </c>
      <c r="D719" s="625" t="e">
        <f t="shared" si="31"/>
        <v>#VALUE!</v>
      </c>
      <c r="E719" s="591"/>
      <c r="F719" s="591"/>
      <c r="G719" s="591"/>
      <c r="H719" s="591"/>
      <c r="I719" s="591"/>
      <c r="J719" s="591"/>
      <c r="K719" s="542"/>
      <c r="O719" s="1134"/>
      <c r="Q719" s="1133"/>
    </row>
    <row r="720" spans="2:17" x14ac:dyDescent="0.3">
      <c r="B720" s="126"/>
      <c r="C720" s="583">
        <v>337</v>
      </c>
      <c r="D720" s="625" t="e">
        <f t="shared" si="31"/>
        <v>#VALUE!</v>
      </c>
      <c r="E720" s="591"/>
      <c r="F720" s="591"/>
      <c r="G720" s="591"/>
      <c r="H720" s="591"/>
      <c r="I720" s="591"/>
      <c r="J720" s="591"/>
      <c r="K720" s="542"/>
      <c r="O720" s="1134"/>
      <c r="Q720" s="1133"/>
    </row>
    <row r="721" spans="2:17" x14ac:dyDescent="0.3">
      <c r="B721" s="126"/>
      <c r="C721" s="583">
        <v>338</v>
      </c>
      <c r="D721" s="625" t="e">
        <f t="shared" si="31"/>
        <v>#VALUE!</v>
      </c>
      <c r="E721" s="591"/>
      <c r="F721" s="591"/>
      <c r="G721" s="591"/>
      <c r="H721" s="591"/>
      <c r="I721" s="591"/>
      <c r="J721" s="591"/>
      <c r="K721" s="542"/>
      <c r="O721" s="1134"/>
      <c r="Q721" s="1133"/>
    </row>
    <row r="722" spans="2:17" x14ac:dyDescent="0.3">
      <c r="B722" s="126"/>
      <c r="C722" s="583">
        <v>339</v>
      </c>
      <c r="D722" s="625" t="e">
        <f t="shared" si="31"/>
        <v>#VALUE!</v>
      </c>
      <c r="E722" s="591"/>
      <c r="F722" s="591"/>
      <c r="G722" s="591"/>
      <c r="H722" s="591"/>
      <c r="I722" s="591"/>
      <c r="J722" s="591"/>
      <c r="K722" s="542"/>
      <c r="O722" s="1134"/>
      <c r="Q722" s="1133"/>
    </row>
    <row r="723" spans="2:17" x14ac:dyDescent="0.3">
      <c r="B723" s="126"/>
      <c r="C723" s="583">
        <v>340</v>
      </c>
      <c r="D723" s="625" t="e">
        <f t="shared" si="31"/>
        <v>#VALUE!</v>
      </c>
      <c r="E723" s="591"/>
      <c r="F723" s="591"/>
      <c r="G723" s="591"/>
      <c r="H723" s="591"/>
      <c r="I723" s="591"/>
      <c r="J723" s="591"/>
      <c r="K723" s="542"/>
      <c r="O723" s="1134"/>
      <c r="Q723" s="1133"/>
    </row>
    <row r="724" spans="2:17" x14ac:dyDescent="0.3">
      <c r="B724" s="126"/>
      <c r="C724" s="583">
        <v>341</v>
      </c>
      <c r="D724" s="625" t="e">
        <f t="shared" si="31"/>
        <v>#VALUE!</v>
      </c>
      <c r="E724" s="591"/>
      <c r="F724" s="591"/>
      <c r="G724" s="591"/>
      <c r="H724" s="591"/>
      <c r="I724" s="591"/>
      <c r="J724" s="591"/>
      <c r="K724" s="542"/>
      <c r="O724" s="1134"/>
      <c r="Q724" s="1133"/>
    </row>
    <row r="725" spans="2:17" x14ac:dyDescent="0.3">
      <c r="B725" s="126"/>
      <c r="C725" s="583">
        <v>342</v>
      </c>
      <c r="D725" s="625" t="e">
        <f t="shared" si="31"/>
        <v>#VALUE!</v>
      </c>
      <c r="E725" s="591"/>
      <c r="F725" s="591"/>
      <c r="G725" s="591"/>
      <c r="H725" s="591"/>
      <c r="I725" s="591"/>
      <c r="J725" s="591"/>
      <c r="K725" s="542"/>
      <c r="O725" s="1134"/>
      <c r="Q725" s="1133"/>
    </row>
    <row r="726" spans="2:17" x14ac:dyDescent="0.3">
      <c r="B726" s="126"/>
      <c r="C726" s="583">
        <v>343</v>
      </c>
      <c r="D726" s="625" t="e">
        <f t="shared" si="31"/>
        <v>#VALUE!</v>
      </c>
      <c r="E726" s="591"/>
      <c r="F726" s="591"/>
      <c r="G726" s="591"/>
      <c r="H726" s="591"/>
      <c r="I726" s="591"/>
      <c r="J726" s="591"/>
      <c r="K726" s="542"/>
      <c r="O726" s="1134"/>
      <c r="Q726" s="1133"/>
    </row>
    <row r="727" spans="2:17" x14ac:dyDescent="0.3">
      <c r="B727" s="126"/>
      <c r="C727" s="583">
        <v>344</v>
      </c>
      <c r="D727" s="625" t="e">
        <f t="shared" si="31"/>
        <v>#VALUE!</v>
      </c>
      <c r="E727" s="591"/>
      <c r="F727" s="591"/>
      <c r="G727" s="591"/>
      <c r="H727" s="591"/>
      <c r="I727" s="591"/>
      <c r="J727" s="591"/>
      <c r="K727" s="542"/>
      <c r="O727" s="1134"/>
      <c r="Q727" s="1133"/>
    </row>
    <row r="728" spans="2:17" x14ac:dyDescent="0.3">
      <c r="B728" s="126"/>
      <c r="C728" s="583">
        <v>345</v>
      </c>
      <c r="D728" s="625" t="e">
        <f t="shared" si="31"/>
        <v>#VALUE!</v>
      </c>
      <c r="E728" s="591"/>
      <c r="F728" s="591"/>
      <c r="G728" s="591"/>
      <c r="H728" s="591"/>
      <c r="I728" s="591"/>
      <c r="J728" s="591"/>
      <c r="K728" s="542"/>
      <c r="O728" s="1134"/>
      <c r="Q728" s="1133"/>
    </row>
    <row r="729" spans="2:17" x14ac:dyDescent="0.3">
      <c r="B729" s="126"/>
      <c r="C729" s="583">
        <v>346</v>
      </c>
      <c r="D729" s="625" t="e">
        <f t="shared" si="31"/>
        <v>#VALUE!</v>
      </c>
      <c r="E729" s="591"/>
      <c r="F729" s="591"/>
      <c r="G729" s="591"/>
      <c r="H729" s="591"/>
      <c r="I729" s="591"/>
      <c r="J729" s="591"/>
      <c r="K729" s="542"/>
      <c r="O729" s="1134"/>
      <c r="Q729" s="1133"/>
    </row>
    <row r="730" spans="2:17" x14ac:dyDescent="0.3">
      <c r="B730" s="126"/>
      <c r="C730" s="583">
        <v>347</v>
      </c>
      <c r="D730" s="625" t="e">
        <f t="shared" si="31"/>
        <v>#VALUE!</v>
      </c>
      <c r="E730" s="591"/>
      <c r="F730" s="591"/>
      <c r="G730" s="591"/>
      <c r="H730" s="591"/>
      <c r="I730" s="591"/>
      <c r="J730" s="591"/>
      <c r="K730" s="542"/>
      <c r="O730" s="1134"/>
      <c r="Q730" s="1133"/>
    </row>
    <row r="731" spans="2:17" x14ac:dyDescent="0.3">
      <c r="B731" s="126"/>
      <c r="C731" s="583">
        <v>348</v>
      </c>
      <c r="D731" s="625" t="e">
        <f t="shared" si="31"/>
        <v>#VALUE!</v>
      </c>
      <c r="E731" s="591"/>
      <c r="F731" s="591"/>
      <c r="G731" s="591"/>
      <c r="H731" s="591"/>
      <c r="I731" s="591"/>
      <c r="J731" s="591"/>
      <c r="K731" s="542"/>
      <c r="O731" s="1134"/>
      <c r="Q731" s="1133"/>
    </row>
    <row r="732" spans="2:17" x14ac:dyDescent="0.3">
      <c r="B732" s="126"/>
      <c r="C732" s="583">
        <v>349</v>
      </c>
      <c r="D732" s="625" t="e">
        <f t="shared" si="31"/>
        <v>#VALUE!</v>
      </c>
      <c r="E732" s="591"/>
      <c r="F732" s="591"/>
      <c r="G732" s="591"/>
      <c r="H732" s="591"/>
      <c r="I732" s="591"/>
      <c r="J732" s="591"/>
      <c r="K732" s="542"/>
      <c r="O732" s="1134"/>
      <c r="Q732" s="1133"/>
    </row>
    <row r="733" spans="2:17" x14ac:dyDescent="0.3">
      <c r="B733" s="126"/>
      <c r="C733" s="583">
        <v>350</v>
      </c>
      <c r="D733" s="625" t="e">
        <f t="shared" si="31"/>
        <v>#VALUE!</v>
      </c>
      <c r="E733" s="591"/>
      <c r="F733" s="591"/>
      <c r="G733" s="591"/>
      <c r="H733" s="591"/>
      <c r="I733" s="591"/>
      <c r="J733" s="591"/>
      <c r="K733" s="542"/>
      <c r="O733" s="1134"/>
      <c r="Q733" s="1133"/>
    </row>
    <row r="734" spans="2:17" x14ac:dyDescent="0.3">
      <c r="B734" s="126"/>
      <c r="C734" s="583">
        <v>351</v>
      </c>
      <c r="D734" s="625" t="e">
        <f t="shared" si="31"/>
        <v>#VALUE!</v>
      </c>
      <c r="E734" s="591"/>
      <c r="F734" s="591"/>
      <c r="G734" s="591"/>
      <c r="H734" s="591"/>
      <c r="I734" s="591"/>
      <c r="J734" s="591"/>
      <c r="K734" s="542"/>
      <c r="O734" s="1134"/>
      <c r="Q734" s="1133"/>
    </row>
    <row r="735" spans="2:17" x14ac:dyDescent="0.3">
      <c r="B735" s="126"/>
      <c r="C735" s="583">
        <v>352</v>
      </c>
      <c r="D735" s="625" t="e">
        <f t="shared" si="31"/>
        <v>#VALUE!</v>
      </c>
      <c r="E735" s="591"/>
      <c r="F735" s="591"/>
      <c r="G735" s="591"/>
      <c r="H735" s="591"/>
      <c r="I735" s="591"/>
      <c r="J735" s="591"/>
      <c r="K735" s="542"/>
      <c r="O735" s="1134"/>
      <c r="Q735" s="1133"/>
    </row>
    <row r="736" spans="2:17" x14ac:dyDescent="0.3">
      <c r="B736" s="126"/>
      <c r="C736" s="583">
        <v>353</v>
      </c>
      <c r="D736" s="625" t="e">
        <f t="shared" si="31"/>
        <v>#VALUE!</v>
      </c>
      <c r="E736" s="591"/>
      <c r="F736" s="591"/>
      <c r="G736" s="591"/>
      <c r="H736" s="591"/>
      <c r="I736" s="591"/>
      <c r="J736" s="591"/>
      <c r="K736" s="542"/>
      <c r="O736" s="1134"/>
      <c r="Q736" s="1133"/>
    </row>
    <row r="737" spans="2:17" x14ac:dyDescent="0.3">
      <c r="B737" s="126"/>
      <c r="C737" s="583">
        <v>354</v>
      </c>
      <c r="D737" s="625" t="e">
        <f t="shared" si="31"/>
        <v>#VALUE!</v>
      </c>
      <c r="E737" s="591"/>
      <c r="F737" s="591"/>
      <c r="G737" s="591"/>
      <c r="H737" s="591"/>
      <c r="I737" s="591"/>
      <c r="J737" s="591"/>
      <c r="K737" s="542"/>
      <c r="O737" s="1134"/>
      <c r="Q737" s="1133"/>
    </row>
    <row r="738" spans="2:17" x14ac:dyDescent="0.3">
      <c r="B738" s="126"/>
      <c r="C738" s="583">
        <v>355</v>
      </c>
      <c r="D738" s="625" t="e">
        <f t="shared" si="31"/>
        <v>#VALUE!</v>
      </c>
      <c r="E738" s="591"/>
      <c r="F738" s="591"/>
      <c r="G738" s="591"/>
      <c r="H738" s="591"/>
      <c r="I738" s="591"/>
      <c r="J738" s="591"/>
      <c r="K738" s="542"/>
      <c r="O738" s="1134"/>
      <c r="Q738" s="1133"/>
    </row>
    <row r="739" spans="2:17" x14ac:dyDescent="0.3">
      <c r="B739" s="126"/>
      <c r="C739" s="583">
        <v>356</v>
      </c>
      <c r="D739" s="625" t="e">
        <f t="shared" si="31"/>
        <v>#VALUE!</v>
      </c>
      <c r="E739" s="591"/>
      <c r="F739" s="591"/>
      <c r="G739" s="591"/>
      <c r="H739" s="591"/>
      <c r="I739" s="591"/>
      <c r="J739" s="591"/>
      <c r="K739" s="542"/>
      <c r="O739" s="1134"/>
      <c r="Q739" s="1133"/>
    </row>
    <row r="740" spans="2:17" x14ac:dyDescent="0.3">
      <c r="B740" s="126"/>
      <c r="C740" s="583">
        <v>357</v>
      </c>
      <c r="D740" s="625" t="e">
        <f t="shared" si="31"/>
        <v>#VALUE!</v>
      </c>
      <c r="E740" s="591"/>
      <c r="F740" s="591"/>
      <c r="G740" s="591"/>
      <c r="H740" s="591"/>
      <c r="I740" s="591"/>
      <c r="J740" s="591"/>
      <c r="K740" s="542"/>
      <c r="O740" s="1134"/>
      <c r="Q740" s="1133"/>
    </row>
    <row r="741" spans="2:17" x14ac:dyDescent="0.3">
      <c r="B741" s="126"/>
      <c r="C741" s="583">
        <v>358</v>
      </c>
      <c r="D741" s="625" t="e">
        <f t="shared" si="31"/>
        <v>#VALUE!</v>
      </c>
      <c r="E741" s="591"/>
      <c r="F741" s="591"/>
      <c r="G741" s="591"/>
      <c r="H741" s="591"/>
      <c r="I741" s="591"/>
      <c r="J741" s="591"/>
      <c r="K741" s="542"/>
      <c r="O741" s="1134"/>
      <c r="Q741" s="1133"/>
    </row>
    <row r="742" spans="2:17" x14ac:dyDescent="0.3">
      <c r="B742" s="126"/>
      <c r="C742" s="583">
        <v>359</v>
      </c>
      <c r="D742" s="625" t="e">
        <f t="shared" si="31"/>
        <v>#VALUE!</v>
      </c>
      <c r="E742" s="591"/>
      <c r="F742" s="591"/>
      <c r="G742" s="591"/>
      <c r="H742" s="591"/>
      <c r="I742" s="591"/>
      <c r="J742" s="591"/>
      <c r="K742" s="542"/>
      <c r="O742" s="1134"/>
      <c r="Q742" s="1133"/>
    </row>
    <row r="743" spans="2:17" x14ac:dyDescent="0.3">
      <c r="B743" s="126"/>
      <c r="C743" s="583">
        <v>360</v>
      </c>
      <c r="D743" s="625" t="e">
        <f t="shared" si="31"/>
        <v>#VALUE!</v>
      </c>
      <c r="E743" s="591"/>
      <c r="F743" s="591"/>
      <c r="G743" s="591"/>
      <c r="H743" s="591"/>
      <c r="I743" s="591"/>
      <c r="J743" s="591"/>
      <c r="K743" s="542"/>
      <c r="O743" s="1134"/>
      <c r="Q743" s="1133"/>
    </row>
    <row r="744" spans="2:17" x14ac:dyDescent="0.3">
      <c r="B744" s="126"/>
      <c r="C744" s="583">
        <v>361</v>
      </c>
      <c r="D744" s="625" t="e">
        <f t="shared" si="31"/>
        <v>#VALUE!</v>
      </c>
      <c r="E744" s="591"/>
      <c r="F744" s="591"/>
      <c r="G744" s="591"/>
      <c r="H744" s="591"/>
      <c r="I744" s="591"/>
      <c r="J744" s="591"/>
      <c r="K744" s="542"/>
      <c r="O744" s="1134"/>
      <c r="Q744" s="1133"/>
    </row>
    <row r="745" spans="2:17" x14ac:dyDescent="0.3">
      <c r="B745" s="126"/>
      <c r="C745" s="583">
        <v>362</v>
      </c>
      <c r="D745" s="625" t="e">
        <f t="shared" si="31"/>
        <v>#VALUE!</v>
      </c>
      <c r="E745" s="591"/>
      <c r="F745" s="591"/>
      <c r="G745" s="591"/>
      <c r="H745" s="591"/>
      <c r="I745" s="591"/>
      <c r="J745" s="591"/>
      <c r="K745" s="542"/>
      <c r="O745" s="1134"/>
      <c r="Q745" s="1133"/>
    </row>
    <row r="746" spans="2:17" x14ac:dyDescent="0.3">
      <c r="B746" s="126"/>
      <c r="C746" s="583">
        <v>363</v>
      </c>
      <c r="D746" s="625" t="e">
        <f t="shared" si="31"/>
        <v>#VALUE!</v>
      </c>
      <c r="E746" s="591"/>
      <c r="F746" s="591"/>
      <c r="G746" s="591"/>
      <c r="H746" s="591"/>
      <c r="I746" s="591"/>
      <c r="J746" s="591"/>
      <c r="K746" s="542"/>
      <c r="O746" s="1134"/>
      <c r="Q746" s="1133"/>
    </row>
    <row r="747" spans="2:17" x14ac:dyDescent="0.3">
      <c r="B747" s="126"/>
      <c r="C747" s="583">
        <v>364</v>
      </c>
      <c r="D747" s="625" t="e">
        <f t="shared" si="31"/>
        <v>#VALUE!</v>
      </c>
      <c r="E747" s="591"/>
      <c r="F747" s="591"/>
      <c r="G747" s="591"/>
      <c r="H747" s="591"/>
      <c r="I747" s="591"/>
      <c r="J747" s="591"/>
      <c r="K747" s="542"/>
      <c r="O747" s="1134"/>
      <c r="Q747" s="1133"/>
    </row>
    <row r="748" spans="2:17" x14ac:dyDescent="0.3">
      <c r="B748" s="126"/>
      <c r="C748" s="583">
        <v>365</v>
      </c>
      <c r="D748" s="625" t="e">
        <f t="shared" si="31"/>
        <v>#VALUE!</v>
      </c>
      <c r="E748" s="591"/>
      <c r="F748" s="591"/>
      <c r="G748" s="591"/>
      <c r="H748" s="591"/>
      <c r="I748" s="591"/>
      <c r="J748" s="591"/>
      <c r="K748" s="542"/>
      <c r="O748" s="1134"/>
      <c r="Q748" s="1133"/>
    </row>
    <row r="749" spans="2:17" x14ac:dyDescent="0.3">
      <c r="B749" s="126"/>
      <c r="C749" s="583">
        <v>366</v>
      </c>
      <c r="D749" s="625" t="e">
        <f t="shared" si="31"/>
        <v>#VALUE!</v>
      </c>
      <c r="E749" s="591"/>
      <c r="F749" s="591"/>
      <c r="G749" s="591"/>
      <c r="H749" s="591"/>
      <c r="I749" s="591"/>
      <c r="J749" s="591"/>
      <c r="K749" s="542"/>
      <c r="O749" s="1134"/>
      <c r="Q749" s="1133"/>
    </row>
    <row r="750" spans="2:17" x14ac:dyDescent="0.3">
      <c r="B750" s="126"/>
      <c r="C750" s="583">
        <v>367</v>
      </c>
      <c r="D750" s="625" t="e">
        <f t="shared" si="31"/>
        <v>#VALUE!</v>
      </c>
      <c r="E750" s="591"/>
      <c r="F750" s="591"/>
      <c r="G750" s="591"/>
      <c r="H750" s="591"/>
      <c r="I750" s="591"/>
      <c r="J750" s="591"/>
      <c r="K750" s="542"/>
      <c r="O750" s="1134"/>
      <c r="Q750" s="1133"/>
    </row>
    <row r="751" spans="2:17" x14ac:dyDescent="0.3">
      <c r="B751" s="126"/>
      <c r="C751" s="583">
        <v>368</v>
      </c>
      <c r="D751" s="625" t="e">
        <f t="shared" si="31"/>
        <v>#VALUE!</v>
      </c>
      <c r="E751" s="591"/>
      <c r="F751" s="591"/>
      <c r="G751" s="591"/>
      <c r="H751" s="591"/>
      <c r="I751" s="591"/>
      <c r="J751" s="591"/>
      <c r="K751" s="542"/>
      <c r="O751" s="1134"/>
      <c r="Q751" s="1133"/>
    </row>
    <row r="752" spans="2:17" x14ac:dyDescent="0.3">
      <c r="B752" s="126"/>
      <c r="C752" s="583">
        <v>369</v>
      </c>
      <c r="D752" s="625" t="e">
        <f t="shared" si="31"/>
        <v>#VALUE!</v>
      </c>
      <c r="E752" s="591"/>
      <c r="F752" s="591"/>
      <c r="G752" s="591"/>
      <c r="H752" s="591"/>
      <c r="I752" s="591"/>
      <c r="J752" s="591"/>
      <c r="K752" s="542"/>
      <c r="O752" s="1134"/>
      <c r="Q752" s="1133"/>
    </row>
    <row r="753" spans="2:17" x14ac:dyDescent="0.3">
      <c r="B753" s="126"/>
      <c r="C753" s="583">
        <v>370</v>
      </c>
      <c r="D753" s="625" t="e">
        <f t="shared" si="31"/>
        <v>#VALUE!</v>
      </c>
      <c r="E753" s="591"/>
      <c r="F753" s="591"/>
      <c r="G753" s="591"/>
      <c r="H753" s="591"/>
      <c r="I753" s="591"/>
      <c r="J753" s="591"/>
      <c r="K753" s="542"/>
      <c r="O753" s="1134"/>
      <c r="Q753" s="1133"/>
    </row>
    <row r="754" spans="2:17" x14ac:dyDescent="0.3">
      <c r="B754" s="126"/>
      <c r="C754" s="583">
        <v>371</v>
      </c>
      <c r="D754" s="625" t="e">
        <f t="shared" si="31"/>
        <v>#VALUE!</v>
      </c>
      <c r="E754" s="591"/>
      <c r="F754" s="591"/>
      <c r="G754" s="591"/>
      <c r="H754" s="591"/>
      <c r="I754" s="591"/>
      <c r="J754" s="591"/>
      <c r="K754" s="542"/>
      <c r="O754" s="1134"/>
      <c r="Q754" s="1133"/>
    </row>
    <row r="755" spans="2:17" x14ac:dyDescent="0.3">
      <c r="B755" s="126"/>
      <c r="C755" s="583">
        <v>372</v>
      </c>
      <c r="D755" s="625" t="e">
        <f t="shared" si="31"/>
        <v>#VALUE!</v>
      </c>
      <c r="E755" s="591"/>
      <c r="F755" s="591"/>
      <c r="G755" s="591"/>
      <c r="H755" s="591"/>
      <c r="I755" s="591"/>
      <c r="J755" s="591"/>
      <c r="K755" s="542"/>
      <c r="O755" s="1134"/>
      <c r="Q755" s="1133"/>
    </row>
    <row r="756" spans="2:17" x14ac:dyDescent="0.3">
      <c r="B756" s="126"/>
      <c r="C756" s="583">
        <v>373</v>
      </c>
      <c r="D756" s="625" t="e">
        <f t="shared" si="31"/>
        <v>#VALUE!</v>
      </c>
      <c r="E756" s="591"/>
      <c r="F756" s="591"/>
      <c r="G756" s="591"/>
      <c r="H756" s="591"/>
      <c r="I756" s="591"/>
      <c r="J756" s="591"/>
      <c r="K756" s="542"/>
      <c r="O756" s="1134"/>
      <c r="Q756" s="1133"/>
    </row>
    <row r="757" spans="2:17" x14ac:dyDescent="0.3">
      <c r="B757" s="126"/>
      <c r="C757" s="583">
        <v>374</v>
      </c>
      <c r="D757" s="625" t="e">
        <f t="shared" si="31"/>
        <v>#VALUE!</v>
      </c>
      <c r="E757" s="591"/>
      <c r="F757" s="591"/>
      <c r="G757" s="591"/>
      <c r="H757" s="591"/>
      <c r="I757" s="591"/>
      <c r="J757" s="591"/>
      <c r="K757" s="542"/>
      <c r="O757" s="1134"/>
      <c r="Q757" s="1133"/>
    </row>
    <row r="758" spans="2:17" x14ac:dyDescent="0.3">
      <c r="B758" s="126"/>
      <c r="C758" s="583">
        <v>375</v>
      </c>
      <c r="D758" s="625" t="e">
        <f t="shared" si="31"/>
        <v>#VALUE!</v>
      </c>
      <c r="E758" s="591"/>
      <c r="F758" s="591"/>
      <c r="G758" s="591"/>
      <c r="H758" s="591"/>
      <c r="I758" s="591"/>
      <c r="J758" s="591"/>
      <c r="K758" s="542"/>
      <c r="O758" s="1134"/>
      <c r="Q758" s="1133"/>
    </row>
    <row r="759" spans="2:17" x14ac:dyDescent="0.3">
      <c r="B759" s="126"/>
      <c r="C759" s="583">
        <v>376</v>
      </c>
      <c r="D759" s="625" t="e">
        <f t="shared" si="31"/>
        <v>#VALUE!</v>
      </c>
      <c r="E759" s="591"/>
      <c r="F759" s="591"/>
      <c r="G759" s="591"/>
      <c r="H759" s="591"/>
      <c r="I759" s="591"/>
      <c r="J759" s="591"/>
      <c r="K759" s="542"/>
      <c r="O759" s="1134"/>
      <c r="Q759" s="1133"/>
    </row>
    <row r="760" spans="2:17" x14ac:dyDescent="0.3">
      <c r="B760" s="126"/>
      <c r="C760" s="583">
        <v>377</v>
      </c>
      <c r="D760" s="625" t="e">
        <f t="shared" si="31"/>
        <v>#VALUE!</v>
      </c>
      <c r="E760" s="591"/>
      <c r="F760" s="591"/>
      <c r="G760" s="591"/>
      <c r="H760" s="591"/>
      <c r="I760" s="591"/>
      <c r="J760" s="591"/>
      <c r="K760" s="542"/>
      <c r="O760" s="1134"/>
      <c r="Q760" s="1133"/>
    </row>
    <row r="761" spans="2:17" x14ac:dyDescent="0.3">
      <c r="B761" s="126"/>
      <c r="C761" s="583">
        <v>378</v>
      </c>
      <c r="D761" s="625" t="e">
        <f t="shared" si="31"/>
        <v>#VALUE!</v>
      </c>
      <c r="E761" s="591"/>
      <c r="F761" s="591"/>
      <c r="G761" s="591"/>
      <c r="H761" s="591"/>
      <c r="I761" s="591"/>
      <c r="J761" s="591"/>
      <c r="K761" s="542"/>
      <c r="O761" s="1134"/>
      <c r="Q761" s="1133"/>
    </row>
    <row r="762" spans="2:17" x14ac:dyDescent="0.3">
      <c r="B762" s="126"/>
      <c r="C762" s="583">
        <v>379</v>
      </c>
      <c r="D762" s="625" t="e">
        <f t="shared" si="31"/>
        <v>#VALUE!</v>
      </c>
      <c r="E762" s="591"/>
      <c r="F762" s="591"/>
      <c r="G762" s="591"/>
      <c r="H762" s="591"/>
      <c r="I762" s="591"/>
      <c r="J762" s="591"/>
      <c r="K762" s="542"/>
      <c r="O762" s="1134"/>
      <c r="Q762" s="1133"/>
    </row>
    <row r="763" spans="2:17" x14ac:dyDescent="0.3">
      <c r="B763" s="126"/>
      <c r="C763" s="583">
        <v>380</v>
      </c>
      <c r="D763" s="625" t="e">
        <f t="shared" si="31"/>
        <v>#VALUE!</v>
      </c>
      <c r="E763" s="591"/>
      <c r="F763" s="591"/>
      <c r="G763" s="591"/>
      <c r="H763" s="591"/>
      <c r="I763" s="591"/>
      <c r="J763" s="591"/>
      <c r="K763" s="542"/>
      <c r="O763" s="1134"/>
      <c r="Q763" s="1133"/>
    </row>
    <row r="764" spans="2:17" x14ac:dyDescent="0.3">
      <c r="B764" s="126"/>
      <c r="C764" s="583">
        <v>381</v>
      </c>
      <c r="D764" s="625" t="e">
        <f t="shared" si="31"/>
        <v>#VALUE!</v>
      </c>
      <c r="E764" s="591"/>
      <c r="F764" s="591"/>
      <c r="G764" s="591"/>
      <c r="H764" s="591"/>
      <c r="I764" s="591"/>
      <c r="J764" s="591"/>
      <c r="K764" s="542"/>
      <c r="O764" s="1134"/>
      <c r="Q764" s="1133"/>
    </row>
    <row r="765" spans="2:17" x14ac:dyDescent="0.3">
      <c r="B765" s="126"/>
      <c r="C765" s="583">
        <v>382</v>
      </c>
      <c r="D765" s="625" t="e">
        <f t="shared" si="31"/>
        <v>#VALUE!</v>
      </c>
      <c r="E765" s="591"/>
      <c r="F765" s="591"/>
      <c r="G765" s="591"/>
      <c r="H765" s="591"/>
      <c r="I765" s="591"/>
      <c r="J765" s="591"/>
      <c r="K765" s="542"/>
      <c r="O765" s="1134"/>
      <c r="Q765" s="1133"/>
    </row>
    <row r="766" spans="2:17" x14ac:dyDescent="0.3">
      <c r="B766" s="126"/>
      <c r="C766" s="583">
        <v>383</v>
      </c>
      <c r="D766" s="625" t="e">
        <f t="shared" si="31"/>
        <v>#VALUE!</v>
      </c>
      <c r="E766" s="591"/>
      <c r="F766" s="591"/>
      <c r="G766" s="591"/>
      <c r="H766" s="591"/>
      <c r="I766" s="591"/>
      <c r="J766" s="591"/>
      <c r="K766" s="542"/>
      <c r="O766" s="1134"/>
      <c r="Q766" s="1133"/>
    </row>
    <row r="767" spans="2:17" x14ac:dyDescent="0.3">
      <c r="B767" s="126"/>
      <c r="C767" s="583">
        <v>384</v>
      </c>
      <c r="D767" s="625" t="e">
        <f t="shared" ref="D767:D830" si="32">$C$362*C767</f>
        <v>#VALUE!</v>
      </c>
      <c r="E767" s="591"/>
      <c r="F767" s="591"/>
      <c r="G767" s="591"/>
      <c r="H767" s="591"/>
      <c r="I767" s="591"/>
      <c r="J767" s="591"/>
      <c r="K767" s="542"/>
      <c r="O767" s="1134"/>
      <c r="Q767" s="1133"/>
    </row>
    <row r="768" spans="2:17" x14ac:dyDescent="0.3">
      <c r="B768" s="126"/>
      <c r="C768" s="583">
        <v>385</v>
      </c>
      <c r="D768" s="625" t="e">
        <f t="shared" si="32"/>
        <v>#VALUE!</v>
      </c>
      <c r="E768" s="591"/>
      <c r="F768" s="591"/>
      <c r="G768" s="591"/>
      <c r="H768" s="591"/>
      <c r="I768" s="591"/>
      <c r="J768" s="591"/>
      <c r="K768" s="542"/>
      <c r="O768" s="1134"/>
      <c r="Q768" s="1133"/>
    </row>
    <row r="769" spans="2:17" x14ac:dyDescent="0.3">
      <c r="B769" s="126"/>
      <c r="C769" s="583">
        <v>386</v>
      </c>
      <c r="D769" s="625" t="e">
        <f t="shared" si="32"/>
        <v>#VALUE!</v>
      </c>
      <c r="E769" s="591"/>
      <c r="F769" s="591"/>
      <c r="G769" s="591"/>
      <c r="H769" s="591"/>
      <c r="I769" s="591"/>
      <c r="J769" s="591"/>
      <c r="K769" s="542"/>
      <c r="O769" s="1134"/>
      <c r="Q769" s="1133"/>
    </row>
    <row r="770" spans="2:17" x14ac:dyDescent="0.3">
      <c r="B770" s="126"/>
      <c r="C770" s="583">
        <v>387</v>
      </c>
      <c r="D770" s="625" t="e">
        <f t="shared" si="32"/>
        <v>#VALUE!</v>
      </c>
      <c r="E770" s="591"/>
      <c r="F770" s="591"/>
      <c r="G770" s="591"/>
      <c r="H770" s="591"/>
      <c r="I770" s="591"/>
      <c r="J770" s="591"/>
      <c r="K770" s="542"/>
      <c r="O770" s="1134"/>
      <c r="Q770" s="1133"/>
    </row>
    <row r="771" spans="2:17" x14ac:dyDescent="0.3">
      <c r="B771" s="126"/>
      <c r="C771" s="583">
        <v>388</v>
      </c>
      <c r="D771" s="625" t="e">
        <f t="shared" si="32"/>
        <v>#VALUE!</v>
      </c>
      <c r="E771" s="591"/>
      <c r="F771" s="591"/>
      <c r="G771" s="591"/>
      <c r="H771" s="591"/>
      <c r="I771" s="591"/>
      <c r="J771" s="591"/>
      <c r="K771" s="542"/>
      <c r="O771" s="1134"/>
      <c r="Q771" s="1133"/>
    </row>
    <row r="772" spans="2:17" x14ac:dyDescent="0.3">
      <c r="B772" s="126"/>
      <c r="C772" s="583">
        <v>389</v>
      </c>
      <c r="D772" s="625" t="e">
        <f t="shared" si="32"/>
        <v>#VALUE!</v>
      </c>
      <c r="E772" s="591"/>
      <c r="F772" s="591"/>
      <c r="G772" s="591"/>
      <c r="H772" s="591"/>
      <c r="I772" s="591"/>
      <c r="J772" s="591"/>
      <c r="K772" s="542"/>
      <c r="O772" s="1134"/>
      <c r="Q772" s="1133"/>
    </row>
    <row r="773" spans="2:17" x14ac:dyDescent="0.3">
      <c r="B773" s="126"/>
      <c r="C773" s="583">
        <v>390</v>
      </c>
      <c r="D773" s="625" t="e">
        <f t="shared" si="32"/>
        <v>#VALUE!</v>
      </c>
      <c r="E773" s="591"/>
      <c r="F773" s="591"/>
      <c r="G773" s="591"/>
      <c r="H773" s="591"/>
      <c r="I773" s="591"/>
      <c r="J773" s="591"/>
      <c r="K773" s="542"/>
      <c r="O773" s="1134"/>
      <c r="Q773" s="1133"/>
    </row>
    <row r="774" spans="2:17" x14ac:dyDescent="0.3">
      <c r="B774" s="126"/>
      <c r="C774" s="583">
        <v>391</v>
      </c>
      <c r="D774" s="625" t="e">
        <f t="shared" si="32"/>
        <v>#VALUE!</v>
      </c>
      <c r="E774" s="591"/>
      <c r="F774" s="591"/>
      <c r="G774" s="591"/>
      <c r="H774" s="591"/>
      <c r="I774" s="591"/>
      <c r="J774" s="591"/>
      <c r="K774" s="542"/>
      <c r="O774" s="1134"/>
      <c r="Q774" s="1133"/>
    </row>
    <row r="775" spans="2:17" x14ac:dyDescent="0.3">
      <c r="B775" s="126"/>
      <c r="C775" s="583">
        <v>392</v>
      </c>
      <c r="D775" s="625" t="e">
        <f t="shared" si="32"/>
        <v>#VALUE!</v>
      </c>
      <c r="E775" s="591"/>
      <c r="F775" s="591"/>
      <c r="G775" s="591"/>
      <c r="H775" s="591"/>
      <c r="I775" s="591"/>
      <c r="J775" s="591"/>
      <c r="K775" s="542"/>
      <c r="O775" s="1134"/>
      <c r="Q775" s="1133"/>
    </row>
    <row r="776" spans="2:17" x14ac:dyDescent="0.3">
      <c r="B776" s="126"/>
      <c r="C776" s="583">
        <v>393</v>
      </c>
      <c r="D776" s="625" t="e">
        <f t="shared" si="32"/>
        <v>#VALUE!</v>
      </c>
      <c r="E776" s="591"/>
      <c r="F776" s="591"/>
      <c r="G776" s="591"/>
      <c r="H776" s="591"/>
      <c r="I776" s="591"/>
      <c r="J776" s="591"/>
      <c r="K776" s="542"/>
      <c r="O776" s="1134"/>
      <c r="Q776" s="1133"/>
    </row>
    <row r="777" spans="2:17" x14ac:dyDescent="0.3">
      <c r="B777" s="126"/>
      <c r="C777" s="583">
        <v>394</v>
      </c>
      <c r="D777" s="625" t="e">
        <f t="shared" si="32"/>
        <v>#VALUE!</v>
      </c>
      <c r="E777" s="591"/>
      <c r="F777" s="591"/>
      <c r="G777" s="591"/>
      <c r="H777" s="591"/>
      <c r="I777" s="591"/>
      <c r="J777" s="591"/>
      <c r="K777" s="542"/>
      <c r="O777" s="1134"/>
      <c r="Q777" s="1133"/>
    </row>
    <row r="778" spans="2:17" x14ac:dyDescent="0.3">
      <c r="B778" s="126"/>
      <c r="C778" s="583">
        <v>395</v>
      </c>
      <c r="D778" s="625" t="e">
        <f t="shared" si="32"/>
        <v>#VALUE!</v>
      </c>
      <c r="E778" s="591"/>
      <c r="F778" s="591"/>
      <c r="G778" s="591"/>
      <c r="H778" s="591"/>
      <c r="I778" s="591"/>
      <c r="J778" s="591"/>
      <c r="K778" s="542"/>
      <c r="O778" s="1134"/>
      <c r="Q778" s="1133"/>
    </row>
    <row r="779" spans="2:17" x14ac:dyDescent="0.3">
      <c r="B779" s="126"/>
      <c r="C779" s="583">
        <v>396</v>
      </c>
      <c r="D779" s="625" t="e">
        <f t="shared" si="32"/>
        <v>#VALUE!</v>
      </c>
      <c r="E779" s="591"/>
      <c r="F779" s="591"/>
      <c r="G779" s="591"/>
      <c r="H779" s="591"/>
      <c r="I779" s="591"/>
      <c r="J779" s="591"/>
      <c r="K779" s="542"/>
      <c r="O779" s="1134"/>
      <c r="Q779" s="1133"/>
    </row>
    <row r="780" spans="2:17" x14ac:dyDescent="0.3">
      <c r="B780" s="126"/>
      <c r="C780" s="583">
        <v>397</v>
      </c>
      <c r="D780" s="625" t="e">
        <f t="shared" si="32"/>
        <v>#VALUE!</v>
      </c>
      <c r="E780" s="591"/>
      <c r="F780" s="591"/>
      <c r="G780" s="591"/>
      <c r="H780" s="591"/>
      <c r="I780" s="591"/>
      <c r="J780" s="591"/>
      <c r="K780" s="542"/>
      <c r="O780" s="1134"/>
      <c r="Q780" s="1133"/>
    </row>
    <row r="781" spans="2:17" x14ac:dyDescent="0.3">
      <c r="B781" s="126"/>
      <c r="C781" s="583">
        <v>398</v>
      </c>
      <c r="D781" s="625" t="e">
        <f t="shared" si="32"/>
        <v>#VALUE!</v>
      </c>
      <c r="E781" s="591"/>
      <c r="F781" s="591"/>
      <c r="G781" s="591"/>
      <c r="H781" s="591"/>
      <c r="I781" s="591"/>
      <c r="J781" s="591"/>
      <c r="K781" s="542"/>
      <c r="O781" s="1134"/>
      <c r="Q781" s="1133"/>
    </row>
    <row r="782" spans="2:17" x14ac:dyDescent="0.3">
      <c r="B782" s="126"/>
      <c r="C782" s="583">
        <v>399</v>
      </c>
      <c r="D782" s="625" t="e">
        <f t="shared" si="32"/>
        <v>#VALUE!</v>
      </c>
      <c r="E782" s="591"/>
      <c r="F782" s="591"/>
      <c r="G782" s="591"/>
      <c r="H782" s="591"/>
      <c r="I782" s="591"/>
      <c r="J782" s="591"/>
      <c r="K782" s="542"/>
      <c r="O782" s="1134"/>
      <c r="Q782" s="1133"/>
    </row>
    <row r="783" spans="2:17" x14ac:dyDescent="0.3">
      <c r="B783" s="126"/>
      <c r="C783" s="583">
        <v>400</v>
      </c>
      <c r="D783" s="625" t="e">
        <f t="shared" si="32"/>
        <v>#VALUE!</v>
      </c>
      <c r="E783" s="591"/>
      <c r="F783" s="591"/>
      <c r="G783" s="591"/>
      <c r="H783" s="591"/>
      <c r="I783" s="591"/>
      <c r="J783" s="591"/>
      <c r="K783" s="542"/>
      <c r="O783" s="1134"/>
      <c r="Q783" s="1133"/>
    </row>
    <row r="784" spans="2:17" x14ac:dyDescent="0.3">
      <c r="B784" s="126"/>
      <c r="C784" s="583">
        <v>401</v>
      </c>
      <c r="D784" s="625" t="e">
        <f t="shared" si="32"/>
        <v>#VALUE!</v>
      </c>
      <c r="E784" s="591"/>
      <c r="F784" s="591"/>
      <c r="G784" s="591"/>
      <c r="H784" s="591"/>
      <c r="I784" s="591"/>
      <c r="J784" s="591"/>
      <c r="K784" s="542"/>
      <c r="O784" s="1134"/>
      <c r="Q784" s="1133"/>
    </row>
    <row r="785" spans="2:17" x14ac:dyDescent="0.3">
      <c r="B785" s="126"/>
      <c r="C785" s="583">
        <v>402</v>
      </c>
      <c r="D785" s="625" t="e">
        <f t="shared" si="32"/>
        <v>#VALUE!</v>
      </c>
      <c r="E785" s="591"/>
      <c r="F785" s="591"/>
      <c r="G785" s="591"/>
      <c r="H785" s="591"/>
      <c r="I785" s="591"/>
      <c r="J785" s="591"/>
      <c r="K785" s="542"/>
      <c r="O785" s="1134"/>
      <c r="Q785" s="1133"/>
    </row>
    <row r="786" spans="2:17" x14ac:dyDescent="0.3">
      <c r="B786" s="126"/>
      <c r="C786" s="583">
        <v>403</v>
      </c>
      <c r="D786" s="625" t="e">
        <f t="shared" si="32"/>
        <v>#VALUE!</v>
      </c>
      <c r="E786" s="591"/>
      <c r="F786" s="591"/>
      <c r="G786" s="591"/>
      <c r="H786" s="591"/>
      <c r="I786" s="591"/>
      <c r="J786" s="591"/>
      <c r="K786" s="542"/>
      <c r="O786" s="1134"/>
      <c r="Q786" s="1133"/>
    </row>
    <row r="787" spans="2:17" x14ac:dyDescent="0.3">
      <c r="B787" s="126"/>
      <c r="C787" s="583">
        <v>404</v>
      </c>
      <c r="D787" s="625" t="e">
        <f t="shared" si="32"/>
        <v>#VALUE!</v>
      </c>
      <c r="E787" s="591"/>
      <c r="F787" s="591"/>
      <c r="G787" s="591"/>
      <c r="H787" s="591"/>
      <c r="I787" s="591"/>
      <c r="J787" s="591"/>
      <c r="K787" s="542"/>
      <c r="O787" s="1134"/>
      <c r="Q787" s="1133"/>
    </row>
    <row r="788" spans="2:17" x14ac:dyDescent="0.3">
      <c r="B788" s="126"/>
      <c r="C788" s="583">
        <v>405</v>
      </c>
      <c r="D788" s="625" t="e">
        <f t="shared" si="32"/>
        <v>#VALUE!</v>
      </c>
      <c r="E788" s="591"/>
      <c r="F788" s="591"/>
      <c r="G788" s="591"/>
      <c r="H788" s="591"/>
      <c r="I788" s="591"/>
      <c r="J788" s="591"/>
      <c r="K788" s="542"/>
      <c r="O788" s="1134"/>
      <c r="Q788" s="1133"/>
    </row>
    <row r="789" spans="2:17" x14ac:dyDescent="0.3">
      <c r="B789" s="126"/>
      <c r="C789" s="583">
        <v>406</v>
      </c>
      <c r="D789" s="625" t="e">
        <f t="shared" si="32"/>
        <v>#VALUE!</v>
      </c>
      <c r="E789" s="591"/>
      <c r="F789" s="591"/>
      <c r="G789" s="591"/>
      <c r="H789" s="591"/>
      <c r="I789" s="591"/>
      <c r="J789" s="591"/>
      <c r="K789" s="542"/>
      <c r="O789" s="1134"/>
      <c r="Q789" s="1133"/>
    </row>
    <row r="790" spans="2:17" x14ac:dyDescent="0.3">
      <c r="B790" s="126"/>
      <c r="C790" s="583">
        <v>407</v>
      </c>
      <c r="D790" s="625" t="e">
        <f t="shared" si="32"/>
        <v>#VALUE!</v>
      </c>
      <c r="E790" s="591"/>
      <c r="F790" s="591"/>
      <c r="G790" s="591"/>
      <c r="H790" s="591"/>
      <c r="I790" s="591"/>
      <c r="J790" s="591"/>
      <c r="K790" s="542"/>
      <c r="O790" s="1134"/>
      <c r="Q790" s="1133"/>
    </row>
    <row r="791" spans="2:17" x14ac:dyDescent="0.3">
      <c r="B791" s="126"/>
      <c r="C791" s="583">
        <v>408</v>
      </c>
      <c r="D791" s="625" t="e">
        <f t="shared" si="32"/>
        <v>#VALUE!</v>
      </c>
      <c r="E791" s="591"/>
      <c r="F791" s="591"/>
      <c r="G791" s="591"/>
      <c r="H791" s="591"/>
      <c r="I791" s="591"/>
      <c r="J791" s="591"/>
      <c r="K791" s="542"/>
      <c r="O791" s="1134"/>
      <c r="Q791" s="1133"/>
    </row>
    <row r="792" spans="2:17" x14ac:dyDescent="0.3">
      <c r="B792" s="126"/>
      <c r="C792" s="583">
        <v>409</v>
      </c>
      <c r="D792" s="625" t="e">
        <f t="shared" si="32"/>
        <v>#VALUE!</v>
      </c>
      <c r="E792" s="591"/>
      <c r="F792" s="591"/>
      <c r="G792" s="591"/>
      <c r="H792" s="591"/>
      <c r="I792" s="591"/>
      <c r="J792" s="591"/>
      <c r="K792" s="542"/>
      <c r="O792" s="1134"/>
      <c r="Q792" s="1133"/>
    </row>
    <row r="793" spans="2:17" x14ac:dyDescent="0.3">
      <c r="B793" s="126"/>
      <c r="C793" s="583">
        <v>410</v>
      </c>
      <c r="D793" s="625" t="e">
        <f t="shared" si="32"/>
        <v>#VALUE!</v>
      </c>
      <c r="E793" s="591"/>
      <c r="F793" s="591"/>
      <c r="G793" s="591"/>
      <c r="H793" s="591"/>
      <c r="I793" s="591"/>
      <c r="J793" s="591"/>
      <c r="K793" s="542"/>
      <c r="O793" s="1134"/>
      <c r="Q793" s="1133"/>
    </row>
    <row r="794" spans="2:17" x14ac:dyDescent="0.3">
      <c r="B794" s="126"/>
      <c r="C794" s="583">
        <v>411</v>
      </c>
      <c r="D794" s="625" t="e">
        <f t="shared" si="32"/>
        <v>#VALUE!</v>
      </c>
      <c r="E794" s="591"/>
      <c r="F794" s="591"/>
      <c r="G794" s="591"/>
      <c r="H794" s="591"/>
      <c r="I794" s="591"/>
      <c r="J794" s="591"/>
      <c r="K794" s="542"/>
      <c r="O794" s="1134"/>
      <c r="Q794" s="1133"/>
    </row>
    <row r="795" spans="2:17" x14ac:dyDescent="0.3">
      <c r="B795" s="126"/>
      <c r="C795" s="583">
        <v>412</v>
      </c>
      <c r="D795" s="625" t="e">
        <f t="shared" si="32"/>
        <v>#VALUE!</v>
      </c>
      <c r="E795" s="591"/>
      <c r="F795" s="591"/>
      <c r="G795" s="591"/>
      <c r="H795" s="591"/>
      <c r="I795" s="591"/>
      <c r="J795" s="591"/>
      <c r="K795" s="542"/>
      <c r="O795" s="1134"/>
      <c r="Q795" s="1133"/>
    </row>
    <row r="796" spans="2:17" x14ac:dyDescent="0.3">
      <c r="B796" s="126"/>
      <c r="C796" s="583">
        <v>413</v>
      </c>
      <c r="D796" s="625" t="e">
        <f t="shared" si="32"/>
        <v>#VALUE!</v>
      </c>
      <c r="E796" s="591"/>
      <c r="F796" s="591"/>
      <c r="G796" s="591"/>
      <c r="H796" s="591"/>
      <c r="I796" s="591"/>
      <c r="J796" s="591"/>
      <c r="K796" s="542"/>
      <c r="O796" s="1134"/>
      <c r="Q796" s="1133"/>
    </row>
    <row r="797" spans="2:17" x14ac:dyDescent="0.3">
      <c r="B797" s="126"/>
      <c r="C797" s="583">
        <v>414</v>
      </c>
      <c r="D797" s="625" t="e">
        <f t="shared" si="32"/>
        <v>#VALUE!</v>
      </c>
      <c r="E797" s="591"/>
      <c r="F797" s="591"/>
      <c r="G797" s="591"/>
      <c r="H797" s="591"/>
      <c r="I797" s="591"/>
      <c r="J797" s="591"/>
      <c r="K797" s="542"/>
      <c r="O797" s="1134"/>
      <c r="Q797" s="1133"/>
    </row>
    <row r="798" spans="2:17" x14ac:dyDescent="0.3">
      <c r="B798" s="126"/>
      <c r="C798" s="583">
        <v>415</v>
      </c>
      <c r="D798" s="625" t="e">
        <f t="shared" si="32"/>
        <v>#VALUE!</v>
      </c>
      <c r="E798" s="591"/>
      <c r="F798" s="591"/>
      <c r="G798" s="591"/>
      <c r="H798" s="591"/>
      <c r="I798" s="591"/>
      <c r="J798" s="591"/>
      <c r="K798" s="542"/>
      <c r="O798" s="1134"/>
      <c r="Q798" s="1133"/>
    </row>
    <row r="799" spans="2:17" x14ac:dyDescent="0.3">
      <c r="B799" s="126"/>
      <c r="C799" s="583">
        <v>416</v>
      </c>
      <c r="D799" s="625" t="e">
        <f t="shared" si="32"/>
        <v>#VALUE!</v>
      </c>
      <c r="E799" s="591"/>
      <c r="F799" s="591"/>
      <c r="G799" s="591"/>
      <c r="H799" s="591"/>
      <c r="I799" s="591"/>
      <c r="J799" s="591"/>
      <c r="K799" s="542"/>
      <c r="O799" s="1134"/>
      <c r="Q799" s="1133"/>
    </row>
    <row r="800" spans="2:17" x14ac:dyDescent="0.3">
      <c r="B800" s="126"/>
      <c r="C800" s="583">
        <v>417</v>
      </c>
      <c r="D800" s="625" t="e">
        <f t="shared" si="32"/>
        <v>#VALUE!</v>
      </c>
      <c r="E800" s="591"/>
      <c r="F800" s="591"/>
      <c r="G800" s="591"/>
      <c r="H800" s="591"/>
      <c r="I800" s="591"/>
      <c r="J800" s="591"/>
      <c r="K800" s="542"/>
      <c r="O800" s="1134"/>
      <c r="Q800" s="1133"/>
    </row>
    <row r="801" spans="2:17" x14ac:dyDescent="0.3">
      <c r="B801" s="126"/>
      <c r="C801" s="583">
        <v>418</v>
      </c>
      <c r="D801" s="625" t="e">
        <f t="shared" si="32"/>
        <v>#VALUE!</v>
      </c>
      <c r="E801" s="591"/>
      <c r="F801" s="591"/>
      <c r="G801" s="591"/>
      <c r="H801" s="591"/>
      <c r="I801" s="591"/>
      <c r="J801" s="591"/>
      <c r="K801" s="542"/>
      <c r="O801" s="1134"/>
      <c r="Q801" s="1133"/>
    </row>
    <row r="802" spans="2:17" x14ac:dyDescent="0.3">
      <c r="B802" s="126"/>
      <c r="C802" s="583">
        <v>419</v>
      </c>
      <c r="D802" s="625" t="e">
        <f t="shared" si="32"/>
        <v>#VALUE!</v>
      </c>
      <c r="E802" s="591"/>
      <c r="F802" s="591"/>
      <c r="G802" s="591"/>
      <c r="H802" s="591"/>
      <c r="I802" s="591"/>
      <c r="J802" s="591"/>
      <c r="K802" s="542"/>
      <c r="O802" s="1134"/>
      <c r="Q802" s="1133"/>
    </row>
    <row r="803" spans="2:17" x14ac:dyDescent="0.3">
      <c r="B803" s="126"/>
      <c r="C803" s="583">
        <v>420</v>
      </c>
      <c r="D803" s="625" t="e">
        <f t="shared" si="32"/>
        <v>#VALUE!</v>
      </c>
      <c r="E803" s="591"/>
      <c r="F803" s="591"/>
      <c r="G803" s="591"/>
      <c r="H803" s="591"/>
      <c r="I803" s="591"/>
      <c r="J803" s="591"/>
      <c r="K803" s="542"/>
      <c r="O803" s="1134"/>
      <c r="Q803" s="1133"/>
    </row>
    <row r="804" spans="2:17" x14ac:dyDescent="0.3">
      <c r="B804" s="126"/>
      <c r="C804" s="583">
        <v>421</v>
      </c>
      <c r="D804" s="625" t="e">
        <f t="shared" si="32"/>
        <v>#VALUE!</v>
      </c>
      <c r="E804" s="591"/>
      <c r="F804" s="591"/>
      <c r="G804" s="591"/>
      <c r="H804" s="591"/>
      <c r="I804" s="591"/>
      <c r="J804" s="591"/>
      <c r="K804" s="542"/>
      <c r="O804" s="1134"/>
      <c r="Q804" s="1133"/>
    </row>
    <row r="805" spans="2:17" x14ac:dyDescent="0.3">
      <c r="B805" s="126"/>
      <c r="C805" s="583">
        <v>422</v>
      </c>
      <c r="D805" s="625" t="e">
        <f t="shared" si="32"/>
        <v>#VALUE!</v>
      </c>
      <c r="E805" s="591"/>
      <c r="F805" s="591"/>
      <c r="G805" s="591"/>
      <c r="H805" s="591"/>
      <c r="I805" s="591"/>
      <c r="J805" s="591"/>
      <c r="K805" s="542"/>
      <c r="O805" s="1134"/>
      <c r="Q805" s="1133"/>
    </row>
    <row r="806" spans="2:17" x14ac:dyDescent="0.3">
      <c r="B806" s="126"/>
      <c r="C806" s="583">
        <v>423</v>
      </c>
      <c r="D806" s="625" t="e">
        <f t="shared" si="32"/>
        <v>#VALUE!</v>
      </c>
      <c r="E806" s="591"/>
      <c r="F806" s="591"/>
      <c r="G806" s="591"/>
      <c r="H806" s="591"/>
      <c r="I806" s="591"/>
      <c r="J806" s="591"/>
      <c r="K806" s="542"/>
      <c r="O806" s="1134"/>
      <c r="Q806" s="1133"/>
    </row>
    <row r="807" spans="2:17" x14ac:dyDescent="0.3">
      <c r="B807" s="126"/>
      <c r="C807" s="583">
        <v>424</v>
      </c>
      <c r="D807" s="625" t="e">
        <f t="shared" si="32"/>
        <v>#VALUE!</v>
      </c>
      <c r="E807" s="591"/>
      <c r="F807" s="591"/>
      <c r="G807" s="591"/>
      <c r="H807" s="591"/>
      <c r="I807" s="591"/>
      <c r="J807" s="591"/>
      <c r="K807" s="542"/>
      <c r="O807" s="1134"/>
      <c r="Q807" s="1133"/>
    </row>
    <row r="808" spans="2:17" x14ac:dyDescent="0.3">
      <c r="B808" s="126"/>
      <c r="C808" s="583">
        <v>425</v>
      </c>
      <c r="D808" s="625" t="e">
        <f t="shared" si="32"/>
        <v>#VALUE!</v>
      </c>
      <c r="E808" s="591"/>
      <c r="F808" s="591"/>
      <c r="G808" s="591"/>
      <c r="H808" s="591"/>
      <c r="I808" s="591"/>
      <c r="J808" s="591"/>
      <c r="K808" s="542"/>
      <c r="O808" s="1134"/>
      <c r="Q808" s="1133"/>
    </row>
    <row r="809" spans="2:17" x14ac:dyDescent="0.3">
      <c r="B809" s="126"/>
      <c r="C809" s="583">
        <v>426</v>
      </c>
      <c r="D809" s="625" t="e">
        <f t="shared" si="32"/>
        <v>#VALUE!</v>
      </c>
      <c r="E809" s="591"/>
      <c r="F809" s="591"/>
      <c r="G809" s="591"/>
      <c r="H809" s="591"/>
      <c r="I809" s="591"/>
      <c r="J809" s="591"/>
      <c r="K809" s="542"/>
      <c r="O809" s="1134"/>
      <c r="Q809" s="1133"/>
    </row>
    <row r="810" spans="2:17" x14ac:dyDescent="0.3">
      <c r="B810" s="126"/>
      <c r="C810" s="583">
        <v>427</v>
      </c>
      <c r="D810" s="625" t="e">
        <f t="shared" si="32"/>
        <v>#VALUE!</v>
      </c>
      <c r="E810" s="591"/>
      <c r="F810" s="591"/>
      <c r="G810" s="591"/>
      <c r="H810" s="591"/>
      <c r="I810" s="591"/>
      <c r="J810" s="591"/>
      <c r="K810" s="542"/>
      <c r="O810" s="1134"/>
      <c r="Q810" s="1133"/>
    </row>
    <row r="811" spans="2:17" x14ac:dyDescent="0.3">
      <c r="B811" s="126"/>
      <c r="C811" s="583">
        <v>428</v>
      </c>
      <c r="D811" s="625" t="e">
        <f t="shared" si="32"/>
        <v>#VALUE!</v>
      </c>
      <c r="E811" s="591"/>
      <c r="F811" s="591"/>
      <c r="G811" s="591"/>
      <c r="H811" s="591"/>
      <c r="I811" s="591"/>
      <c r="J811" s="591"/>
      <c r="K811" s="542"/>
      <c r="O811" s="1134"/>
      <c r="Q811" s="1133"/>
    </row>
    <row r="812" spans="2:17" x14ac:dyDescent="0.3">
      <c r="B812" s="126"/>
      <c r="C812" s="583">
        <v>429</v>
      </c>
      <c r="D812" s="625" t="e">
        <f t="shared" si="32"/>
        <v>#VALUE!</v>
      </c>
      <c r="E812" s="591"/>
      <c r="F812" s="591"/>
      <c r="G812" s="591"/>
      <c r="H812" s="591"/>
      <c r="I812" s="591"/>
      <c r="J812" s="591"/>
      <c r="K812" s="542"/>
      <c r="O812" s="1134"/>
      <c r="Q812" s="1133"/>
    </row>
    <row r="813" spans="2:17" x14ac:dyDescent="0.3">
      <c r="B813" s="126"/>
      <c r="C813" s="583">
        <v>430</v>
      </c>
      <c r="D813" s="625" t="e">
        <f t="shared" si="32"/>
        <v>#VALUE!</v>
      </c>
      <c r="E813" s="591"/>
      <c r="F813" s="591"/>
      <c r="G813" s="591"/>
      <c r="H813" s="591"/>
      <c r="I813" s="591"/>
      <c r="J813" s="591"/>
      <c r="K813" s="542"/>
      <c r="O813" s="1134"/>
      <c r="Q813" s="1133"/>
    </row>
    <row r="814" spans="2:17" x14ac:dyDescent="0.3">
      <c r="B814" s="126"/>
      <c r="C814" s="583">
        <v>431</v>
      </c>
      <c r="D814" s="625" t="e">
        <f t="shared" si="32"/>
        <v>#VALUE!</v>
      </c>
      <c r="E814" s="591"/>
      <c r="F814" s="591"/>
      <c r="G814" s="591"/>
      <c r="H814" s="591"/>
      <c r="I814" s="591"/>
      <c r="J814" s="591"/>
      <c r="K814" s="542"/>
      <c r="O814" s="1134"/>
      <c r="Q814" s="1133"/>
    </row>
    <row r="815" spans="2:17" x14ac:dyDescent="0.3">
      <c r="B815" s="126"/>
      <c r="C815" s="583">
        <v>432</v>
      </c>
      <c r="D815" s="625" t="e">
        <f t="shared" si="32"/>
        <v>#VALUE!</v>
      </c>
      <c r="E815" s="591"/>
      <c r="F815" s="591"/>
      <c r="G815" s="591"/>
      <c r="H815" s="591"/>
      <c r="I815" s="591"/>
      <c r="J815" s="591"/>
      <c r="K815" s="542"/>
      <c r="O815" s="1134"/>
      <c r="Q815" s="1133"/>
    </row>
    <row r="816" spans="2:17" x14ac:dyDescent="0.3">
      <c r="B816" s="126"/>
      <c r="C816" s="583">
        <v>433</v>
      </c>
      <c r="D816" s="625" t="e">
        <f t="shared" si="32"/>
        <v>#VALUE!</v>
      </c>
      <c r="E816" s="591"/>
      <c r="F816" s="591"/>
      <c r="G816" s="591"/>
      <c r="H816" s="591"/>
      <c r="I816" s="591"/>
      <c r="J816" s="591"/>
      <c r="K816" s="542"/>
      <c r="O816" s="1134"/>
      <c r="Q816" s="1133"/>
    </row>
    <row r="817" spans="2:17" x14ac:dyDescent="0.3">
      <c r="B817" s="126"/>
      <c r="C817" s="583">
        <v>434</v>
      </c>
      <c r="D817" s="625" t="e">
        <f t="shared" si="32"/>
        <v>#VALUE!</v>
      </c>
      <c r="E817" s="591"/>
      <c r="F817" s="591"/>
      <c r="G817" s="591"/>
      <c r="H817" s="591"/>
      <c r="I817" s="591"/>
      <c r="J817" s="591"/>
      <c r="K817" s="542"/>
      <c r="O817" s="1134"/>
      <c r="Q817" s="1133"/>
    </row>
    <row r="818" spans="2:17" x14ac:dyDescent="0.3">
      <c r="B818" s="126"/>
      <c r="C818" s="583">
        <v>435</v>
      </c>
      <c r="D818" s="625" t="e">
        <f t="shared" si="32"/>
        <v>#VALUE!</v>
      </c>
      <c r="E818" s="591"/>
      <c r="F818" s="591"/>
      <c r="G818" s="591"/>
      <c r="H818" s="591"/>
      <c r="I818" s="591"/>
      <c r="J818" s="591"/>
      <c r="K818" s="542"/>
      <c r="O818" s="1134"/>
      <c r="Q818" s="1133"/>
    </row>
    <row r="819" spans="2:17" x14ac:dyDescent="0.3">
      <c r="B819" s="126"/>
      <c r="C819" s="583">
        <v>436</v>
      </c>
      <c r="D819" s="625" t="e">
        <f t="shared" si="32"/>
        <v>#VALUE!</v>
      </c>
      <c r="E819" s="591"/>
      <c r="F819" s="591"/>
      <c r="G819" s="591"/>
      <c r="H819" s="591"/>
      <c r="I819" s="591"/>
      <c r="J819" s="591"/>
      <c r="K819" s="542"/>
      <c r="O819" s="1134"/>
      <c r="Q819" s="1133"/>
    </row>
    <row r="820" spans="2:17" x14ac:dyDescent="0.3">
      <c r="B820" s="126"/>
      <c r="C820" s="583">
        <v>437</v>
      </c>
      <c r="D820" s="625" t="e">
        <f t="shared" si="32"/>
        <v>#VALUE!</v>
      </c>
      <c r="E820" s="591"/>
      <c r="F820" s="591"/>
      <c r="G820" s="591"/>
      <c r="H820" s="591"/>
      <c r="I820" s="591"/>
      <c r="J820" s="591"/>
      <c r="K820" s="542"/>
      <c r="O820" s="1134"/>
      <c r="Q820" s="1133"/>
    </row>
    <row r="821" spans="2:17" x14ac:dyDescent="0.3">
      <c r="B821" s="126"/>
      <c r="C821" s="583">
        <v>438</v>
      </c>
      <c r="D821" s="625" t="e">
        <f t="shared" si="32"/>
        <v>#VALUE!</v>
      </c>
      <c r="E821" s="591"/>
      <c r="F821" s="591"/>
      <c r="G821" s="591"/>
      <c r="H821" s="591"/>
      <c r="I821" s="591"/>
      <c r="J821" s="591"/>
      <c r="K821" s="542"/>
      <c r="O821" s="1134"/>
      <c r="Q821" s="1133"/>
    </row>
    <row r="822" spans="2:17" x14ac:dyDescent="0.3">
      <c r="B822" s="126"/>
      <c r="C822" s="583">
        <v>439</v>
      </c>
      <c r="D822" s="625" t="e">
        <f t="shared" si="32"/>
        <v>#VALUE!</v>
      </c>
      <c r="E822" s="591"/>
      <c r="F822" s="591"/>
      <c r="G822" s="591"/>
      <c r="H822" s="591"/>
      <c r="I822" s="591"/>
      <c r="J822" s="591"/>
      <c r="K822" s="542"/>
      <c r="O822" s="1134"/>
      <c r="Q822" s="1133"/>
    </row>
    <row r="823" spans="2:17" x14ac:dyDescent="0.3">
      <c r="B823" s="126"/>
      <c r="C823" s="583">
        <v>440</v>
      </c>
      <c r="D823" s="625" t="e">
        <f t="shared" si="32"/>
        <v>#VALUE!</v>
      </c>
      <c r="E823" s="591"/>
      <c r="F823" s="591"/>
      <c r="G823" s="591"/>
      <c r="H823" s="591"/>
      <c r="I823" s="591"/>
      <c r="J823" s="591"/>
      <c r="K823" s="542"/>
      <c r="O823" s="1134"/>
      <c r="Q823" s="1133"/>
    </row>
    <row r="824" spans="2:17" x14ac:dyDescent="0.3">
      <c r="B824" s="126"/>
      <c r="C824" s="583">
        <v>441</v>
      </c>
      <c r="D824" s="625" t="e">
        <f t="shared" si="32"/>
        <v>#VALUE!</v>
      </c>
      <c r="E824" s="591"/>
      <c r="F824" s="591"/>
      <c r="G824" s="591"/>
      <c r="H824" s="591"/>
      <c r="I824" s="591"/>
      <c r="J824" s="591"/>
      <c r="K824" s="542"/>
      <c r="O824" s="1134"/>
      <c r="Q824" s="1133"/>
    </row>
    <row r="825" spans="2:17" x14ac:dyDescent="0.3">
      <c r="B825" s="126"/>
      <c r="C825" s="583">
        <v>442</v>
      </c>
      <c r="D825" s="625" t="e">
        <f t="shared" si="32"/>
        <v>#VALUE!</v>
      </c>
      <c r="E825" s="591"/>
      <c r="F825" s="591"/>
      <c r="G825" s="591"/>
      <c r="H825" s="591"/>
      <c r="I825" s="591"/>
      <c r="J825" s="591"/>
      <c r="K825" s="542"/>
      <c r="O825" s="1134"/>
      <c r="Q825" s="1133"/>
    </row>
    <row r="826" spans="2:17" x14ac:dyDescent="0.3">
      <c r="B826" s="126"/>
      <c r="C826" s="583">
        <v>443</v>
      </c>
      <c r="D826" s="625" t="e">
        <f t="shared" si="32"/>
        <v>#VALUE!</v>
      </c>
      <c r="E826" s="591"/>
      <c r="F826" s="591"/>
      <c r="G826" s="591"/>
      <c r="H826" s="591"/>
      <c r="I826" s="591"/>
      <c r="J826" s="591"/>
      <c r="K826" s="542"/>
      <c r="O826" s="1134"/>
      <c r="Q826" s="1133"/>
    </row>
    <row r="827" spans="2:17" x14ac:dyDescent="0.3">
      <c r="B827" s="126"/>
      <c r="C827" s="583">
        <v>444</v>
      </c>
      <c r="D827" s="625" t="e">
        <f t="shared" si="32"/>
        <v>#VALUE!</v>
      </c>
      <c r="E827" s="591"/>
      <c r="F827" s="591"/>
      <c r="G827" s="591"/>
      <c r="H827" s="591"/>
      <c r="I827" s="591"/>
      <c r="J827" s="591"/>
      <c r="K827" s="542"/>
      <c r="O827" s="1134"/>
      <c r="Q827" s="1133"/>
    </row>
    <row r="828" spans="2:17" x14ac:dyDescent="0.3">
      <c r="B828" s="126"/>
      <c r="C828" s="583">
        <v>445</v>
      </c>
      <c r="D828" s="625" t="e">
        <f t="shared" si="32"/>
        <v>#VALUE!</v>
      </c>
      <c r="E828" s="591"/>
      <c r="F828" s="591"/>
      <c r="G828" s="591"/>
      <c r="H828" s="591"/>
      <c r="I828" s="591"/>
      <c r="J828" s="591"/>
      <c r="K828" s="542"/>
      <c r="O828" s="1134"/>
      <c r="Q828" s="1133"/>
    </row>
    <row r="829" spans="2:17" x14ac:dyDescent="0.3">
      <c r="B829" s="126"/>
      <c r="C829" s="583">
        <v>446</v>
      </c>
      <c r="D829" s="625" t="e">
        <f t="shared" si="32"/>
        <v>#VALUE!</v>
      </c>
      <c r="E829" s="591"/>
      <c r="F829" s="591"/>
      <c r="G829" s="591"/>
      <c r="H829" s="591"/>
      <c r="I829" s="591"/>
      <c r="J829" s="591"/>
      <c r="K829" s="542"/>
      <c r="O829" s="1134"/>
      <c r="Q829" s="1133"/>
    </row>
    <row r="830" spans="2:17" x14ac:dyDescent="0.3">
      <c r="B830" s="126"/>
      <c r="C830" s="583">
        <v>447</v>
      </c>
      <c r="D830" s="625" t="e">
        <f t="shared" si="32"/>
        <v>#VALUE!</v>
      </c>
      <c r="E830" s="591"/>
      <c r="F830" s="591"/>
      <c r="G830" s="591"/>
      <c r="H830" s="591"/>
      <c r="I830" s="591"/>
      <c r="J830" s="591"/>
      <c r="K830" s="542"/>
      <c r="O830" s="1134"/>
      <c r="Q830" s="1133"/>
    </row>
    <row r="831" spans="2:17" x14ac:dyDescent="0.3">
      <c r="B831" s="126"/>
      <c r="C831" s="583">
        <v>448</v>
      </c>
      <c r="D831" s="625" t="e">
        <f t="shared" ref="D831:D894" si="33">$C$362*C831</f>
        <v>#VALUE!</v>
      </c>
      <c r="E831" s="591"/>
      <c r="F831" s="591"/>
      <c r="G831" s="591"/>
      <c r="H831" s="591"/>
      <c r="I831" s="591"/>
      <c r="J831" s="591"/>
      <c r="K831" s="542"/>
      <c r="O831" s="1134"/>
      <c r="Q831" s="1133"/>
    </row>
    <row r="832" spans="2:17" x14ac:dyDescent="0.3">
      <c r="B832" s="126"/>
      <c r="C832" s="583">
        <v>449</v>
      </c>
      <c r="D832" s="625" t="e">
        <f t="shared" si="33"/>
        <v>#VALUE!</v>
      </c>
      <c r="E832" s="591"/>
      <c r="F832" s="591"/>
      <c r="G832" s="591"/>
      <c r="H832" s="591"/>
      <c r="I832" s="591"/>
      <c r="J832" s="591"/>
      <c r="K832" s="542"/>
      <c r="O832" s="1134"/>
      <c r="Q832" s="1133"/>
    </row>
    <row r="833" spans="2:17" x14ac:dyDescent="0.3">
      <c r="B833" s="126"/>
      <c r="C833" s="583">
        <v>450</v>
      </c>
      <c r="D833" s="625" t="e">
        <f t="shared" si="33"/>
        <v>#VALUE!</v>
      </c>
      <c r="E833" s="591"/>
      <c r="F833" s="591"/>
      <c r="G833" s="591"/>
      <c r="H833" s="591"/>
      <c r="I833" s="591"/>
      <c r="J833" s="591"/>
      <c r="K833" s="542"/>
      <c r="O833" s="1134"/>
      <c r="Q833" s="1133"/>
    </row>
    <row r="834" spans="2:17" x14ac:dyDescent="0.3">
      <c r="B834" s="126"/>
      <c r="C834" s="583">
        <v>451</v>
      </c>
      <c r="D834" s="625" t="e">
        <f t="shared" si="33"/>
        <v>#VALUE!</v>
      </c>
      <c r="E834" s="591"/>
      <c r="F834" s="591"/>
      <c r="G834" s="591"/>
      <c r="H834" s="591"/>
      <c r="I834" s="591"/>
      <c r="J834" s="591"/>
      <c r="K834" s="542"/>
      <c r="O834" s="1134"/>
      <c r="Q834" s="1133"/>
    </row>
    <row r="835" spans="2:17" x14ac:dyDescent="0.3">
      <c r="B835" s="126"/>
      <c r="C835" s="583">
        <v>452</v>
      </c>
      <c r="D835" s="625" t="e">
        <f t="shared" si="33"/>
        <v>#VALUE!</v>
      </c>
      <c r="E835" s="591"/>
      <c r="F835" s="591"/>
      <c r="G835" s="591"/>
      <c r="H835" s="591"/>
      <c r="I835" s="591"/>
      <c r="J835" s="591"/>
      <c r="K835" s="542"/>
      <c r="O835" s="1134"/>
      <c r="Q835" s="1133"/>
    </row>
    <row r="836" spans="2:17" x14ac:dyDescent="0.3">
      <c r="B836" s="126"/>
      <c r="C836" s="583">
        <v>453</v>
      </c>
      <c r="D836" s="625" t="e">
        <f t="shared" si="33"/>
        <v>#VALUE!</v>
      </c>
      <c r="E836" s="591"/>
      <c r="F836" s="591"/>
      <c r="G836" s="591"/>
      <c r="H836" s="591"/>
      <c r="I836" s="591"/>
      <c r="J836" s="591"/>
      <c r="K836" s="542"/>
      <c r="O836" s="1134"/>
      <c r="Q836" s="1133"/>
    </row>
    <row r="837" spans="2:17" x14ac:dyDescent="0.3">
      <c r="B837" s="126"/>
      <c r="C837" s="583">
        <v>454</v>
      </c>
      <c r="D837" s="625" t="e">
        <f t="shared" si="33"/>
        <v>#VALUE!</v>
      </c>
      <c r="E837" s="591"/>
      <c r="F837" s="591"/>
      <c r="G837" s="591"/>
      <c r="H837" s="591"/>
      <c r="I837" s="591"/>
      <c r="J837" s="591"/>
      <c r="K837" s="542"/>
      <c r="O837" s="1134"/>
      <c r="Q837" s="1133"/>
    </row>
    <row r="838" spans="2:17" x14ac:dyDescent="0.3">
      <c r="B838" s="126"/>
      <c r="C838" s="583">
        <v>455</v>
      </c>
      <c r="D838" s="625" t="e">
        <f t="shared" si="33"/>
        <v>#VALUE!</v>
      </c>
      <c r="E838" s="591"/>
      <c r="F838" s="591"/>
      <c r="G838" s="591"/>
      <c r="H838" s="591"/>
      <c r="I838" s="591"/>
      <c r="J838" s="591"/>
      <c r="K838" s="542"/>
      <c r="O838" s="1134"/>
      <c r="Q838" s="1133"/>
    </row>
    <row r="839" spans="2:17" x14ac:dyDescent="0.3">
      <c r="B839" s="126"/>
      <c r="C839" s="583">
        <v>456</v>
      </c>
      <c r="D839" s="625" t="e">
        <f t="shared" si="33"/>
        <v>#VALUE!</v>
      </c>
      <c r="E839" s="591"/>
      <c r="F839" s="591"/>
      <c r="G839" s="591"/>
      <c r="H839" s="591"/>
      <c r="I839" s="591"/>
      <c r="J839" s="591"/>
      <c r="K839" s="542"/>
      <c r="O839" s="1134"/>
      <c r="Q839" s="1133"/>
    </row>
    <row r="840" spans="2:17" x14ac:dyDescent="0.3">
      <c r="B840" s="126"/>
      <c r="C840" s="583">
        <v>457</v>
      </c>
      <c r="D840" s="625" t="e">
        <f t="shared" si="33"/>
        <v>#VALUE!</v>
      </c>
      <c r="E840" s="591"/>
      <c r="F840" s="591"/>
      <c r="G840" s="591"/>
      <c r="H840" s="591"/>
      <c r="I840" s="591"/>
      <c r="J840" s="591"/>
      <c r="K840" s="542"/>
      <c r="O840" s="1134"/>
      <c r="Q840" s="1133"/>
    </row>
    <row r="841" spans="2:17" x14ac:dyDescent="0.3">
      <c r="B841" s="126"/>
      <c r="C841" s="583">
        <v>458</v>
      </c>
      <c r="D841" s="625" t="e">
        <f t="shared" si="33"/>
        <v>#VALUE!</v>
      </c>
      <c r="E841" s="591"/>
      <c r="F841" s="591"/>
      <c r="G841" s="591"/>
      <c r="H841" s="591"/>
      <c r="I841" s="591"/>
      <c r="J841" s="591"/>
      <c r="K841" s="542"/>
      <c r="O841" s="1134"/>
      <c r="Q841" s="1133"/>
    </row>
    <row r="842" spans="2:17" x14ac:dyDescent="0.3">
      <c r="B842" s="126"/>
      <c r="C842" s="583">
        <v>459</v>
      </c>
      <c r="D842" s="625" t="e">
        <f t="shared" si="33"/>
        <v>#VALUE!</v>
      </c>
      <c r="E842" s="591"/>
      <c r="F842" s="591"/>
      <c r="G842" s="591"/>
      <c r="H842" s="591"/>
      <c r="I842" s="591"/>
      <c r="J842" s="591"/>
      <c r="K842" s="542"/>
      <c r="O842" s="1134"/>
      <c r="Q842" s="1133"/>
    </row>
    <row r="843" spans="2:17" x14ac:dyDescent="0.3">
      <c r="B843" s="126"/>
      <c r="C843" s="583">
        <v>460</v>
      </c>
      <c r="D843" s="625" t="e">
        <f t="shared" si="33"/>
        <v>#VALUE!</v>
      </c>
      <c r="E843" s="591"/>
      <c r="F843" s="591"/>
      <c r="G843" s="591"/>
      <c r="H843" s="591"/>
      <c r="I843" s="591"/>
      <c r="J843" s="591"/>
      <c r="K843" s="542"/>
      <c r="O843" s="1134"/>
      <c r="Q843" s="1133"/>
    </row>
    <row r="844" spans="2:17" x14ac:dyDescent="0.3">
      <c r="B844" s="126"/>
      <c r="C844" s="583">
        <v>461</v>
      </c>
      <c r="D844" s="625" t="e">
        <f t="shared" si="33"/>
        <v>#VALUE!</v>
      </c>
      <c r="E844" s="591"/>
      <c r="F844" s="591"/>
      <c r="G844" s="591"/>
      <c r="H844" s="591"/>
      <c r="I844" s="591"/>
      <c r="J844" s="591"/>
      <c r="K844" s="542"/>
      <c r="O844" s="1134"/>
      <c r="Q844" s="1133"/>
    </row>
    <row r="845" spans="2:17" x14ac:dyDescent="0.3">
      <c r="B845" s="126"/>
      <c r="C845" s="583">
        <v>462</v>
      </c>
      <c r="D845" s="625" t="e">
        <f t="shared" si="33"/>
        <v>#VALUE!</v>
      </c>
      <c r="E845" s="591"/>
      <c r="F845" s="591"/>
      <c r="G845" s="591"/>
      <c r="H845" s="591"/>
      <c r="I845" s="591"/>
      <c r="J845" s="591"/>
      <c r="K845" s="542"/>
      <c r="O845" s="1134"/>
      <c r="Q845" s="1133"/>
    </row>
    <row r="846" spans="2:17" x14ac:dyDescent="0.3">
      <c r="B846" s="126"/>
      <c r="C846" s="583">
        <v>463</v>
      </c>
      <c r="D846" s="625" t="e">
        <f t="shared" si="33"/>
        <v>#VALUE!</v>
      </c>
      <c r="E846" s="591"/>
      <c r="F846" s="591"/>
      <c r="G846" s="591"/>
      <c r="H846" s="591"/>
      <c r="I846" s="591"/>
      <c r="J846" s="591"/>
      <c r="K846" s="542"/>
      <c r="O846" s="1134"/>
      <c r="Q846" s="1133"/>
    </row>
    <row r="847" spans="2:17" x14ac:dyDescent="0.3">
      <c r="B847" s="126"/>
      <c r="C847" s="583">
        <v>464</v>
      </c>
      <c r="D847" s="625" t="e">
        <f t="shared" si="33"/>
        <v>#VALUE!</v>
      </c>
      <c r="E847" s="591"/>
      <c r="F847" s="591"/>
      <c r="G847" s="591"/>
      <c r="H847" s="591"/>
      <c r="I847" s="591"/>
      <c r="J847" s="591"/>
      <c r="K847" s="542"/>
      <c r="O847" s="1134"/>
      <c r="Q847" s="1133"/>
    </row>
    <row r="848" spans="2:17" x14ac:dyDescent="0.3">
      <c r="B848" s="126"/>
      <c r="C848" s="583">
        <v>465</v>
      </c>
      <c r="D848" s="625" t="e">
        <f t="shared" si="33"/>
        <v>#VALUE!</v>
      </c>
      <c r="E848" s="591"/>
      <c r="F848" s="591"/>
      <c r="G848" s="591"/>
      <c r="H848" s="591"/>
      <c r="I848" s="591"/>
      <c r="J848" s="591"/>
      <c r="K848" s="542"/>
      <c r="O848" s="1134"/>
      <c r="Q848" s="1133"/>
    </row>
    <row r="849" spans="2:17" x14ac:dyDescent="0.3">
      <c r="B849" s="126"/>
      <c r="C849" s="583">
        <v>466</v>
      </c>
      <c r="D849" s="625" t="e">
        <f t="shared" si="33"/>
        <v>#VALUE!</v>
      </c>
      <c r="E849" s="591"/>
      <c r="F849" s="591"/>
      <c r="G849" s="591"/>
      <c r="H849" s="591"/>
      <c r="I849" s="591"/>
      <c r="J849" s="591"/>
      <c r="K849" s="542"/>
      <c r="O849" s="1134"/>
      <c r="Q849" s="1133"/>
    </row>
    <row r="850" spans="2:17" x14ac:dyDescent="0.3">
      <c r="B850" s="126"/>
      <c r="C850" s="583">
        <v>467</v>
      </c>
      <c r="D850" s="625" t="e">
        <f t="shared" si="33"/>
        <v>#VALUE!</v>
      </c>
      <c r="E850" s="591"/>
      <c r="F850" s="591"/>
      <c r="G850" s="591"/>
      <c r="H850" s="591"/>
      <c r="I850" s="591"/>
      <c r="J850" s="591"/>
      <c r="K850" s="542"/>
      <c r="O850" s="1134"/>
      <c r="Q850" s="1133"/>
    </row>
    <row r="851" spans="2:17" x14ac:dyDescent="0.3">
      <c r="B851" s="126"/>
      <c r="C851" s="583">
        <v>468</v>
      </c>
      <c r="D851" s="625" t="e">
        <f t="shared" si="33"/>
        <v>#VALUE!</v>
      </c>
      <c r="E851" s="591"/>
      <c r="F851" s="591"/>
      <c r="G851" s="591"/>
      <c r="H851" s="591"/>
      <c r="I851" s="591"/>
      <c r="J851" s="591"/>
      <c r="K851" s="542"/>
      <c r="O851" s="1134"/>
      <c r="Q851" s="1133"/>
    </row>
    <row r="852" spans="2:17" x14ac:dyDescent="0.3">
      <c r="B852" s="126"/>
      <c r="C852" s="583">
        <v>469</v>
      </c>
      <c r="D852" s="625" t="e">
        <f t="shared" si="33"/>
        <v>#VALUE!</v>
      </c>
      <c r="E852" s="591"/>
      <c r="F852" s="591"/>
      <c r="G852" s="591"/>
      <c r="H852" s="591"/>
      <c r="I852" s="591"/>
      <c r="J852" s="591"/>
      <c r="K852" s="542"/>
      <c r="O852" s="1134"/>
      <c r="Q852" s="1133"/>
    </row>
    <row r="853" spans="2:17" x14ac:dyDescent="0.3">
      <c r="B853" s="126"/>
      <c r="C853" s="583">
        <v>470</v>
      </c>
      <c r="D853" s="625" t="e">
        <f t="shared" si="33"/>
        <v>#VALUE!</v>
      </c>
      <c r="E853" s="591"/>
      <c r="F853" s="591"/>
      <c r="G853" s="591"/>
      <c r="H853" s="591"/>
      <c r="I853" s="591"/>
      <c r="J853" s="591"/>
      <c r="K853" s="542"/>
      <c r="O853" s="1134"/>
      <c r="Q853" s="1133"/>
    </row>
    <row r="854" spans="2:17" x14ac:dyDescent="0.3">
      <c r="B854" s="126"/>
      <c r="C854" s="583">
        <v>471</v>
      </c>
      <c r="D854" s="625" t="e">
        <f t="shared" si="33"/>
        <v>#VALUE!</v>
      </c>
      <c r="E854" s="591"/>
      <c r="F854" s="591"/>
      <c r="G854" s="591"/>
      <c r="H854" s="591"/>
      <c r="I854" s="591"/>
      <c r="J854" s="591"/>
      <c r="K854" s="542"/>
      <c r="O854" s="1134"/>
      <c r="Q854" s="1133"/>
    </row>
    <row r="855" spans="2:17" x14ac:dyDescent="0.3">
      <c r="B855" s="126"/>
      <c r="C855" s="583">
        <v>472</v>
      </c>
      <c r="D855" s="625" t="e">
        <f t="shared" si="33"/>
        <v>#VALUE!</v>
      </c>
      <c r="E855" s="591"/>
      <c r="F855" s="591"/>
      <c r="G855" s="591"/>
      <c r="H855" s="591"/>
      <c r="I855" s="591"/>
      <c r="J855" s="591"/>
      <c r="K855" s="542"/>
      <c r="O855" s="1134"/>
      <c r="Q855" s="1133"/>
    </row>
    <row r="856" spans="2:17" x14ac:dyDescent="0.3">
      <c r="B856" s="126"/>
      <c r="C856" s="583">
        <v>473</v>
      </c>
      <c r="D856" s="625" t="e">
        <f t="shared" si="33"/>
        <v>#VALUE!</v>
      </c>
      <c r="E856" s="591"/>
      <c r="F856" s="591"/>
      <c r="G856" s="591"/>
      <c r="H856" s="591"/>
      <c r="I856" s="591"/>
      <c r="J856" s="591"/>
      <c r="K856" s="542"/>
      <c r="O856" s="1134"/>
      <c r="Q856" s="1133"/>
    </row>
    <row r="857" spans="2:17" x14ac:dyDescent="0.3">
      <c r="B857" s="126"/>
      <c r="C857" s="583">
        <v>474</v>
      </c>
      <c r="D857" s="625" t="e">
        <f t="shared" si="33"/>
        <v>#VALUE!</v>
      </c>
      <c r="E857" s="591"/>
      <c r="F857" s="591"/>
      <c r="G857" s="591"/>
      <c r="H857" s="591"/>
      <c r="I857" s="591"/>
      <c r="J857" s="591"/>
      <c r="K857" s="542"/>
      <c r="O857" s="1134"/>
      <c r="Q857" s="1133"/>
    </row>
    <row r="858" spans="2:17" x14ac:dyDescent="0.3">
      <c r="B858" s="126"/>
      <c r="C858" s="583">
        <v>475</v>
      </c>
      <c r="D858" s="625" t="e">
        <f t="shared" si="33"/>
        <v>#VALUE!</v>
      </c>
      <c r="E858" s="591"/>
      <c r="F858" s="591"/>
      <c r="G858" s="591"/>
      <c r="H858" s="591"/>
      <c r="I858" s="591"/>
      <c r="J858" s="591"/>
      <c r="K858" s="542"/>
      <c r="O858" s="1134"/>
      <c r="Q858" s="1133"/>
    </row>
    <row r="859" spans="2:17" x14ac:dyDescent="0.3">
      <c r="B859" s="126"/>
      <c r="C859" s="583">
        <v>476</v>
      </c>
      <c r="D859" s="625" t="e">
        <f t="shared" si="33"/>
        <v>#VALUE!</v>
      </c>
      <c r="E859" s="591"/>
      <c r="F859" s="591"/>
      <c r="G859" s="591"/>
      <c r="H859" s="591"/>
      <c r="I859" s="591"/>
      <c r="J859" s="591"/>
      <c r="K859" s="542"/>
      <c r="O859" s="1134"/>
      <c r="Q859" s="1133"/>
    </row>
    <row r="860" spans="2:17" x14ac:dyDescent="0.3">
      <c r="B860" s="126"/>
      <c r="C860" s="583">
        <v>477</v>
      </c>
      <c r="D860" s="625" t="e">
        <f t="shared" si="33"/>
        <v>#VALUE!</v>
      </c>
      <c r="E860" s="591"/>
      <c r="F860" s="591"/>
      <c r="G860" s="591"/>
      <c r="H860" s="591"/>
      <c r="I860" s="591"/>
      <c r="J860" s="591"/>
      <c r="K860" s="542"/>
      <c r="O860" s="1134"/>
      <c r="Q860" s="1133"/>
    </row>
    <row r="861" spans="2:17" x14ac:dyDescent="0.3">
      <c r="B861" s="126"/>
      <c r="C861" s="583">
        <v>478</v>
      </c>
      <c r="D861" s="625" t="e">
        <f t="shared" si="33"/>
        <v>#VALUE!</v>
      </c>
      <c r="E861" s="591"/>
      <c r="F861" s="591"/>
      <c r="G861" s="591"/>
      <c r="H861" s="591"/>
      <c r="I861" s="591"/>
      <c r="J861" s="591"/>
      <c r="K861" s="542"/>
      <c r="O861" s="1134"/>
      <c r="Q861" s="1133"/>
    </row>
    <row r="862" spans="2:17" x14ac:dyDescent="0.3">
      <c r="B862" s="126"/>
      <c r="C862" s="583">
        <v>479</v>
      </c>
      <c r="D862" s="625" t="e">
        <f t="shared" si="33"/>
        <v>#VALUE!</v>
      </c>
      <c r="E862" s="591"/>
      <c r="F862" s="591"/>
      <c r="G862" s="591"/>
      <c r="H862" s="591"/>
      <c r="I862" s="591"/>
      <c r="J862" s="591"/>
      <c r="K862" s="542"/>
      <c r="O862" s="1134"/>
      <c r="Q862" s="1133"/>
    </row>
    <row r="863" spans="2:17" x14ac:dyDescent="0.3">
      <c r="B863" s="126"/>
      <c r="C863" s="583">
        <v>480</v>
      </c>
      <c r="D863" s="625" t="e">
        <f t="shared" si="33"/>
        <v>#VALUE!</v>
      </c>
      <c r="E863" s="591"/>
      <c r="F863" s="591"/>
      <c r="G863" s="591"/>
      <c r="H863" s="591"/>
      <c r="I863" s="591"/>
      <c r="J863" s="591"/>
      <c r="K863" s="542"/>
      <c r="O863" s="1134"/>
      <c r="Q863" s="1133"/>
    </row>
    <row r="864" spans="2:17" x14ac:dyDescent="0.3">
      <c r="B864" s="126"/>
      <c r="C864" s="583">
        <v>481</v>
      </c>
      <c r="D864" s="625" t="e">
        <f t="shared" si="33"/>
        <v>#VALUE!</v>
      </c>
      <c r="E864" s="591"/>
      <c r="F864" s="591"/>
      <c r="G864" s="591"/>
      <c r="H864" s="591"/>
      <c r="I864" s="591"/>
      <c r="J864" s="591"/>
      <c r="K864" s="542"/>
      <c r="O864" s="1134"/>
      <c r="Q864" s="1133"/>
    </row>
    <row r="865" spans="2:17" x14ac:dyDescent="0.3">
      <c r="B865" s="126"/>
      <c r="C865" s="583">
        <v>482</v>
      </c>
      <c r="D865" s="625" t="e">
        <f t="shared" si="33"/>
        <v>#VALUE!</v>
      </c>
      <c r="E865" s="591"/>
      <c r="F865" s="591"/>
      <c r="G865" s="591"/>
      <c r="H865" s="591"/>
      <c r="I865" s="591"/>
      <c r="J865" s="591"/>
      <c r="K865" s="542"/>
      <c r="O865" s="1134"/>
      <c r="Q865" s="1133"/>
    </row>
    <row r="866" spans="2:17" x14ac:dyDescent="0.3">
      <c r="B866" s="126"/>
      <c r="C866" s="583">
        <v>483</v>
      </c>
      <c r="D866" s="625" t="e">
        <f t="shared" si="33"/>
        <v>#VALUE!</v>
      </c>
      <c r="E866" s="591"/>
      <c r="F866" s="591"/>
      <c r="G866" s="591"/>
      <c r="H866" s="591"/>
      <c r="I866" s="591"/>
      <c r="J866" s="591"/>
      <c r="K866" s="542"/>
      <c r="O866" s="1134"/>
      <c r="Q866" s="1133"/>
    </row>
    <row r="867" spans="2:17" x14ac:dyDescent="0.3">
      <c r="B867" s="126"/>
      <c r="C867" s="583">
        <v>484</v>
      </c>
      <c r="D867" s="625" t="e">
        <f t="shared" si="33"/>
        <v>#VALUE!</v>
      </c>
      <c r="E867" s="591"/>
      <c r="F867" s="591"/>
      <c r="G867" s="591"/>
      <c r="H867" s="591"/>
      <c r="I867" s="591"/>
      <c r="J867" s="591"/>
      <c r="K867" s="542"/>
      <c r="O867" s="1134"/>
      <c r="Q867" s="1133"/>
    </row>
    <row r="868" spans="2:17" x14ac:dyDescent="0.3">
      <c r="B868" s="126"/>
      <c r="C868" s="583">
        <v>485</v>
      </c>
      <c r="D868" s="625" t="e">
        <f t="shared" si="33"/>
        <v>#VALUE!</v>
      </c>
      <c r="E868" s="591"/>
      <c r="F868" s="591"/>
      <c r="G868" s="591"/>
      <c r="H868" s="591"/>
      <c r="I868" s="591"/>
      <c r="J868" s="591"/>
      <c r="K868" s="542"/>
      <c r="O868" s="1134"/>
      <c r="Q868" s="1133"/>
    </row>
    <row r="869" spans="2:17" x14ac:dyDescent="0.3">
      <c r="B869" s="126"/>
      <c r="C869" s="583">
        <v>486</v>
      </c>
      <c r="D869" s="625" t="e">
        <f t="shared" si="33"/>
        <v>#VALUE!</v>
      </c>
      <c r="E869" s="591"/>
      <c r="F869" s="591"/>
      <c r="G869" s="591"/>
      <c r="H869" s="591"/>
      <c r="I869" s="591"/>
      <c r="J869" s="591"/>
      <c r="K869" s="542"/>
      <c r="O869" s="1134"/>
      <c r="Q869" s="1133"/>
    </row>
    <row r="870" spans="2:17" x14ac:dyDescent="0.3">
      <c r="B870" s="126"/>
      <c r="C870" s="583">
        <v>487</v>
      </c>
      <c r="D870" s="625" t="e">
        <f t="shared" si="33"/>
        <v>#VALUE!</v>
      </c>
      <c r="E870" s="591"/>
      <c r="F870" s="591"/>
      <c r="G870" s="591"/>
      <c r="H870" s="591"/>
      <c r="I870" s="591"/>
      <c r="J870" s="591"/>
      <c r="K870" s="542"/>
      <c r="O870" s="1134"/>
      <c r="Q870" s="1133"/>
    </row>
    <row r="871" spans="2:17" x14ac:dyDescent="0.3">
      <c r="B871" s="126"/>
      <c r="C871" s="583">
        <v>488</v>
      </c>
      <c r="D871" s="625" t="e">
        <f t="shared" si="33"/>
        <v>#VALUE!</v>
      </c>
      <c r="E871" s="591"/>
      <c r="F871" s="591"/>
      <c r="G871" s="591"/>
      <c r="H871" s="591"/>
      <c r="I871" s="591"/>
      <c r="J871" s="591"/>
      <c r="K871" s="542"/>
      <c r="O871" s="1134"/>
      <c r="Q871" s="1133"/>
    </row>
    <row r="872" spans="2:17" x14ac:dyDescent="0.3">
      <c r="B872" s="126"/>
      <c r="C872" s="583">
        <v>489</v>
      </c>
      <c r="D872" s="625" t="e">
        <f t="shared" si="33"/>
        <v>#VALUE!</v>
      </c>
      <c r="E872" s="591"/>
      <c r="F872" s="591"/>
      <c r="G872" s="591"/>
      <c r="H872" s="591"/>
      <c r="I872" s="591"/>
      <c r="J872" s="591"/>
      <c r="K872" s="542"/>
      <c r="O872" s="1134"/>
      <c r="Q872" s="1133"/>
    </row>
    <row r="873" spans="2:17" x14ac:dyDescent="0.3">
      <c r="B873" s="126"/>
      <c r="C873" s="583">
        <v>490</v>
      </c>
      <c r="D873" s="625" t="e">
        <f t="shared" si="33"/>
        <v>#VALUE!</v>
      </c>
      <c r="E873" s="591"/>
      <c r="F873" s="591"/>
      <c r="G873" s="591"/>
      <c r="H873" s="591"/>
      <c r="I873" s="591"/>
      <c r="J873" s="591"/>
      <c r="K873" s="542"/>
      <c r="O873" s="1134"/>
      <c r="Q873" s="1133"/>
    </row>
    <row r="874" spans="2:17" x14ac:dyDescent="0.3">
      <c r="B874" s="126"/>
      <c r="C874" s="583">
        <v>491</v>
      </c>
      <c r="D874" s="625" t="e">
        <f t="shared" si="33"/>
        <v>#VALUE!</v>
      </c>
      <c r="E874" s="591"/>
      <c r="F874" s="591"/>
      <c r="G874" s="591"/>
      <c r="H874" s="591"/>
      <c r="I874" s="591"/>
      <c r="J874" s="591"/>
      <c r="K874" s="542"/>
      <c r="O874" s="1134"/>
      <c r="Q874" s="1133"/>
    </row>
    <row r="875" spans="2:17" x14ac:dyDescent="0.3">
      <c r="B875" s="126"/>
      <c r="C875" s="583">
        <v>492</v>
      </c>
      <c r="D875" s="625" t="e">
        <f t="shared" si="33"/>
        <v>#VALUE!</v>
      </c>
      <c r="E875" s="591"/>
      <c r="F875" s="591"/>
      <c r="G875" s="591"/>
      <c r="H875" s="591"/>
      <c r="I875" s="591"/>
      <c r="J875" s="591"/>
      <c r="K875" s="542"/>
      <c r="O875" s="1134"/>
      <c r="Q875" s="1133"/>
    </row>
    <row r="876" spans="2:17" x14ac:dyDescent="0.3">
      <c r="B876" s="126"/>
      <c r="C876" s="583">
        <v>493</v>
      </c>
      <c r="D876" s="625" t="e">
        <f t="shared" si="33"/>
        <v>#VALUE!</v>
      </c>
      <c r="E876" s="591"/>
      <c r="F876" s="591"/>
      <c r="G876" s="591"/>
      <c r="H876" s="591"/>
      <c r="I876" s="591"/>
      <c r="J876" s="591"/>
      <c r="K876" s="542"/>
      <c r="O876" s="1134"/>
      <c r="Q876" s="1133"/>
    </row>
    <row r="877" spans="2:17" x14ac:dyDescent="0.3">
      <c r="B877" s="126"/>
      <c r="C877" s="583">
        <v>494</v>
      </c>
      <c r="D877" s="625" t="e">
        <f t="shared" si="33"/>
        <v>#VALUE!</v>
      </c>
      <c r="E877" s="591"/>
      <c r="F877" s="591"/>
      <c r="G877" s="591"/>
      <c r="H877" s="591"/>
      <c r="I877" s="591"/>
      <c r="J877" s="591"/>
      <c r="K877" s="542"/>
      <c r="O877" s="1134"/>
      <c r="Q877" s="1133"/>
    </row>
    <row r="878" spans="2:17" x14ac:dyDescent="0.3">
      <c r="B878" s="126"/>
      <c r="C878" s="583">
        <v>495</v>
      </c>
      <c r="D878" s="625" t="e">
        <f t="shared" si="33"/>
        <v>#VALUE!</v>
      </c>
      <c r="E878" s="591"/>
      <c r="F878" s="591"/>
      <c r="G878" s="591"/>
      <c r="H878" s="591"/>
      <c r="I878" s="591"/>
      <c r="J878" s="591"/>
      <c r="K878" s="542"/>
      <c r="O878" s="1134"/>
      <c r="Q878" s="1133"/>
    </row>
    <row r="879" spans="2:17" x14ac:dyDescent="0.3">
      <c r="B879" s="126"/>
      <c r="C879" s="583">
        <v>496</v>
      </c>
      <c r="D879" s="625" t="e">
        <f t="shared" si="33"/>
        <v>#VALUE!</v>
      </c>
      <c r="E879" s="591"/>
      <c r="F879" s="591"/>
      <c r="G879" s="591"/>
      <c r="H879" s="591"/>
      <c r="I879" s="591"/>
      <c r="J879" s="591"/>
      <c r="K879" s="542"/>
      <c r="O879" s="1134"/>
      <c r="Q879" s="1133"/>
    </row>
    <row r="880" spans="2:17" x14ac:dyDescent="0.3">
      <c r="B880" s="126"/>
      <c r="C880" s="583">
        <v>497</v>
      </c>
      <c r="D880" s="625" t="e">
        <f t="shared" si="33"/>
        <v>#VALUE!</v>
      </c>
      <c r="E880" s="591"/>
      <c r="F880" s="591"/>
      <c r="G880" s="591"/>
      <c r="H880" s="591"/>
      <c r="I880" s="591"/>
      <c r="J880" s="591"/>
      <c r="K880" s="542"/>
      <c r="O880" s="1134"/>
      <c r="Q880" s="1133"/>
    </row>
    <row r="881" spans="2:17" x14ac:dyDescent="0.3">
      <c r="B881" s="126"/>
      <c r="C881" s="583">
        <v>498</v>
      </c>
      <c r="D881" s="625" t="e">
        <f t="shared" si="33"/>
        <v>#VALUE!</v>
      </c>
      <c r="E881" s="591"/>
      <c r="F881" s="591"/>
      <c r="G881" s="591"/>
      <c r="H881" s="591"/>
      <c r="I881" s="591"/>
      <c r="J881" s="591"/>
      <c r="K881" s="542"/>
      <c r="O881" s="1134"/>
      <c r="Q881" s="1133"/>
    </row>
    <row r="882" spans="2:17" x14ac:dyDescent="0.3">
      <c r="B882" s="126"/>
      <c r="C882" s="583">
        <v>499</v>
      </c>
      <c r="D882" s="625" t="e">
        <f t="shared" si="33"/>
        <v>#VALUE!</v>
      </c>
      <c r="E882" s="591"/>
      <c r="F882" s="591"/>
      <c r="G882" s="591"/>
      <c r="H882" s="591"/>
      <c r="I882" s="591"/>
      <c r="J882" s="591"/>
      <c r="K882" s="542"/>
      <c r="O882" s="1134"/>
      <c r="Q882" s="1133"/>
    </row>
    <row r="883" spans="2:17" x14ac:dyDescent="0.3">
      <c r="B883" s="126"/>
      <c r="C883" s="583">
        <v>500</v>
      </c>
      <c r="D883" s="625" t="e">
        <f t="shared" si="33"/>
        <v>#VALUE!</v>
      </c>
      <c r="E883" s="591"/>
      <c r="F883" s="591"/>
      <c r="G883" s="591"/>
      <c r="H883" s="591"/>
      <c r="I883" s="591"/>
      <c r="J883" s="591"/>
      <c r="K883" s="542"/>
      <c r="O883" s="1134"/>
      <c r="Q883" s="1133"/>
    </row>
    <row r="884" spans="2:17" x14ac:dyDescent="0.3">
      <c r="B884" s="126"/>
      <c r="C884" s="583">
        <v>501</v>
      </c>
      <c r="D884" s="625" t="e">
        <f t="shared" si="33"/>
        <v>#VALUE!</v>
      </c>
      <c r="E884" s="591"/>
      <c r="F884" s="591"/>
      <c r="G884" s="591"/>
      <c r="H884" s="591"/>
      <c r="I884" s="591"/>
      <c r="J884" s="591"/>
      <c r="K884" s="542"/>
      <c r="O884" s="1134"/>
      <c r="Q884" s="1133"/>
    </row>
    <row r="885" spans="2:17" x14ac:dyDescent="0.3">
      <c r="B885" s="126"/>
      <c r="C885" s="583">
        <v>502</v>
      </c>
      <c r="D885" s="625" t="e">
        <f t="shared" si="33"/>
        <v>#VALUE!</v>
      </c>
      <c r="E885" s="591"/>
      <c r="F885" s="591"/>
      <c r="G885" s="591"/>
      <c r="H885" s="591"/>
      <c r="I885" s="591"/>
      <c r="J885" s="591"/>
      <c r="K885" s="542"/>
      <c r="O885" s="1134"/>
      <c r="Q885" s="1133"/>
    </row>
    <row r="886" spans="2:17" x14ac:dyDescent="0.3">
      <c r="B886" s="126"/>
      <c r="C886" s="583">
        <v>503</v>
      </c>
      <c r="D886" s="625" t="e">
        <f t="shared" si="33"/>
        <v>#VALUE!</v>
      </c>
      <c r="E886" s="591"/>
      <c r="F886" s="591"/>
      <c r="G886" s="591"/>
      <c r="H886" s="591"/>
      <c r="I886" s="591"/>
      <c r="J886" s="591"/>
      <c r="K886" s="542"/>
      <c r="O886" s="1134"/>
      <c r="Q886" s="1133"/>
    </row>
    <row r="887" spans="2:17" x14ac:dyDescent="0.3">
      <c r="B887" s="126"/>
      <c r="C887" s="583">
        <v>504</v>
      </c>
      <c r="D887" s="625" t="e">
        <f t="shared" si="33"/>
        <v>#VALUE!</v>
      </c>
      <c r="E887" s="591"/>
      <c r="F887" s="591"/>
      <c r="G887" s="591"/>
      <c r="H887" s="591"/>
      <c r="I887" s="591"/>
      <c r="J887" s="591"/>
      <c r="K887" s="542"/>
      <c r="O887" s="1134"/>
      <c r="Q887" s="1133"/>
    </row>
    <row r="888" spans="2:17" x14ac:dyDescent="0.3">
      <c r="B888" s="126"/>
      <c r="C888" s="583">
        <v>505</v>
      </c>
      <c r="D888" s="625" t="e">
        <f t="shared" si="33"/>
        <v>#VALUE!</v>
      </c>
      <c r="E888" s="591"/>
      <c r="F888" s="591"/>
      <c r="G888" s="591"/>
      <c r="H888" s="591"/>
      <c r="I888" s="591"/>
      <c r="J888" s="591"/>
      <c r="K888" s="542"/>
      <c r="O888" s="1134"/>
      <c r="Q888" s="1133"/>
    </row>
    <row r="889" spans="2:17" x14ac:dyDescent="0.3">
      <c r="B889" s="126"/>
      <c r="C889" s="583">
        <v>506</v>
      </c>
      <c r="D889" s="625" t="e">
        <f t="shared" si="33"/>
        <v>#VALUE!</v>
      </c>
      <c r="E889" s="591"/>
      <c r="F889" s="591"/>
      <c r="G889" s="591"/>
      <c r="H889" s="591"/>
      <c r="I889" s="591"/>
      <c r="J889" s="591"/>
      <c r="K889" s="542"/>
      <c r="O889" s="1134"/>
      <c r="Q889" s="1133"/>
    </row>
    <row r="890" spans="2:17" x14ac:dyDescent="0.3">
      <c r="B890" s="126"/>
      <c r="C890" s="583">
        <v>507</v>
      </c>
      <c r="D890" s="625" t="e">
        <f t="shared" si="33"/>
        <v>#VALUE!</v>
      </c>
      <c r="E890" s="591"/>
      <c r="F890" s="591"/>
      <c r="G890" s="591"/>
      <c r="H890" s="591"/>
      <c r="I890" s="591"/>
      <c r="J890" s="591"/>
      <c r="K890" s="542"/>
      <c r="O890" s="1134"/>
      <c r="Q890" s="1133"/>
    </row>
    <row r="891" spans="2:17" x14ac:dyDescent="0.3">
      <c r="B891" s="126"/>
      <c r="C891" s="583">
        <v>508</v>
      </c>
      <c r="D891" s="625" t="e">
        <f t="shared" si="33"/>
        <v>#VALUE!</v>
      </c>
      <c r="E891" s="591"/>
      <c r="F891" s="591"/>
      <c r="G891" s="591"/>
      <c r="H891" s="591"/>
      <c r="I891" s="591"/>
      <c r="J891" s="591"/>
      <c r="K891" s="542"/>
      <c r="O891" s="1134"/>
      <c r="Q891" s="1133"/>
    </row>
    <row r="892" spans="2:17" x14ac:dyDescent="0.3">
      <c r="B892" s="126"/>
      <c r="C892" s="583">
        <v>509</v>
      </c>
      <c r="D892" s="625" t="e">
        <f t="shared" si="33"/>
        <v>#VALUE!</v>
      </c>
      <c r="E892" s="591"/>
      <c r="F892" s="591"/>
      <c r="G892" s="591"/>
      <c r="H892" s="591"/>
      <c r="I892" s="591"/>
      <c r="J892" s="591"/>
      <c r="K892" s="542"/>
      <c r="O892" s="1134"/>
      <c r="Q892" s="1133"/>
    </row>
    <row r="893" spans="2:17" x14ac:dyDescent="0.3">
      <c r="B893" s="126"/>
      <c r="C893" s="583">
        <v>510</v>
      </c>
      <c r="D893" s="625" t="e">
        <f t="shared" si="33"/>
        <v>#VALUE!</v>
      </c>
      <c r="E893" s="591"/>
      <c r="F893" s="591"/>
      <c r="G893" s="591"/>
      <c r="H893" s="591"/>
      <c r="I893" s="591"/>
      <c r="J893" s="591"/>
      <c r="K893" s="542"/>
      <c r="O893" s="1134"/>
      <c r="Q893" s="1133"/>
    </row>
    <row r="894" spans="2:17" x14ac:dyDescent="0.3">
      <c r="B894" s="126"/>
      <c r="C894" s="583">
        <v>511</v>
      </c>
      <c r="D894" s="625" t="e">
        <f t="shared" si="33"/>
        <v>#VALUE!</v>
      </c>
      <c r="E894" s="591"/>
      <c r="F894" s="591"/>
      <c r="G894" s="591"/>
      <c r="H894" s="591"/>
      <c r="I894" s="591"/>
      <c r="J894" s="591"/>
      <c r="K894" s="542"/>
      <c r="O894" s="1134"/>
      <c r="Q894" s="1133"/>
    </row>
    <row r="895" spans="2:17" x14ac:dyDescent="0.3">
      <c r="B895" s="126"/>
      <c r="C895" s="583">
        <v>512</v>
      </c>
      <c r="D895" s="625" t="e">
        <f t="shared" ref="D895:D958" si="34">$C$362*C895</f>
        <v>#VALUE!</v>
      </c>
      <c r="E895" s="591"/>
      <c r="F895" s="591"/>
      <c r="G895" s="591"/>
      <c r="H895" s="591"/>
      <c r="I895" s="591"/>
      <c r="J895" s="591"/>
      <c r="K895" s="542"/>
      <c r="O895" s="1134"/>
      <c r="Q895" s="1133"/>
    </row>
    <row r="896" spans="2:17" x14ac:dyDescent="0.3">
      <c r="B896" s="126"/>
      <c r="C896" s="583">
        <v>513</v>
      </c>
      <c r="D896" s="625" t="e">
        <f t="shared" si="34"/>
        <v>#VALUE!</v>
      </c>
      <c r="E896" s="591"/>
      <c r="F896" s="591"/>
      <c r="G896" s="591"/>
      <c r="H896" s="591"/>
      <c r="I896" s="591"/>
      <c r="J896" s="591"/>
      <c r="K896" s="542"/>
      <c r="O896" s="1134"/>
      <c r="Q896" s="1133"/>
    </row>
    <row r="897" spans="2:17" x14ac:dyDescent="0.3">
      <c r="B897" s="126"/>
      <c r="C897" s="583">
        <v>514</v>
      </c>
      <c r="D897" s="625" t="e">
        <f t="shared" si="34"/>
        <v>#VALUE!</v>
      </c>
      <c r="E897" s="591"/>
      <c r="F897" s="591"/>
      <c r="G897" s="591"/>
      <c r="H897" s="591"/>
      <c r="I897" s="591"/>
      <c r="J897" s="591"/>
      <c r="K897" s="542"/>
      <c r="O897" s="1134"/>
      <c r="Q897" s="1133"/>
    </row>
    <row r="898" spans="2:17" x14ac:dyDescent="0.3">
      <c r="B898" s="126"/>
      <c r="C898" s="583">
        <v>515</v>
      </c>
      <c r="D898" s="625" t="e">
        <f t="shared" si="34"/>
        <v>#VALUE!</v>
      </c>
      <c r="E898" s="591"/>
      <c r="F898" s="591"/>
      <c r="G898" s="591"/>
      <c r="H898" s="591"/>
      <c r="I898" s="591"/>
      <c r="J898" s="591"/>
      <c r="K898" s="542"/>
      <c r="O898" s="1134"/>
      <c r="Q898" s="1133"/>
    </row>
    <row r="899" spans="2:17" x14ac:dyDescent="0.3">
      <c r="B899" s="126"/>
      <c r="C899" s="583">
        <v>516</v>
      </c>
      <c r="D899" s="625" t="e">
        <f t="shared" si="34"/>
        <v>#VALUE!</v>
      </c>
      <c r="E899" s="591"/>
      <c r="F899" s="591"/>
      <c r="G899" s="591"/>
      <c r="H899" s="591"/>
      <c r="I899" s="591"/>
      <c r="J899" s="591"/>
      <c r="K899" s="542"/>
      <c r="O899" s="1134"/>
      <c r="Q899" s="1133"/>
    </row>
    <row r="900" spans="2:17" x14ac:dyDescent="0.3">
      <c r="B900" s="126"/>
      <c r="C900" s="583">
        <v>517</v>
      </c>
      <c r="D900" s="625" t="e">
        <f t="shared" si="34"/>
        <v>#VALUE!</v>
      </c>
      <c r="E900" s="591"/>
      <c r="F900" s="591"/>
      <c r="G900" s="591"/>
      <c r="H900" s="591"/>
      <c r="I900" s="591"/>
      <c r="J900" s="591"/>
      <c r="K900" s="542"/>
      <c r="O900" s="1134"/>
      <c r="Q900" s="1133"/>
    </row>
    <row r="901" spans="2:17" x14ac:dyDescent="0.3">
      <c r="B901" s="126"/>
      <c r="C901" s="583">
        <v>518</v>
      </c>
      <c r="D901" s="625" t="e">
        <f t="shared" si="34"/>
        <v>#VALUE!</v>
      </c>
      <c r="E901" s="591"/>
      <c r="F901" s="591"/>
      <c r="G901" s="591"/>
      <c r="H901" s="591"/>
      <c r="I901" s="591"/>
      <c r="J901" s="591"/>
      <c r="K901" s="542"/>
      <c r="O901" s="1134"/>
      <c r="Q901" s="1133"/>
    </row>
    <row r="902" spans="2:17" x14ac:dyDescent="0.3">
      <c r="B902" s="126"/>
      <c r="C902" s="583">
        <v>519</v>
      </c>
      <c r="D902" s="625" t="e">
        <f t="shared" si="34"/>
        <v>#VALUE!</v>
      </c>
      <c r="E902" s="591"/>
      <c r="F902" s="591"/>
      <c r="G902" s="591"/>
      <c r="H902" s="591"/>
      <c r="I902" s="591"/>
      <c r="J902" s="591"/>
      <c r="K902" s="542"/>
      <c r="O902" s="1134"/>
      <c r="Q902" s="1133"/>
    </row>
    <row r="903" spans="2:17" x14ac:dyDescent="0.3">
      <c r="B903" s="126"/>
      <c r="C903" s="583">
        <v>520</v>
      </c>
      <c r="D903" s="625" t="e">
        <f t="shared" si="34"/>
        <v>#VALUE!</v>
      </c>
      <c r="E903" s="591"/>
      <c r="F903" s="591"/>
      <c r="G903" s="591"/>
      <c r="H903" s="591"/>
      <c r="I903" s="591"/>
      <c r="J903" s="591"/>
      <c r="K903" s="542"/>
      <c r="O903" s="1134"/>
      <c r="Q903" s="1133"/>
    </row>
    <row r="904" spans="2:17" x14ac:dyDescent="0.3">
      <c r="B904" s="126"/>
      <c r="C904" s="583">
        <v>521</v>
      </c>
      <c r="D904" s="625" t="e">
        <f t="shared" si="34"/>
        <v>#VALUE!</v>
      </c>
      <c r="E904" s="591"/>
      <c r="F904" s="591"/>
      <c r="G904" s="591"/>
      <c r="H904" s="591"/>
      <c r="I904" s="591"/>
      <c r="J904" s="591"/>
      <c r="K904" s="542"/>
      <c r="O904" s="1134"/>
      <c r="Q904" s="1133"/>
    </row>
    <row r="905" spans="2:17" x14ac:dyDescent="0.3">
      <c r="B905" s="126"/>
      <c r="C905" s="583">
        <v>522</v>
      </c>
      <c r="D905" s="625" t="e">
        <f t="shared" si="34"/>
        <v>#VALUE!</v>
      </c>
      <c r="E905" s="591"/>
      <c r="F905" s="591"/>
      <c r="G905" s="591"/>
      <c r="H905" s="591"/>
      <c r="I905" s="591"/>
      <c r="J905" s="591"/>
      <c r="K905" s="542"/>
      <c r="O905" s="1134"/>
      <c r="Q905" s="1133"/>
    </row>
    <row r="906" spans="2:17" x14ac:dyDescent="0.3">
      <c r="B906" s="126"/>
      <c r="C906" s="583">
        <v>523</v>
      </c>
      <c r="D906" s="625" t="e">
        <f t="shared" si="34"/>
        <v>#VALUE!</v>
      </c>
      <c r="E906" s="591"/>
      <c r="F906" s="591"/>
      <c r="G906" s="591"/>
      <c r="H906" s="591"/>
      <c r="I906" s="591"/>
      <c r="J906" s="591"/>
      <c r="K906" s="542"/>
      <c r="O906" s="1134"/>
      <c r="Q906" s="1133"/>
    </row>
    <row r="907" spans="2:17" x14ac:dyDescent="0.3">
      <c r="B907" s="126"/>
      <c r="C907" s="583">
        <v>524</v>
      </c>
      <c r="D907" s="625" t="e">
        <f t="shared" si="34"/>
        <v>#VALUE!</v>
      </c>
      <c r="E907" s="591"/>
      <c r="F907" s="591"/>
      <c r="G907" s="591"/>
      <c r="H907" s="591"/>
      <c r="I907" s="591"/>
      <c r="J907" s="591"/>
      <c r="K907" s="542"/>
      <c r="O907" s="1134"/>
      <c r="Q907" s="1133"/>
    </row>
    <row r="908" spans="2:17" x14ac:dyDescent="0.3">
      <c r="B908" s="126"/>
      <c r="C908" s="583">
        <v>525</v>
      </c>
      <c r="D908" s="625" t="e">
        <f t="shared" si="34"/>
        <v>#VALUE!</v>
      </c>
      <c r="E908" s="591"/>
      <c r="F908" s="591"/>
      <c r="G908" s="591"/>
      <c r="H908" s="591"/>
      <c r="I908" s="591"/>
      <c r="J908" s="591"/>
      <c r="K908" s="542"/>
      <c r="O908" s="1134"/>
      <c r="Q908" s="1133"/>
    </row>
    <row r="909" spans="2:17" x14ac:dyDescent="0.3">
      <c r="B909" s="126"/>
      <c r="C909" s="583">
        <v>526</v>
      </c>
      <c r="D909" s="625" t="e">
        <f t="shared" si="34"/>
        <v>#VALUE!</v>
      </c>
      <c r="E909" s="591"/>
      <c r="F909" s="591"/>
      <c r="G909" s="591"/>
      <c r="H909" s="591"/>
      <c r="I909" s="591"/>
      <c r="J909" s="591"/>
      <c r="K909" s="542"/>
      <c r="O909" s="1134"/>
      <c r="Q909" s="1133"/>
    </row>
    <row r="910" spans="2:17" x14ac:dyDescent="0.3">
      <c r="B910" s="126"/>
      <c r="C910" s="583">
        <v>527</v>
      </c>
      <c r="D910" s="625" t="e">
        <f t="shared" si="34"/>
        <v>#VALUE!</v>
      </c>
      <c r="E910" s="591"/>
      <c r="F910" s="591"/>
      <c r="G910" s="591"/>
      <c r="H910" s="591"/>
      <c r="I910" s="591"/>
      <c r="J910" s="591"/>
      <c r="K910" s="542"/>
      <c r="O910" s="1134"/>
      <c r="Q910" s="1133"/>
    </row>
    <row r="911" spans="2:17" x14ac:dyDescent="0.3">
      <c r="B911" s="126"/>
      <c r="C911" s="583">
        <v>528</v>
      </c>
      <c r="D911" s="625" t="e">
        <f t="shared" si="34"/>
        <v>#VALUE!</v>
      </c>
      <c r="E911" s="591"/>
      <c r="F911" s="591"/>
      <c r="G911" s="591"/>
      <c r="H911" s="591"/>
      <c r="I911" s="591"/>
      <c r="J911" s="591"/>
      <c r="K911" s="542"/>
      <c r="O911" s="1134"/>
      <c r="Q911" s="1133"/>
    </row>
    <row r="912" spans="2:17" x14ac:dyDescent="0.3">
      <c r="B912" s="126"/>
      <c r="C912" s="583">
        <v>529</v>
      </c>
      <c r="D912" s="625" t="e">
        <f t="shared" si="34"/>
        <v>#VALUE!</v>
      </c>
      <c r="E912" s="591"/>
      <c r="F912" s="591"/>
      <c r="G912" s="591"/>
      <c r="H912" s="591"/>
      <c r="I912" s="591"/>
      <c r="J912" s="591"/>
      <c r="K912" s="542"/>
      <c r="O912" s="1134"/>
      <c r="Q912" s="1133"/>
    </row>
    <row r="913" spans="2:17" x14ac:dyDescent="0.3">
      <c r="B913" s="126"/>
      <c r="C913" s="583">
        <v>530</v>
      </c>
      <c r="D913" s="625" t="e">
        <f t="shared" si="34"/>
        <v>#VALUE!</v>
      </c>
      <c r="E913" s="591"/>
      <c r="F913" s="591"/>
      <c r="G913" s="591"/>
      <c r="H913" s="591"/>
      <c r="I913" s="591"/>
      <c r="J913" s="591"/>
      <c r="K913" s="542"/>
      <c r="O913" s="1134"/>
      <c r="Q913" s="1133"/>
    </row>
    <row r="914" spans="2:17" x14ac:dyDescent="0.3">
      <c r="B914" s="126"/>
      <c r="C914" s="583">
        <v>531</v>
      </c>
      <c r="D914" s="625" t="e">
        <f t="shared" si="34"/>
        <v>#VALUE!</v>
      </c>
      <c r="E914" s="591"/>
      <c r="F914" s="591"/>
      <c r="G914" s="591"/>
      <c r="H914" s="591"/>
      <c r="I914" s="591"/>
      <c r="J914" s="591"/>
      <c r="K914" s="542"/>
      <c r="O914" s="1134"/>
      <c r="Q914" s="1133"/>
    </row>
    <row r="915" spans="2:17" x14ac:dyDescent="0.3">
      <c r="B915" s="126"/>
      <c r="C915" s="583">
        <v>532</v>
      </c>
      <c r="D915" s="625" t="e">
        <f t="shared" si="34"/>
        <v>#VALUE!</v>
      </c>
      <c r="E915" s="591"/>
      <c r="F915" s="591"/>
      <c r="G915" s="591"/>
      <c r="H915" s="591"/>
      <c r="I915" s="591"/>
      <c r="J915" s="591"/>
      <c r="K915" s="542"/>
      <c r="O915" s="1134"/>
      <c r="Q915" s="1133"/>
    </row>
    <row r="916" spans="2:17" x14ac:dyDescent="0.3">
      <c r="B916" s="126"/>
      <c r="C916" s="583">
        <v>533</v>
      </c>
      <c r="D916" s="625" t="e">
        <f t="shared" si="34"/>
        <v>#VALUE!</v>
      </c>
      <c r="E916" s="591"/>
      <c r="F916" s="591"/>
      <c r="G916" s="591"/>
      <c r="H916" s="591"/>
      <c r="I916" s="591"/>
      <c r="J916" s="591"/>
      <c r="K916" s="542"/>
      <c r="O916" s="1134"/>
      <c r="Q916" s="1133"/>
    </row>
    <row r="917" spans="2:17" x14ac:dyDescent="0.3">
      <c r="B917" s="126"/>
      <c r="C917" s="583">
        <v>534</v>
      </c>
      <c r="D917" s="625" t="e">
        <f t="shared" si="34"/>
        <v>#VALUE!</v>
      </c>
      <c r="E917" s="591"/>
      <c r="F917" s="591"/>
      <c r="G917" s="591"/>
      <c r="H917" s="591"/>
      <c r="I917" s="591"/>
      <c r="J917" s="591"/>
      <c r="K917" s="542"/>
      <c r="O917" s="1134"/>
      <c r="Q917" s="1133"/>
    </row>
    <row r="918" spans="2:17" x14ac:dyDescent="0.3">
      <c r="B918" s="126"/>
      <c r="C918" s="583">
        <v>535</v>
      </c>
      <c r="D918" s="625" t="e">
        <f t="shared" si="34"/>
        <v>#VALUE!</v>
      </c>
      <c r="E918" s="591"/>
      <c r="F918" s="591"/>
      <c r="G918" s="591"/>
      <c r="H918" s="591"/>
      <c r="I918" s="591"/>
      <c r="J918" s="591"/>
      <c r="K918" s="542"/>
      <c r="O918" s="1134"/>
      <c r="Q918" s="1133"/>
    </row>
    <row r="919" spans="2:17" x14ac:dyDescent="0.3">
      <c r="B919" s="126"/>
      <c r="C919" s="583">
        <v>536</v>
      </c>
      <c r="D919" s="625" t="e">
        <f t="shared" si="34"/>
        <v>#VALUE!</v>
      </c>
      <c r="E919" s="591"/>
      <c r="F919" s="591"/>
      <c r="G919" s="591"/>
      <c r="H919" s="591"/>
      <c r="I919" s="591"/>
      <c r="J919" s="591"/>
      <c r="K919" s="542"/>
      <c r="O919" s="1134"/>
      <c r="Q919" s="1133"/>
    </row>
    <row r="920" spans="2:17" x14ac:dyDescent="0.3">
      <c r="B920" s="126"/>
      <c r="C920" s="583">
        <v>537</v>
      </c>
      <c r="D920" s="625" t="e">
        <f t="shared" si="34"/>
        <v>#VALUE!</v>
      </c>
      <c r="E920" s="591"/>
      <c r="F920" s="591"/>
      <c r="G920" s="591"/>
      <c r="H920" s="591"/>
      <c r="I920" s="591"/>
      <c r="J920" s="591"/>
      <c r="K920" s="542"/>
      <c r="O920" s="1134"/>
      <c r="Q920" s="1133"/>
    </row>
    <row r="921" spans="2:17" x14ac:dyDescent="0.3">
      <c r="B921" s="126"/>
      <c r="C921" s="583">
        <v>538</v>
      </c>
      <c r="D921" s="625" t="e">
        <f t="shared" si="34"/>
        <v>#VALUE!</v>
      </c>
      <c r="E921" s="591"/>
      <c r="F921" s="591"/>
      <c r="G921" s="591"/>
      <c r="H921" s="591"/>
      <c r="I921" s="591"/>
      <c r="J921" s="591"/>
      <c r="K921" s="542"/>
      <c r="O921" s="1134"/>
      <c r="Q921" s="1133"/>
    </row>
    <row r="922" spans="2:17" x14ac:dyDescent="0.3">
      <c r="B922" s="126"/>
      <c r="C922" s="583">
        <v>539</v>
      </c>
      <c r="D922" s="625" t="e">
        <f t="shared" si="34"/>
        <v>#VALUE!</v>
      </c>
      <c r="E922" s="591"/>
      <c r="F922" s="591"/>
      <c r="G922" s="591"/>
      <c r="H922" s="591"/>
      <c r="I922" s="591"/>
      <c r="J922" s="591"/>
      <c r="K922" s="542"/>
      <c r="O922" s="1134"/>
      <c r="Q922" s="1133"/>
    </row>
    <row r="923" spans="2:17" x14ac:dyDescent="0.3">
      <c r="B923" s="126"/>
      <c r="C923" s="583">
        <v>540</v>
      </c>
      <c r="D923" s="625" t="e">
        <f t="shared" si="34"/>
        <v>#VALUE!</v>
      </c>
      <c r="E923" s="591"/>
      <c r="F923" s="591"/>
      <c r="G923" s="591"/>
      <c r="H923" s="591"/>
      <c r="I923" s="591"/>
      <c r="J923" s="591"/>
      <c r="K923" s="542"/>
      <c r="O923" s="1134"/>
      <c r="Q923" s="1133"/>
    </row>
    <row r="924" spans="2:17" x14ac:dyDescent="0.3">
      <c r="B924" s="126"/>
      <c r="C924" s="583">
        <v>541</v>
      </c>
      <c r="D924" s="625" t="e">
        <f t="shared" si="34"/>
        <v>#VALUE!</v>
      </c>
      <c r="E924" s="591"/>
      <c r="F924" s="591"/>
      <c r="G924" s="591"/>
      <c r="H924" s="591"/>
      <c r="I924" s="591"/>
      <c r="J924" s="591"/>
      <c r="K924" s="542"/>
      <c r="O924" s="1134"/>
      <c r="Q924" s="1133"/>
    </row>
    <row r="925" spans="2:17" x14ac:dyDescent="0.3">
      <c r="B925" s="126"/>
      <c r="C925" s="583">
        <v>542</v>
      </c>
      <c r="D925" s="625" t="e">
        <f t="shared" si="34"/>
        <v>#VALUE!</v>
      </c>
      <c r="E925" s="591"/>
      <c r="F925" s="591"/>
      <c r="G925" s="591"/>
      <c r="H925" s="591"/>
      <c r="I925" s="591"/>
      <c r="J925" s="591"/>
      <c r="K925" s="542"/>
      <c r="O925" s="1134"/>
      <c r="Q925" s="1133"/>
    </row>
    <row r="926" spans="2:17" x14ac:dyDescent="0.3">
      <c r="B926" s="126"/>
      <c r="C926" s="583">
        <v>543</v>
      </c>
      <c r="D926" s="625" t="e">
        <f t="shared" si="34"/>
        <v>#VALUE!</v>
      </c>
      <c r="E926" s="591"/>
      <c r="F926" s="591"/>
      <c r="G926" s="591"/>
      <c r="H926" s="591"/>
      <c r="I926" s="591"/>
      <c r="J926" s="591"/>
      <c r="K926" s="542"/>
      <c r="O926" s="1134"/>
      <c r="Q926" s="1133"/>
    </row>
    <row r="927" spans="2:17" x14ac:dyDescent="0.3">
      <c r="B927" s="126"/>
      <c r="C927" s="583">
        <v>544</v>
      </c>
      <c r="D927" s="625" t="e">
        <f t="shared" si="34"/>
        <v>#VALUE!</v>
      </c>
      <c r="E927" s="591"/>
      <c r="F927" s="591"/>
      <c r="G927" s="591"/>
      <c r="H927" s="591"/>
      <c r="I927" s="591"/>
      <c r="J927" s="591"/>
      <c r="K927" s="542"/>
      <c r="O927" s="1134"/>
      <c r="Q927" s="1133"/>
    </row>
    <row r="928" spans="2:17" x14ac:dyDescent="0.3">
      <c r="B928" s="126"/>
      <c r="C928" s="583">
        <v>545</v>
      </c>
      <c r="D928" s="625" t="e">
        <f t="shared" si="34"/>
        <v>#VALUE!</v>
      </c>
      <c r="E928" s="591"/>
      <c r="F928" s="591"/>
      <c r="G928" s="591"/>
      <c r="H928" s="591"/>
      <c r="I928" s="591"/>
      <c r="J928" s="591"/>
      <c r="K928" s="542"/>
      <c r="O928" s="1134"/>
      <c r="Q928" s="1133"/>
    </row>
    <row r="929" spans="2:17" x14ac:dyDescent="0.3">
      <c r="B929" s="126"/>
      <c r="C929" s="583">
        <v>546</v>
      </c>
      <c r="D929" s="625" t="e">
        <f t="shared" si="34"/>
        <v>#VALUE!</v>
      </c>
      <c r="E929" s="591"/>
      <c r="F929" s="591"/>
      <c r="G929" s="591"/>
      <c r="H929" s="591"/>
      <c r="I929" s="591"/>
      <c r="J929" s="591"/>
      <c r="K929" s="542"/>
      <c r="O929" s="1134"/>
      <c r="Q929" s="1133"/>
    </row>
    <row r="930" spans="2:17" x14ac:dyDescent="0.3">
      <c r="B930" s="126"/>
      <c r="C930" s="583">
        <v>547</v>
      </c>
      <c r="D930" s="625" t="e">
        <f t="shared" si="34"/>
        <v>#VALUE!</v>
      </c>
      <c r="E930" s="591"/>
      <c r="F930" s="591"/>
      <c r="G930" s="591"/>
      <c r="H930" s="591"/>
      <c r="I930" s="591"/>
      <c r="J930" s="591"/>
      <c r="K930" s="542"/>
      <c r="O930" s="1134"/>
      <c r="Q930" s="1133"/>
    </row>
    <row r="931" spans="2:17" x14ac:dyDescent="0.3">
      <c r="B931" s="126"/>
      <c r="C931" s="583">
        <v>548</v>
      </c>
      <c r="D931" s="625" t="e">
        <f t="shared" si="34"/>
        <v>#VALUE!</v>
      </c>
      <c r="E931" s="591"/>
      <c r="F931" s="591"/>
      <c r="G931" s="591"/>
      <c r="H931" s="591"/>
      <c r="I931" s="591"/>
      <c r="J931" s="591"/>
      <c r="K931" s="542"/>
      <c r="O931" s="1134"/>
      <c r="Q931" s="1133"/>
    </row>
    <row r="932" spans="2:17" x14ac:dyDescent="0.3">
      <c r="B932" s="126"/>
      <c r="C932" s="583">
        <v>549</v>
      </c>
      <c r="D932" s="625" t="e">
        <f t="shared" si="34"/>
        <v>#VALUE!</v>
      </c>
      <c r="E932" s="591"/>
      <c r="F932" s="591"/>
      <c r="G932" s="591"/>
      <c r="H932" s="591"/>
      <c r="I932" s="591"/>
      <c r="J932" s="591"/>
      <c r="K932" s="542"/>
      <c r="O932" s="1134"/>
      <c r="Q932" s="1133"/>
    </row>
    <row r="933" spans="2:17" x14ac:dyDescent="0.3">
      <c r="B933" s="126"/>
      <c r="C933" s="583">
        <v>550</v>
      </c>
      <c r="D933" s="625" t="e">
        <f t="shared" si="34"/>
        <v>#VALUE!</v>
      </c>
      <c r="E933" s="591"/>
      <c r="F933" s="591"/>
      <c r="G933" s="591"/>
      <c r="H933" s="591"/>
      <c r="I933" s="591"/>
      <c r="J933" s="591"/>
      <c r="K933" s="542"/>
      <c r="O933" s="1134"/>
      <c r="Q933" s="1133"/>
    </row>
    <row r="934" spans="2:17" x14ac:dyDescent="0.3">
      <c r="B934" s="126"/>
      <c r="C934" s="583">
        <v>551</v>
      </c>
      <c r="D934" s="625" t="e">
        <f t="shared" si="34"/>
        <v>#VALUE!</v>
      </c>
      <c r="E934" s="591"/>
      <c r="F934" s="591"/>
      <c r="G934" s="591"/>
      <c r="H934" s="591"/>
      <c r="I934" s="591"/>
      <c r="J934" s="591"/>
      <c r="K934" s="542"/>
      <c r="O934" s="1134"/>
      <c r="Q934" s="1133"/>
    </row>
    <row r="935" spans="2:17" x14ac:dyDescent="0.3">
      <c r="B935" s="126"/>
      <c r="C935" s="583">
        <v>552</v>
      </c>
      <c r="D935" s="625" t="e">
        <f t="shared" si="34"/>
        <v>#VALUE!</v>
      </c>
      <c r="E935" s="591"/>
      <c r="F935" s="591"/>
      <c r="G935" s="591"/>
      <c r="H935" s="591"/>
      <c r="I935" s="591"/>
      <c r="J935" s="591"/>
      <c r="K935" s="542"/>
      <c r="O935" s="1134"/>
      <c r="Q935" s="1133"/>
    </row>
    <row r="936" spans="2:17" x14ac:dyDescent="0.3">
      <c r="B936" s="126"/>
      <c r="C936" s="583">
        <v>553</v>
      </c>
      <c r="D936" s="625" t="e">
        <f t="shared" si="34"/>
        <v>#VALUE!</v>
      </c>
      <c r="E936" s="591"/>
      <c r="F936" s="591"/>
      <c r="G936" s="591"/>
      <c r="H936" s="591"/>
      <c r="I936" s="591"/>
      <c r="J936" s="591"/>
      <c r="K936" s="542"/>
      <c r="O936" s="1134"/>
      <c r="Q936" s="1133"/>
    </row>
    <row r="937" spans="2:17" x14ac:dyDescent="0.3">
      <c r="B937" s="126"/>
      <c r="C937" s="583">
        <v>554</v>
      </c>
      <c r="D937" s="625" t="e">
        <f t="shared" si="34"/>
        <v>#VALUE!</v>
      </c>
      <c r="E937" s="591"/>
      <c r="F937" s="591"/>
      <c r="G937" s="591"/>
      <c r="H937" s="591"/>
      <c r="I937" s="591"/>
      <c r="J937" s="591"/>
      <c r="K937" s="542"/>
      <c r="O937" s="1134"/>
      <c r="Q937" s="1133"/>
    </row>
    <row r="938" spans="2:17" x14ac:dyDescent="0.3">
      <c r="B938" s="126"/>
      <c r="C938" s="583">
        <v>555</v>
      </c>
      <c r="D938" s="625" t="e">
        <f t="shared" si="34"/>
        <v>#VALUE!</v>
      </c>
      <c r="E938" s="591"/>
      <c r="F938" s="591"/>
      <c r="G938" s="591"/>
      <c r="H938" s="591"/>
      <c r="I938" s="591"/>
      <c r="J938" s="591"/>
      <c r="K938" s="542"/>
      <c r="O938" s="1134"/>
      <c r="Q938" s="1133"/>
    </row>
    <row r="939" spans="2:17" x14ac:dyDescent="0.3">
      <c r="B939" s="126"/>
      <c r="C939" s="583">
        <v>556</v>
      </c>
      <c r="D939" s="625" t="e">
        <f t="shared" si="34"/>
        <v>#VALUE!</v>
      </c>
      <c r="E939" s="591"/>
      <c r="F939" s="591"/>
      <c r="G939" s="591"/>
      <c r="H939" s="591"/>
      <c r="I939" s="591"/>
      <c r="J939" s="591"/>
      <c r="K939" s="542"/>
      <c r="O939" s="1134"/>
      <c r="Q939" s="1133"/>
    </row>
    <row r="940" spans="2:17" x14ac:dyDescent="0.3">
      <c r="B940" s="126"/>
      <c r="C940" s="583">
        <v>557</v>
      </c>
      <c r="D940" s="625" t="e">
        <f t="shared" si="34"/>
        <v>#VALUE!</v>
      </c>
      <c r="E940" s="591"/>
      <c r="F940" s="591"/>
      <c r="G940" s="591"/>
      <c r="H940" s="591"/>
      <c r="I940" s="591"/>
      <c r="J940" s="591"/>
      <c r="K940" s="542"/>
      <c r="O940" s="1134"/>
      <c r="Q940" s="1133"/>
    </row>
    <row r="941" spans="2:17" x14ac:dyDescent="0.3">
      <c r="B941" s="126"/>
      <c r="C941" s="583">
        <v>558</v>
      </c>
      <c r="D941" s="625" t="e">
        <f t="shared" si="34"/>
        <v>#VALUE!</v>
      </c>
      <c r="E941" s="591"/>
      <c r="F941" s="591"/>
      <c r="G941" s="591"/>
      <c r="H941" s="591"/>
      <c r="I941" s="591"/>
      <c r="J941" s="591"/>
      <c r="K941" s="542"/>
      <c r="O941" s="1134"/>
      <c r="Q941" s="1133"/>
    </row>
    <row r="942" spans="2:17" x14ac:dyDescent="0.3">
      <c r="B942" s="126"/>
      <c r="C942" s="583">
        <v>559</v>
      </c>
      <c r="D942" s="625" t="e">
        <f t="shared" si="34"/>
        <v>#VALUE!</v>
      </c>
      <c r="E942" s="591"/>
      <c r="F942" s="591"/>
      <c r="G942" s="591"/>
      <c r="H942" s="591"/>
      <c r="I942" s="591"/>
      <c r="J942" s="591"/>
      <c r="K942" s="542"/>
      <c r="O942" s="1134"/>
      <c r="Q942" s="1133"/>
    </row>
    <row r="943" spans="2:17" x14ac:dyDescent="0.3">
      <c r="B943" s="126"/>
      <c r="C943" s="583">
        <v>560</v>
      </c>
      <c r="D943" s="625" t="e">
        <f t="shared" si="34"/>
        <v>#VALUE!</v>
      </c>
      <c r="E943" s="591"/>
      <c r="F943" s="591"/>
      <c r="G943" s="591"/>
      <c r="H943" s="591"/>
      <c r="I943" s="591"/>
      <c r="J943" s="591"/>
      <c r="K943" s="542"/>
      <c r="O943" s="1134"/>
      <c r="Q943" s="1133"/>
    </row>
    <row r="944" spans="2:17" x14ac:dyDescent="0.3">
      <c r="B944" s="126"/>
      <c r="C944" s="583">
        <v>561</v>
      </c>
      <c r="D944" s="625" t="e">
        <f t="shared" si="34"/>
        <v>#VALUE!</v>
      </c>
      <c r="E944" s="591"/>
      <c r="F944" s="591"/>
      <c r="G944" s="591"/>
      <c r="H944" s="591"/>
      <c r="I944" s="591"/>
      <c r="J944" s="591"/>
      <c r="K944" s="542"/>
      <c r="O944" s="1134"/>
      <c r="Q944" s="1133"/>
    </row>
    <row r="945" spans="2:17" x14ac:dyDescent="0.3">
      <c r="B945" s="126"/>
      <c r="C945" s="583">
        <v>562</v>
      </c>
      <c r="D945" s="625" t="e">
        <f t="shared" si="34"/>
        <v>#VALUE!</v>
      </c>
      <c r="E945" s="591"/>
      <c r="F945" s="591"/>
      <c r="G945" s="591"/>
      <c r="H945" s="591"/>
      <c r="I945" s="591"/>
      <c r="J945" s="591"/>
      <c r="K945" s="542"/>
      <c r="O945" s="1134"/>
      <c r="Q945" s="1133"/>
    </row>
    <row r="946" spans="2:17" x14ac:dyDescent="0.3">
      <c r="B946" s="126"/>
      <c r="C946" s="583">
        <v>563</v>
      </c>
      <c r="D946" s="625" t="e">
        <f t="shared" si="34"/>
        <v>#VALUE!</v>
      </c>
      <c r="E946" s="591"/>
      <c r="F946" s="591"/>
      <c r="G946" s="591"/>
      <c r="H946" s="591"/>
      <c r="I946" s="591"/>
      <c r="J946" s="591"/>
      <c r="K946" s="542"/>
      <c r="O946" s="1134"/>
      <c r="Q946" s="1133"/>
    </row>
    <row r="947" spans="2:17" x14ac:dyDescent="0.3">
      <c r="B947" s="126"/>
      <c r="C947" s="583">
        <v>564</v>
      </c>
      <c r="D947" s="625" t="e">
        <f t="shared" si="34"/>
        <v>#VALUE!</v>
      </c>
      <c r="E947" s="591"/>
      <c r="F947" s="591"/>
      <c r="G947" s="591"/>
      <c r="H947" s="591"/>
      <c r="I947" s="591"/>
      <c r="J947" s="591"/>
      <c r="K947" s="542"/>
      <c r="O947" s="1134"/>
      <c r="Q947" s="1133"/>
    </row>
    <row r="948" spans="2:17" x14ac:dyDescent="0.3">
      <c r="B948" s="126"/>
      <c r="C948" s="583">
        <v>565</v>
      </c>
      <c r="D948" s="625" t="e">
        <f t="shared" si="34"/>
        <v>#VALUE!</v>
      </c>
      <c r="E948" s="591"/>
      <c r="F948" s="591"/>
      <c r="G948" s="591"/>
      <c r="H948" s="591"/>
      <c r="I948" s="591"/>
      <c r="J948" s="591"/>
      <c r="K948" s="542"/>
      <c r="O948" s="1134"/>
      <c r="Q948" s="1133"/>
    </row>
    <row r="949" spans="2:17" x14ac:dyDescent="0.3">
      <c r="B949" s="126"/>
      <c r="C949" s="583">
        <v>566</v>
      </c>
      <c r="D949" s="625" t="e">
        <f t="shared" si="34"/>
        <v>#VALUE!</v>
      </c>
      <c r="E949" s="591"/>
      <c r="F949" s="591"/>
      <c r="G949" s="591"/>
      <c r="H949" s="591"/>
      <c r="I949" s="591"/>
      <c r="J949" s="591"/>
      <c r="K949" s="542"/>
      <c r="O949" s="1134"/>
      <c r="Q949" s="1133"/>
    </row>
    <row r="950" spans="2:17" x14ac:dyDescent="0.3">
      <c r="B950" s="126"/>
      <c r="C950" s="583">
        <v>567</v>
      </c>
      <c r="D950" s="625" t="e">
        <f t="shared" si="34"/>
        <v>#VALUE!</v>
      </c>
      <c r="E950" s="591"/>
      <c r="F950" s="591"/>
      <c r="G950" s="591"/>
      <c r="H950" s="591"/>
      <c r="I950" s="591"/>
      <c r="J950" s="591"/>
      <c r="K950" s="542"/>
      <c r="O950" s="1134"/>
      <c r="Q950" s="1133"/>
    </row>
    <row r="951" spans="2:17" x14ac:dyDescent="0.3">
      <c r="B951" s="126"/>
      <c r="C951" s="583">
        <v>568</v>
      </c>
      <c r="D951" s="625" t="e">
        <f t="shared" si="34"/>
        <v>#VALUE!</v>
      </c>
      <c r="E951" s="591"/>
      <c r="F951" s="591"/>
      <c r="G951" s="591"/>
      <c r="H951" s="591"/>
      <c r="I951" s="591"/>
      <c r="J951" s="591"/>
      <c r="K951" s="542"/>
      <c r="O951" s="1134"/>
      <c r="Q951" s="1133"/>
    </row>
    <row r="952" spans="2:17" x14ac:dyDescent="0.3">
      <c r="B952" s="126"/>
      <c r="C952" s="583">
        <v>569</v>
      </c>
      <c r="D952" s="625" t="e">
        <f t="shared" si="34"/>
        <v>#VALUE!</v>
      </c>
      <c r="E952" s="591"/>
      <c r="F952" s="591"/>
      <c r="G952" s="591"/>
      <c r="H952" s="591"/>
      <c r="I952" s="591"/>
      <c r="J952" s="591"/>
      <c r="K952" s="542"/>
      <c r="O952" s="1134"/>
      <c r="Q952" s="1133"/>
    </row>
    <row r="953" spans="2:17" x14ac:dyDescent="0.3">
      <c r="B953" s="126"/>
      <c r="C953" s="583">
        <v>570</v>
      </c>
      <c r="D953" s="625" t="e">
        <f t="shared" si="34"/>
        <v>#VALUE!</v>
      </c>
      <c r="E953" s="591"/>
      <c r="F953" s="591"/>
      <c r="G953" s="591"/>
      <c r="H953" s="591"/>
      <c r="I953" s="591"/>
      <c r="J953" s="591"/>
      <c r="K953" s="542"/>
      <c r="O953" s="1134"/>
      <c r="Q953" s="1133"/>
    </row>
    <row r="954" spans="2:17" x14ac:dyDescent="0.3">
      <c r="B954" s="126"/>
      <c r="C954" s="583">
        <v>571</v>
      </c>
      <c r="D954" s="625" t="e">
        <f t="shared" si="34"/>
        <v>#VALUE!</v>
      </c>
      <c r="E954" s="591"/>
      <c r="F954" s="591"/>
      <c r="G954" s="591"/>
      <c r="H954" s="591"/>
      <c r="I954" s="591"/>
      <c r="J954" s="591"/>
      <c r="K954" s="542"/>
      <c r="O954" s="1134"/>
      <c r="Q954" s="1133"/>
    </row>
    <row r="955" spans="2:17" x14ac:dyDescent="0.3">
      <c r="B955" s="126"/>
      <c r="C955" s="583">
        <v>572</v>
      </c>
      <c r="D955" s="625" t="e">
        <f t="shared" si="34"/>
        <v>#VALUE!</v>
      </c>
      <c r="E955" s="591"/>
      <c r="F955" s="591"/>
      <c r="G955" s="591"/>
      <c r="H955" s="591"/>
      <c r="I955" s="591"/>
      <c r="J955" s="591"/>
      <c r="K955" s="542"/>
      <c r="O955" s="1134"/>
      <c r="Q955" s="1133"/>
    </row>
    <row r="956" spans="2:17" x14ac:dyDescent="0.3">
      <c r="B956" s="126"/>
      <c r="C956" s="583">
        <v>573</v>
      </c>
      <c r="D956" s="625" t="e">
        <f t="shared" si="34"/>
        <v>#VALUE!</v>
      </c>
      <c r="E956" s="591"/>
      <c r="F956" s="591"/>
      <c r="G956" s="591"/>
      <c r="H956" s="591"/>
      <c r="I956" s="591"/>
      <c r="J956" s="591"/>
      <c r="K956" s="542"/>
      <c r="O956" s="1134"/>
      <c r="Q956" s="1133"/>
    </row>
    <row r="957" spans="2:17" x14ac:dyDescent="0.3">
      <c r="B957" s="126"/>
      <c r="C957" s="583">
        <v>574</v>
      </c>
      <c r="D957" s="625" t="e">
        <f t="shared" si="34"/>
        <v>#VALUE!</v>
      </c>
      <c r="E957" s="591"/>
      <c r="F957" s="591"/>
      <c r="G957" s="591"/>
      <c r="H957" s="591"/>
      <c r="I957" s="591"/>
      <c r="J957" s="591"/>
      <c r="K957" s="542"/>
      <c r="O957" s="1134"/>
      <c r="Q957" s="1133"/>
    </row>
    <row r="958" spans="2:17" x14ac:dyDescent="0.3">
      <c r="B958" s="126"/>
      <c r="C958" s="583">
        <v>575</v>
      </c>
      <c r="D958" s="625" t="e">
        <f t="shared" si="34"/>
        <v>#VALUE!</v>
      </c>
      <c r="E958" s="591"/>
      <c r="F958" s="591"/>
      <c r="G958" s="591"/>
      <c r="H958" s="591"/>
      <c r="I958" s="591"/>
      <c r="J958" s="591"/>
      <c r="K958" s="542"/>
      <c r="O958" s="1134"/>
      <c r="Q958" s="1133"/>
    </row>
    <row r="959" spans="2:17" x14ac:dyDescent="0.3">
      <c r="B959" s="126"/>
      <c r="C959" s="583">
        <v>576</v>
      </c>
      <c r="D959" s="625" t="e">
        <f t="shared" ref="D959:D1022" si="35">$C$362*C959</f>
        <v>#VALUE!</v>
      </c>
      <c r="E959" s="591"/>
      <c r="F959" s="591"/>
      <c r="G959" s="591"/>
      <c r="H959" s="591"/>
      <c r="I959" s="591"/>
      <c r="J959" s="591"/>
      <c r="K959" s="542"/>
      <c r="O959" s="1134"/>
      <c r="Q959" s="1133"/>
    </row>
    <row r="960" spans="2:17" x14ac:dyDescent="0.3">
      <c r="B960" s="126"/>
      <c r="C960" s="583">
        <v>577</v>
      </c>
      <c r="D960" s="625" t="e">
        <f t="shared" si="35"/>
        <v>#VALUE!</v>
      </c>
      <c r="E960" s="591"/>
      <c r="F960" s="591"/>
      <c r="G960" s="591"/>
      <c r="H960" s="591"/>
      <c r="I960" s="591"/>
      <c r="J960" s="591"/>
      <c r="K960" s="542"/>
      <c r="O960" s="1134"/>
      <c r="Q960" s="1133"/>
    </row>
    <row r="961" spans="2:17" x14ac:dyDescent="0.3">
      <c r="B961" s="126"/>
      <c r="C961" s="583">
        <v>578</v>
      </c>
      <c r="D961" s="625" t="e">
        <f t="shared" si="35"/>
        <v>#VALUE!</v>
      </c>
      <c r="E961" s="591"/>
      <c r="F961" s="591"/>
      <c r="G961" s="591"/>
      <c r="H961" s="591"/>
      <c r="I961" s="591"/>
      <c r="J961" s="591"/>
      <c r="K961" s="542"/>
      <c r="O961" s="1134"/>
      <c r="Q961" s="1133"/>
    </row>
    <row r="962" spans="2:17" x14ac:dyDescent="0.3">
      <c r="B962" s="126"/>
      <c r="C962" s="583">
        <v>579</v>
      </c>
      <c r="D962" s="625" t="e">
        <f t="shared" si="35"/>
        <v>#VALUE!</v>
      </c>
      <c r="E962" s="591"/>
      <c r="F962" s="591"/>
      <c r="G962" s="591"/>
      <c r="H962" s="591"/>
      <c r="I962" s="591"/>
      <c r="J962" s="591"/>
      <c r="K962" s="542"/>
      <c r="O962" s="1134"/>
      <c r="Q962" s="1133"/>
    </row>
    <row r="963" spans="2:17" x14ac:dyDescent="0.3">
      <c r="B963" s="126"/>
      <c r="C963" s="583">
        <v>580</v>
      </c>
      <c r="D963" s="625" t="e">
        <f t="shared" si="35"/>
        <v>#VALUE!</v>
      </c>
      <c r="E963" s="591"/>
      <c r="F963" s="591"/>
      <c r="G963" s="591"/>
      <c r="H963" s="591"/>
      <c r="I963" s="591"/>
      <c r="J963" s="591"/>
      <c r="K963" s="542"/>
      <c r="O963" s="1134"/>
      <c r="Q963" s="1133"/>
    </row>
    <row r="964" spans="2:17" x14ac:dyDescent="0.3">
      <c r="B964" s="126"/>
      <c r="C964" s="583">
        <v>581</v>
      </c>
      <c r="D964" s="625" t="e">
        <f t="shared" si="35"/>
        <v>#VALUE!</v>
      </c>
      <c r="E964" s="591"/>
      <c r="F964" s="591"/>
      <c r="G964" s="591"/>
      <c r="H964" s="591"/>
      <c r="I964" s="591"/>
      <c r="J964" s="591"/>
      <c r="K964" s="542"/>
      <c r="O964" s="1134"/>
      <c r="Q964" s="1133"/>
    </row>
    <row r="965" spans="2:17" x14ac:dyDescent="0.3">
      <c r="B965" s="126"/>
      <c r="C965" s="583">
        <v>582</v>
      </c>
      <c r="D965" s="625" t="e">
        <f t="shared" si="35"/>
        <v>#VALUE!</v>
      </c>
      <c r="E965" s="591"/>
      <c r="F965" s="591"/>
      <c r="G965" s="591"/>
      <c r="H965" s="591"/>
      <c r="I965" s="591"/>
      <c r="J965" s="591"/>
      <c r="K965" s="542"/>
      <c r="O965" s="1134"/>
      <c r="Q965" s="1133"/>
    </row>
    <row r="966" spans="2:17" x14ac:dyDescent="0.3">
      <c r="B966" s="126"/>
      <c r="C966" s="583">
        <v>583</v>
      </c>
      <c r="D966" s="625" t="e">
        <f t="shared" si="35"/>
        <v>#VALUE!</v>
      </c>
      <c r="E966" s="591"/>
      <c r="F966" s="591"/>
      <c r="G966" s="591"/>
      <c r="H966" s="591"/>
      <c r="I966" s="591"/>
      <c r="J966" s="591"/>
      <c r="K966" s="542"/>
      <c r="O966" s="1134"/>
      <c r="Q966" s="1133"/>
    </row>
    <row r="967" spans="2:17" x14ac:dyDescent="0.3">
      <c r="B967" s="126"/>
      <c r="C967" s="583">
        <v>584</v>
      </c>
      <c r="D967" s="625" t="e">
        <f t="shared" si="35"/>
        <v>#VALUE!</v>
      </c>
      <c r="E967" s="591"/>
      <c r="F967" s="591"/>
      <c r="G967" s="591"/>
      <c r="H967" s="591"/>
      <c r="I967" s="591"/>
      <c r="J967" s="591"/>
      <c r="K967" s="542"/>
      <c r="O967" s="1134"/>
      <c r="Q967" s="1133"/>
    </row>
    <row r="968" spans="2:17" x14ac:dyDescent="0.3">
      <c r="B968" s="126"/>
      <c r="C968" s="583">
        <v>585</v>
      </c>
      <c r="D968" s="625" t="e">
        <f t="shared" si="35"/>
        <v>#VALUE!</v>
      </c>
      <c r="E968" s="591"/>
      <c r="F968" s="591"/>
      <c r="G968" s="591"/>
      <c r="H968" s="591"/>
      <c r="I968" s="591"/>
      <c r="J968" s="591"/>
      <c r="K968" s="542"/>
      <c r="O968" s="1134"/>
      <c r="Q968" s="1133"/>
    </row>
    <row r="969" spans="2:17" x14ac:dyDescent="0.3">
      <c r="B969" s="126"/>
      <c r="C969" s="583">
        <v>586</v>
      </c>
      <c r="D969" s="625" t="e">
        <f t="shared" si="35"/>
        <v>#VALUE!</v>
      </c>
      <c r="E969" s="591"/>
      <c r="F969" s="591"/>
      <c r="G969" s="591"/>
      <c r="H969" s="591"/>
      <c r="I969" s="591"/>
      <c r="J969" s="591"/>
      <c r="K969" s="542"/>
      <c r="O969" s="1134"/>
      <c r="Q969" s="1133"/>
    </row>
    <row r="970" spans="2:17" x14ac:dyDescent="0.3">
      <c r="B970" s="126"/>
      <c r="C970" s="583">
        <v>587</v>
      </c>
      <c r="D970" s="625" t="e">
        <f t="shared" si="35"/>
        <v>#VALUE!</v>
      </c>
      <c r="E970" s="591"/>
      <c r="F970" s="591"/>
      <c r="G970" s="591"/>
      <c r="H970" s="591"/>
      <c r="I970" s="591"/>
      <c r="J970" s="591"/>
      <c r="K970" s="542"/>
      <c r="O970" s="1134"/>
      <c r="Q970" s="1133"/>
    </row>
    <row r="971" spans="2:17" x14ac:dyDescent="0.3">
      <c r="B971" s="126"/>
      <c r="C971" s="583">
        <v>588</v>
      </c>
      <c r="D971" s="625" t="e">
        <f t="shared" si="35"/>
        <v>#VALUE!</v>
      </c>
      <c r="E971" s="591"/>
      <c r="F971" s="591"/>
      <c r="G971" s="591"/>
      <c r="H971" s="591"/>
      <c r="I971" s="591"/>
      <c r="J971" s="591"/>
      <c r="K971" s="542"/>
      <c r="O971" s="1134"/>
      <c r="Q971" s="1133"/>
    </row>
    <row r="972" spans="2:17" x14ac:dyDescent="0.3">
      <c r="B972" s="126"/>
      <c r="C972" s="583">
        <v>589</v>
      </c>
      <c r="D972" s="625" t="e">
        <f t="shared" si="35"/>
        <v>#VALUE!</v>
      </c>
      <c r="E972" s="591"/>
      <c r="F972" s="591"/>
      <c r="G972" s="591"/>
      <c r="H972" s="591"/>
      <c r="I972" s="591"/>
      <c r="J972" s="591"/>
      <c r="K972" s="542"/>
      <c r="O972" s="1134"/>
      <c r="Q972" s="1133"/>
    </row>
    <row r="973" spans="2:17" x14ac:dyDescent="0.3">
      <c r="B973" s="126"/>
      <c r="C973" s="583">
        <v>590</v>
      </c>
      <c r="D973" s="625" t="e">
        <f t="shared" si="35"/>
        <v>#VALUE!</v>
      </c>
      <c r="E973" s="591"/>
      <c r="F973" s="591"/>
      <c r="G973" s="591"/>
      <c r="H973" s="591"/>
      <c r="I973" s="591"/>
      <c r="J973" s="591"/>
      <c r="K973" s="542"/>
      <c r="O973" s="1134"/>
      <c r="Q973" s="1133"/>
    </row>
    <row r="974" spans="2:17" x14ac:dyDescent="0.3">
      <c r="B974" s="126"/>
      <c r="C974" s="583">
        <v>591</v>
      </c>
      <c r="D974" s="625" t="e">
        <f t="shared" si="35"/>
        <v>#VALUE!</v>
      </c>
      <c r="E974" s="591"/>
      <c r="F974" s="591"/>
      <c r="G974" s="591"/>
      <c r="H974" s="591"/>
      <c r="I974" s="591"/>
      <c r="J974" s="591"/>
      <c r="K974" s="542"/>
      <c r="O974" s="1134"/>
      <c r="Q974" s="1133"/>
    </row>
    <row r="975" spans="2:17" x14ac:dyDescent="0.3">
      <c r="B975" s="126"/>
      <c r="C975" s="583">
        <v>592</v>
      </c>
      <c r="D975" s="625" t="e">
        <f t="shared" si="35"/>
        <v>#VALUE!</v>
      </c>
      <c r="E975" s="591"/>
      <c r="F975" s="591"/>
      <c r="G975" s="591"/>
      <c r="H975" s="591"/>
      <c r="I975" s="591"/>
      <c r="J975" s="591"/>
      <c r="K975" s="542"/>
      <c r="O975" s="1134"/>
      <c r="Q975" s="1133"/>
    </row>
    <row r="976" spans="2:17" x14ac:dyDescent="0.3">
      <c r="B976" s="126"/>
      <c r="C976" s="583">
        <v>593</v>
      </c>
      <c r="D976" s="625" t="e">
        <f t="shared" si="35"/>
        <v>#VALUE!</v>
      </c>
      <c r="E976" s="591"/>
      <c r="F976" s="591"/>
      <c r="G976" s="591"/>
      <c r="H976" s="591"/>
      <c r="I976" s="591"/>
      <c r="J976" s="591"/>
      <c r="K976" s="542"/>
      <c r="O976" s="1134"/>
      <c r="Q976" s="1133"/>
    </row>
    <row r="977" spans="2:17" x14ac:dyDescent="0.3">
      <c r="B977" s="126"/>
      <c r="C977" s="583">
        <v>594</v>
      </c>
      <c r="D977" s="625" t="e">
        <f t="shared" si="35"/>
        <v>#VALUE!</v>
      </c>
      <c r="E977" s="591"/>
      <c r="F977" s="591"/>
      <c r="G977" s="591"/>
      <c r="H977" s="591"/>
      <c r="I977" s="591"/>
      <c r="J977" s="591"/>
      <c r="K977" s="542"/>
      <c r="O977" s="1134"/>
      <c r="Q977" s="1133"/>
    </row>
    <row r="978" spans="2:17" x14ac:dyDescent="0.3">
      <c r="B978" s="126"/>
      <c r="C978" s="583">
        <v>595</v>
      </c>
      <c r="D978" s="625" t="e">
        <f t="shared" si="35"/>
        <v>#VALUE!</v>
      </c>
      <c r="E978" s="591"/>
      <c r="F978" s="591"/>
      <c r="G978" s="591"/>
      <c r="H978" s="591"/>
      <c r="I978" s="591"/>
      <c r="J978" s="591"/>
      <c r="K978" s="542"/>
      <c r="O978" s="1134"/>
      <c r="Q978" s="1133"/>
    </row>
    <row r="979" spans="2:17" x14ac:dyDescent="0.3">
      <c r="B979" s="126"/>
      <c r="C979" s="583">
        <v>596</v>
      </c>
      <c r="D979" s="625" t="e">
        <f t="shared" si="35"/>
        <v>#VALUE!</v>
      </c>
      <c r="E979" s="591"/>
      <c r="F979" s="591"/>
      <c r="G979" s="591"/>
      <c r="H979" s="591"/>
      <c r="I979" s="591"/>
      <c r="J979" s="591"/>
      <c r="K979" s="542"/>
      <c r="O979" s="1134"/>
      <c r="Q979" s="1133"/>
    </row>
    <row r="980" spans="2:17" x14ac:dyDescent="0.3">
      <c r="B980" s="126"/>
      <c r="C980" s="583">
        <v>597</v>
      </c>
      <c r="D980" s="625" t="e">
        <f t="shared" si="35"/>
        <v>#VALUE!</v>
      </c>
      <c r="E980" s="591"/>
      <c r="F980" s="591"/>
      <c r="G980" s="591"/>
      <c r="H980" s="591"/>
      <c r="I980" s="591"/>
      <c r="J980" s="591"/>
      <c r="K980" s="542"/>
      <c r="O980" s="1134"/>
      <c r="Q980" s="1133"/>
    </row>
    <row r="981" spans="2:17" x14ac:dyDescent="0.3">
      <c r="B981" s="126"/>
      <c r="C981" s="583">
        <v>598</v>
      </c>
      <c r="D981" s="625" t="e">
        <f t="shared" si="35"/>
        <v>#VALUE!</v>
      </c>
      <c r="E981" s="591"/>
      <c r="F981" s="591"/>
      <c r="G981" s="591"/>
      <c r="H981" s="591"/>
      <c r="I981" s="591"/>
      <c r="J981" s="591"/>
      <c r="K981" s="542"/>
      <c r="O981" s="1134"/>
      <c r="Q981" s="1133"/>
    </row>
    <row r="982" spans="2:17" x14ac:dyDescent="0.3">
      <c r="B982" s="126"/>
      <c r="C982" s="583">
        <v>599</v>
      </c>
      <c r="D982" s="625" t="e">
        <f t="shared" si="35"/>
        <v>#VALUE!</v>
      </c>
      <c r="E982" s="591"/>
      <c r="F982" s="591"/>
      <c r="G982" s="591"/>
      <c r="H982" s="591"/>
      <c r="I982" s="591"/>
      <c r="J982" s="591"/>
      <c r="K982" s="542"/>
      <c r="O982" s="1134"/>
      <c r="Q982" s="1133"/>
    </row>
    <row r="983" spans="2:17" x14ac:dyDescent="0.3">
      <c r="B983" s="126"/>
      <c r="C983" s="583">
        <v>600</v>
      </c>
      <c r="D983" s="625" t="e">
        <f t="shared" si="35"/>
        <v>#VALUE!</v>
      </c>
      <c r="E983" s="591"/>
      <c r="F983" s="591"/>
      <c r="G983" s="591"/>
      <c r="H983" s="591"/>
      <c r="I983" s="591"/>
      <c r="J983" s="591"/>
      <c r="K983" s="542"/>
      <c r="O983" s="1134"/>
      <c r="Q983" s="1133"/>
    </row>
    <row r="984" spans="2:17" x14ac:dyDescent="0.3">
      <c r="B984" s="126"/>
      <c r="C984" s="583">
        <v>601</v>
      </c>
      <c r="D984" s="625" t="e">
        <f t="shared" si="35"/>
        <v>#VALUE!</v>
      </c>
      <c r="E984" s="591"/>
      <c r="F984" s="591"/>
      <c r="G984" s="591"/>
      <c r="H984" s="591"/>
      <c r="I984" s="591"/>
      <c r="J984" s="591"/>
      <c r="K984" s="542"/>
      <c r="O984" s="1134"/>
      <c r="Q984" s="1133"/>
    </row>
    <row r="985" spans="2:17" x14ac:dyDescent="0.3">
      <c r="B985" s="126"/>
      <c r="C985" s="583">
        <v>602</v>
      </c>
      <c r="D985" s="625" t="e">
        <f t="shared" si="35"/>
        <v>#VALUE!</v>
      </c>
      <c r="E985" s="591"/>
      <c r="F985" s="591"/>
      <c r="G985" s="591"/>
      <c r="H985" s="591"/>
      <c r="I985" s="591"/>
      <c r="J985" s="591"/>
      <c r="K985" s="542"/>
      <c r="O985" s="1134"/>
      <c r="Q985" s="1133"/>
    </row>
    <row r="986" spans="2:17" x14ac:dyDescent="0.3">
      <c r="B986" s="126"/>
      <c r="C986" s="583">
        <v>603</v>
      </c>
      <c r="D986" s="625" t="e">
        <f t="shared" si="35"/>
        <v>#VALUE!</v>
      </c>
      <c r="E986" s="591"/>
      <c r="F986" s="591"/>
      <c r="G986" s="591"/>
      <c r="H986" s="591"/>
      <c r="I986" s="591"/>
      <c r="J986" s="591"/>
      <c r="K986" s="542"/>
      <c r="O986" s="1134"/>
      <c r="Q986" s="1133"/>
    </row>
    <row r="987" spans="2:17" x14ac:dyDescent="0.3">
      <c r="B987" s="126"/>
      <c r="C987" s="583">
        <v>604</v>
      </c>
      <c r="D987" s="625" t="e">
        <f t="shared" si="35"/>
        <v>#VALUE!</v>
      </c>
      <c r="E987" s="591"/>
      <c r="F987" s="591"/>
      <c r="G987" s="591"/>
      <c r="H987" s="591"/>
      <c r="I987" s="591"/>
      <c r="J987" s="591"/>
      <c r="K987" s="542"/>
      <c r="O987" s="1134"/>
      <c r="Q987" s="1133"/>
    </row>
    <row r="988" spans="2:17" x14ac:dyDescent="0.3">
      <c r="B988" s="126"/>
      <c r="C988" s="583">
        <v>605</v>
      </c>
      <c r="D988" s="625" t="e">
        <f t="shared" si="35"/>
        <v>#VALUE!</v>
      </c>
      <c r="E988" s="591"/>
      <c r="F988" s="591"/>
      <c r="G988" s="591"/>
      <c r="H988" s="591"/>
      <c r="I988" s="591"/>
      <c r="J988" s="591"/>
      <c r="K988" s="542"/>
      <c r="O988" s="1134"/>
      <c r="Q988" s="1133"/>
    </row>
    <row r="989" spans="2:17" x14ac:dyDescent="0.3">
      <c r="B989" s="126"/>
      <c r="C989" s="583">
        <v>606</v>
      </c>
      <c r="D989" s="625" t="e">
        <f t="shared" si="35"/>
        <v>#VALUE!</v>
      </c>
      <c r="E989" s="591"/>
      <c r="F989" s="591"/>
      <c r="G989" s="591"/>
      <c r="H989" s="591"/>
      <c r="I989" s="591"/>
      <c r="J989" s="591"/>
      <c r="K989" s="542"/>
      <c r="O989" s="1134"/>
      <c r="Q989" s="1133"/>
    </row>
    <row r="990" spans="2:17" x14ac:dyDescent="0.3">
      <c r="B990" s="126"/>
      <c r="C990" s="583">
        <v>607</v>
      </c>
      <c r="D990" s="625" t="e">
        <f t="shared" si="35"/>
        <v>#VALUE!</v>
      </c>
      <c r="E990" s="591"/>
      <c r="F990" s="591"/>
      <c r="G990" s="591"/>
      <c r="H990" s="591"/>
      <c r="I990" s="591"/>
      <c r="J990" s="591"/>
      <c r="K990" s="542"/>
      <c r="O990" s="1134"/>
      <c r="Q990" s="1133"/>
    </row>
    <row r="991" spans="2:17" x14ac:dyDescent="0.3">
      <c r="B991" s="126"/>
      <c r="C991" s="583">
        <v>608</v>
      </c>
      <c r="D991" s="625" t="e">
        <f t="shared" si="35"/>
        <v>#VALUE!</v>
      </c>
      <c r="E991" s="591"/>
      <c r="F991" s="591"/>
      <c r="G991" s="591"/>
      <c r="H991" s="591"/>
      <c r="I991" s="591"/>
      <c r="J991" s="591"/>
      <c r="K991" s="542"/>
      <c r="O991" s="1134"/>
      <c r="Q991" s="1133"/>
    </row>
    <row r="992" spans="2:17" x14ac:dyDescent="0.3">
      <c r="B992" s="126"/>
      <c r="C992" s="583">
        <v>609</v>
      </c>
      <c r="D992" s="625" t="e">
        <f t="shared" si="35"/>
        <v>#VALUE!</v>
      </c>
      <c r="E992" s="591"/>
      <c r="F992" s="591"/>
      <c r="G992" s="591"/>
      <c r="H992" s="591"/>
      <c r="I992" s="591"/>
      <c r="J992" s="591"/>
      <c r="K992" s="542"/>
      <c r="O992" s="1134"/>
      <c r="Q992" s="1133"/>
    </row>
    <row r="993" spans="2:17" x14ac:dyDescent="0.3">
      <c r="B993" s="126"/>
      <c r="C993" s="583">
        <v>610</v>
      </c>
      <c r="D993" s="625" t="e">
        <f t="shared" si="35"/>
        <v>#VALUE!</v>
      </c>
      <c r="E993" s="591"/>
      <c r="F993" s="591"/>
      <c r="G993" s="591"/>
      <c r="H993" s="591"/>
      <c r="I993" s="591"/>
      <c r="J993" s="591"/>
      <c r="K993" s="542"/>
      <c r="O993" s="1134"/>
      <c r="Q993" s="1133"/>
    </row>
    <row r="994" spans="2:17" x14ac:dyDescent="0.3">
      <c r="B994" s="126"/>
      <c r="C994" s="583">
        <v>611</v>
      </c>
      <c r="D994" s="625" t="e">
        <f t="shared" si="35"/>
        <v>#VALUE!</v>
      </c>
      <c r="E994" s="591"/>
      <c r="F994" s="591"/>
      <c r="G994" s="591"/>
      <c r="H994" s="591"/>
      <c r="I994" s="591"/>
      <c r="J994" s="591"/>
      <c r="K994" s="542"/>
      <c r="O994" s="1134"/>
      <c r="Q994" s="1133"/>
    </row>
    <row r="995" spans="2:17" x14ac:dyDescent="0.3">
      <c r="B995" s="126"/>
      <c r="C995" s="583">
        <v>612</v>
      </c>
      <c r="D995" s="625" t="e">
        <f t="shared" si="35"/>
        <v>#VALUE!</v>
      </c>
      <c r="E995" s="591"/>
      <c r="F995" s="591"/>
      <c r="G995" s="591"/>
      <c r="H995" s="591"/>
      <c r="I995" s="591"/>
      <c r="J995" s="591"/>
      <c r="K995" s="542"/>
      <c r="O995" s="1134"/>
      <c r="Q995" s="1133"/>
    </row>
    <row r="996" spans="2:17" x14ac:dyDescent="0.3">
      <c r="B996" s="126"/>
      <c r="C996" s="583">
        <v>613</v>
      </c>
      <c r="D996" s="625" t="e">
        <f t="shared" si="35"/>
        <v>#VALUE!</v>
      </c>
      <c r="E996" s="591"/>
      <c r="F996" s="591"/>
      <c r="G996" s="591"/>
      <c r="H996" s="591"/>
      <c r="I996" s="591"/>
      <c r="J996" s="591"/>
      <c r="K996" s="542"/>
      <c r="O996" s="1134"/>
      <c r="Q996" s="1133"/>
    </row>
    <row r="997" spans="2:17" x14ac:dyDescent="0.3">
      <c r="B997" s="126"/>
      <c r="C997" s="583">
        <v>614</v>
      </c>
      <c r="D997" s="625" t="e">
        <f t="shared" si="35"/>
        <v>#VALUE!</v>
      </c>
      <c r="E997" s="591"/>
      <c r="F997" s="591"/>
      <c r="G997" s="591"/>
      <c r="H997" s="591"/>
      <c r="I997" s="591"/>
      <c r="J997" s="591"/>
      <c r="K997" s="542"/>
      <c r="O997" s="1134"/>
      <c r="Q997" s="1133"/>
    </row>
    <row r="998" spans="2:17" x14ac:dyDescent="0.3">
      <c r="B998" s="126"/>
      <c r="C998" s="583">
        <v>615</v>
      </c>
      <c r="D998" s="625" t="e">
        <f t="shared" si="35"/>
        <v>#VALUE!</v>
      </c>
      <c r="E998" s="591"/>
      <c r="F998" s="591"/>
      <c r="G998" s="591"/>
      <c r="H998" s="591"/>
      <c r="I998" s="591"/>
      <c r="J998" s="591"/>
      <c r="K998" s="542"/>
      <c r="O998" s="1134"/>
      <c r="Q998" s="1133"/>
    </row>
    <row r="999" spans="2:17" x14ac:dyDescent="0.3">
      <c r="B999" s="126"/>
      <c r="C999" s="583">
        <v>616</v>
      </c>
      <c r="D999" s="625" t="e">
        <f t="shared" si="35"/>
        <v>#VALUE!</v>
      </c>
      <c r="E999" s="591"/>
      <c r="F999" s="591"/>
      <c r="G999" s="591"/>
      <c r="H999" s="591"/>
      <c r="I999" s="591"/>
      <c r="J999" s="591"/>
      <c r="K999" s="542"/>
      <c r="O999" s="1134"/>
      <c r="Q999" s="1133"/>
    </row>
    <row r="1000" spans="2:17" x14ac:dyDescent="0.3">
      <c r="B1000" s="126"/>
      <c r="C1000" s="583">
        <v>617</v>
      </c>
      <c r="D1000" s="625" t="e">
        <f t="shared" si="35"/>
        <v>#VALUE!</v>
      </c>
      <c r="E1000" s="591"/>
      <c r="F1000" s="591"/>
      <c r="G1000" s="591"/>
      <c r="H1000" s="591"/>
      <c r="I1000" s="591"/>
      <c r="J1000" s="591"/>
      <c r="K1000" s="542"/>
      <c r="O1000" s="1134"/>
      <c r="Q1000" s="1133"/>
    </row>
    <row r="1001" spans="2:17" x14ac:dyDescent="0.3">
      <c r="B1001" s="126"/>
      <c r="C1001" s="583">
        <v>618</v>
      </c>
      <c r="D1001" s="625" t="e">
        <f t="shared" si="35"/>
        <v>#VALUE!</v>
      </c>
      <c r="E1001" s="591"/>
      <c r="F1001" s="591"/>
      <c r="G1001" s="591"/>
      <c r="H1001" s="591"/>
      <c r="I1001" s="591"/>
      <c r="J1001" s="591"/>
      <c r="K1001" s="542"/>
      <c r="O1001" s="1134"/>
      <c r="Q1001" s="1133"/>
    </row>
    <row r="1002" spans="2:17" x14ac:dyDescent="0.3">
      <c r="B1002" s="126"/>
      <c r="C1002" s="583">
        <v>619</v>
      </c>
      <c r="D1002" s="625" t="e">
        <f t="shared" si="35"/>
        <v>#VALUE!</v>
      </c>
      <c r="E1002" s="591"/>
      <c r="F1002" s="591"/>
      <c r="G1002" s="591"/>
      <c r="H1002" s="591"/>
      <c r="I1002" s="591"/>
      <c r="J1002" s="591"/>
      <c r="K1002" s="542"/>
      <c r="O1002" s="1134"/>
      <c r="Q1002" s="1133"/>
    </row>
    <row r="1003" spans="2:17" x14ac:dyDescent="0.3">
      <c r="B1003" s="126"/>
      <c r="C1003" s="583">
        <v>620</v>
      </c>
      <c r="D1003" s="625" t="e">
        <f t="shared" si="35"/>
        <v>#VALUE!</v>
      </c>
      <c r="E1003" s="591"/>
      <c r="F1003" s="591"/>
      <c r="G1003" s="591"/>
      <c r="H1003" s="591"/>
      <c r="I1003" s="591"/>
      <c r="J1003" s="591"/>
      <c r="K1003" s="542"/>
      <c r="O1003" s="1134"/>
      <c r="Q1003" s="1133"/>
    </row>
    <row r="1004" spans="2:17" x14ac:dyDescent="0.3">
      <c r="B1004" s="126"/>
      <c r="C1004" s="583">
        <v>621</v>
      </c>
      <c r="D1004" s="625" t="e">
        <f t="shared" si="35"/>
        <v>#VALUE!</v>
      </c>
      <c r="E1004" s="591"/>
      <c r="F1004" s="591"/>
      <c r="G1004" s="591"/>
      <c r="H1004" s="591"/>
      <c r="I1004" s="591"/>
      <c r="J1004" s="591"/>
      <c r="K1004" s="542"/>
      <c r="O1004" s="1134"/>
      <c r="Q1004" s="1133"/>
    </row>
    <row r="1005" spans="2:17" x14ac:dyDescent="0.3">
      <c r="B1005" s="126"/>
      <c r="C1005" s="583">
        <v>622</v>
      </c>
      <c r="D1005" s="625" t="e">
        <f t="shared" si="35"/>
        <v>#VALUE!</v>
      </c>
      <c r="E1005" s="591"/>
      <c r="F1005" s="591"/>
      <c r="G1005" s="591"/>
      <c r="H1005" s="591"/>
      <c r="I1005" s="591"/>
      <c r="J1005" s="591"/>
      <c r="K1005" s="542"/>
      <c r="O1005" s="1134"/>
      <c r="Q1005" s="1133"/>
    </row>
    <row r="1006" spans="2:17" x14ac:dyDescent="0.3">
      <c r="B1006" s="126"/>
      <c r="C1006" s="583">
        <v>623</v>
      </c>
      <c r="D1006" s="625" t="e">
        <f t="shared" si="35"/>
        <v>#VALUE!</v>
      </c>
      <c r="E1006" s="591"/>
      <c r="F1006" s="591"/>
      <c r="G1006" s="591"/>
      <c r="H1006" s="591"/>
      <c r="I1006" s="591"/>
      <c r="J1006" s="591"/>
      <c r="K1006" s="542"/>
      <c r="O1006" s="1134"/>
      <c r="Q1006" s="1133"/>
    </row>
    <row r="1007" spans="2:17" x14ac:dyDescent="0.3">
      <c r="B1007" s="126"/>
      <c r="C1007" s="583">
        <v>624</v>
      </c>
      <c r="D1007" s="625" t="e">
        <f t="shared" si="35"/>
        <v>#VALUE!</v>
      </c>
      <c r="E1007" s="591"/>
      <c r="F1007" s="591"/>
      <c r="G1007" s="591"/>
      <c r="H1007" s="591"/>
      <c r="I1007" s="591"/>
      <c r="J1007" s="591"/>
      <c r="K1007" s="542"/>
      <c r="O1007" s="1134"/>
      <c r="Q1007" s="1133"/>
    </row>
    <row r="1008" spans="2:17" x14ac:dyDescent="0.3">
      <c r="B1008" s="126"/>
      <c r="C1008" s="583">
        <v>625</v>
      </c>
      <c r="D1008" s="625" t="e">
        <f t="shared" si="35"/>
        <v>#VALUE!</v>
      </c>
      <c r="E1008" s="591"/>
      <c r="F1008" s="591"/>
      <c r="G1008" s="591"/>
      <c r="H1008" s="591"/>
      <c r="I1008" s="591"/>
      <c r="J1008" s="591"/>
      <c r="K1008" s="542"/>
      <c r="O1008" s="1134"/>
      <c r="Q1008" s="1133"/>
    </row>
    <row r="1009" spans="2:17" x14ac:dyDescent="0.3">
      <c r="B1009" s="126"/>
      <c r="C1009" s="583">
        <v>626</v>
      </c>
      <c r="D1009" s="625" t="e">
        <f t="shared" si="35"/>
        <v>#VALUE!</v>
      </c>
      <c r="E1009" s="591"/>
      <c r="F1009" s="591"/>
      <c r="G1009" s="591"/>
      <c r="H1009" s="591"/>
      <c r="I1009" s="591"/>
      <c r="J1009" s="591"/>
      <c r="K1009" s="542"/>
      <c r="O1009" s="1134"/>
      <c r="Q1009" s="1133"/>
    </row>
    <row r="1010" spans="2:17" x14ac:dyDescent="0.3">
      <c r="B1010" s="126"/>
      <c r="C1010" s="583">
        <v>627</v>
      </c>
      <c r="D1010" s="625" t="e">
        <f t="shared" si="35"/>
        <v>#VALUE!</v>
      </c>
      <c r="E1010" s="591"/>
      <c r="F1010" s="591"/>
      <c r="G1010" s="591"/>
      <c r="H1010" s="591"/>
      <c r="I1010" s="591"/>
      <c r="J1010" s="591"/>
      <c r="K1010" s="542"/>
      <c r="O1010" s="1134"/>
      <c r="Q1010" s="1133"/>
    </row>
    <row r="1011" spans="2:17" x14ac:dyDescent="0.3">
      <c r="B1011" s="126"/>
      <c r="C1011" s="583">
        <v>628</v>
      </c>
      <c r="D1011" s="625" t="e">
        <f t="shared" si="35"/>
        <v>#VALUE!</v>
      </c>
      <c r="E1011" s="591"/>
      <c r="F1011" s="591"/>
      <c r="G1011" s="591"/>
      <c r="H1011" s="591"/>
      <c r="I1011" s="591"/>
      <c r="J1011" s="591"/>
      <c r="K1011" s="542"/>
      <c r="O1011" s="1134"/>
      <c r="Q1011" s="1133"/>
    </row>
    <row r="1012" spans="2:17" x14ac:dyDescent="0.3">
      <c r="B1012" s="126"/>
      <c r="C1012" s="583">
        <v>629</v>
      </c>
      <c r="D1012" s="625" t="e">
        <f t="shared" si="35"/>
        <v>#VALUE!</v>
      </c>
      <c r="E1012" s="591"/>
      <c r="F1012" s="591"/>
      <c r="G1012" s="591"/>
      <c r="H1012" s="591"/>
      <c r="I1012" s="591"/>
      <c r="J1012" s="591"/>
      <c r="K1012" s="542"/>
      <c r="O1012" s="1134"/>
      <c r="Q1012" s="1133"/>
    </row>
    <row r="1013" spans="2:17" x14ac:dyDescent="0.3">
      <c r="B1013" s="126"/>
      <c r="C1013" s="583">
        <v>630</v>
      </c>
      <c r="D1013" s="625" t="e">
        <f t="shared" si="35"/>
        <v>#VALUE!</v>
      </c>
      <c r="E1013" s="591"/>
      <c r="F1013" s="591"/>
      <c r="G1013" s="591"/>
      <c r="H1013" s="591"/>
      <c r="I1013" s="591"/>
      <c r="J1013" s="591"/>
      <c r="K1013" s="542"/>
      <c r="O1013" s="1134"/>
      <c r="Q1013" s="1133"/>
    </row>
    <row r="1014" spans="2:17" x14ac:dyDescent="0.3">
      <c r="B1014" s="126"/>
      <c r="C1014" s="583">
        <v>631</v>
      </c>
      <c r="D1014" s="625" t="e">
        <f t="shared" si="35"/>
        <v>#VALUE!</v>
      </c>
      <c r="E1014" s="591"/>
      <c r="F1014" s="591"/>
      <c r="G1014" s="591"/>
      <c r="H1014" s="591"/>
      <c r="I1014" s="591"/>
      <c r="J1014" s="591"/>
      <c r="K1014" s="542"/>
      <c r="O1014" s="1134"/>
      <c r="Q1014" s="1133"/>
    </row>
    <row r="1015" spans="2:17" x14ac:dyDescent="0.3">
      <c r="B1015" s="126"/>
      <c r="C1015" s="583">
        <v>632</v>
      </c>
      <c r="D1015" s="625" t="e">
        <f t="shared" si="35"/>
        <v>#VALUE!</v>
      </c>
      <c r="E1015" s="591"/>
      <c r="F1015" s="591"/>
      <c r="G1015" s="591"/>
      <c r="H1015" s="591"/>
      <c r="I1015" s="591"/>
      <c r="J1015" s="591"/>
      <c r="K1015" s="542"/>
      <c r="O1015" s="1134"/>
      <c r="Q1015" s="1133"/>
    </row>
    <row r="1016" spans="2:17" x14ac:dyDescent="0.3">
      <c r="B1016" s="126"/>
      <c r="C1016" s="583">
        <v>633</v>
      </c>
      <c r="D1016" s="625" t="e">
        <f t="shared" si="35"/>
        <v>#VALUE!</v>
      </c>
      <c r="E1016" s="591"/>
      <c r="F1016" s="591"/>
      <c r="G1016" s="591"/>
      <c r="H1016" s="591"/>
      <c r="I1016" s="591"/>
      <c r="J1016" s="591"/>
      <c r="K1016" s="542"/>
      <c r="O1016" s="1134"/>
      <c r="Q1016" s="1133"/>
    </row>
    <row r="1017" spans="2:17" x14ac:dyDescent="0.3">
      <c r="B1017" s="126"/>
      <c r="C1017" s="583">
        <v>634</v>
      </c>
      <c r="D1017" s="625" t="e">
        <f t="shared" si="35"/>
        <v>#VALUE!</v>
      </c>
      <c r="E1017" s="591"/>
      <c r="F1017" s="591"/>
      <c r="G1017" s="591"/>
      <c r="H1017" s="591"/>
      <c r="I1017" s="591"/>
      <c r="J1017" s="591"/>
      <c r="K1017" s="542"/>
      <c r="O1017" s="1134"/>
      <c r="Q1017" s="1133"/>
    </row>
    <row r="1018" spans="2:17" x14ac:dyDescent="0.3">
      <c r="B1018" s="126"/>
      <c r="C1018" s="583">
        <v>635</v>
      </c>
      <c r="D1018" s="625" t="e">
        <f t="shared" si="35"/>
        <v>#VALUE!</v>
      </c>
      <c r="E1018" s="591"/>
      <c r="F1018" s="591"/>
      <c r="G1018" s="591"/>
      <c r="H1018" s="591"/>
      <c r="I1018" s="591"/>
      <c r="J1018" s="591"/>
      <c r="K1018" s="542"/>
      <c r="O1018" s="1134"/>
      <c r="Q1018" s="1133"/>
    </row>
    <row r="1019" spans="2:17" x14ac:dyDescent="0.3">
      <c r="B1019" s="126"/>
      <c r="C1019" s="583">
        <v>636</v>
      </c>
      <c r="D1019" s="625" t="e">
        <f t="shared" si="35"/>
        <v>#VALUE!</v>
      </c>
      <c r="E1019" s="591"/>
      <c r="F1019" s="591"/>
      <c r="G1019" s="591"/>
      <c r="H1019" s="591"/>
      <c r="I1019" s="591"/>
      <c r="J1019" s="591"/>
      <c r="K1019" s="542"/>
      <c r="O1019" s="1134"/>
      <c r="Q1019" s="1133"/>
    </row>
    <row r="1020" spans="2:17" x14ac:dyDescent="0.3">
      <c r="B1020" s="126"/>
      <c r="C1020" s="583">
        <v>637</v>
      </c>
      <c r="D1020" s="625" t="e">
        <f t="shared" si="35"/>
        <v>#VALUE!</v>
      </c>
      <c r="E1020" s="591"/>
      <c r="F1020" s="591"/>
      <c r="G1020" s="591"/>
      <c r="H1020" s="591"/>
      <c r="I1020" s="591"/>
      <c r="J1020" s="591"/>
      <c r="K1020" s="542"/>
      <c r="O1020" s="1134"/>
      <c r="Q1020" s="1133"/>
    </row>
    <row r="1021" spans="2:17" x14ac:dyDescent="0.3">
      <c r="B1021" s="126"/>
      <c r="C1021" s="583">
        <v>638</v>
      </c>
      <c r="D1021" s="625" t="e">
        <f t="shared" si="35"/>
        <v>#VALUE!</v>
      </c>
      <c r="E1021" s="591"/>
      <c r="F1021" s="591"/>
      <c r="G1021" s="591"/>
      <c r="H1021" s="591"/>
      <c r="I1021" s="591"/>
      <c r="J1021" s="591"/>
      <c r="K1021" s="542"/>
      <c r="O1021" s="1134"/>
      <c r="Q1021" s="1133"/>
    </row>
    <row r="1022" spans="2:17" x14ac:dyDescent="0.3">
      <c r="B1022" s="126"/>
      <c r="C1022" s="583">
        <v>639</v>
      </c>
      <c r="D1022" s="625" t="e">
        <f t="shared" si="35"/>
        <v>#VALUE!</v>
      </c>
      <c r="E1022" s="591"/>
      <c r="F1022" s="591"/>
      <c r="G1022" s="591"/>
      <c r="H1022" s="591"/>
      <c r="I1022" s="591"/>
      <c r="J1022" s="591"/>
      <c r="K1022" s="542"/>
      <c r="O1022" s="1134"/>
      <c r="Q1022" s="1133"/>
    </row>
    <row r="1023" spans="2:17" x14ac:dyDescent="0.3">
      <c r="B1023" s="126"/>
      <c r="C1023" s="583">
        <v>640</v>
      </c>
      <c r="D1023" s="625" t="e">
        <f t="shared" ref="D1023:D1086" si="36">$C$362*C1023</f>
        <v>#VALUE!</v>
      </c>
      <c r="E1023" s="591"/>
      <c r="F1023" s="591"/>
      <c r="G1023" s="591"/>
      <c r="H1023" s="591"/>
      <c r="I1023" s="591"/>
      <c r="J1023" s="591"/>
      <c r="K1023" s="542"/>
      <c r="O1023" s="1134"/>
      <c r="Q1023" s="1133"/>
    </row>
    <row r="1024" spans="2:17" x14ac:dyDescent="0.3">
      <c r="B1024" s="126"/>
      <c r="C1024" s="583">
        <v>641</v>
      </c>
      <c r="D1024" s="625" t="e">
        <f t="shared" si="36"/>
        <v>#VALUE!</v>
      </c>
      <c r="E1024" s="591"/>
      <c r="F1024" s="591"/>
      <c r="G1024" s="591"/>
      <c r="H1024" s="591"/>
      <c r="I1024" s="591"/>
      <c r="J1024" s="591"/>
      <c r="K1024" s="542"/>
      <c r="O1024" s="1134"/>
      <c r="Q1024" s="1133"/>
    </row>
    <row r="1025" spans="2:17" x14ac:dyDescent="0.3">
      <c r="B1025" s="126"/>
      <c r="C1025" s="583">
        <v>642</v>
      </c>
      <c r="D1025" s="625" t="e">
        <f t="shared" si="36"/>
        <v>#VALUE!</v>
      </c>
      <c r="E1025" s="591"/>
      <c r="F1025" s="591"/>
      <c r="G1025" s="591"/>
      <c r="H1025" s="591"/>
      <c r="I1025" s="591"/>
      <c r="J1025" s="591"/>
      <c r="K1025" s="542"/>
      <c r="O1025" s="1134"/>
      <c r="Q1025" s="1133"/>
    </row>
    <row r="1026" spans="2:17" x14ac:dyDescent="0.3">
      <c r="B1026" s="126"/>
      <c r="C1026" s="583">
        <v>643</v>
      </c>
      <c r="D1026" s="625" t="e">
        <f t="shared" si="36"/>
        <v>#VALUE!</v>
      </c>
      <c r="E1026" s="591"/>
      <c r="F1026" s="591"/>
      <c r="G1026" s="591"/>
      <c r="H1026" s="591"/>
      <c r="I1026" s="591"/>
      <c r="J1026" s="591"/>
      <c r="K1026" s="542"/>
      <c r="O1026" s="1134"/>
      <c r="Q1026" s="1133"/>
    </row>
    <row r="1027" spans="2:17" x14ac:dyDescent="0.3">
      <c r="B1027" s="126"/>
      <c r="C1027" s="583">
        <v>644</v>
      </c>
      <c r="D1027" s="625" t="e">
        <f t="shared" si="36"/>
        <v>#VALUE!</v>
      </c>
      <c r="E1027" s="591"/>
      <c r="F1027" s="591"/>
      <c r="G1027" s="591"/>
      <c r="H1027" s="591"/>
      <c r="I1027" s="591"/>
      <c r="J1027" s="591"/>
      <c r="K1027" s="542"/>
      <c r="O1027" s="1134"/>
      <c r="Q1027" s="1133"/>
    </row>
    <row r="1028" spans="2:17" x14ac:dyDescent="0.3">
      <c r="B1028" s="126"/>
      <c r="C1028" s="583">
        <v>645</v>
      </c>
      <c r="D1028" s="625" t="e">
        <f t="shared" si="36"/>
        <v>#VALUE!</v>
      </c>
      <c r="E1028" s="591"/>
      <c r="F1028" s="591"/>
      <c r="G1028" s="591"/>
      <c r="H1028" s="591"/>
      <c r="I1028" s="591"/>
      <c r="J1028" s="591"/>
      <c r="K1028" s="542"/>
      <c r="O1028" s="1134"/>
      <c r="Q1028" s="1133"/>
    </row>
    <row r="1029" spans="2:17" x14ac:dyDescent="0.3">
      <c r="B1029" s="126"/>
      <c r="C1029" s="583">
        <v>646</v>
      </c>
      <c r="D1029" s="625" t="e">
        <f t="shared" si="36"/>
        <v>#VALUE!</v>
      </c>
      <c r="E1029" s="591"/>
      <c r="F1029" s="591"/>
      <c r="G1029" s="591"/>
      <c r="H1029" s="591"/>
      <c r="I1029" s="591"/>
      <c r="J1029" s="591"/>
      <c r="K1029" s="542"/>
      <c r="O1029" s="1134"/>
      <c r="Q1029" s="1133"/>
    </row>
    <row r="1030" spans="2:17" x14ac:dyDescent="0.3">
      <c r="B1030" s="126"/>
      <c r="C1030" s="583">
        <v>647</v>
      </c>
      <c r="D1030" s="625" t="e">
        <f t="shared" si="36"/>
        <v>#VALUE!</v>
      </c>
      <c r="E1030" s="591"/>
      <c r="F1030" s="591"/>
      <c r="G1030" s="591"/>
      <c r="H1030" s="591"/>
      <c r="I1030" s="591"/>
      <c r="J1030" s="591"/>
      <c r="K1030" s="542"/>
      <c r="O1030" s="1134"/>
      <c r="Q1030" s="1133"/>
    </row>
    <row r="1031" spans="2:17" x14ac:dyDescent="0.3">
      <c r="B1031" s="126"/>
      <c r="C1031" s="583">
        <v>648</v>
      </c>
      <c r="D1031" s="625" t="e">
        <f t="shared" si="36"/>
        <v>#VALUE!</v>
      </c>
      <c r="E1031" s="591"/>
      <c r="F1031" s="591"/>
      <c r="G1031" s="591"/>
      <c r="H1031" s="591"/>
      <c r="I1031" s="591"/>
      <c r="J1031" s="591"/>
      <c r="K1031" s="542"/>
      <c r="O1031" s="1134"/>
      <c r="Q1031" s="1133"/>
    </row>
    <row r="1032" spans="2:17" x14ac:dyDescent="0.3">
      <c r="B1032" s="126"/>
      <c r="C1032" s="583">
        <v>649</v>
      </c>
      <c r="D1032" s="625" t="e">
        <f t="shared" si="36"/>
        <v>#VALUE!</v>
      </c>
      <c r="E1032" s="591"/>
      <c r="F1032" s="591"/>
      <c r="G1032" s="591"/>
      <c r="H1032" s="591"/>
      <c r="I1032" s="591"/>
      <c r="J1032" s="591"/>
      <c r="K1032" s="542"/>
      <c r="O1032" s="1134"/>
      <c r="Q1032" s="1133"/>
    </row>
    <row r="1033" spans="2:17" x14ac:dyDescent="0.3">
      <c r="B1033" s="126"/>
      <c r="C1033" s="583">
        <v>650</v>
      </c>
      <c r="D1033" s="625" t="e">
        <f t="shared" si="36"/>
        <v>#VALUE!</v>
      </c>
      <c r="E1033" s="591"/>
      <c r="F1033" s="591"/>
      <c r="G1033" s="591"/>
      <c r="H1033" s="591"/>
      <c r="I1033" s="591"/>
      <c r="J1033" s="591"/>
      <c r="K1033" s="542"/>
      <c r="O1033" s="1134"/>
      <c r="Q1033" s="1133"/>
    </row>
    <row r="1034" spans="2:17" x14ac:dyDescent="0.3">
      <c r="B1034" s="126"/>
      <c r="C1034" s="583">
        <v>651</v>
      </c>
      <c r="D1034" s="625" t="e">
        <f t="shared" si="36"/>
        <v>#VALUE!</v>
      </c>
      <c r="E1034" s="591"/>
      <c r="F1034" s="591"/>
      <c r="G1034" s="591"/>
      <c r="H1034" s="591"/>
      <c r="I1034" s="591"/>
      <c r="J1034" s="591"/>
      <c r="K1034" s="542"/>
      <c r="O1034" s="1134"/>
      <c r="Q1034" s="1133"/>
    </row>
    <row r="1035" spans="2:17" x14ac:dyDescent="0.3">
      <c r="B1035" s="126"/>
      <c r="C1035" s="583">
        <v>652</v>
      </c>
      <c r="D1035" s="625" t="e">
        <f t="shared" si="36"/>
        <v>#VALUE!</v>
      </c>
      <c r="E1035" s="591"/>
      <c r="F1035" s="591"/>
      <c r="G1035" s="591"/>
      <c r="H1035" s="591"/>
      <c r="I1035" s="591"/>
      <c r="J1035" s="591"/>
      <c r="K1035" s="542"/>
      <c r="O1035" s="1134"/>
      <c r="Q1035" s="1133"/>
    </row>
    <row r="1036" spans="2:17" x14ac:dyDescent="0.3">
      <c r="B1036" s="126"/>
      <c r="C1036" s="583">
        <v>653</v>
      </c>
      <c r="D1036" s="625" t="e">
        <f t="shared" si="36"/>
        <v>#VALUE!</v>
      </c>
      <c r="E1036" s="591"/>
      <c r="F1036" s="591"/>
      <c r="G1036" s="591"/>
      <c r="H1036" s="591"/>
      <c r="I1036" s="591"/>
      <c r="J1036" s="591"/>
      <c r="K1036" s="542"/>
      <c r="O1036" s="1134"/>
      <c r="Q1036" s="1133"/>
    </row>
    <row r="1037" spans="2:17" x14ac:dyDescent="0.3">
      <c r="B1037" s="126"/>
      <c r="C1037" s="583">
        <v>654</v>
      </c>
      <c r="D1037" s="625" t="e">
        <f t="shared" si="36"/>
        <v>#VALUE!</v>
      </c>
      <c r="E1037" s="591"/>
      <c r="F1037" s="591"/>
      <c r="G1037" s="591"/>
      <c r="H1037" s="591"/>
      <c r="I1037" s="591"/>
      <c r="J1037" s="591"/>
      <c r="K1037" s="542"/>
      <c r="O1037" s="1134"/>
      <c r="Q1037" s="1133"/>
    </row>
    <row r="1038" spans="2:17" x14ac:dyDescent="0.3">
      <c r="B1038" s="126"/>
      <c r="C1038" s="583">
        <v>655</v>
      </c>
      <c r="D1038" s="625" t="e">
        <f t="shared" si="36"/>
        <v>#VALUE!</v>
      </c>
      <c r="E1038" s="591"/>
      <c r="F1038" s="591"/>
      <c r="G1038" s="591"/>
      <c r="H1038" s="591"/>
      <c r="I1038" s="591"/>
      <c r="J1038" s="591"/>
      <c r="K1038" s="542"/>
      <c r="O1038" s="1134"/>
      <c r="Q1038" s="1133"/>
    </row>
    <row r="1039" spans="2:17" x14ac:dyDescent="0.3">
      <c r="B1039" s="126"/>
      <c r="C1039" s="583">
        <v>656</v>
      </c>
      <c r="D1039" s="625" t="e">
        <f t="shared" si="36"/>
        <v>#VALUE!</v>
      </c>
      <c r="E1039" s="591"/>
      <c r="F1039" s="591"/>
      <c r="G1039" s="591"/>
      <c r="H1039" s="591"/>
      <c r="I1039" s="591"/>
      <c r="J1039" s="591"/>
      <c r="K1039" s="542"/>
      <c r="O1039" s="1134"/>
      <c r="Q1039" s="1133"/>
    </row>
    <row r="1040" spans="2:17" x14ac:dyDescent="0.3">
      <c r="B1040" s="126"/>
      <c r="C1040" s="583">
        <v>657</v>
      </c>
      <c r="D1040" s="625" t="e">
        <f t="shared" si="36"/>
        <v>#VALUE!</v>
      </c>
      <c r="E1040" s="591"/>
      <c r="F1040" s="591"/>
      <c r="G1040" s="591"/>
      <c r="H1040" s="591"/>
      <c r="I1040" s="591"/>
      <c r="J1040" s="591"/>
      <c r="K1040" s="542"/>
      <c r="O1040" s="1134"/>
      <c r="Q1040" s="1133"/>
    </row>
    <row r="1041" spans="2:17" x14ac:dyDescent="0.3">
      <c r="B1041" s="126"/>
      <c r="C1041" s="583">
        <v>658</v>
      </c>
      <c r="D1041" s="625" t="e">
        <f t="shared" si="36"/>
        <v>#VALUE!</v>
      </c>
      <c r="E1041" s="591"/>
      <c r="F1041" s="591"/>
      <c r="G1041" s="591"/>
      <c r="H1041" s="591"/>
      <c r="I1041" s="591"/>
      <c r="J1041" s="591"/>
      <c r="K1041" s="542"/>
      <c r="O1041" s="1134"/>
      <c r="Q1041" s="1133"/>
    </row>
    <row r="1042" spans="2:17" x14ac:dyDescent="0.3">
      <c r="B1042" s="126"/>
      <c r="C1042" s="583">
        <v>659</v>
      </c>
      <c r="D1042" s="625" t="e">
        <f t="shared" si="36"/>
        <v>#VALUE!</v>
      </c>
      <c r="E1042" s="591"/>
      <c r="F1042" s="591"/>
      <c r="G1042" s="591"/>
      <c r="H1042" s="591"/>
      <c r="I1042" s="591"/>
      <c r="J1042" s="591"/>
      <c r="K1042" s="542"/>
      <c r="O1042" s="1134"/>
      <c r="Q1042" s="1133"/>
    </row>
    <row r="1043" spans="2:17" x14ac:dyDescent="0.3">
      <c r="B1043" s="126"/>
      <c r="C1043" s="583">
        <v>660</v>
      </c>
      <c r="D1043" s="625" t="e">
        <f t="shared" si="36"/>
        <v>#VALUE!</v>
      </c>
      <c r="E1043" s="591"/>
      <c r="F1043" s="591"/>
      <c r="G1043" s="591"/>
      <c r="H1043" s="591"/>
      <c r="I1043" s="591"/>
      <c r="J1043" s="591"/>
      <c r="K1043" s="542"/>
      <c r="O1043" s="1134"/>
      <c r="Q1043" s="1133"/>
    </row>
    <row r="1044" spans="2:17" x14ac:dyDescent="0.3">
      <c r="B1044" s="126"/>
      <c r="C1044" s="583">
        <v>661</v>
      </c>
      <c r="D1044" s="625" t="e">
        <f t="shared" si="36"/>
        <v>#VALUE!</v>
      </c>
      <c r="E1044" s="591"/>
      <c r="F1044" s="591"/>
      <c r="G1044" s="591"/>
      <c r="H1044" s="591"/>
      <c r="I1044" s="591"/>
      <c r="J1044" s="591"/>
      <c r="K1044" s="542"/>
      <c r="O1044" s="1134"/>
      <c r="Q1044" s="1133"/>
    </row>
    <row r="1045" spans="2:17" x14ac:dyDescent="0.3">
      <c r="B1045" s="126"/>
      <c r="C1045" s="583">
        <v>662</v>
      </c>
      <c r="D1045" s="625" t="e">
        <f t="shared" si="36"/>
        <v>#VALUE!</v>
      </c>
      <c r="E1045" s="591"/>
      <c r="F1045" s="591"/>
      <c r="G1045" s="591"/>
      <c r="H1045" s="591"/>
      <c r="I1045" s="591"/>
      <c r="J1045" s="591"/>
      <c r="K1045" s="542"/>
      <c r="O1045" s="1134"/>
      <c r="Q1045" s="1133"/>
    </row>
    <row r="1046" spans="2:17" x14ac:dyDescent="0.3">
      <c r="B1046" s="126"/>
      <c r="C1046" s="583">
        <v>663</v>
      </c>
      <c r="D1046" s="625" t="e">
        <f t="shared" si="36"/>
        <v>#VALUE!</v>
      </c>
      <c r="E1046" s="591"/>
      <c r="F1046" s="591"/>
      <c r="G1046" s="591"/>
      <c r="H1046" s="591"/>
      <c r="I1046" s="591"/>
      <c r="J1046" s="591"/>
      <c r="K1046" s="542"/>
      <c r="O1046" s="1134"/>
      <c r="Q1046" s="1133"/>
    </row>
    <row r="1047" spans="2:17" x14ac:dyDescent="0.3">
      <c r="B1047" s="126"/>
      <c r="C1047" s="583">
        <v>664</v>
      </c>
      <c r="D1047" s="625" t="e">
        <f t="shared" si="36"/>
        <v>#VALUE!</v>
      </c>
      <c r="E1047" s="591"/>
      <c r="F1047" s="591"/>
      <c r="G1047" s="591"/>
      <c r="H1047" s="591"/>
      <c r="I1047" s="591"/>
      <c r="J1047" s="591"/>
      <c r="K1047" s="542"/>
      <c r="O1047" s="1134"/>
      <c r="Q1047" s="1133"/>
    </row>
    <row r="1048" spans="2:17" x14ac:dyDescent="0.3">
      <c r="B1048" s="126"/>
      <c r="C1048" s="583">
        <v>665</v>
      </c>
      <c r="D1048" s="625" t="e">
        <f t="shared" si="36"/>
        <v>#VALUE!</v>
      </c>
      <c r="E1048" s="591"/>
      <c r="F1048" s="591"/>
      <c r="G1048" s="591"/>
      <c r="H1048" s="591"/>
      <c r="I1048" s="591"/>
      <c r="J1048" s="591"/>
      <c r="K1048" s="542"/>
      <c r="O1048" s="1134"/>
      <c r="Q1048" s="1133"/>
    </row>
    <row r="1049" spans="2:17" x14ac:dyDescent="0.3">
      <c r="B1049" s="126"/>
      <c r="C1049" s="583">
        <v>666</v>
      </c>
      <c r="D1049" s="625" t="e">
        <f t="shared" si="36"/>
        <v>#VALUE!</v>
      </c>
      <c r="E1049" s="591"/>
      <c r="F1049" s="591"/>
      <c r="G1049" s="591"/>
      <c r="H1049" s="591"/>
      <c r="I1049" s="591"/>
      <c r="J1049" s="591"/>
      <c r="K1049" s="542"/>
      <c r="O1049" s="1134"/>
      <c r="Q1049" s="1133"/>
    </row>
    <row r="1050" spans="2:17" x14ac:dyDescent="0.3">
      <c r="B1050" s="126"/>
      <c r="C1050" s="583">
        <v>667</v>
      </c>
      <c r="D1050" s="625" t="e">
        <f t="shared" si="36"/>
        <v>#VALUE!</v>
      </c>
      <c r="E1050" s="591"/>
      <c r="F1050" s="591"/>
      <c r="G1050" s="591"/>
      <c r="H1050" s="591"/>
      <c r="I1050" s="591"/>
      <c r="J1050" s="591"/>
      <c r="K1050" s="542"/>
      <c r="O1050" s="1134"/>
      <c r="Q1050" s="1133"/>
    </row>
    <row r="1051" spans="2:17" x14ac:dyDescent="0.3">
      <c r="B1051" s="126"/>
      <c r="C1051" s="583">
        <v>668</v>
      </c>
      <c r="D1051" s="625" t="e">
        <f t="shared" si="36"/>
        <v>#VALUE!</v>
      </c>
      <c r="E1051" s="591"/>
      <c r="F1051" s="591"/>
      <c r="G1051" s="591"/>
      <c r="H1051" s="591"/>
      <c r="I1051" s="591"/>
      <c r="J1051" s="591"/>
      <c r="K1051" s="542"/>
      <c r="O1051" s="1134"/>
      <c r="Q1051" s="1133"/>
    </row>
    <row r="1052" spans="2:17" x14ac:dyDescent="0.3">
      <c r="B1052" s="126"/>
      <c r="C1052" s="583">
        <v>669</v>
      </c>
      <c r="D1052" s="625" t="e">
        <f t="shared" si="36"/>
        <v>#VALUE!</v>
      </c>
      <c r="E1052" s="591"/>
      <c r="F1052" s="591"/>
      <c r="G1052" s="591"/>
      <c r="H1052" s="591"/>
      <c r="I1052" s="591"/>
      <c r="J1052" s="591"/>
      <c r="K1052" s="542"/>
      <c r="O1052" s="1134"/>
      <c r="Q1052" s="1133"/>
    </row>
    <row r="1053" spans="2:17" x14ac:dyDescent="0.3">
      <c r="B1053" s="126"/>
      <c r="C1053" s="583">
        <v>670</v>
      </c>
      <c r="D1053" s="625" t="e">
        <f t="shared" si="36"/>
        <v>#VALUE!</v>
      </c>
      <c r="E1053" s="591"/>
      <c r="F1053" s="591"/>
      <c r="G1053" s="591"/>
      <c r="H1053" s="591"/>
      <c r="I1053" s="591"/>
      <c r="J1053" s="591"/>
      <c r="K1053" s="542"/>
      <c r="O1053" s="1134"/>
      <c r="Q1053" s="1133"/>
    </row>
    <row r="1054" spans="2:17" x14ac:dyDescent="0.3">
      <c r="B1054" s="126"/>
      <c r="C1054" s="583">
        <v>671</v>
      </c>
      <c r="D1054" s="625" t="e">
        <f t="shared" si="36"/>
        <v>#VALUE!</v>
      </c>
      <c r="E1054" s="591"/>
      <c r="F1054" s="591"/>
      <c r="G1054" s="591"/>
      <c r="H1054" s="591"/>
      <c r="I1054" s="591"/>
      <c r="J1054" s="591"/>
      <c r="K1054" s="542"/>
      <c r="O1054" s="1134"/>
      <c r="Q1054" s="1133"/>
    </row>
    <row r="1055" spans="2:17" x14ac:dyDescent="0.3">
      <c r="B1055" s="126"/>
      <c r="C1055" s="583">
        <v>672</v>
      </c>
      <c r="D1055" s="625" t="e">
        <f t="shared" si="36"/>
        <v>#VALUE!</v>
      </c>
      <c r="E1055" s="591"/>
      <c r="F1055" s="591"/>
      <c r="G1055" s="591"/>
      <c r="H1055" s="591"/>
      <c r="I1055" s="591"/>
      <c r="J1055" s="591"/>
      <c r="K1055" s="542"/>
      <c r="O1055" s="1134"/>
      <c r="Q1055" s="1133"/>
    </row>
    <row r="1056" spans="2:17" x14ac:dyDescent="0.3">
      <c r="B1056" s="126"/>
      <c r="C1056" s="583">
        <v>673</v>
      </c>
      <c r="D1056" s="625" t="e">
        <f t="shared" si="36"/>
        <v>#VALUE!</v>
      </c>
      <c r="E1056" s="591"/>
      <c r="F1056" s="591"/>
      <c r="G1056" s="591"/>
      <c r="H1056" s="591"/>
      <c r="I1056" s="591"/>
      <c r="J1056" s="591"/>
      <c r="K1056" s="542"/>
      <c r="O1056" s="1134"/>
      <c r="Q1056" s="1133"/>
    </row>
    <row r="1057" spans="2:17" x14ac:dyDescent="0.3">
      <c r="B1057" s="126"/>
      <c r="C1057" s="583">
        <v>674</v>
      </c>
      <c r="D1057" s="625" t="e">
        <f t="shared" si="36"/>
        <v>#VALUE!</v>
      </c>
      <c r="E1057" s="591"/>
      <c r="F1057" s="591"/>
      <c r="G1057" s="591"/>
      <c r="H1057" s="591"/>
      <c r="I1057" s="591"/>
      <c r="J1057" s="591"/>
      <c r="K1057" s="542"/>
      <c r="O1057" s="1134"/>
      <c r="Q1057" s="1133"/>
    </row>
    <row r="1058" spans="2:17" x14ac:dyDescent="0.3">
      <c r="B1058" s="126"/>
      <c r="C1058" s="583">
        <v>675</v>
      </c>
      <c r="D1058" s="625" t="e">
        <f t="shared" si="36"/>
        <v>#VALUE!</v>
      </c>
      <c r="E1058" s="591"/>
      <c r="F1058" s="591"/>
      <c r="G1058" s="591"/>
      <c r="H1058" s="591"/>
      <c r="I1058" s="591"/>
      <c r="J1058" s="591"/>
      <c r="K1058" s="542"/>
      <c r="O1058" s="1134"/>
      <c r="Q1058" s="1133"/>
    </row>
    <row r="1059" spans="2:17" x14ac:dyDescent="0.3">
      <c r="B1059" s="126"/>
      <c r="C1059" s="583">
        <v>676</v>
      </c>
      <c r="D1059" s="625" t="e">
        <f t="shared" si="36"/>
        <v>#VALUE!</v>
      </c>
      <c r="E1059" s="591"/>
      <c r="F1059" s="591"/>
      <c r="G1059" s="591"/>
      <c r="H1059" s="591"/>
      <c r="I1059" s="591"/>
      <c r="J1059" s="591"/>
      <c r="K1059" s="542"/>
      <c r="O1059" s="1134"/>
      <c r="Q1059" s="1133"/>
    </row>
    <row r="1060" spans="2:17" x14ac:dyDescent="0.3">
      <c r="B1060" s="126"/>
      <c r="C1060" s="583">
        <v>677</v>
      </c>
      <c r="D1060" s="625" t="e">
        <f t="shared" si="36"/>
        <v>#VALUE!</v>
      </c>
      <c r="E1060" s="591"/>
      <c r="F1060" s="591"/>
      <c r="G1060" s="591"/>
      <c r="H1060" s="591"/>
      <c r="I1060" s="591"/>
      <c r="J1060" s="591"/>
      <c r="K1060" s="542"/>
      <c r="O1060" s="1134"/>
      <c r="Q1060" s="1133"/>
    </row>
    <row r="1061" spans="2:17" x14ac:dyDescent="0.3">
      <c r="B1061" s="126"/>
      <c r="C1061" s="583">
        <v>678</v>
      </c>
      <c r="D1061" s="625" t="e">
        <f t="shared" si="36"/>
        <v>#VALUE!</v>
      </c>
      <c r="E1061" s="591"/>
      <c r="F1061" s="591"/>
      <c r="G1061" s="591"/>
      <c r="H1061" s="591"/>
      <c r="I1061" s="591"/>
      <c r="J1061" s="591"/>
      <c r="K1061" s="542"/>
      <c r="O1061" s="1134"/>
      <c r="Q1061" s="1133"/>
    </row>
    <row r="1062" spans="2:17" x14ac:dyDescent="0.3">
      <c r="B1062" s="126"/>
      <c r="C1062" s="583">
        <v>679</v>
      </c>
      <c r="D1062" s="625" t="e">
        <f t="shared" si="36"/>
        <v>#VALUE!</v>
      </c>
      <c r="E1062" s="591"/>
      <c r="F1062" s="591"/>
      <c r="G1062" s="591"/>
      <c r="H1062" s="591"/>
      <c r="I1062" s="591"/>
      <c r="J1062" s="591"/>
      <c r="K1062" s="542"/>
      <c r="O1062" s="1134"/>
      <c r="Q1062" s="1133"/>
    </row>
    <row r="1063" spans="2:17" x14ac:dyDescent="0.3">
      <c r="B1063" s="126"/>
      <c r="C1063" s="583">
        <v>680</v>
      </c>
      <c r="D1063" s="625" t="e">
        <f t="shared" si="36"/>
        <v>#VALUE!</v>
      </c>
      <c r="E1063" s="591"/>
      <c r="F1063" s="591"/>
      <c r="G1063" s="591"/>
      <c r="H1063" s="591"/>
      <c r="I1063" s="591"/>
      <c r="J1063" s="591"/>
      <c r="K1063" s="542"/>
      <c r="O1063" s="1134"/>
      <c r="Q1063" s="1133"/>
    </row>
    <row r="1064" spans="2:17" x14ac:dyDescent="0.3">
      <c r="B1064" s="126"/>
      <c r="C1064" s="583">
        <v>681</v>
      </c>
      <c r="D1064" s="625" t="e">
        <f t="shared" si="36"/>
        <v>#VALUE!</v>
      </c>
      <c r="E1064" s="591"/>
      <c r="F1064" s="591"/>
      <c r="G1064" s="591"/>
      <c r="H1064" s="591"/>
      <c r="I1064" s="591"/>
      <c r="J1064" s="591"/>
      <c r="K1064" s="542"/>
      <c r="O1064" s="1134"/>
      <c r="Q1064" s="1133"/>
    </row>
    <row r="1065" spans="2:17" x14ac:dyDescent="0.3">
      <c r="B1065" s="126"/>
      <c r="C1065" s="583">
        <v>682</v>
      </c>
      <c r="D1065" s="625" t="e">
        <f t="shared" si="36"/>
        <v>#VALUE!</v>
      </c>
      <c r="E1065" s="591"/>
      <c r="F1065" s="591"/>
      <c r="G1065" s="591"/>
      <c r="H1065" s="591"/>
      <c r="I1065" s="591"/>
      <c r="J1065" s="591"/>
      <c r="K1065" s="542"/>
      <c r="O1065" s="1134"/>
      <c r="Q1065" s="1133"/>
    </row>
    <row r="1066" spans="2:17" x14ac:dyDescent="0.3">
      <c r="B1066" s="126"/>
      <c r="C1066" s="583">
        <v>683</v>
      </c>
      <c r="D1066" s="625" t="e">
        <f t="shared" si="36"/>
        <v>#VALUE!</v>
      </c>
      <c r="E1066" s="591"/>
      <c r="F1066" s="591"/>
      <c r="G1066" s="591"/>
      <c r="H1066" s="591"/>
      <c r="I1066" s="591"/>
      <c r="J1066" s="591"/>
      <c r="K1066" s="542"/>
      <c r="O1066" s="1134"/>
      <c r="Q1066" s="1133"/>
    </row>
    <row r="1067" spans="2:17" x14ac:dyDescent="0.3">
      <c r="B1067" s="126"/>
      <c r="C1067" s="583">
        <v>684</v>
      </c>
      <c r="D1067" s="625" t="e">
        <f t="shared" si="36"/>
        <v>#VALUE!</v>
      </c>
      <c r="E1067" s="591"/>
      <c r="F1067" s="591"/>
      <c r="G1067" s="591"/>
      <c r="H1067" s="591"/>
      <c r="I1067" s="591"/>
      <c r="J1067" s="591"/>
      <c r="K1067" s="542"/>
      <c r="O1067" s="1134"/>
      <c r="Q1067" s="1133"/>
    </row>
    <row r="1068" spans="2:17" x14ac:dyDescent="0.3">
      <c r="B1068" s="126"/>
      <c r="C1068" s="583">
        <v>685</v>
      </c>
      <c r="D1068" s="625" t="e">
        <f t="shared" si="36"/>
        <v>#VALUE!</v>
      </c>
      <c r="E1068" s="591"/>
      <c r="F1068" s="591"/>
      <c r="G1068" s="591"/>
      <c r="H1068" s="591"/>
      <c r="I1068" s="591"/>
      <c r="J1068" s="591"/>
      <c r="K1068" s="542"/>
      <c r="O1068" s="1134"/>
      <c r="Q1068" s="1133"/>
    </row>
    <row r="1069" spans="2:17" x14ac:dyDescent="0.3">
      <c r="B1069" s="126"/>
      <c r="C1069" s="583">
        <v>686</v>
      </c>
      <c r="D1069" s="625" t="e">
        <f t="shared" si="36"/>
        <v>#VALUE!</v>
      </c>
      <c r="E1069" s="591"/>
      <c r="F1069" s="591"/>
      <c r="G1069" s="591"/>
      <c r="H1069" s="591"/>
      <c r="I1069" s="591"/>
      <c r="J1069" s="591"/>
      <c r="K1069" s="542"/>
      <c r="O1069" s="1134"/>
      <c r="Q1069" s="1133"/>
    </row>
    <row r="1070" spans="2:17" x14ac:dyDescent="0.3">
      <c r="B1070" s="126"/>
      <c r="C1070" s="583">
        <v>687</v>
      </c>
      <c r="D1070" s="625" t="e">
        <f t="shared" si="36"/>
        <v>#VALUE!</v>
      </c>
      <c r="E1070" s="591"/>
      <c r="F1070" s="591"/>
      <c r="G1070" s="591"/>
      <c r="H1070" s="591"/>
      <c r="I1070" s="591"/>
      <c r="J1070" s="591"/>
      <c r="K1070" s="542"/>
      <c r="O1070" s="1134"/>
      <c r="Q1070" s="1133"/>
    </row>
    <row r="1071" spans="2:17" x14ac:dyDescent="0.3">
      <c r="B1071" s="126"/>
      <c r="C1071" s="583">
        <v>688</v>
      </c>
      <c r="D1071" s="625" t="e">
        <f t="shared" si="36"/>
        <v>#VALUE!</v>
      </c>
      <c r="E1071" s="591"/>
      <c r="F1071" s="591"/>
      <c r="G1071" s="591"/>
      <c r="H1071" s="591"/>
      <c r="I1071" s="591"/>
      <c r="J1071" s="591"/>
      <c r="K1071" s="542"/>
      <c r="O1071" s="1134"/>
      <c r="Q1071" s="1133"/>
    </row>
    <row r="1072" spans="2:17" x14ac:dyDescent="0.3">
      <c r="B1072" s="126"/>
      <c r="C1072" s="583">
        <v>689</v>
      </c>
      <c r="D1072" s="625" t="e">
        <f t="shared" si="36"/>
        <v>#VALUE!</v>
      </c>
      <c r="E1072" s="591"/>
      <c r="F1072" s="591"/>
      <c r="G1072" s="591"/>
      <c r="H1072" s="591"/>
      <c r="I1072" s="591"/>
      <c r="J1072" s="591"/>
      <c r="K1072" s="542"/>
      <c r="O1072" s="1134"/>
      <c r="Q1072" s="1133"/>
    </row>
    <row r="1073" spans="2:17" x14ac:dyDescent="0.3">
      <c r="B1073" s="126"/>
      <c r="C1073" s="583">
        <v>690</v>
      </c>
      <c r="D1073" s="625" t="e">
        <f t="shared" si="36"/>
        <v>#VALUE!</v>
      </c>
      <c r="E1073" s="591"/>
      <c r="F1073" s="591"/>
      <c r="G1073" s="591"/>
      <c r="H1073" s="591"/>
      <c r="I1073" s="591"/>
      <c r="J1073" s="591"/>
      <c r="K1073" s="542"/>
      <c r="O1073" s="1134"/>
      <c r="Q1073" s="1133"/>
    </row>
    <row r="1074" spans="2:17" x14ac:dyDescent="0.3">
      <c r="B1074" s="126"/>
      <c r="C1074" s="583">
        <v>691</v>
      </c>
      <c r="D1074" s="625" t="e">
        <f t="shared" si="36"/>
        <v>#VALUE!</v>
      </c>
      <c r="E1074" s="591"/>
      <c r="F1074" s="591"/>
      <c r="G1074" s="591"/>
      <c r="H1074" s="591"/>
      <c r="I1074" s="591"/>
      <c r="J1074" s="591"/>
      <c r="K1074" s="542"/>
      <c r="O1074" s="1134"/>
      <c r="Q1074" s="1133"/>
    </row>
    <row r="1075" spans="2:17" x14ac:dyDescent="0.3">
      <c r="B1075" s="126"/>
      <c r="C1075" s="583">
        <v>692</v>
      </c>
      <c r="D1075" s="625" t="e">
        <f t="shared" si="36"/>
        <v>#VALUE!</v>
      </c>
      <c r="E1075" s="591"/>
      <c r="F1075" s="591"/>
      <c r="G1075" s="591"/>
      <c r="H1075" s="591"/>
      <c r="I1075" s="591"/>
      <c r="J1075" s="591"/>
      <c r="K1075" s="542"/>
      <c r="O1075" s="1134"/>
      <c r="Q1075" s="1133"/>
    </row>
    <row r="1076" spans="2:17" x14ac:dyDescent="0.3">
      <c r="B1076" s="126"/>
      <c r="C1076" s="583">
        <v>693</v>
      </c>
      <c r="D1076" s="625" t="e">
        <f t="shared" si="36"/>
        <v>#VALUE!</v>
      </c>
      <c r="E1076" s="591"/>
      <c r="F1076" s="591"/>
      <c r="G1076" s="591"/>
      <c r="H1076" s="591"/>
      <c r="I1076" s="591"/>
      <c r="J1076" s="591"/>
      <c r="K1076" s="542"/>
      <c r="O1076" s="1134"/>
      <c r="Q1076" s="1133"/>
    </row>
    <row r="1077" spans="2:17" x14ac:dyDescent="0.3">
      <c r="B1077" s="126"/>
      <c r="C1077" s="583">
        <v>694</v>
      </c>
      <c r="D1077" s="625" t="e">
        <f t="shared" si="36"/>
        <v>#VALUE!</v>
      </c>
      <c r="E1077" s="591"/>
      <c r="F1077" s="591"/>
      <c r="G1077" s="591"/>
      <c r="H1077" s="591"/>
      <c r="I1077" s="591"/>
      <c r="J1077" s="591"/>
      <c r="K1077" s="542"/>
      <c r="O1077" s="1134"/>
      <c r="Q1077" s="1133"/>
    </row>
    <row r="1078" spans="2:17" x14ac:dyDescent="0.3">
      <c r="B1078" s="126"/>
      <c r="C1078" s="583">
        <v>695</v>
      </c>
      <c r="D1078" s="625" t="e">
        <f t="shared" si="36"/>
        <v>#VALUE!</v>
      </c>
      <c r="E1078" s="591"/>
      <c r="F1078" s="591"/>
      <c r="G1078" s="591"/>
      <c r="H1078" s="591"/>
      <c r="I1078" s="591"/>
      <c r="J1078" s="591"/>
      <c r="K1078" s="542"/>
      <c r="O1078" s="1134"/>
      <c r="Q1078" s="1133"/>
    </row>
    <row r="1079" spans="2:17" x14ac:dyDescent="0.3">
      <c r="B1079" s="126"/>
      <c r="C1079" s="583">
        <v>696</v>
      </c>
      <c r="D1079" s="625" t="e">
        <f t="shared" si="36"/>
        <v>#VALUE!</v>
      </c>
      <c r="E1079" s="591"/>
      <c r="F1079" s="591"/>
      <c r="G1079" s="591"/>
      <c r="H1079" s="591"/>
      <c r="I1079" s="591"/>
      <c r="J1079" s="591"/>
      <c r="K1079" s="542"/>
      <c r="O1079" s="1134"/>
      <c r="Q1079" s="1133"/>
    </row>
    <row r="1080" spans="2:17" x14ac:dyDescent="0.3">
      <c r="B1080" s="126"/>
      <c r="C1080" s="583">
        <v>697</v>
      </c>
      <c r="D1080" s="625" t="e">
        <f t="shared" si="36"/>
        <v>#VALUE!</v>
      </c>
      <c r="E1080" s="591"/>
      <c r="F1080" s="591"/>
      <c r="G1080" s="591"/>
      <c r="H1080" s="591"/>
      <c r="I1080" s="591"/>
      <c r="J1080" s="591"/>
      <c r="K1080" s="542"/>
      <c r="O1080" s="1134"/>
      <c r="Q1080" s="1133"/>
    </row>
    <row r="1081" spans="2:17" x14ac:dyDescent="0.3">
      <c r="B1081" s="126"/>
      <c r="C1081" s="583">
        <v>698</v>
      </c>
      <c r="D1081" s="625" t="e">
        <f t="shared" si="36"/>
        <v>#VALUE!</v>
      </c>
      <c r="E1081" s="591"/>
      <c r="F1081" s="591"/>
      <c r="G1081" s="591"/>
      <c r="H1081" s="591"/>
      <c r="I1081" s="591"/>
      <c r="J1081" s="591"/>
      <c r="K1081" s="542"/>
      <c r="O1081" s="1134"/>
      <c r="Q1081" s="1133"/>
    </row>
    <row r="1082" spans="2:17" x14ac:dyDescent="0.3">
      <c r="B1082" s="126"/>
      <c r="C1082" s="583">
        <v>699</v>
      </c>
      <c r="D1082" s="625" t="e">
        <f t="shared" si="36"/>
        <v>#VALUE!</v>
      </c>
      <c r="E1082" s="591"/>
      <c r="F1082" s="591"/>
      <c r="G1082" s="591"/>
      <c r="H1082" s="591"/>
      <c r="I1082" s="591"/>
      <c r="J1082" s="591"/>
      <c r="K1082" s="542"/>
      <c r="O1082" s="1134"/>
      <c r="Q1082" s="1133"/>
    </row>
    <row r="1083" spans="2:17" x14ac:dyDescent="0.3">
      <c r="B1083" s="126"/>
      <c r="C1083" s="583">
        <v>700</v>
      </c>
      <c r="D1083" s="625" t="e">
        <f t="shared" si="36"/>
        <v>#VALUE!</v>
      </c>
      <c r="E1083" s="591"/>
      <c r="F1083" s="591"/>
      <c r="G1083" s="591"/>
      <c r="H1083" s="591"/>
      <c r="I1083" s="591"/>
      <c r="J1083" s="591"/>
      <c r="K1083" s="542"/>
      <c r="O1083" s="1134"/>
      <c r="Q1083" s="1133"/>
    </row>
    <row r="1084" spans="2:17" x14ac:dyDescent="0.3">
      <c r="B1084" s="126"/>
      <c r="C1084" s="583">
        <v>701</v>
      </c>
      <c r="D1084" s="625" t="e">
        <f t="shared" si="36"/>
        <v>#VALUE!</v>
      </c>
      <c r="E1084" s="591"/>
      <c r="F1084" s="591"/>
      <c r="G1084" s="591"/>
      <c r="H1084" s="591"/>
      <c r="I1084" s="591"/>
      <c r="J1084" s="591"/>
      <c r="K1084" s="542"/>
      <c r="O1084" s="1134"/>
      <c r="Q1084" s="1133"/>
    </row>
    <row r="1085" spans="2:17" x14ac:dyDescent="0.3">
      <c r="B1085" s="126"/>
      <c r="C1085" s="583">
        <v>702</v>
      </c>
      <c r="D1085" s="625" t="e">
        <f t="shared" si="36"/>
        <v>#VALUE!</v>
      </c>
      <c r="E1085" s="591"/>
      <c r="F1085" s="591"/>
      <c r="G1085" s="591"/>
      <c r="H1085" s="591"/>
      <c r="I1085" s="591"/>
      <c r="J1085" s="591"/>
      <c r="K1085" s="542"/>
      <c r="O1085" s="1134"/>
      <c r="Q1085" s="1133"/>
    </row>
    <row r="1086" spans="2:17" x14ac:dyDescent="0.3">
      <c r="B1086" s="126"/>
      <c r="C1086" s="583">
        <v>703</v>
      </c>
      <c r="D1086" s="625" t="e">
        <f t="shared" si="36"/>
        <v>#VALUE!</v>
      </c>
      <c r="E1086" s="591"/>
      <c r="F1086" s="591"/>
      <c r="G1086" s="591"/>
      <c r="H1086" s="591"/>
      <c r="I1086" s="591"/>
      <c r="J1086" s="591"/>
      <c r="K1086" s="542"/>
      <c r="O1086" s="1134"/>
      <c r="Q1086" s="1133"/>
    </row>
    <row r="1087" spans="2:17" x14ac:dyDescent="0.3">
      <c r="B1087" s="126"/>
      <c r="C1087" s="583">
        <v>704</v>
      </c>
      <c r="D1087" s="625" t="e">
        <f t="shared" ref="D1087:D1150" si="37">$C$362*C1087</f>
        <v>#VALUE!</v>
      </c>
      <c r="E1087" s="591"/>
      <c r="F1087" s="591"/>
      <c r="G1087" s="591"/>
      <c r="H1087" s="591"/>
      <c r="I1087" s="591"/>
      <c r="J1087" s="591"/>
      <c r="K1087" s="542"/>
      <c r="O1087" s="1134"/>
      <c r="Q1087" s="1133"/>
    </row>
    <row r="1088" spans="2:17" x14ac:dyDescent="0.3">
      <c r="B1088" s="126"/>
      <c r="C1088" s="583">
        <v>705</v>
      </c>
      <c r="D1088" s="625" t="e">
        <f t="shared" si="37"/>
        <v>#VALUE!</v>
      </c>
      <c r="E1088" s="591"/>
      <c r="F1088" s="591"/>
      <c r="G1088" s="591"/>
      <c r="H1088" s="591"/>
      <c r="I1088" s="591"/>
      <c r="J1088" s="591"/>
      <c r="K1088" s="542"/>
      <c r="O1088" s="1134"/>
      <c r="Q1088" s="1133"/>
    </row>
    <row r="1089" spans="2:17" x14ac:dyDescent="0.3">
      <c r="B1089" s="126"/>
      <c r="C1089" s="583">
        <v>706</v>
      </c>
      <c r="D1089" s="625" t="e">
        <f t="shared" si="37"/>
        <v>#VALUE!</v>
      </c>
      <c r="E1089" s="591"/>
      <c r="F1089" s="591"/>
      <c r="G1089" s="591"/>
      <c r="H1089" s="591"/>
      <c r="I1089" s="591"/>
      <c r="J1089" s="591"/>
      <c r="K1089" s="542"/>
      <c r="O1089" s="1134"/>
      <c r="Q1089" s="1133"/>
    </row>
    <row r="1090" spans="2:17" x14ac:dyDescent="0.3">
      <c r="B1090" s="126"/>
      <c r="C1090" s="583">
        <v>707</v>
      </c>
      <c r="D1090" s="625" t="e">
        <f t="shared" si="37"/>
        <v>#VALUE!</v>
      </c>
      <c r="E1090" s="591"/>
      <c r="F1090" s="591"/>
      <c r="G1090" s="591"/>
      <c r="H1090" s="591"/>
      <c r="I1090" s="591"/>
      <c r="J1090" s="591"/>
      <c r="K1090" s="542"/>
      <c r="O1090" s="1134"/>
      <c r="Q1090" s="1133"/>
    </row>
    <row r="1091" spans="2:17" x14ac:dyDescent="0.3">
      <c r="B1091" s="126"/>
      <c r="C1091" s="583">
        <v>708</v>
      </c>
      <c r="D1091" s="625" t="e">
        <f t="shared" si="37"/>
        <v>#VALUE!</v>
      </c>
      <c r="E1091" s="591"/>
      <c r="F1091" s="591"/>
      <c r="G1091" s="591"/>
      <c r="H1091" s="591"/>
      <c r="I1091" s="591"/>
      <c r="J1091" s="591"/>
      <c r="K1091" s="542"/>
      <c r="O1091" s="1134"/>
      <c r="Q1091" s="1133"/>
    </row>
    <row r="1092" spans="2:17" x14ac:dyDescent="0.3">
      <c r="B1092" s="126"/>
      <c r="C1092" s="583">
        <v>709</v>
      </c>
      <c r="D1092" s="625" t="e">
        <f t="shared" si="37"/>
        <v>#VALUE!</v>
      </c>
      <c r="E1092" s="591"/>
      <c r="F1092" s="591"/>
      <c r="G1092" s="591"/>
      <c r="H1092" s="591"/>
      <c r="I1092" s="591"/>
      <c r="J1092" s="591"/>
      <c r="K1092" s="542"/>
      <c r="O1092" s="1134"/>
      <c r="Q1092" s="1133"/>
    </row>
    <row r="1093" spans="2:17" x14ac:dyDescent="0.3">
      <c r="B1093" s="126"/>
      <c r="C1093" s="583">
        <v>710</v>
      </c>
      <c r="D1093" s="625" t="e">
        <f t="shared" si="37"/>
        <v>#VALUE!</v>
      </c>
      <c r="E1093" s="591"/>
      <c r="F1093" s="591"/>
      <c r="G1093" s="591"/>
      <c r="H1093" s="591"/>
      <c r="I1093" s="591"/>
      <c r="J1093" s="591"/>
      <c r="K1093" s="542"/>
      <c r="O1093" s="1134"/>
      <c r="Q1093" s="1133"/>
    </row>
    <row r="1094" spans="2:17" x14ac:dyDescent="0.3">
      <c r="B1094" s="126"/>
      <c r="C1094" s="583">
        <v>711</v>
      </c>
      <c r="D1094" s="625" t="e">
        <f t="shared" si="37"/>
        <v>#VALUE!</v>
      </c>
      <c r="E1094" s="591"/>
      <c r="F1094" s="591"/>
      <c r="G1094" s="591"/>
      <c r="H1094" s="591"/>
      <c r="I1094" s="591"/>
      <c r="J1094" s="591"/>
      <c r="K1094" s="542"/>
      <c r="O1094" s="1134"/>
      <c r="Q1094" s="1133"/>
    </row>
    <row r="1095" spans="2:17" x14ac:dyDescent="0.3">
      <c r="B1095" s="126"/>
      <c r="C1095" s="583">
        <v>712</v>
      </c>
      <c r="D1095" s="625" t="e">
        <f t="shared" si="37"/>
        <v>#VALUE!</v>
      </c>
      <c r="E1095" s="591"/>
      <c r="F1095" s="591"/>
      <c r="G1095" s="591"/>
      <c r="H1095" s="591"/>
      <c r="I1095" s="591"/>
      <c r="J1095" s="591"/>
      <c r="K1095" s="542"/>
      <c r="O1095" s="1134"/>
      <c r="Q1095" s="1133"/>
    </row>
    <row r="1096" spans="2:17" x14ac:dyDescent="0.3">
      <c r="B1096" s="126"/>
      <c r="C1096" s="583">
        <v>713</v>
      </c>
      <c r="D1096" s="625" t="e">
        <f t="shared" si="37"/>
        <v>#VALUE!</v>
      </c>
      <c r="E1096" s="591"/>
      <c r="F1096" s="591"/>
      <c r="G1096" s="591"/>
      <c r="H1096" s="591"/>
      <c r="I1096" s="591"/>
      <c r="J1096" s="591"/>
      <c r="K1096" s="542"/>
      <c r="O1096" s="1134"/>
      <c r="Q1096" s="1133"/>
    </row>
    <row r="1097" spans="2:17" x14ac:dyDescent="0.3">
      <c r="B1097" s="126"/>
      <c r="C1097" s="583">
        <v>714</v>
      </c>
      <c r="D1097" s="625" t="e">
        <f t="shared" si="37"/>
        <v>#VALUE!</v>
      </c>
      <c r="E1097" s="591"/>
      <c r="F1097" s="591"/>
      <c r="G1097" s="591"/>
      <c r="H1097" s="591"/>
      <c r="I1097" s="591"/>
      <c r="J1097" s="591"/>
      <c r="K1097" s="542"/>
      <c r="O1097" s="1134"/>
      <c r="Q1097" s="1133"/>
    </row>
    <row r="1098" spans="2:17" x14ac:dyDescent="0.3">
      <c r="B1098" s="126"/>
      <c r="C1098" s="583">
        <v>715</v>
      </c>
      <c r="D1098" s="625" t="e">
        <f t="shared" si="37"/>
        <v>#VALUE!</v>
      </c>
      <c r="E1098" s="591"/>
      <c r="F1098" s="591"/>
      <c r="G1098" s="591"/>
      <c r="H1098" s="591"/>
      <c r="I1098" s="591"/>
      <c r="J1098" s="591"/>
      <c r="K1098" s="542"/>
      <c r="O1098" s="1134"/>
      <c r="Q1098" s="1133"/>
    </row>
    <row r="1099" spans="2:17" x14ac:dyDescent="0.3">
      <c r="B1099" s="126"/>
      <c r="C1099" s="583">
        <v>716</v>
      </c>
      <c r="D1099" s="625" t="e">
        <f t="shared" si="37"/>
        <v>#VALUE!</v>
      </c>
      <c r="E1099" s="591"/>
      <c r="F1099" s="591"/>
      <c r="G1099" s="591"/>
      <c r="H1099" s="591"/>
      <c r="I1099" s="591"/>
      <c r="J1099" s="591"/>
      <c r="K1099" s="542"/>
      <c r="O1099" s="1134"/>
      <c r="Q1099" s="1133"/>
    </row>
    <row r="1100" spans="2:17" x14ac:dyDescent="0.3">
      <c r="B1100" s="126"/>
      <c r="C1100" s="583">
        <v>717</v>
      </c>
      <c r="D1100" s="625" t="e">
        <f t="shared" si="37"/>
        <v>#VALUE!</v>
      </c>
      <c r="E1100" s="591"/>
      <c r="F1100" s="591"/>
      <c r="G1100" s="591"/>
      <c r="H1100" s="591"/>
      <c r="I1100" s="591"/>
      <c r="J1100" s="591"/>
      <c r="K1100" s="542"/>
      <c r="O1100" s="1134"/>
      <c r="Q1100" s="1133"/>
    </row>
    <row r="1101" spans="2:17" x14ac:dyDescent="0.3">
      <c r="B1101" s="126"/>
      <c r="C1101" s="583">
        <v>718</v>
      </c>
      <c r="D1101" s="625" t="e">
        <f t="shared" si="37"/>
        <v>#VALUE!</v>
      </c>
      <c r="E1101" s="591"/>
      <c r="F1101" s="591"/>
      <c r="G1101" s="591"/>
      <c r="H1101" s="591"/>
      <c r="I1101" s="591"/>
      <c r="J1101" s="591"/>
      <c r="K1101" s="542"/>
      <c r="O1101" s="1134"/>
      <c r="Q1101" s="1133"/>
    </row>
    <row r="1102" spans="2:17" x14ac:dyDescent="0.3">
      <c r="B1102" s="126"/>
      <c r="C1102" s="583">
        <v>719</v>
      </c>
      <c r="D1102" s="625" t="e">
        <f t="shared" si="37"/>
        <v>#VALUE!</v>
      </c>
      <c r="E1102" s="591"/>
      <c r="F1102" s="591"/>
      <c r="G1102" s="591"/>
      <c r="H1102" s="591"/>
      <c r="I1102" s="591"/>
      <c r="J1102" s="591"/>
      <c r="K1102" s="542"/>
      <c r="O1102" s="1134"/>
      <c r="Q1102" s="1133"/>
    </row>
    <row r="1103" spans="2:17" x14ac:dyDescent="0.3">
      <c r="B1103" s="126"/>
      <c r="C1103" s="583">
        <v>720</v>
      </c>
      <c r="D1103" s="625" t="e">
        <f t="shared" si="37"/>
        <v>#VALUE!</v>
      </c>
      <c r="E1103" s="591"/>
      <c r="F1103" s="591"/>
      <c r="G1103" s="591"/>
      <c r="H1103" s="591"/>
      <c r="I1103" s="591"/>
      <c r="J1103" s="591"/>
      <c r="K1103" s="542"/>
      <c r="O1103" s="1134"/>
      <c r="Q1103" s="1133"/>
    </row>
    <row r="1104" spans="2:17" x14ac:dyDescent="0.3">
      <c r="B1104" s="126"/>
      <c r="C1104" s="583">
        <v>721</v>
      </c>
      <c r="D1104" s="625" t="e">
        <f t="shared" si="37"/>
        <v>#VALUE!</v>
      </c>
      <c r="E1104" s="591"/>
      <c r="F1104" s="591"/>
      <c r="G1104" s="591"/>
      <c r="H1104" s="591"/>
      <c r="I1104" s="591"/>
      <c r="J1104" s="591"/>
      <c r="K1104" s="542"/>
      <c r="O1104" s="1134"/>
      <c r="Q1104" s="1133"/>
    </row>
    <row r="1105" spans="2:17" x14ac:dyDescent="0.3">
      <c r="B1105" s="126"/>
      <c r="C1105" s="583">
        <v>722</v>
      </c>
      <c r="D1105" s="625" t="e">
        <f t="shared" si="37"/>
        <v>#VALUE!</v>
      </c>
      <c r="E1105" s="591"/>
      <c r="F1105" s="591"/>
      <c r="G1105" s="591"/>
      <c r="H1105" s="591"/>
      <c r="I1105" s="591"/>
      <c r="J1105" s="591"/>
      <c r="K1105" s="542"/>
      <c r="O1105" s="1134"/>
      <c r="Q1105" s="1133"/>
    </row>
    <row r="1106" spans="2:17" x14ac:dyDescent="0.3">
      <c r="B1106" s="126"/>
      <c r="C1106" s="583">
        <v>723</v>
      </c>
      <c r="D1106" s="625" t="e">
        <f t="shared" si="37"/>
        <v>#VALUE!</v>
      </c>
      <c r="E1106" s="591"/>
      <c r="F1106" s="591"/>
      <c r="G1106" s="591"/>
      <c r="H1106" s="591"/>
      <c r="I1106" s="591"/>
      <c r="J1106" s="591"/>
      <c r="K1106" s="542"/>
      <c r="O1106" s="1134"/>
      <c r="Q1106" s="1133"/>
    </row>
    <row r="1107" spans="2:17" x14ac:dyDescent="0.3">
      <c r="B1107" s="126"/>
      <c r="C1107" s="583">
        <v>724</v>
      </c>
      <c r="D1107" s="625" t="e">
        <f t="shared" si="37"/>
        <v>#VALUE!</v>
      </c>
      <c r="E1107" s="591"/>
      <c r="F1107" s="591"/>
      <c r="G1107" s="591"/>
      <c r="H1107" s="591"/>
      <c r="I1107" s="591"/>
      <c r="J1107" s="591"/>
      <c r="K1107" s="542"/>
      <c r="O1107" s="1134"/>
      <c r="Q1107" s="1133"/>
    </row>
    <row r="1108" spans="2:17" x14ac:dyDescent="0.3">
      <c r="B1108" s="126"/>
      <c r="C1108" s="583">
        <v>725</v>
      </c>
      <c r="D1108" s="625" t="e">
        <f t="shared" si="37"/>
        <v>#VALUE!</v>
      </c>
      <c r="E1108" s="591"/>
      <c r="F1108" s="591"/>
      <c r="G1108" s="591"/>
      <c r="H1108" s="591"/>
      <c r="I1108" s="591"/>
      <c r="J1108" s="591"/>
      <c r="K1108" s="542"/>
      <c r="O1108" s="1134"/>
      <c r="Q1108" s="1133"/>
    </row>
    <row r="1109" spans="2:17" x14ac:dyDescent="0.3">
      <c r="B1109" s="126"/>
      <c r="C1109" s="583">
        <v>726</v>
      </c>
      <c r="D1109" s="625" t="e">
        <f t="shared" si="37"/>
        <v>#VALUE!</v>
      </c>
      <c r="E1109" s="591"/>
      <c r="F1109" s="591"/>
      <c r="G1109" s="591"/>
      <c r="H1109" s="591"/>
      <c r="I1109" s="591"/>
      <c r="J1109" s="591"/>
      <c r="K1109" s="542"/>
      <c r="O1109" s="1134"/>
      <c r="Q1109" s="1133"/>
    </row>
    <row r="1110" spans="2:17" x14ac:dyDescent="0.3">
      <c r="B1110" s="126"/>
      <c r="C1110" s="583">
        <v>727</v>
      </c>
      <c r="D1110" s="625" t="e">
        <f t="shared" si="37"/>
        <v>#VALUE!</v>
      </c>
      <c r="E1110" s="591"/>
      <c r="F1110" s="591"/>
      <c r="G1110" s="591"/>
      <c r="H1110" s="591"/>
      <c r="I1110" s="591"/>
      <c r="J1110" s="591"/>
      <c r="K1110" s="542"/>
      <c r="O1110" s="1134"/>
      <c r="Q1110" s="1133"/>
    </row>
    <row r="1111" spans="2:17" x14ac:dyDescent="0.3">
      <c r="B1111" s="126"/>
      <c r="C1111" s="583">
        <v>728</v>
      </c>
      <c r="D1111" s="625" t="e">
        <f t="shared" si="37"/>
        <v>#VALUE!</v>
      </c>
      <c r="E1111" s="591"/>
      <c r="F1111" s="591"/>
      <c r="G1111" s="591"/>
      <c r="H1111" s="591"/>
      <c r="I1111" s="591"/>
      <c r="J1111" s="591"/>
      <c r="K1111" s="542"/>
      <c r="O1111" s="1134"/>
      <c r="Q1111" s="1133"/>
    </row>
    <row r="1112" spans="2:17" x14ac:dyDescent="0.3">
      <c r="B1112" s="126"/>
      <c r="C1112" s="583">
        <v>729</v>
      </c>
      <c r="D1112" s="625" t="e">
        <f t="shared" si="37"/>
        <v>#VALUE!</v>
      </c>
      <c r="E1112" s="591"/>
      <c r="F1112" s="591"/>
      <c r="G1112" s="591"/>
      <c r="H1112" s="591"/>
      <c r="I1112" s="591"/>
      <c r="J1112" s="591"/>
      <c r="K1112" s="542"/>
      <c r="O1112" s="1134"/>
      <c r="Q1112" s="1133"/>
    </row>
    <row r="1113" spans="2:17" x14ac:dyDescent="0.3">
      <c r="B1113" s="126"/>
      <c r="C1113" s="583">
        <v>730</v>
      </c>
      <c r="D1113" s="625" t="e">
        <f t="shared" si="37"/>
        <v>#VALUE!</v>
      </c>
      <c r="E1113" s="591"/>
      <c r="F1113" s="591"/>
      <c r="G1113" s="591"/>
      <c r="H1113" s="591"/>
      <c r="I1113" s="591"/>
      <c r="J1113" s="591"/>
      <c r="K1113" s="542"/>
      <c r="O1113" s="1134"/>
      <c r="Q1113" s="1133"/>
    </row>
    <row r="1114" spans="2:17" x14ac:dyDescent="0.3">
      <c r="B1114" s="126"/>
      <c r="C1114" s="583">
        <v>731</v>
      </c>
      <c r="D1114" s="625" t="e">
        <f t="shared" si="37"/>
        <v>#VALUE!</v>
      </c>
      <c r="E1114" s="591"/>
      <c r="F1114" s="591"/>
      <c r="G1114" s="591"/>
      <c r="H1114" s="591"/>
      <c r="I1114" s="591"/>
      <c r="J1114" s="591"/>
      <c r="K1114" s="542"/>
      <c r="O1114" s="1134"/>
      <c r="Q1114" s="1133"/>
    </row>
    <row r="1115" spans="2:17" x14ac:dyDescent="0.3">
      <c r="B1115" s="126"/>
      <c r="C1115" s="583">
        <v>732</v>
      </c>
      <c r="D1115" s="625" t="e">
        <f t="shared" si="37"/>
        <v>#VALUE!</v>
      </c>
      <c r="E1115" s="591"/>
      <c r="F1115" s="591"/>
      <c r="G1115" s="591"/>
      <c r="H1115" s="591"/>
      <c r="I1115" s="591"/>
      <c r="J1115" s="591"/>
      <c r="K1115" s="542"/>
      <c r="O1115" s="1134"/>
      <c r="Q1115" s="1133"/>
    </row>
    <row r="1116" spans="2:17" x14ac:dyDescent="0.3">
      <c r="B1116" s="126"/>
      <c r="C1116" s="583">
        <v>733</v>
      </c>
      <c r="D1116" s="625" t="e">
        <f t="shared" si="37"/>
        <v>#VALUE!</v>
      </c>
      <c r="E1116" s="591"/>
      <c r="F1116" s="591"/>
      <c r="G1116" s="591"/>
      <c r="H1116" s="591"/>
      <c r="I1116" s="591"/>
      <c r="J1116" s="591"/>
      <c r="K1116" s="542"/>
      <c r="O1116" s="1134"/>
      <c r="Q1116" s="1133"/>
    </row>
    <row r="1117" spans="2:17" x14ac:dyDescent="0.3">
      <c r="B1117" s="126"/>
      <c r="C1117" s="583">
        <v>734</v>
      </c>
      <c r="D1117" s="625" t="e">
        <f t="shared" si="37"/>
        <v>#VALUE!</v>
      </c>
      <c r="E1117" s="591"/>
      <c r="F1117" s="591"/>
      <c r="G1117" s="591"/>
      <c r="H1117" s="591"/>
      <c r="I1117" s="591"/>
      <c r="J1117" s="591"/>
      <c r="K1117" s="542"/>
      <c r="O1117" s="1134"/>
      <c r="Q1117" s="1133"/>
    </row>
    <row r="1118" spans="2:17" x14ac:dyDescent="0.3">
      <c r="B1118" s="126"/>
      <c r="C1118" s="583">
        <v>735</v>
      </c>
      <c r="D1118" s="625" t="e">
        <f t="shared" si="37"/>
        <v>#VALUE!</v>
      </c>
      <c r="E1118" s="591"/>
      <c r="F1118" s="591"/>
      <c r="G1118" s="591"/>
      <c r="H1118" s="591"/>
      <c r="I1118" s="591"/>
      <c r="J1118" s="591"/>
      <c r="K1118" s="542"/>
      <c r="O1118" s="1134"/>
      <c r="Q1118" s="1133"/>
    </row>
    <row r="1119" spans="2:17" x14ac:dyDescent="0.3">
      <c r="B1119" s="126"/>
      <c r="C1119" s="583">
        <v>736</v>
      </c>
      <c r="D1119" s="625" t="e">
        <f t="shared" si="37"/>
        <v>#VALUE!</v>
      </c>
      <c r="E1119" s="591"/>
      <c r="F1119" s="591"/>
      <c r="G1119" s="591"/>
      <c r="H1119" s="591"/>
      <c r="I1119" s="591"/>
      <c r="J1119" s="591"/>
      <c r="K1119" s="542"/>
      <c r="O1119" s="1134"/>
      <c r="Q1119" s="1133"/>
    </row>
    <row r="1120" spans="2:17" x14ac:dyDescent="0.3">
      <c r="B1120" s="126"/>
      <c r="C1120" s="583">
        <v>737</v>
      </c>
      <c r="D1120" s="625" t="e">
        <f t="shared" si="37"/>
        <v>#VALUE!</v>
      </c>
      <c r="E1120" s="591"/>
      <c r="F1120" s="591"/>
      <c r="G1120" s="591"/>
      <c r="H1120" s="591"/>
      <c r="I1120" s="591"/>
      <c r="J1120" s="591"/>
      <c r="K1120" s="542"/>
      <c r="O1120" s="1134"/>
      <c r="Q1120" s="1133"/>
    </row>
    <row r="1121" spans="2:17" x14ac:dyDescent="0.3">
      <c r="B1121" s="126"/>
      <c r="C1121" s="583">
        <v>738</v>
      </c>
      <c r="D1121" s="625" t="e">
        <f t="shared" si="37"/>
        <v>#VALUE!</v>
      </c>
      <c r="E1121" s="591"/>
      <c r="F1121" s="591"/>
      <c r="G1121" s="591"/>
      <c r="H1121" s="591"/>
      <c r="I1121" s="591"/>
      <c r="J1121" s="591"/>
      <c r="K1121" s="542"/>
      <c r="O1121" s="1134"/>
      <c r="Q1121" s="1133"/>
    </row>
    <row r="1122" spans="2:17" x14ac:dyDescent="0.3">
      <c r="B1122" s="126"/>
      <c r="C1122" s="583">
        <v>739</v>
      </c>
      <c r="D1122" s="625" t="e">
        <f t="shared" si="37"/>
        <v>#VALUE!</v>
      </c>
      <c r="E1122" s="591"/>
      <c r="F1122" s="591"/>
      <c r="G1122" s="591"/>
      <c r="H1122" s="591"/>
      <c r="I1122" s="591"/>
      <c r="J1122" s="591"/>
      <c r="K1122" s="542"/>
      <c r="O1122" s="1134"/>
      <c r="Q1122" s="1133"/>
    </row>
    <row r="1123" spans="2:17" x14ac:dyDescent="0.3">
      <c r="B1123" s="126"/>
      <c r="C1123" s="583">
        <v>740</v>
      </c>
      <c r="D1123" s="625" t="e">
        <f t="shared" si="37"/>
        <v>#VALUE!</v>
      </c>
      <c r="E1123" s="591"/>
      <c r="F1123" s="591"/>
      <c r="G1123" s="591"/>
      <c r="H1123" s="591"/>
      <c r="I1123" s="591"/>
      <c r="J1123" s="591"/>
      <c r="K1123" s="542"/>
      <c r="O1123" s="1134"/>
      <c r="Q1123" s="1133"/>
    </row>
    <row r="1124" spans="2:17" x14ac:dyDescent="0.3">
      <c r="B1124" s="126"/>
      <c r="C1124" s="583">
        <v>741</v>
      </c>
      <c r="D1124" s="625" t="e">
        <f t="shared" si="37"/>
        <v>#VALUE!</v>
      </c>
      <c r="E1124" s="591"/>
      <c r="F1124" s="591"/>
      <c r="G1124" s="591"/>
      <c r="H1124" s="591"/>
      <c r="I1124" s="591"/>
      <c r="J1124" s="591"/>
      <c r="K1124" s="542"/>
      <c r="O1124" s="1134"/>
      <c r="Q1124" s="1133"/>
    </row>
    <row r="1125" spans="2:17" x14ac:dyDescent="0.3">
      <c r="B1125" s="126"/>
      <c r="C1125" s="583">
        <v>742</v>
      </c>
      <c r="D1125" s="625" t="e">
        <f t="shared" si="37"/>
        <v>#VALUE!</v>
      </c>
      <c r="E1125" s="591"/>
      <c r="F1125" s="591"/>
      <c r="G1125" s="591"/>
      <c r="H1125" s="591"/>
      <c r="I1125" s="591"/>
      <c r="J1125" s="591"/>
      <c r="K1125" s="542"/>
      <c r="O1125" s="1134"/>
      <c r="Q1125" s="1133"/>
    </row>
    <row r="1126" spans="2:17" x14ac:dyDescent="0.3">
      <c r="B1126" s="126"/>
      <c r="C1126" s="583">
        <v>743</v>
      </c>
      <c r="D1126" s="625" t="e">
        <f t="shared" si="37"/>
        <v>#VALUE!</v>
      </c>
      <c r="E1126" s="591"/>
      <c r="F1126" s="591"/>
      <c r="G1126" s="591"/>
      <c r="H1126" s="591"/>
      <c r="I1126" s="591"/>
      <c r="J1126" s="591"/>
      <c r="K1126" s="542"/>
      <c r="O1126" s="1134"/>
      <c r="Q1126" s="1133"/>
    </row>
    <row r="1127" spans="2:17" x14ac:dyDescent="0.3">
      <c r="B1127" s="126"/>
      <c r="C1127" s="583">
        <v>744</v>
      </c>
      <c r="D1127" s="625" t="e">
        <f t="shared" si="37"/>
        <v>#VALUE!</v>
      </c>
      <c r="E1127" s="591"/>
      <c r="F1127" s="591"/>
      <c r="G1127" s="591"/>
      <c r="H1127" s="591"/>
      <c r="I1127" s="591"/>
      <c r="J1127" s="591"/>
      <c r="K1127" s="542"/>
      <c r="O1127" s="1134"/>
      <c r="Q1127" s="1133"/>
    </row>
    <row r="1128" spans="2:17" x14ac:dyDescent="0.3">
      <c r="B1128" s="126"/>
      <c r="C1128" s="583">
        <v>745</v>
      </c>
      <c r="D1128" s="625" t="e">
        <f t="shared" si="37"/>
        <v>#VALUE!</v>
      </c>
      <c r="E1128" s="591"/>
      <c r="F1128" s="591"/>
      <c r="G1128" s="591"/>
      <c r="H1128" s="591"/>
      <c r="I1128" s="591"/>
      <c r="J1128" s="591"/>
      <c r="K1128" s="542"/>
      <c r="O1128" s="1134"/>
      <c r="Q1128" s="1133"/>
    </row>
    <row r="1129" spans="2:17" x14ac:dyDescent="0.3">
      <c r="B1129" s="126"/>
      <c r="C1129" s="583">
        <v>746</v>
      </c>
      <c r="D1129" s="625" t="e">
        <f t="shared" si="37"/>
        <v>#VALUE!</v>
      </c>
      <c r="E1129" s="591"/>
      <c r="F1129" s="591"/>
      <c r="G1129" s="591"/>
      <c r="H1129" s="591"/>
      <c r="I1129" s="591"/>
      <c r="J1129" s="591"/>
      <c r="K1129" s="542"/>
      <c r="O1129" s="1134"/>
      <c r="Q1129" s="1133"/>
    </row>
    <row r="1130" spans="2:17" x14ac:dyDescent="0.3">
      <c r="B1130" s="126"/>
      <c r="C1130" s="583">
        <v>747</v>
      </c>
      <c r="D1130" s="625" t="e">
        <f t="shared" si="37"/>
        <v>#VALUE!</v>
      </c>
      <c r="E1130" s="591"/>
      <c r="F1130" s="591"/>
      <c r="G1130" s="591"/>
      <c r="H1130" s="591"/>
      <c r="I1130" s="591"/>
      <c r="J1130" s="591"/>
      <c r="K1130" s="542"/>
      <c r="O1130" s="1134"/>
      <c r="Q1130" s="1133"/>
    </row>
    <row r="1131" spans="2:17" x14ac:dyDescent="0.3">
      <c r="B1131" s="126"/>
      <c r="C1131" s="583">
        <v>748</v>
      </c>
      <c r="D1131" s="625" t="e">
        <f t="shared" si="37"/>
        <v>#VALUE!</v>
      </c>
      <c r="E1131" s="591"/>
      <c r="F1131" s="591"/>
      <c r="G1131" s="591"/>
      <c r="H1131" s="591"/>
      <c r="I1131" s="591"/>
      <c r="J1131" s="591"/>
      <c r="K1131" s="542"/>
      <c r="O1131" s="1134"/>
      <c r="Q1131" s="1133"/>
    </row>
    <row r="1132" spans="2:17" x14ac:dyDescent="0.3">
      <c r="B1132" s="126"/>
      <c r="C1132" s="583">
        <v>749</v>
      </c>
      <c r="D1132" s="625" t="e">
        <f t="shared" si="37"/>
        <v>#VALUE!</v>
      </c>
      <c r="E1132" s="591"/>
      <c r="F1132" s="591"/>
      <c r="G1132" s="591"/>
      <c r="H1132" s="591"/>
      <c r="I1132" s="591"/>
      <c r="J1132" s="591"/>
      <c r="K1132" s="542"/>
      <c r="O1132" s="1134"/>
      <c r="Q1132" s="1133"/>
    </row>
    <row r="1133" spans="2:17" x14ac:dyDescent="0.3">
      <c r="B1133" s="126"/>
      <c r="C1133" s="583">
        <v>750</v>
      </c>
      <c r="D1133" s="625" t="e">
        <f t="shared" si="37"/>
        <v>#VALUE!</v>
      </c>
      <c r="E1133" s="591"/>
      <c r="F1133" s="591"/>
      <c r="G1133" s="591"/>
      <c r="H1133" s="591"/>
      <c r="I1133" s="591"/>
      <c r="J1133" s="591"/>
      <c r="K1133" s="542"/>
      <c r="O1133" s="1134"/>
      <c r="Q1133" s="1133"/>
    </row>
    <row r="1134" spans="2:17" x14ac:dyDescent="0.3">
      <c r="B1134" s="126"/>
      <c r="C1134" s="583">
        <v>751</v>
      </c>
      <c r="D1134" s="625" t="e">
        <f t="shared" si="37"/>
        <v>#VALUE!</v>
      </c>
      <c r="E1134" s="591"/>
      <c r="F1134" s="591"/>
      <c r="G1134" s="591"/>
      <c r="H1134" s="591"/>
      <c r="I1134" s="591"/>
      <c r="J1134" s="591"/>
      <c r="K1134" s="542"/>
      <c r="O1134" s="1134"/>
      <c r="Q1134" s="1133"/>
    </row>
    <row r="1135" spans="2:17" x14ac:dyDescent="0.3">
      <c r="B1135" s="126"/>
      <c r="C1135" s="583">
        <v>752</v>
      </c>
      <c r="D1135" s="625" t="e">
        <f t="shared" si="37"/>
        <v>#VALUE!</v>
      </c>
      <c r="E1135" s="591"/>
      <c r="F1135" s="591"/>
      <c r="G1135" s="591"/>
      <c r="H1135" s="591"/>
      <c r="I1135" s="591"/>
      <c r="J1135" s="591"/>
      <c r="K1135" s="542"/>
      <c r="O1135" s="1134"/>
      <c r="Q1135" s="1133"/>
    </row>
    <row r="1136" spans="2:17" x14ac:dyDescent="0.3">
      <c r="B1136" s="126"/>
      <c r="C1136" s="583">
        <v>753</v>
      </c>
      <c r="D1136" s="625" t="e">
        <f t="shared" si="37"/>
        <v>#VALUE!</v>
      </c>
      <c r="E1136" s="591"/>
      <c r="F1136" s="591"/>
      <c r="G1136" s="591"/>
      <c r="H1136" s="591"/>
      <c r="I1136" s="591"/>
      <c r="J1136" s="591"/>
      <c r="K1136" s="542"/>
      <c r="O1136" s="1134"/>
      <c r="Q1136" s="1133"/>
    </row>
    <row r="1137" spans="2:17" x14ac:dyDescent="0.3">
      <c r="B1137" s="126"/>
      <c r="C1137" s="583">
        <v>754</v>
      </c>
      <c r="D1137" s="625" t="e">
        <f t="shared" si="37"/>
        <v>#VALUE!</v>
      </c>
      <c r="E1137" s="591"/>
      <c r="F1137" s="591"/>
      <c r="G1137" s="591"/>
      <c r="H1137" s="591"/>
      <c r="I1137" s="591"/>
      <c r="J1137" s="591"/>
      <c r="K1137" s="542"/>
      <c r="O1137" s="1134"/>
      <c r="Q1137" s="1133"/>
    </row>
    <row r="1138" spans="2:17" x14ac:dyDescent="0.3">
      <c r="B1138" s="126"/>
      <c r="C1138" s="583">
        <v>755</v>
      </c>
      <c r="D1138" s="625" t="e">
        <f t="shared" si="37"/>
        <v>#VALUE!</v>
      </c>
      <c r="E1138" s="591"/>
      <c r="F1138" s="591"/>
      <c r="G1138" s="591"/>
      <c r="H1138" s="591"/>
      <c r="I1138" s="591"/>
      <c r="J1138" s="591"/>
      <c r="K1138" s="542"/>
      <c r="O1138" s="1134"/>
      <c r="Q1138" s="1133"/>
    </row>
    <row r="1139" spans="2:17" x14ac:dyDescent="0.3">
      <c r="B1139" s="126"/>
      <c r="C1139" s="583">
        <v>756</v>
      </c>
      <c r="D1139" s="625" t="e">
        <f t="shared" si="37"/>
        <v>#VALUE!</v>
      </c>
      <c r="E1139" s="591"/>
      <c r="F1139" s="591"/>
      <c r="G1139" s="591"/>
      <c r="H1139" s="591"/>
      <c r="I1139" s="591"/>
      <c r="J1139" s="591"/>
      <c r="K1139" s="542"/>
      <c r="O1139" s="1134"/>
      <c r="Q1139" s="1133"/>
    </row>
    <row r="1140" spans="2:17" x14ac:dyDescent="0.3">
      <c r="B1140" s="126"/>
      <c r="C1140" s="583">
        <v>757</v>
      </c>
      <c r="D1140" s="625" t="e">
        <f t="shared" si="37"/>
        <v>#VALUE!</v>
      </c>
      <c r="E1140" s="591"/>
      <c r="F1140" s="591"/>
      <c r="G1140" s="591"/>
      <c r="H1140" s="591"/>
      <c r="I1140" s="591"/>
      <c r="J1140" s="591"/>
      <c r="K1140" s="542"/>
      <c r="O1140" s="1134"/>
      <c r="Q1140" s="1133"/>
    </row>
    <row r="1141" spans="2:17" x14ac:dyDescent="0.3">
      <c r="B1141" s="126"/>
      <c r="C1141" s="583">
        <v>758</v>
      </c>
      <c r="D1141" s="625" t="e">
        <f t="shared" si="37"/>
        <v>#VALUE!</v>
      </c>
      <c r="E1141" s="591"/>
      <c r="F1141" s="591"/>
      <c r="G1141" s="591"/>
      <c r="H1141" s="591"/>
      <c r="I1141" s="591"/>
      <c r="J1141" s="591"/>
      <c r="K1141" s="542"/>
      <c r="O1141" s="1134"/>
      <c r="Q1141" s="1133"/>
    </row>
    <row r="1142" spans="2:17" x14ac:dyDescent="0.3">
      <c r="B1142" s="126"/>
      <c r="C1142" s="583">
        <v>759</v>
      </c>
      <c r="D1142" s="625" t="e">
        <f t="shared" si="37"/>
        <v>#VALUE!</v>
      </c>
      <c r="E1142" s="591"/>
      <c r="F1142" s="591"/>
      <c r="G1142" s="591"/>
      <c r="H1142" s="591"/>
      <c r="I1142" s="591"/>
      <c r="J1142" s="591"/>
      <c r="K1142" s="542"/>
      <c r="O1142" s="1134"/>
      <c r="Q1142" s="1133"/>
    </row>
    <row r="1143" spans="2:17" x14ac:dyDescent="0.3">
      <c r="B1143" s="126"/>
      <c r="C1143" s="583">
        <v>760</v>
      </c>
      <c r="D1143" s="625" t="e">
        <f t="shared" si="37"/>
        <v>#VALUE!</v>
      </c>
      <c r="E1143" s="591"/>
      <c r="F1143" s="591"/>
      <c r="G1143" s="591"/>
      <c r="H1143" s="591"/>
      <c r="I1143" s="591"/>
      <c r="J1143" s="591"/>
      <c r="K1143" s="542"/>
      <c r="O1143" s="1134"/>
      <c r="Q1143" s="1133"/>
    </row>
    <row r="1144" spans="2:17" x14ac:dyDescent="0.3">
      <c r="B1144" s="126"/>
      <c r="C1144" s="583">
        <v>761</v>
      </c>
      <c r="D1144" s="625" t="e">
        <f t="shared" si="37"/>
        <v>#VALUE!</v>
      </c>
      <c r="E1144" s="591"/>
      <c r="F1144" s="591"/>
      <c r="G1144" s="591"/>
      <c r="H1144" s="591"/>
      <c r="I1144" s="591"/>
      <c r="J1144" s="591"/>
      <c r="K1144" s="542"/>
      <c r="O1144" s="1134"/>
      <c r="Q1144" s="1133"/>
    </row>
    <row r="1145" spans="2:17" x14ac:dyDescent="0.3">
      <c r="B1145" s="126"/>
      <c r="C1145" s="583">
        <v>762</v>
      </c>
      <c r="D1145" s="625" t="e">
        <f t="shared" si="37"/>
        <v>#VALUE!</v>
      </c>
      <c r="E1145" s="591"/>
      <c r="F1145" s="591"/>
      <c r="G1145" s="591"/>
      <c r="H1145" s="591"/>
      <c r="I1145" s="591"/>
      <c r="J1145" s="591"/>
      <c r="K1145" s="542"/>
      <c r="O1145" s="1134"/>
      <c r="Q1145" s="1133"/>
    </row>
    <row r="1146" spans="2:17" x14ac:dyDescent="0.3">
      <c r="B1146" s="126"/>
      <c r="C1146" s="583">
        <v>763</v>
      </c>
      <c r="D1146" s="625" t="e">
        <f t="shared" si="37"/>
        <v>#VALUE!</v>
      </c>
      <c r="E1146" s="591"/>
      <c r="F1146" s="591"/>
      <c r="G1146" s="591"/>
      <c r="H1146" s="591"/>
      <c r="I1146" s="591"/>
      <c r="J1146" s="591"/>
      <c r="K1146" s="542"/>
      <c r="O1146" s="1134"/>
      <c r="Q1146" s="1133"/>
    </row>
    <row r="1147" spans="2:17" x14ac:dyDescent="0.3">
      <c r="B1147" s="126"/>
      <c r="C1147" s="583">
        <v>764</v>
      </c>
      <c r="D1147" s="625" t="e">
        <f t="shared" si="37"/>
        <v>#VALUE!</v>
      </c>
      <c r="E1147" s="591"/>
      <c r="F1147" s="591"/>
      <c r="G1147" s="591"/>
      <c r="H1147" s="591"/>
      <c r="I1147" s="591"/>
      <c r="J1147" s="591"/>
      <c r="K1147" s="542"/>
      <c r="O1147" s="1134"/>
      <c r="Q1147" s="1133"/>
    </row>
    <row r="1148" spans="2:17" x14ac:dyDescent="0.3">
      <c r="B1148" s="126"/>
      <c r="C1148" s="583">
        <v>765</v>
      </c>
      <c r="D1148" s="625" t="e">
        <f t="shared" si="37"/>
        <v>#VALUE!</v>
      </c>
      <c r="E1148" s="591"/>
      <c r="F1148" s="591"/>
      <c r="G1148" s="591"/>
      <c r="H1148" s="591"/>
      <c r="I1148" s="591"/>
      <c r="J1148" s="591"/>
      <c r="K1148" s="542"/>
      <c r="O1148" s="1134"/>
      <c r="Q1148" s="1133"/>
    </row>
    <row r="1149" spans="2:17" x14ac:dyDescent="0.3">
      <c r="B1149" s="126"/>
      <c r="C1149" s="583">
        <v>766</v>
      </c>
      <c r="D1149" s="625" t="e">
        <f t="shared" si="37"/>
        <v>#VALUE!</v>
      </c>
      <c r="E1149" s="591"/>
      <c r="F1149" s="591"/>
      <c r="G1149" s="591"/>
      <c r="H1149" s="591"/>
      <c r="I1149" s="591"/>
      <c r="J1149" s="591"/>
      <c r="K1149" s="542"/>
      <c r="O1149" s="1134"/>
      <c r="Q1149" s="1133"/>
    </row>
    <row r="1150" spans="2:17" x14ac:dyDescent="0.3">
      <c r="B1150" s="126"/>
      <c r="C1150" s="583">
        <v>767</v>
      </c>
      <c r="D1150" s="625" t="e">
        <f t="shared" si="37"/>
        <v>#VALUE!</v>
      </c>
      <c r="E1150" s="591"/>
      <c r="F1150" s="591"/>
      <c r="G1150" s="591"/>
      <c r="H1150" s="591"/>
      <c r="I1150" s="591"/>
      <c r="J1150" s="591"/>
      <c r="K1150" s="542"/>
      <c r="O1150" s="1134"/>
      <c r="Q1150" s="1133"/>
    </row>
    <row r="1151" spans="2:17" x14ac:dyDescent="0.3">
      <c r="B1151" s="126"/>
      <c r="C1151" s="583">
        <v>768</v>
      </c>
      <c r="D1151" s="625" t="e">
        <f t="shared" ref="D1151:D1214" si="38">$C$362*C1151</f>
        <v>#VALUE!</v>
      </c>
      <c r="E1151" s="591"/>
      <c r="F1151" s="591"/>
      <c r="G1151" s="591"/>
      <c r="H1151" s="591"/>
      <c r="I1151" s="591"/>
      <c r="J1151" s="591"/>
      <c r="K1151" s="542"/>
      <c r="O1151" s="1134"/>
      <c r="Q1151" s="1133"/>
    </row>
    <row r="1152" spans="2:17" x14ac:dyDescent="0.3">
      <c r="B1152" s="126"/>
      <c r="C1152" s="583">
        <v>769</v>
      </c>
      <c r="D1152" s="625" t="e">
        <f t="shared" si="38"/>
        <v>#VALUE!</v>
      </c>
      <c r="E1152" s="591"/>
      <c r="F1152" s="591"/>
      <c r="G1152" s="591"/>
      <c r="H1152" s="591"/>
      <c r="I1152" s="591"/>
      <c r="J1152" s="591"/>
      <c r="K1152" s="542"/>
      <c r="O1152" s="1134"/>
      <c r="Q1152" s="1133"/>
    </row>
    <row r="1153" spans="2:17" x14ac:dyDescent="0.3">
      <c r="B1153" s="126"/>
      <c r="C1153" s="583">
        <v>770</v>
      </c>
      <c r="D1153" s="625" t="e">
        <f t="shared" si="38"/>
        <v>#VALUE!</v>
      </c>
      <c r="E1153" s="591"/>
      <c r="F1153" s="591"/>
      <c r="G1153" s="591"/>
      <c r="H1153" s="591"/>
      <c r="I1153" s="591"/>
      <c r="J1153" s="591"/>
      <c r="K1153" s="542"/>
      <c r="O1153" s="1134"/>
      <c r="Q1153" s="1133"/>
    </row>
    <row r="1154" spans="2:17" x14ac:dyDescent="0.3">
      <c r="B1154" s="126"/>
      <c r="C1154" s="583">
        <v>771</v>
      </c>
      <c r="D1154" s="625" t="e">
        <f t="shared" si="38"/>
        <v>#VALUE!</v>
      </c>
      <c r="E1154" s="591"/>
      <c r="F1154" s="591"/>
      <c r="G1154" s="591"/>
      <c r="H1154" s="591"/>
      <c r="I1154" s="591"/>
      <c r="J1154" s="591"/>
      <c r="K1154" s="542"/>
      <c r="O1154" s="1134"/>
      <c r="Q1154" s="1133"/>
    </row>
    <row r="1155" spans="2:17" x14ac:dyDescent="0.3">
      <c r="B1155" s="126"/>
      <c r="C1155" s="583">
        <v>772</v>
      </c>
      <c r="D1155" s="625" t="e">
        <f t="shared" si="38"/>
        <v>#VALUE!</v>
      </c>
      <c r="E1155" s="591"/>
      <c r="F1155" s="591"/>
      <c r="G1155" s="591"/>
      <c r="H1155" s="591"/>
      <c r="I1155" s="591"/>
      <c r="J1155" s="591"/>
      <c r="K1155" s="542"/>
      <c r="O1155" s="1134"/>
      <c r="Q1155" s="1133"/>
    </row>
    <row r="1156" spans="2:17" x14ac:dyDescent="0.3">
      <c r="B1156" s="126"/>
      <c r="C1156" s="583">
        <v>773</v>
      </c>
      <c r="D1156" s="625" t="e">
        <f t="shared" si="38"/>
        <v>#VALUE!</v>
      </c>
      <c r="E1156" s="591"/>
      <c r="F1156" s="591"/>
      <c r="G1156" s="591"/>
      <c r="H1156" s="591"/>
      <c r="I1156" s="591"/>
      <c r="J1156" s="591"/>
      <c r="K1156" s="542"/>
      <c r="O1156" s="1134"/>
      <c r="Q1156" s="1133"/>
    </row>
    <row r="1157" spans="2:17" x14ac:dyDescent="0.3">
      <c r="B1157" s="126"/>
      <c r="C1157" s="583">
        <v>774</v>
      </c>
      <c r="D1157" s="625" t="e">
        <f t="shared" si="38"/>
        <v>#VALUE!</v>
      </c>
      <c r="E1157" s="591"/>
      <c r="F1157" s="591"/>
      <c r="G1157" s="591"/>
      <c r="H1157" s="591"/>
      <c r="I1157" s="591"/>
      <c r="J1157" s="591"/>
      <c r="K1157" s="542"/>
      <c r="O1157" s="1134"/>
      <c r="Q1157" s="1133"/>
    </row>
    <row r="1158" spans="2:17" x14ac:dyDescent="0.3">
      <c r="B1158" s="126"/>
      <c r="C1158" s="583">
        <v>775</v>
      </c>
      <c r="D1158" s="625" t="e">
        <f t="shared" si="38"/>
        <v>#VALUE!</v>
      </c>
      <c r="E1158" s="591"/>
      <c r="F1158" s="591"/>
      <c r="G1158" s="591"/>
      <c r="H1158" s="591"/>
      <c r="I1158" s="591"/>
      <c r="J1158" s="591"/>
      <c r="K1158" s="542"/>
      <c r="O1158" s="1134"/>
      <c r="Q1158" s="1133"/>
    </row>
    <row r="1159" spans="2:17" x14ac:dyDescent="0.3">
      <c r="B1159" s="126"/>
      <c r="C1159" s="583">
        <v>776</v>
      </c>
      <c r="D1159" s="625" t="e">
        <f t="shared" si="38"/>
        <v>#VALUE!</v>
      </c>
      <c r="E1159" s="591"/>
      <c r="F1159" s="591"/>
      <c r="G1159" s="591"/>
      <c r="H1159" s="591"/>
      <c r="I1159" s="591"/>
      <c r="J1159" s="591"/>
      <c r="K1159" s="542"/>
      <c r="O1159" s="1134"/>
      <c r="Q1159" s="1133"/>
    </row>
    <row r="1160" spans="2:17" x14ac:dyDescent="0.3">
      <c r="B1160" s="126"/>
      <c r="C1160" s="583">
        <v>777</v>
      </c>
      <c r="D1160" s="625" t="e">
        <f t="shared" si="38"/>
        <v>#VALUE!</v>
      </c>
      <c r="E1160" s="591"/>
      <c r="F1160" s="591"/>
      <c r="G1160" s="591"/>
      <c r="H1160" s="591"/>
      <c r="I1160" s="591"/>
      <c r="J1160" s="591"/>
      <c r="K1160" s="542"/>
      <c r="O1160" s="1134"/>
      <c r="Q1160" s="1133"/>
    </row>
    <row r="1161" spans="2:17" x14ac:dyDescent="0.3">
      <c r="B1161" s="126"/>
      <c r="C1161" s="583">
        <v>778</v>
      </c>
      <c r="D1161" s="625" t="e">
        <f t="shared" si="38"/>
        <v>#VALUE!</v>
      </c>
      <c r="E1161" s="591"/>
      <c r="F1161" s="591"/>
      <c r="G1161" s="591"/>
      <c r="H1161" s="591"/>
      <c r="I1161" s="591"/>
      <c r="J1161" s="591"/>
      <c r="K1161" s="542"/>
      <c r="O1161" s="1134"/>
      <c r="Q1161" s="1133"/>
    </row>
    <row r="1162" spans="2:17" x14ac:dyDescent="0.3">
      <c r="B1162" s="126"/>
      <c r="C1162" s="583">
        <v>779</v>
      </c>
      <c r="D1162" s="625" t="e">
        <f t="shared" si="38"/>
        <v>#VALUE!</v>
      </c>
      <c r="E1162" s="591"/>
      <c r="F1162" s="591"/>
      <c r="G1162" s="591"/>
      <c r="H1162" s="591"/>
      <c r="I1162" s="591"/>
      <c r="J1162" s="591"/>
      <c r="K1162" s="542"/>
      <c r="O1162" s="1134"/>
      <c r="Q1162" s="1133"/>
    </row>
    <row r="1163" spans="2:17" x14ac:dyDescent="0.3">
      <c r="B1163" s="126"/>
      <c r="C1163" s="583">
        <v>780</v>
      </c>
      <c r="D1163" s="625" t="e">
        <f t="shared" si="38"/>
        <v>#VALUE!</v>
      </c>
      <c r="E1163" s="591"/>
      <c r="F1163" s="591"/>
      <c r="G1163" s="591"/>
      <c r="H1163" s="591"/>
      <c r="I1163" s="591"/>
      <c r="J1163" s="591"/>
      <c r="K1163" s="542"/>
      <c r="O1163" s="1134"/>
      <c r="Q1163" s="1133"/>
    </row>
    <row r="1164" spans="2:17" x14ac:dyDescent="0.3">
      <c r="B1164" s="126"/>
      <c r="C1164" s="583">
        <v>781</v>
      </c>
      <c r="D1164" s="625" t="e">
        <f t="shared" si="38"/>
        <v>#VALUE!</v>
      </c>
      <c r="E1164" s="591"/>
      <c r="F1164" s="591"/>
      <c r="G1164" s="591"/>
      <c r="H1164" s="591"/>
      <c r="I1164" s="591"/>
      <c r="J1164" s="591"/>
      <c r="K1164" s="542"/>
      <c r="O1164" s="1134"/>
      <c r="Q1164" s="1133"/>
    </row>
    <row r="1165" spans="2:17" x14ac:dyDescent="0.3">
      <c r="B1165" s="126"/>
      <c r="C1165" s="583">
        <v>782</v>
      </c>
      <c r="D1165" s="625" t="e">
        <f t="shared" si="38"/>
        <v>#VALUE!</v>
      </c>
      <c r="E1165" s="591"/>
      <c r="F1165" s="591"/>
      <c r="G1165" s="591"/>
      <c r="H1165" s="591"/>
      <c r="I1165" s="591"/>
      <c r="J1165" s="591"/>
      <c r="K1165" s="542"/>
      <c r="O1165" s="1134"/>
      <c r="Q1165" s="1133"/>
    </row>
    <row r="1166" spans="2:17" x14ac:dyDescent="0.3">
      <c r="B1166" s="126"/>
      <c r="C1166" s="583">
        <v>783</v>
      </c>
      <c r="D1166" s="625" t="e">
        <f t="shared" si="38"/>
        <v>#VALUE!</v>
      </c>
      <c r="E1166" s="591"/>
      <c r="F1166" s="591"/>
      <c r="G1166" s="591"/>
      <c r="H1166" s="591"/>
      <c r="I1166" s="591"/>
      <c r="J1166" s="591"/>
      <c r="K1166" s="542"/>
      <c r="O1166" s="1134"/>
      <c r="Q1166" s="1133"/>
    </row>
    <row r="1167" spans="2:17" x14ac:dyDescent="0.3">
      <c r="B1167" s="126"/>
      <c r="C1167" s="583">
        <v>784</v>
      </c>
      <c r="D1167" s="625" t="e">
        <f t="shared" si="38"/>
        <v>#VALUE!</v>
      </c>
      <c r="E1167" s="591"/>
      <c r="F1167" s="591"/>
      <c r="G1167" s="591"/>
      <c r="H1167" s="591"/>
      <c r="I1167" s="591"/>
      <c r="J1167" s="591"/>
      <c r="K1167" s="542"/>
      <c r="O1167" s="1134"/>
      <c r="Q1167" s="1133"/>
    </row>
    <row r="1168" spans="2:17" x14ac:dyDescent="0.3">
      <c r="B1168" s="126"/>
      <c r="C1168" s="583">
        <v>785</v>
      </c>
      <c r="D1168" s="625" t="e">
        <f t="shared" si="38"/>
        <v>#VALUE!</v>
      </c>
      <c r="E1168" s="591"/>
      <c r="F1168" s="591"/>
      <c r="G1168" s="591"/>
      <c r="H1168" s="591"/>
      <c r="I1168" s="591"/>
      <c r="J1168" s="591"/>
      <c r="K1168" s="542"/>
      <c r="O1168" s="1134"/>
      <c r="Q1168" s="1133"/>
    </row>
    <row r="1169" spans="2:17" x14ac:dyDescent="0.3">
      <c r="B1169" s="126"/>
      <c r="C1169" s="583">
        <v>786</v>
      </c>
      <c r="D1169" s="625" t="e">
        <f t="shared" si="38"/>
        <v>#VALUE!</v>
      </c>
      <c r="E1169" s="591"/>
      <c r="F1169" s="591"/>
      <c r="G1169" s="591"/>
      <c r="H1169" s="591"/>
      <c r="I1169" s="591"/>
      <c r="J1169" s="591"/>
      <c r="K1169" s="542"/>
      <c r="O1169" s="1134"/>
      <c r="Q1169" s="1133"/>
    </row>
    <row r="1170" spans="2:17" x14ac:dyDescent="0.3">
      <c r="B1170" s="126"/>
      <c r="C1170" s="583">
        <v>787</v>
      </c>
      <c r="D1170" s="625" t="e">
        <f t="shared" si="38"/>
        <v>#VALUE!</v>
      </c>
      <c r="E1170" s="591"/>
      <c r="F1170" s="591"/>
      <c r="G1170" s="591"/>
      <c r="H1170" s="591"/>
      <c r="I1170" s="591"/>
      <c r="J1170" s="591"/>
      <c r="K1170" s="542"/>
      <c r="O1170" s="1134"/>
      <c r="Q1170" s="1133"/>
    </row>
    <row r="1171" spans="2:17" x14ac:dyDescent="0.3">
      <c r="B1171" s="126"/>
      <c r="C1171" s="583">
        <v>788</v>
      </c>
      <c r="D1171" s="625" t="e">
        <f t="shared" si="38"/>
        <v>#VALUE!</v>
      </c>
      <c r="E1171" s="591"/>
      <c r="F1171" s="591"/>
      <c r="G1171" s="591"/>
      <c r="H1171" s="591"/>
      <c r="I1171" s="591"/>
      <c r="J1171" s="591"/>
      <c r="K1171" s="542"/>
      <c r="O1171" s="1134"/>
      <c r="Q1171" s="1133"/>
    </row>
    <row r="1172" spans="2:17" x14ac:dyDescent="0.3">
      <c r="B1172" s="126"/>
      <c r="C1172" s="583">
        <v>789</v>
      </c>
      <c r="D1172" s="625" t="e">
        <f t="shared" si="38"/>
        <v>#VALUE!</v>
      </c>
      <c r="E1172" s="591"/>
      <c r="F1172" s="591"/>
      <c r="G1172" s="591"/>
      <c r="H1172" s="591"/>
      <c r="I1172" s="591"/>
      <c r="J1172" s="591"/>
      <c r="K1172" s="542"/>
      <c r="O1172" s="1134"/>
      <c r="Q1172" s="1133"/>
    </row>
    <row r="1173" spans="2:17" x14ac:dyDescent="0.3">
      <c r="B1173" s="126"/>
      <c r="C1173" s="583">
        <v>790</v>
      </c>
      <c r="D1173" s="625" t="e">
        <f t="shared" si="38"/>
        <v>#VALUE!</v>
      </c>
      <c r="E1173" s="591"/>
      <c r="F1173" s="591"/>
      <c r="G1173" s="591"/>
      <c r="H1173" s="591"/>
      <c r="I1173" s="591"/>
      <c r="J1173" s="591"/>
      <c r="K1173" s="542"/>
      <c r="O1173" s="1134"/>
      <c r="Q1173" s="1133"/>
    </row>
    <row r="1174" spans="2:17" x14ac:dyDescent="0.3">
      <c r="B1174" s="126"/>
      <c r="C1174" s="583">
        <v>791</v>
      </c>
      <c r="D1174" s="625" t="e">
        <f t="shared" si="38"/>
        <v>#VALUE!</v>
      </c>
      <c r="E1174" s="591"/>
      <c r="F1174" s="591"/>
      <c r="G1174" s="591"/>
      <c r="H1174" s="591"/>
      <c r="I1174" s="591"/>
      <c r="J1174" s="591"/>
      <c r="K1174" s="542"/>
      <c r="O1174" s="1134"/>
      <c r="Q1174" s="1133"/>
    </row>
    <row r="1175" spans="2:17" x14ac:dyDescent="0.3">
      <c r="B1175" s="126"/>
      <c r="C1175" s="583">
        <v>792</v>
      </c>
      <c r="D1175" s="625" t="e">
        <f t="shared" si="38"/>
        <v>#VALUE!</v>
      </c>
      <c r="E1175" s="591"/>
      <c r="F1175" s="591"/>
      <c r="G1175" s="591"/>
      <c r="H1175" s="591"/>
      <c r="I1175" s="591"/>
      <c r="J1175" s="591"/>
      <c r="K1175" s="542"/>
      <c r="O1175" s="1134"/>
      <c r="Q1175" s="1133"/>
    </row>
    <row r="1176" spans="2:17" x14ac:dyDescent="0.3">
      <c r="B1176" s="126"/>
      <c r="C1176" s="583">
        <v>793</v>
      </c>
      <c r="D1176" s="625" t="e">
        <f t="shared" si="38"/>
        <v>#VALUE!</v>
      </c>
      <c r="E1176" s="591"/>
      <c r="F1176" s="591"/>
      <c r="G1176" s="591"/>
      <c r="H1176" s="591"/>
      <c r="I1176" s="591"/>
      <c r="J1176" s="591"/>
      <c r="K1176" s="542"/>
      <c r="O1176" s="1134"/>
      <c r="Q1176" s="1133"/>
    </row>
    <row r="1177" spans="2:17" x14ac:dyDescent="0.3">
      <c r="B1177" s="126"/>
      <c r="C1177" s="583">
        <v>794</v>
      </c>
      <c r="D1177" s="625" t="e">
        <f t="shared" si="38"/>
        <v>#VALUE!</v>
      </c>
      <c r="E1177" s="591"/>
      <c r="F1177" s="591"/>
      <c r="G1177" s="591"/>
      <c r="H1177" s="591"/>
      <c r="I1177" s="591"/>
      <c r="J1177" s="591"/>
      <c r="K1177" s="542"/>
      <c r="O1177" s="1134"/>
      <c r="Q1177" s="1133"/>
    </row>
    <row r="1178" spans="2:17" x14ac:dyDescent="0.3">
      <c r="B1178" s="126"/>
      <c r="C1178" s="583">
        <v>795</v>
      </c>
      <c r="D1178" s="625" t="e">
        <f t="shared" si="38"/>
        <v>#VALUE!</v>
      </c>
      <c r="E1178" s="591"/>
      <c r="F1178" s="591"/>
      <c r="G1178" s="591"/>
      <c r="H1178" s="591"/>
      <c r="I1178" s="591"/>
      <c r="J1178" s="591"/>
      <c r="K1178" s="542"/>
      <c r="O1178" s="1134"/>
      <c r="Q1178" s="1133"/>
    </row>
    <row r="1179" spans="2:17" x14ac:dyDescent="0.3">
      <c r="B1179" s="126"/>
      <c r="C1179" s="583">
        <v>796</v>
      </c>
      <c r="D1179" s="625" t="e">
        <f t="shared" si="38"/>
        <v>#VALUE!</v>
      </c>
      <c r="E1179" s="591"/>
      <c r="F1179" s="591"/>
      <c r="G1179" s="591"/>
      <c r="H1179" s="591"/>
      <c r="I1179" s="591"/>
      <c r="J1179" s="591"/>
      <c r="K1179" s="542"/>
      <c r="O1179" s="1134"/>
      <c r="Q1179" s="1133"/>
    </row>
    <row r="1180" spans="2:17" x14ac:dyDescent="0.3">
      <c r="B1180" s="126"/>
      <c r="C1180" s="583">
        <v>797</v>
      </c>
      <c r="D1180" s="625" t="e">
        <f t="shared" si="38"/>
        <v>#VALUE!</v>
      </c>
      <c r="E1180" s="591"/>
      <c r="F1180" s="591"/>
      <c r="G1180" s="591"/>
      <c r="H1180" s="591"/>
      <c r="I1180" s="591"/>
      <c r="J1180" s="591"/>
      <c r="K1180" s="542"/>
      <c r="O1180" s="1134"/>
      <c r="Q1180" s="1133"/>
    </row>
    <row r="1181" spans="2:17" x14ac:dyDescent="0.3">
      <c r="B1181" s="126"/>
      <c r="C1181" s="583">
        <v>798</v>
      </c>
      <c r="D1181" s="625" t="e">
        <f t="shared" si="38"/>
        <v>#VALUE!</v>
      </c>
      <c r="E1181" s="591"/>
      <c r="F1181" s="591"/>
      <c r="G1181" s="591"/>
      <c r="H1181" s="591"/>
      <c r="I1181" s="591"/>
      <c r="J1181" s="591"/>
      <c r="K1181" s="542"/>
      <c r="O1181" s="1134"/>
      <c r="Q1181" s="1133"/>
    </row>
    <row r="1182" spans="2:17" x14ac:dyDescent="0.3">
      <c r="B1182" s="126"/>
      <c r="C1182" s="583">
        <v>799</v>
      </c>
      <c r="D1182" s="625" t="e">
        <f t="shared" si="38"/>
        <v>#VALUE!</v>
      </c>
      <c r="E1182" s="591"/>
      <c r="F1182" s="591"/>
      <c r="G1182" s="591"/>
      <c r="H1182" s="591"/>
      <c r="I1182" s="591"/>
      <c r="J1182" s="591"/>
      <c r="K1182" s="542"/>
      <c r="O1182" s="1134"/>
      <c r="Q1182" s="1133"/>
    </row>
    <row r="1183" spans="2:17" x14ac:dyDescent="0.3">
      <c r="B1183" s="126"/>
      <c r="C1183" s="583">
        <v>800</v>
      </c>
      <c r="D1183" s="625" t="e">
        <f t="shared" si="38"/>
        <v>#VALUE!</v>
      </c>
      <c r="E1183" s="591"/>
      <c r="F1183" s="591"/>
      <c r="G1183" s="591"/>
      <c r="H1183" s="591"/>
      <c r="I1183" s="591"/>
      <c r="J1183" s="591"/>
      <c r="K1183" s="542"/>
      <c r="O1183" s="1134"/>
      <c r="Q1183" s="1133"/>
    </row>
    <row r="1184" spans="2:17" x14ac:dyDescent="0.3">
      <c r="B1184" s="126"/>
      <c r="C1184" s="583">
        <v>801</v>
      </c>
      <c r="D1184" s="625" t="e">
        <f t="shared" si="38"/>
        <v>#VALUE!</v>
      </c>
      <c r="E1184" s="591"/>
      <c r="F1184" s="591"/>
      <c r="G1184" s="591"/>
      <c r="H1184" s="591"/>
      <c r="I1184" s="591"/>
      <c r="J1184" s="591"/>
      <c r="K1184" s="542"/>
      <c r="O1184" s="1134"/>
      <c r="Q1184" s="1133"/>
    </row>
    <row r="1185" spans="2:17" x14ac:dyDescent="0.3">
      <c r="B1185" s="126"/>
      <c r="C1185" s="583">
        <v>802</v>
      </c>
      <c r="D1185" s="625" t="e">
        <f t="shared" si="38"/>
        <v>#VALUE!</v>
      </c>
      <c r="E1185" s="591"/>
      <c r="F1185" s="591"/>
      <c r="G1185" s="591"/>
      <c r="H1185" s="591"/>
      <c r="I1185" s="591"/>
      <c r="J1185" s="591"/>
      <c r="K1185" s="542"/>
      <c r="O1185" s="1134"/>
      <c r="Q1185" s="1133"/>
    </row>
    <row r="1186" spans="2:17" x14ac:dyDescent="0.3">
      <c r="B1186" s="126"/>
      <c r="C1186" s="583">
        <v>803</v>
      </c>
      <c r="D1186" s="625" t="e">
        <f t="shared" si="38"/>
        <v>#VALUE!</v>
      </c>
      <c r="E1186" s="591"/>
      <c r="F1186" s="591"/>
      <c r="G1186" s="591"/>
      <c r="H1186" s="591"/>
      <c r="I1186" s="591"/>
      <c r="J1186" s="591"/>
      <c r="K1186" s="542"/>
      <c r="O1186" s="1134"/>
      <c r="Q1186" s="1133"/>
    </row>
    <row r="1187" spans="2:17" x14ac:dyDescent="0.3">
      <c r="B1187" s="126"/>
      <c r="C1187" s="583">
        <v>804</v>
      </c>
      <c r="D1187" s="625" t="e">
        <f t="shared" si="38"/>
        <v>#VALUE!</v>
      </c>
      <c r="E1187" s="591"/>
      <c r="F1187" s="591"/>
      <c r="G1187" s="591"/>
      <c r="H1187" s="591"/>
      <c r="I1187" s="591"/>
      <c r="J1187" s="591"/>
      <c r="K1187" s="542"/>
      <c r="O1187" s="1134"/>
      <c r="Q1187" s="1133"/>
    </row>
    <row r="1188" spans="2:17" x14ac:dyDescent="0.3">
      <c r="B1188" s="126"/>
      <c r="C1188" s="583">
        <v>805</v>
      </c>
      <c r="D1188" s="625" t="e">
        <f t="shared" si="38"/>
        <v>#VALUE!</v>
      </c>
      <c r="E1188" s="591"/>
      <c r="F1188" s="591"/>
      <c r="G1188" s="591"/>
      <c r="H1188" s="591"/>
      <c r="I1188" s="591"/>
      <c r="J1188" s="591"/>
      <c r="K1188" s="542"/>
      <c r="O1188" s="1134"/>
      <c r="Q1188" s="1133"/>
    </row>
    <row r="1189" spans="2:17" x14ac:dyDescent="0.3">
      <c r="B1189" s="126"/>
      <c r="C1189" s="583">
        <v>806</v>
      </c>
      <c r="D1189" s="625" t="e">
        <f t="shared" si="38"/>
        <v>#VALUE!</v>
      </c>
      <c r="E1189" s="591"/>
      <c r="F1189" s="591"/>
      <c r="G1189" s="591"/>
      <c r="H1189" s="591"/>
      <c r="I1189" s="591"/>
      <c r="J1189" s="591"/>
      <c r="K1189" s="542"/>
      <c r="O1189" s="1134"/>
      <c r="Q1189" s="1133"/>
    </row>
    <row r="1190" spans="2:17" x14ac:dyDescent="0.3">
      <c r="B1190" s="126"/>
      <c r="C1190" s="583">
        <v>807</v>
      </c>
      <c r="D1190" s="625" t="e">
        <f t="shared" si="38"/>
        <v>#VALUE!</v>
      </c>
      <c r="E1190" s="591"/>
      <c r="F1190" s="591"/>
      <c r="G1190" s="591"/>
      <c r="H1190" s="591"/>
      <c r="I1190" s="591"/>
      <c r="J1190" s="591"/>
      <c r="K1190" s="542"/>
      <c r="O1190" s="1134"/>
      <c r="Q1190" s="1133"/>
    </row>
    <row r="1191" spans="2:17" x14ac:dyDescent="0.3">
      <c r="B1191" s="126"/>
      <c r="C1191" s="583">
        <v>808</v>
      </c>
      <c r="D1191" s="625" t="e">
        <f t="shared" si="38"/>
        <v>#VALUE!</v>
      </c>
      <c r="E1191" s="591"/>
      <c r="F1191" s="591"/>
      <c r="G1191" s="591"/>
      <c r="H1191" s="591"/>
      <c r="I1191" s="591"/>
      <c r="J1191" s="591"/>
      <c r="K1191" s="542"/>
      <c r="O1191" s="1134"/>
      <c r="Q1191" s="1133"/>
    </row>
    <row r="1192" spans="2:17" x14ac:dyDescent="0.3">
      <c r="B1192" s="126"/>
      <c r="C1192" s="583">
        <v>809</v>
      </c>
      <c r="D1192" s="625" t="e">
        <f t="shared" si="38"/>
        <v>#VALUE!</v>
      </c>
      <c r="E1192" s="591"/>
      <c r="F1192" s="591"/>
      <c r="G1192" s="591"/>
      <c r="H1192" s="591"/>
      <c r="I1192" s="591"/>
      <c r="J1192" s="591"/>
      <c r="K1192" s="542"/>
      <c r="O1192" s="1134"/>
      <c r="Q1192" s="1133"/>
    </row>
    <row r="1193" spans="2:17" x14ac:dyDescent="0.3">
      <c r="B1193" s="126"/>
      <c r="C1193" s="583">
        <v>810</v>
      </c>
      <c r="D1193" s="625" t="e">
        <f t="shared" si="38"/>
        <v>#VALUE!</v>
      </c>
      <c r="E1193" s="591"/>
      <c r="F1193" s="591"/>
      <c r="G1193" s="591"/>
      <c r="H1193" s="591"/>
      <c r="I1193" s="591"/>
      <c r="J1193" s="591"/>
      <c r="K1193" s="542"/>
      <c r="O1193" s="1134"/>
      <c r="Q1193" s="1133"/>
    </row>
    <row r="1194" spans="2:17" x14ac:dyDescent="0.3">
      <c r="B1194" s="126"/>
      <c r="C1194" s="583">
        <v>811</v>
      </c>
      <c r="D1194" s="625" t="e">
        <f t="shared" si="38"/>
        <v>#VALUE!</v>
      </c>
      <c r="E1194" s="591"/>
      <c r="F1194" s="591"/>
      <c r="G1194" s="591"/>
      <c r="H1194" s="591"/>
      <c r="I1194" s="591"/>
      <c r="J1194" s="591"/>
      <c r="K1194" s="542"/>
      <c r="O1194" s="1134"/>
      <c r="Q1194" s="1133"/>
    </row>
    <row r="1195" spans="2:17" x14ac:dyDescent="0.3">
      <c r="B1195" s="126"/>
      <c r="C1195" s="583">
        <v>812</v>
      </c>
      <c r="D1195" s="625" t="e">
        <f t="shared" si="38"/>
        <v>#VALUE!</v>
      </c>
      <c r="E1195" s="591"/>
      <c r="F1195" s="591"/>
      <c r="G1195" s="591"/>
      <c r="H1195" s="591"/>
      <c r="I1195" s="591"/>
      <c r="J1195" s="591"/>
      <c r="K1195" s="542"/>
      <c r="O1195" s="1134"/>
      <c r="Q1195" s="1133"/>
    </row>
    <row r="1196" spans="2:17" x14ac:dyDescent="0.3">
      <c r="B1196" s="126"/>
      <c r="C1196" s="583">
        <v>813</v>
      </c>
      <c r="D1196" s="625" t="e">
        <f t="shared" si="38"/>
        <v>#VALUE!</v>
      </c>
      <c r="E1196" s="591"/>
      <c r="F1196" s="591"/>
      <c r="G1196" s="591"/>
      <c r="H1196" s="591"/>
      <c r="I1196" s="591"/>
      <c r="J1196" s="591"/>
      <c r="K1196" s="542"/>
      <c r="O1196" s="1134"/>
      <c r="Q1196" s="1133"/>
    </row>
    <row r="1197" spans="2:17" x14ac:dyDescent="0.3">
      <c r="B1197" s="126"/>
      <c r="C1197" s="583">
        <v>814</v>
      </c>
      <c r="D1197" s="625" t="e">
        <f t="shared" si="38"/>
        <v>#VALUE!</v>
      </c>
      <c r="E1197" s="591"/>
      <c r="F1197" s="591"/>
      <c r="G1197" s="591"/>
      <c r="H1197" s="591"/>
      <c r="I1197" s="591"/>
      <c r="J1197" s="591"/>
      <c r="K1197" s="542"/>
      <c r="O1197" s="1134"/>
      <c r="Q1197" s="1133"/>
    </row>
    <row r="1198" spans="2:17" x14ac:dyDescent="0.3">
      <c r="B1198" s="126"/>
      <c r="C1198" s="583">
        <v>815</v>
      </c>
      <c r="D1198" s="625" t="e">
        <f t="shared" si="38"/>
        <v>#VALUE!</v>
      </c>
      <c r="E1198" s="591"/>
      <c r="F1198" s="591"/>
      <c r="G1198" s="591"/>
      <c r="H1198" s="591"/>
      <c r="I1198" s="591"/>
      <c r="J1198" s="591"/>
      <c r="K1198" s="542"/>
      <c r="O1198" s="1134"/>
      <c r="Q1198" s="1133"/>
    </row>
    <row r="1199" spans="2:17" x14ac:dyDescent="0.3">
      <c r="B1199" s="126"/>
      <c r="C1199" s="583">
        <v>816</v>
      </c>
      <c r="D1199" s="625" t="e">
        <f t="shared" si="38"/>
        <v>#VALUE!</v>
      </c>
      <c r="E1199" s="591"/>
      <c r="F1199" s="591"/>
      <c r="G1199" s="591"/>
      <c r="H1199" s="591"/>
      <c r="I1199" s="591"/>
      <c r="J1199" s="591"/>
      <c r="K1199" s="542"/>
      <c r="O1199" s="1134"/>
      <c r="Q1199" s="1133"/>
    </row>
    <row r="1200" spans="2:17" x14ac:dyDescent="0.3">
      <c r="B1200" s="126"/>
      <c r="C1200" s="583">
        <v>817</v>
      </c>
      <c r="D1200" s="625" t="e">
        <f t="shared" si="38"/>
        <v>#VALUE!</v>
      </c>
      <c r="E1200" s="591"/>
      <c r="F1200" s="591"/>
      <c r="G1200" s="591"/>
      <c r="H1200" s="591"/>
      <c r="I1200" s="591"/>
      <c r="J1200" s="591"/>
      <c r="K1200" s="542"/>
      <c r="O1200" s="1134"/>
      <c r="Q1200" s="1133"/>
    </row>
    <row r="1201" spans="2:17" x14ac:dyDescent="0.3">
      <c r="B1201" s="126"/>
      <c r="C1201" s="583">
        <v>818</v>
      </c>
      <c r="D1201" s="625" t="e">
        <f t="shared" si="38"/>
        <v>#VALUE!</v>
      </c>
      <c r="E1201" s="591"/>
      <c r="F1201" s="591"/>
      <c r="G1201" s="591"/>
      <c r="H1201" s="591"/>
      <c r="I1201" s="591"/>
      <c r="J1201" s="591"/>
      <c r="K1201" s="542"/>
      <c r="O1201" s="1134"/>
      <c r="Q1201" s="1133"/>
    </row>
    <row r="1202" spans="2:17" x14ac:dyDescent="0.3">
      <c r="B1202" s="126"/>
      <c r="C1202" s="583">
        <v>819</v>
      </c>
      <c r="D1202" s="625" t="e">
        <f t="shared" si="38"/>
        <v>#VALUE!</v>
      </c>
      <c r="E1202" s="591"/>
      <c r="F1202" s="591"/>
      <c r="G1202" s="591"/>
      <c r="H1202" s="591"/>
      <c r="I1202" s="591"/>
      <c r="J1202" s="591"/>
      <c r="K1202" s="542"/>
      <c r="O1202" s="1134"/>
      <c r="Q1202" s="1133"/>
    </row>
    <row r="1203" spans="2:17" x14ac:dyDescent="0.3">
      <c r="B1203" s="126"/>
      <c r="C1203" s="583">
        <v>820</v>
      </c>
      <c r="D1203" s="625" t="e">
        <f t="shared" si="38"/>
        <v>#VALUE!</v>
      </c>
      <c r="E1203" s="591"/>
      <c r="F1203" s="591"/>
      <c r="G1203" s="591"/>
      <c r="H1203" s="591"/>
      <c r="I1203" s="591"/>
      <c r="J1203" s="591"/>
      <c r="K1203" s="542"/>
      <c r="O1203" s="1134"/>
      <c r="Q1203" s="1133"/>
    </row>
    <row r="1204" spans="2:17" x14ac:dyDescent="0.3">
      <c r="B1204" s="126"/>
      <c r="C1204" s="583">
        <v>821</v>
      </c>
      <c r="D1204" s="625" t="e">
        <f t="shared" si="38"/>
        <v>#VALUE!</v>
      </c>
      <c r="E1204" s="591"/>
      <c r="F1204" s="591"/>
      <c r="G1204" s="591"/>
      <c r="H1204" s="591"/>
      <c r="I1204" s="591"/>
      <c r="J1204" s="591"/>
      <c r="K1204" s="542"/>
      <c r="O1204" s="1134"/>
      <c r="Q1204" s="1133"/>
    </row>
    <row r="1205" spans="2:17" x14ac:dyDescent="0.3">
      <c r="B1205" s="126"/>
      <c r="C1205" s="583">
        <v>822</v>
      </c>
      <c r="D1205" s="625" t="e">
        <f t="shared" si="38"/>
        <v>#VALUE!</v>
      </c>
      <c r="E1205" s="591"/>
      <c r="F1205" s="591"/>
      <c r="G1205" s="591"/>
      <c r="H1205" s="591"/>
      <c r="I1205" s="591"/>
      <c r="J1205" s="591"/>
      <c r="K1205" s="542"/>
      <c r="O1205" s="1134"/>
      <c r="Q1205" s="1133"/>
    </row>
    <row r="1206" spans="2:17" x14ac:dyDescent="0.3">
      <c r="B1206" s="126"/>
      <c r="C1206" s="583">
        <v>823</v>
      </c>
      <c r="D1206" s="625" t="e">
        <f t="shared" si="38"/>
        <v>#VALUE!</v>
      </c>
      <c r="E1206" s="591"/>
      <c r="F1206" s="591"/>
      <c r="G1206" s="591"/>
      <c r="H1206" s="591"/>
      <c r="I1206" s="591"/>
      <c r="J1206" s="591"/>
      <c r="K1206" s="542"/>
      <c r="O1206" s="1134"/>
      <c r="Q1206" s="1133"/>
    </row>
    <row r="1207" spans="2:17" x14ac:dyDescent="0.3">
      <c r="B1207" s="126"/>
      <c r="C1207" s="583">
        <v>824</v>
      </c>
      <c r="D1207" s="625" t="e">
        <f t="shared" si="38"/>
        <v>#VALUE!</v>
      </c>
      <c r="E1207" s="591"/>
      <c r="F1207" s="591"/>
      <c r="G1207" s="591"/>
      <c r="H1207" s="591"/>
      <c r="I1207" s="591"/>
      <c r="J1207" s="591"/>
      <c r="K1207" s="542"/>
      <c r="O1207" s="1134"/>
      <c r="Q1207" s="1133"/>
    </row>
    <row r="1208" spans="2:17" x14ac:dyDescent="0.3">
      <c r="B1208" s="126"/>
      <c r="C1208" s="583">
        <v>825</v>
      </c>
      <c r="D1208" s="625" t="e">
        <f t="shared" si="38"/>
        <v>#VALUE!</v>
      </c>
      <c r="E1208" s="591"/>
      <c r="F1208" s="591"/>
      <c r="G1208" s="591"/>
      <c r="H1208" s="591"/>
      <c r="I1208" s="591"/>
      <c r="J1208" s="591"/>
      <c r="K1208" s="542"/>
      <c r="O1208" s="1134"/>
      <c r="Q1208" s="1133"/>
    </row>
    <row r="1209" spans="2:17" x14ac:dyDescent="0.3">
      <c r="B1209" s="126"/>
      <c r="C1209" s="583">
        <v>826</v>
      </c>
      <c r="D1209" s="625" t="e">
        <f t="shared" si="38"/>
        <v>#VALUE!</v>
      </c>
      <c r="E1209" s="591"/>
      <c r="F1209" s="591"/>
      <c r="G1209" s="591"/>
      <c r="H1209" s="591"/>
      <c r="I1209" s="591"/>
      <c r="J1209" s="591"/>
      <c r="K1209" s="542"/>
      <c r="O1209" s="1134"/>
      <c r="Q1209" s="1133"/>
    </row>
    <row r="1210" spans="2:17" x14ac:dyDescent="0.3">
      <c r="B1210" s="126"/>
      <c r="C1210" s="583">
        <v>827</v>
      </c>
      <c r="D1210" s="625" t="e">
        <f t="shared" si="38"/>
        <v>#VALUE!</v>
      </c>
      <c r="E1210" s="591"/>
      <c r="F1210" s="591"/>
      <c r="G1210" s="591"/>
      <c r="H1210" s="591"/>
      <c r="I1210" s="591"/>
      <c r="J1210" s="591"/>
      <c r="K1210" s="542"/>
      <c r="O1210" s="1134"/>
      <c r="Q1210" s="1133"/>
    </row>
    <row r="1211" spans="2:17" x14ac:dyDescent="0.3">
      <c r="B1211" s="126"/>
      <c r="C1211" s="583">
        <v>828</v>
      </c>
      <c r="D1211" s="625" t="e">
        <f t="shared" si="38"/>
        <v>#VALUE!</v>
      </c>
      <c r="E1211" s="591"/>
      <c r="F1211" s="591"/>
      <c r="G1211" s="591"/>
      <c r="H1211" s="591"/>
      <c r="I1211" s="591"/>
      <c r="J1211" s="591"/>
      <c r="K1211" s="542"/>
      <c r="O1211" s="1134"/>
      <c r="Q1211" s="1133"/>
    </row>
    <row r="1212" spans="2:17" x14ac:dyDescent="0.3">
      <c r="B1212" s="126"/>
      <c r="C1212" s="583">
        <v>829</v>
      </c>
      <c r="D1212" s="625" t="e">
        <f t="shared" si="38"/>
        <v>#VALUE!</v>
      </c>
      <c r="E1212" s="591"/>
      <c r="F1212" s="591"/>
      <c r="G1212" s="591"/>
      <c r="H1212" s="591"/>
      <c r="I1212" s="591"/>
      <c r="J1212" s="591"/>
      <c r="K1212" s="542"/>
      <c r="O1212" s="1134"/>
      <c r="Q1212" s="1133"/>
    </row>
    <row r="1213" spans="2:17" x14ac:dyDescent="0.3">
      <c r="B1213" s="126"/>
      <c r="C1213" s="583">
        <v>830</v>
      </c>
      <c r="D1213" s="625" t="e">
        <f t="shared" si="38"/>
        <v>#VALUE!</v>
      </c>
      <c r="E1213" s="591"/>
      <c r="F1213" s="591"/>
      <c r="G1213" s="591"/>
      <c r="H1213" s="591"/>
      <c r="I1213" s="591"/>
      <c r="J1213" s="591"/>
      <c r="K1213" s="542"/>
      <c r="O1213" s="1134"/>
      <c r="Q1213" s="1133"/>
    </row>
    <row r="1214" spans="2:17" x14ac:dyDescent="0.3">
      <c r="B1214" s="126"/>
      <c r="C1214" s="583">
        <v>831</v>
      </c>
      <c r="D1214" s="625" t="e">
        <f t="shared" si="38"/>
        <v>#VALUE!</v>
      </c>
      <c r="E1214" s="591"/>
      <c r="F1214" s="591"/>
      <c r="G1214" s="591"/>
      <c r="H1214" s="591"/>
      <c r="I1214" s="591"/>
      <c r="J1214" s="591"/>
      <c r="K1214" s="542"/>
      <c r="O1214" s="1134"/>
      <c r="Q1214" s="1133"/>
    </row>
    <row r="1215" spans="2:17" x14ac:dyDescent="0.3">
      <c r="B1215" s="126"/>
      <c r="C1215" s="583">
        <v>832</v>
      </c>
      <c r="D1215" s="625" t="e">
        <f t="shared" ref="D1215:D1278" si="39">$C$362*C1215</f>
        <v>#VALUE!</v>
      </c>
      <c r="E1215" s="591"/>
      <c r="F1215" s="591"/>
      <c r="G1215" s="591"/>
      <c r="H1215" s="591"/>
      <c r="I1215" s="591"/>
      <c r="J1215" s="591"/>
      <c r="K1215" s="542"/>
      <c r="O1215" s="1134"/>
      <c r="Q1215" s="1133"/>
    </row>
    <row r="1216" spans="2:17" x14ac:dyDescent="0.3">
      <c r="B1216" s="126"/>
      <c r="C1216" s="583">
        <v>833</v>
      </c>
      <c r="D1216" s="625" t="e">
        <f t="shared" si="39"/>
        <v>#VALUE!</v>
      </c>
      <c r="E1216" s="591"/>
      <c r="F1216" s="591"/>
      <c r="G1216" s="591"/>
      <c r="H1216" s="591"/>
      <c r="I1216" s="591"/>
      <c r="J1216" s="591"/>
      <c r="K1216" s="542"/>
      <c r="O1216" s="1134"/>
      <c r="Q1216" s="1133"/>
    </row>
    <row r="1217" spans="2:17" x14ac:dyDescent="0.3">
      <c r="B1217" s="126"/>
      <c r="C1217" s="583">
        <v>834</v>
      </c>
      <c r="D1217" s="625" t="e">
        <f t="shared" si="39"/>
        <v>#VALUE!</v>
      </c>
      <c r="E1217" s="591"/>
      <c r="F1217" s="591"/>
      <c r="G1217" s="591"/>
      <c r="H1217" s="591"/>
      <c r="I1217" s="591"/>
      <c r="J1217" s="591"/>
      <c r="K1217" s="542"/>
      <c r="O1217" s="1134"/>
      <c r="Q1217" s="1133"/>
    </row>
    <row r="1218" spans="2:17" x14ac:dyDescent="0.3">
      <c r="B1218" s="126"/>
      <c r="C1218" s="583">
        <v>835</v>
      </c>
      <c r="D1218" s="625" t="e">
        <f t="shared" si="39"/>
        <v>#VALUE!</v>
      </c>
      <c r="E1218" s="591"/>
      <c r="F1218" s="591"/>
      <c r="G1218" s="591"/>
      <c r="H1218" s="591"/>
      <c r="I1218" s="591"/>
      <c r="J1218" s="591"/>
      <c r="K1218" s="542"/>
      <c r="O1218" s="1134"/>
      <c r="Q1218" s="1133"/>
    </row>
    <row r="1219" spans="2:17" x14ac:dyDescent="0.3">
      <c r="B1219" s="126"/>
      <c r="C1219" s="583">
        <v>836</v>
      </c>
      <c r="D1219" s="625" t="e">
        <f t="shared" si="39"/>
        <v>#VALUE!</v>
      </c>
      <c r="E1219" s="591"/>
      <c r="F1219" s="591"/>
      <c r="G1219" s="591"/>
      <c r="H1219" s="591"/>
      <c r="I1219" s="591"/>
      <c r="J1219" s="591"/>
      <c r="K1219" s="542"/>
      <c r="O1219" s="1134"/>
      <c r="Q1219" s="1133"/>
    </row>
    <row r="1220" spans="2:17" x14ac:dyDescent="0.3">
      <c r="B1220" s="126"/>
      <c r="C1220" s="583">
        <v>837</v>
      </c>
      <c r="D1220" s="625" t="e">
        <f t="shared" si="39"/>
        <v>#VALUE!</v>
      </c>
      <c r="E1220" s="591"/>
      <c r="F1220" s="591"/>
      <c r="G1220" s="591"/>
      <c r="H1220" s="591"/>
      <c r="I1220" s="591"/>
      <c r="J1220" s="591"/>
      <c r="K1220" s="542"/>
      <c r="O1220" s="1134"/>
      <c r="Q1220" s="1133"/>
    </row>
    <row r="1221" spans="2:17" x14ac:dyDescent="0.3">
      <c r="B1221" s="126"/>
      <c r="C1221" s="583">
        <v>838</v>
      </c>
      <c r="D1221" s="625" t="e">
        <f t="shared" si="39"/>
        <v>#VALUE!</v>
      </c>
      <c r="E1221" s="591"/>
      <c r="F1221" s="591"/>
      <c r="G1221" s="591"/>
      <c r="H1221" s="591"/>
      <c r="I1221" s="591"/>
      <c r="J1221" s="591"/>
      <c r="K1221" s="542"/>
      <c r="O1221" s="1134"/>
      <c r="Q1221" s="1133"/>
    </row>
    <row r="1222" spans="2:17" x14ac:dyDescent="0.3">
      <c r="B1222" s="126"/>
      <c r="C1222" s="583">
        <v>839</v>
      </c>
      <c r="D1222" s="625" t="e">
        <f t="shared" si="39"/>
        <v>#VALUE!</v>
      </c>
      <c r="E1222" s="591"/>
      <c r="F1222" s="591"/>
      <c r="G1222" s="591"/>
      <c r="H1222" s="591"/>
      <c r="I1222" s="591"/>
      <c r="J1222" s="591"/>
      <c r="K1222" s="542"/>
      <c r="O1222" s="1134"/>
      <c r="Q1222" s="1133"/>
    </row>
    <row r="1223" spans="2:17" x14ac:dyDescent="0.3">
      <c r="B1223" s="126"/>
      <c r="C1223" s="583">
        <v>840</v>
      </c>
      <c r="D1223" s="625" t="e">
        <f t="shared" si="39"/>
        <v>#VALUE!</v>
      </c>
      <c r="E1223" s="591"/>
      <c r="F1223" s="591"/>
      <c r="G1223" s="591"/>
      <c r="H1223" s="591"/>
      <c r="I1223" s="591"/>
      <c r="J1223" s="591"/>
      <c r="K1223" s="542"/>
      <c r="O1223" s="1134"/>
      <c r="Q1223" s="1133"/>
    </row>
    <row r="1224" spans="2:17" x14ac:dyDescent="0.3">
      <c r="B1224" s="126"/>
      <c r="C1224" s="583">
        <v>841</v>
      </c>
      <c r="D1224" s="625" t="e">
        <f t="shared" si="39"/>
        <v>#VALUE!</v>
      </c>
      <c r="E1224" s="591"/>
      <c r="F1224" s="591"/>
      <c r="G1224" s="591"/>
      <c r="H1224" s="591"/>
      <c r="I1224" s="591"/>
      <c r="J1224" s="591"/>
      <c r="K1224" s="542"/>
      <c r="O1224" s="1134"/>
      <c r="Q1224" s="1133"/>
    </row>
    <row r="1225" spans="2:17" x14ac:dyDescent="0.3">
      <c r="B1225" s="126"/>
      <c r="C1225" s="583">
        <v>842</v>
      </c>
      <c r="D1225" s="625" t="e">
        <f t="shared" si="39"/>
        <v>#VALUE!</v>
      </c>
      <c r="E1225" s="591"/>
      <c r="F1225" s="591"/>
      <c r="G1225" s="591"/>
      <c r="H1225" s="591"/>
      <c r="I1225" s="591"/>
      <c r="J1225" s="591"/>
      <c r="K1225" s="542"/>
      <c r="O1225" s="1134"/>
      <c r="Q1225" s="1133"/>
    </row>
    <row r="1226" spans="2:17" x14ac:dyDescent="0.3">
      <c r="B1226" s="126"/>
      <c r="C1226" s="583">
        <v>843</v>
      </c>
      <c r="D1226" s="625" t="e">
        <f t="shared" si="39"/>
        <v>#VALUE!</v>
      </c>
      <c r="E1226" s="591"/>
      <c r="F1226" s="591"/>
      <c r="G1226" s="591"/>
      <c r="H1226" s="591"/>
      <c r="I1226" s="591"/>
      <c r="J1226" s="591"/>
      <c r="K1226" s="542"/>
      <c r="O1226" s="1134"/>
      <c r="Q1226" s="1133"/>
    </row>
    <row r="1227" spans="2:17" x14ac:dyDescent="0.3">
      <c r="B1227" s="126"/>
      <c r="C1227" s="583">
        <v>844</v>
      </c>
      <c r="D1227" s="625" t="e">
        <f t="shared" si="39"/>
        <v>#VALUE!</v>
      </c>
      <c r="E1227" s="591"/>
      <c r="F1227" s="591"/>
      <c r="G1227" s="591"/>
      <c r="H1227" s="591"/>
      <c r="I1227" s="591"/>
      <c r="J1227" s="591"/>
      <c r="K1227" s="542"/>
      <c r="O1227" s="1134"/>
      <c r="Q1227" s="1133"/>
    </row>
    <row r="1228" spans="2:17" x14ac:dyDescent="0.3">
      <c r="B1228" s="126"/>
      <c r="C1228" s="583">
        <v>845</v>
      </c>
      <c r="D1228" s="625" t="e">
        <f t="shared" si="39"/>
        <v>#VALUE!</v>
      </c>
      <c r="E1228" s="591"/>
      <c r="F1228" s="591"/>
      <c r="G1228" s="591"/>
      <c r="H1228" s="591"/>
      <c r="I1228" s="591"/>
      <c r="J1228" s="591"/>
      <c r="K1228" s="542"/>
      <c r="O1228" s="1134"/>
      <c r="Q1228" s="1133"/>
    </row>
    <row r="1229" spans="2:17" x14ac:dyDescent="0.3">
      <c r="B1229" s="126"/>
      <c r="C1229" s="583">
        <v>846</v>
      </c>
      <c r="D1229" s="625" t="e">
        <f t="shared" si="39"/>
        <v>#VALUE!</v>
      </c>
      <c r="E1229" s="591"/>
      <c r="F1229" s="591"/>
      <c r="G1229" s="591"/>
      <c r="H1229" s="591"/>
      <c r="I1229" s="591"/>
      <c r="J1229" s="591"/>
      <c r="K1229" s="542"/>
      <c r="O1229" s="1134"/>
      <c r="Q1229" s="1133"/>
    </row>
    <row r="1230" spans="2:17" x14ac:dyDescent="0.3">
      <c r="B1230" s="126"/>
      <c r="C1230" s="583">
        <v>847</v>
      </c>
      <c r="D1230" s="625" t="e">
        <f t="shared" si="39"/>
        <v>#VALUE!</v>
      </c>
      <c r="E1230" s="591"/>
      <c r="F1230" s="591"/>
      <c r="G1230" s="591"/>
      <c r="H1230" s="591"/>
      <c r="I1230" s="591"/>
      <c r="J1230" s="591"/>
      <c r="K1230" s="542"/>
      <c r="O1230" s="1134"/>
      <c r="Q1230" s="1133"/>
    </row>
    <row r="1231" spans="2:17" x14ac:dyDescent="0.3">
      <c r="B1231" s="126"/>
      <c r="C1231" s="583">
        <v>848</v>
      </c>
      <c r="D1231" s="625" t="e">
        <f t="shared" si="39"/>
        <v>#VALUE!</v>
      </c>
      <c r="E1231" s="591"/>
      <c r="F1231" s="591"/>
      <c r="G1231" s="591"/>
      <c r="H1231" s="591"/>
      <c r="I1231" s="591"/>
      <c r="J1231" s="591"/>
      <c r="K1231" s="542"/>
      <c r="O1231" s="1134"/>
      <c r="Q1231" s="1133"/>
    </row>
    <row r="1232" spans="2:17" x14ac:dyDescent="0.3">
      <c r="B1232" s="126"/>
      <c r="C1232" s="583">
        <v>849</v>
      </c>
      <c r="D1232" s="625" t="e">
        <f t="shared" si="39"/>
        <v>#VALUE!</v>
      </c>
      <c r="E1232" s="591"/>
      <c r="F1232" s="591"/>
      <c r="G1232" s="591"/>
      <c r="H1232" s="591"/>
      <c r="I1232" s="591"/>
      <c r="J1232" s="591"/>
      <c r="K1232" s="542"/>
      <c r="O1232" s="1134"/>
      <c r="Q1232" s="1133"/>
    </row>
    <row r="1233" spans="2:17" x14ac:dyDescent="0.3">
      <c r="B1233" s="126"/>
      <c r="C1233" s="583">
        <v>850</v>
      </c>
      <c r="D1233" s="625" t="e">
        <f t="shared" si="39"/>
        <v>#VALUE!</v>
      </c>
      <c r="E1233" s="591"/>
      <c r="F1233" s="591"/>
      <c r="G1233" s="591"/>
      <c r="H1233" s="591"/>
      <c r="I1233" s="591"/>
      <c r="J1233" s="591"/>
      <c r="K1233" s="542"/>
      <c r="O1233" s="1134"/>
      <c r="Q1233" s="1133"/>
    </row>
    <row r="1234" spans="2:17" x14ac:dyDescent="0.3">
      <c r="B1234" s="126"/>
      <c r="C1234" s="583">
        <v>851</v>
      </c>
      <c r="D1234" s="625" t="e">
        <f t="shared" si="39"/>
        <v>#VALUE!</v>
      </c>
      <c r="E1234" s="591"/>
      <c r="F1234" s="591"/>
      <c r="G1234" s="591"/>
      <c r="H1234" s="591"/>
      <c r="I1234" s="591"/>
      <c r="J1234" s="591"/>
      <c r="K1234" s="542"/>
      <c r="O1234" s="1134"/>
      <c r="Q1234" s="1133"/>
    </row>
    <row r="1235" spans="2:17" x14ac:dyDescent="0.3">
      <c r="B1235" s="126"/>
      <c r="C1235" s="583">
        <v>852</v>
      </c>
      <c r="D1235" s="625" t="e">
        <f t="shared" si="39"/>
        <v>#VALUE!</v>
      </c>
      <c r="E1235" s="591"/>
      <c r="F1235" s="591"/>
      <c r="G1235" s="591"/>
      <c r="H1235" s="591"/>
      <c r="I1235" s="591"/>
      <c r="J1235" s="591"/>
      <c r="K1235" s="542"/>
      <c r="O1235" s="1134"/>
      <c r="Q1235" s="1133"/>
    </row>
    <row r="1236" spans="2:17" x14ac:dyDescent="0.3">
      <c r="B1236" s="126"/>
      <c r="C1236" s="583">
        <v>853</v>
      </c>
      <c r="D1236" s="625" t="e">
        <f t="shared" si="39"/>
        <v>#VALUE!</v>
      </c>
      <c r="E1236" s="591"/>
      <c r="F1236" s="591"/>
      <c r="G1236" s="591"/>
      <c r="H1236" s="591"/>
      <c r="I1236" s="591"/>
      <c r="J1236" s="591"/>
      <c r="K1236" s="542"/>
      <c r="O1236" s="1134"/>
      <c r="Q1236" s="1133"/>
    </row>
    <row r="1237" spans="2:17" x14ac:dyDescent="0.3">
      <c r="B1237" s="126"/>
      <c r="C1237" s="583">
        <v>854</v>
      </c>
      <c r="D1237" s="625" t="e">
        <f t="shared" si="39"/>
        <v>#VALUE!</v>
      </c>
      <c r="E1237" s="591"/>
      <c r="F1237" s="591"/>
      <c r="G1237" s="591"/>
      <c r="H1237" s="591"/>
      <c r="I1237" s="591"/>
      <c r="J1237" s="591"/>
      <c r="K1237" s="542"/>
      <c r="O1237" s="1134"/>
      <c r="Q1237" s="1133"/>
    </row>
    <row r="1238" spans="2:17" x14ac:dyDescent="0.3">
      <c r="B1238" s="126"/>
      <c r="C1238" s="583">
        <v>855</v>
      </c>
      <c r="D1238" s="625" t="e">
        <f t="shared" si="39"/>
        <v>#VALUE!</v>
      </c>
      <c r="E1238" s="591"/>
      <c r="F1238" s="591"/>
      <c r="G1238" s="591"/>
      <c r="H1238" s="591"/>
      <c r="I1238" s="591"/>
      <c r="J1238" s="591"/>
      <c r="K1238" s="542"/>
      <c r="O1238" s="1134"/>
      <c r="Q1238" s="1133"/>
    </row>
    <row r="1239" spans="2:17" x14ac:dyDescent="0.3">
      <c r="B1239" s="126"/>
      <c r="C1239" s="583">
        <v>856</v>
      </c>
      <c r="D1239" s="625" t="e">
        <f t="shared" si="39"/>
        <v>#VALUE!</v>
      </c>
      <c r="E1239" s="591"/>
      <c r="F1239" s="591"/>
      <c r="G1239" s="591"/>
      <c r="H1239" s="591"/>
      <c r="I1239" s="591"/>
      <c r="J1239" s="591"/>
      <c r="K1239" s="542"/>
      <c r="O1239" s="1134"/>
      <c r="Q1239" s="1133"/>
    </row>
    <row r="1240" spans="2:17" x14ac:dyDescent="0.3">
      <c r="B1240" s="126"/>
      <c r="C1240" s="583">
        <v>857</v>
      </c>
      <c r="D1240" s="625" t="e">
        <f t="shared" si="39"/>
        <v>#VALUE!</v>
      </c>
      <c r="E1240" s="591"/>
      <c r="F1240" s="591"/>
      <c r="G1240" s="591"/>
      <c r="H1240" s="591"/>
      <c r="I1240" s="591"/>
      <c r="J1240" s="591"/>
      <c r="K1240" s="542"/>
      <c r="O1240" s="1134"/>
      <c r="Q1240" s="1133"/>
    </row>
    <row r="1241" spans="2:17" x14ac:dyDescent="0.3">
      <c r="B1241" s="126"/>
      <c r="C1241" s="583">
        <v>858</v>
      </c>
      <c r="D1241" s="625" t="e">
        <f t="shared" si="39"/>
        <v>#VALUE!</v>
      </c>
      <c r="E1241" s="591"/>
      <c r="F1241" s="591"/>
      <c r="G1241" s="591"/>
      <c r="H1241" s="591"/>
      <c r="I1241" s="591"/>
      <c r="J1241" s="591"/>
      <c r="K1241" s="542"/>
      <c r="O1241" s="1134"/>
      <c r="Q1241" s="1133"/>
    </row>
    <row r="1242" spans="2:17" x14ac:dyDescent="0.3">
      <c r="B1242" s="126"/>
      <c r="C1242" s="583">
        <v>859</v>
      </c>
      <c r="D1242" s="625" t="e">
        <f t="shared" si="39"/>
        <v>#VALUE!</v>
      </c>
      <c r="E1242" s="591"/>
      <c r="F1242" s="591"/>
      <c r="G1242" s="591"/>
      <c r="H1242" s="591"/>
      <c r="I1242" s="591"/>
      <c r="J1242" s="591"/>
      <c r="K1242" s="542"/>
      <c r="O1242" s="1134"/>
      <c r="Q1242" s="1133"/>
    </row>
    <row r="1243" spans="2:17" x14ac:dyDescent="0.3">
      <c r="B1243" s="126"/>
      <c r="C1243" s="583">
        <v>860</v>
      </c>
      <c r="D1243" s="625" t="e">
        <f t="shared" si="39"/>
        <v>#VALUE!</v>
      </c>
      <c r="E1243" s="591"/>
      <c r="F1243" s="591"/>
      <c r="G1243" s="591"/>
      <c r="H1243" s="591"/>
      <c r="I1243" s="591"/>
      <c r="J1243" s="591"/>
      <c r="K1243" s="542"/>
      <c r="O1243" s="1134"/>
      <c r="Q1243" s="1133"/>
    </row>
    <row r="1244" spans="2:17" x14ac:dyDescent="0.3">
      <c r="B1244" s="126"/>
      <c r="C1244" s="583">
        <v>861</v>
      </c>
      <c r="D1244" s="625" t="e">
        <f t="shared" si="39"/>
        <v>#VALUE!</v>
      </c>
      <c r="E1244" s="591"/>
      <c r="F1244" s="591"/>
      <c r="G1244" s="591"/>
      <c r="H1244" s="591"/>
      <c r="I1244" s="591"/>
      <c r="J1244" s="591"/>
      <c r="K1244" s="542"/>
      <c r="O1244" s="1134"/>
      <c r="Q1244" s="1133"/>
    </row>
    <row r="1245" spans="2:17" x14ac:dyDescent="0.3">
      <c r="B1245" s="126"/>
      <c r="C1245" s="583">
        <v>862</v>
      </c>
      <c r="D1245" s="625" t="e">
        <f t="shared" si="39"/>
        <v>#VALUE!</v>
      </c>
      <c r="E1245" s="591"/>
      <c r="F1245" s="591"/>
      <c r="G1245" s="591"/>
      <c r="H1245" s="591"/>
      <c r="I1245" s="591"/>
      <c r="J1245" s="591"/>
      <c r="K1245" s="542"/>
      <c r="O1245" s="1134"/>
      <c r="Q1245" s="1133"/>
    </row>
    <row r="1246" spans="2:17" x14ac:dyDescent="0.3">
      <c r="B1246" s="126"/>
      <c r="C1246" s="583">
        <v>863</v>
      </c>
      <c r="D1246" s="625" t="e">
        <f t="shared" si="39"/>
        <v>#VALUE!</v>
      </c>
      <c r="E1246" s="591"/>
      <c r="F1246" s="591"/>
      <c r="G1246" s="591"/>
      <c r="H1246" s="591"/>
      <c r="I1246" s="591"/>
      <c r="J1246" s="591"/>
      <c r="K1246" s="542"/>
      <c r="O1246" s="1134"/>
      <c r="Q1246" s="1133"/>
    </row>
    <row r="1247" spans="2:17" x14ac:dyDescent="0.3">
      <c r="B1247" s="126"/>
      <c r="C1247" s="583">
        <v>864</v>
      </c>
      <c r="D1247" s="625" t="e">
        <f t="shared" si="39"/>
        <v>#VALUE!</v>
      </c>
      <c r="E1247" s="591"/>
      <c r="F1247" s="591"/>
      <c r="G1247" s="591"/>
      <c r="H1247" s="591"/>
      <c r="I1247" s="591"/>
      <c r="J1247" s="591"/>
      <c r="K1247" s="542"/>
      <c r="O1247" s="1134"/>
      <c r="Q1247" s="1133"/>
    </row>
    <row r="1248" spans="2:17" x14ac:dyDescent="0.3">
      <c r="B1248" s="126"/>
      <c r="C1248" s="583">
        <v>865</v>
      </c>
      <c r="D1248" s="625" t="e">
        <f t="shared" si="39"/>
        <v>#VALUE!</v>
      </c>
      <c r="E1248" s="591"/>
      <c r="F1248" s="591"/>
      <c r="G1248" s="591"/>
      <c r="H1248" s="591"/>
      <c r="I1248" s="591"/>
      <c r="J1248" s="591"/>
      <c r="K1248" s="542"/>
      <c r="O1248" s="1134"/>
      <c r="Q1248" s="1133"/>
    </row>
    <row r="1249" spans="2:17" x14ac:dyDescent="0.3">
      <c r="B1249" s="126"/>
      <c r="C1249" s="583">
        <v>866</v>
      </c>
      <c r="D1249" s="625" t="e">
        <f t="shared" si="39"/>
        <v>#VALUE!</v>
      </c>
      <c r="E1249" s="591"/>
      <c r="F1249" s="591"/>
      <c r="G1249" s="591"/>
      <c r="H1249" s="591"/>
      <c r="I1249" s="591"/>
      <c r="J1249" s="591"/>
      <c r="K1249" s="542"/>
      <c r="O1249" s="1134"/>
      <c r="Q1249" s="1133"/>
    </row>
    <row r="1250" spans="2:17" x14ac:dyDescent="0.3">
      <c r="B1250" s="126"/>
      <c r="C1250" s="583">
        <v>867</v>
      </c>
      <c r="D1250" s="625" t="e">
        <f t="shared" si="39"/>
        <v>#VALUE!</v>
      </c>
      <c r="E1250" s="591"/>
      <c r="F1250" s="591"/>
      <c r="G1250" s="591"/>
      <c r="H1250" s="591"/>
      <c r="I1250" s="591"/>
      <c r="J1250" s="591"/>
      <c r="K1250" s="542"/>
      <c r="O1250" s="1134"/>
      <c r="Q1250" s="1133"/>
    </row>
    <row r="1251" spans="2:17" x14ac:dyDescent="0.3">
      <c r="B1251" s="126"/>
      <c r="C1251" s="583">
        <v>868</v>
      </c>
      <c r="D1251" s="625" t="e">
        <f t="shared" si="39"/>
        <v>#VALUE!</v>
      </c>
      <c r="E1251" s="591"/>
      <c r="F1251" s="591"/>
      <c r="G1251" s="591"/>
      <c r="H1251" s="591"/>
      <c r="I1251" s="591"/>
      <c r="J1251" s="591"/>
      <c r="K1251" s="542"/>
      <c r="O1251" s="1134"/>
      <c r="Q1251" s="1133"/>
    </row>
    <row r="1252" spans="2:17" x14ac:dyDescent="0.3">
      <c r="B1252" s="126"/>
      <c r="C1252" s="583">
        <v>869</v>
      </c>
      <c r="D1252" s="625" t="e">
        <f t="shared" si="39"/>
        <v>#VALUE!</v>
      </c>
      <c r="E1252" s="591"/>
      <c r="F1252" s="591"/>
      <c r="G1252" s="591"/>
      <c r="H1252" s="591"/>
      <c r="I1252" s="591"/>
      <c r="J1252" s="591"/>
      <c r="K1252" s="542"/>
      <c r="O1252" s="1134"/>
      <c r="Q1252" s="1133"/>
    </row>
    <row r="1253" spans="2:17" x14ac:dyDescent="0.3">
      <c r="B1253" s="126"/>
      <c r="C1253" s="583">
        <v>870</v>
      </c>
      <c r="D1253" s="625" t="e">
        <f t="shared" si="39"/>
        <v>#VALUE!</v>
      </c>
      <c r="E1253" s="591"/>
      <c r="F1253" s="591"/>
      <c r="G1253" s="591"/>
      <c r="H1253" s="591"/>
      <c r="I1253" s="591"/>
      <c r="J1253" s="591"/>
      <c r="K1253" s="542"/>
      <c r="O1253" s="1134"/>
      <c r="Q1253" s="1133"/>
    </row>
    <row r="1254" spans="2:17" x14ac:dyDescent="0.3">
      <c r="B1254" s="126"/>
      <c r="C1254" s="583">
        <v>871</v>
      </c>
      <c r="D1254" s="625" t="e">
        <f t="shared" si="39"/>
        <v>#VALUE!</v>
      </c>
      <c r="E1254" s="591"/>
      <c r="F1254" s="591"/>
      <c r="G1254" s="591"/>
      <c r="H1254" s="591"/>
      <c r="I1254" s="591"/>
      <c r="J1254" s="591"/>
      <c r="K1254" s="542"/>
      <c r="O1254" s="1134"/>
      <c r="Q1254" s="1133"/>
    </row>
    <row r="1255" spans="2:17" x14ac:dyDescent="0.3">
      <c r="B1255" s="126"/>
      <c r="C1255" s="583">
        <v>872</v>
      </c>
      <c r="D1255" s="625" t="e">
        <f t="shared" si="39"/>
        <v>#VALUE!</v>
      </c>
      <c r="E1255" s="591"/>
      <c r="F1255" s="591"/>
      <c r="G1255" s="591"/>
      <c r="H1255" s="591"/>
      <c r="I1255" s="591"/>
      <c r="J1255" s="591"/>
      <c r="K1255" s="542"/>
      <c r="O1255" s="1134"/>
      <c r="Q1255" s="1133"/>
    </row>
    <row r="1256" spans="2:17" x14ac:dyDescent="0.3">
      <c r="B1256" s="126"/>
      <c r="C1256" s="583">
        <v>873</v>
      </c>
      <c r="D1256" s="625" t="e">
        <f t="shared" si="39"/>
        <v>#VALUE!</v>
      </c>
      <c r="E1256" s="591"/>
      <c r="F1256" s="591"/>
      <c r="G1256" s="591"/>
      <c r="H1256" s="591"/>
      <c r="I1256" s="591"/>
      <c r="J1256" s="591"/>
      <c r="K1256" s="542"/>
      <c r="O1256" s="1134"/>
      <c r="Q1256" s="1133"/>
    </row>
    <row r="1257" spans="2:17" x14ac:dyDescent="0.3">
      <c r="B1257" s="126"/>
      <c r="C1257" s="583">
        <v>874</v>
      </c>
      <c r="D1257" s="625" t="e">
        <f t="shared" si="39"/>
        <v>#VALUE!</v>
      </c>
      <c r="E1257" s="591"/>
      <c r="F1257" s="591"/>
      <c r="G1257" s="591"/>
      <c r="H1257" s="591"/>
      <c r="I1257" s="591"/>
      <c r="J1257" s="591"/>
      <c r="K1257" s="542"/>
      <c r="O1257" s="1134"/>
      <c r="Q1257" s="1133"/>
    </row>
    <row r="1258" spans="2:17" x14ac:dyDescent="0.3">
      <c r="B1258" s="126"/>
      <c r="C1258" s="583">
        <v>875</v>
      </c>
      <c r="D1258" s="625" t="e">
        <f t="shared" si="39"/>
        <v>#VALUE!</v>
      </c>
      <c r="E1258" s="591"/>
      <c r="F1258" s="591"/>
      <c r="G1258" s="591"/>
      <c r="H1258" s="591"/>
      <c r="I1258" s="591"/>
      <c r="J1258" s="591"/>
      <c r="K1258" s="542"/>
      <c r="O1258" s="1134"/>
      <c r="Q1258" s="1133"/>
    </row>
    <row r="1259" spans="2:17" x14ac:dyDescent="0.3">
      <c r="B1259" s="126"/>
      <c r="C1259" s="583">
        <v>876</v>
      </c>
      <c r="D1259" s="625" t="e">
        <f t="shared" si="39"/>
        <v>#VALUE!</v>
      </c>
      <c r="E1259" s="591"/>
      <c r="F1259" s="591"/>
      <c r="G1259" s="591"/>
      <c r="H1259" s="591"/>
      <c r="I1259" s="591"/>
      <c r="J1259" s="591"/>
      <c r="K1259" s="542"/>
      <c r="O1259" s="1134"/>
      <c r="Q1259" s="1133"/>
    </row>
    <row r="1260" spans="2:17" x14ac:dyDescent="0.3">
      <c r="B1260" s="126"/>
      <c r="C1260" s="583">
        <v>877</v>
      </c>
      <c r="D1260" s="625" t="e">
        <f t="shared" si="39"/>
        <v>#VALUE!</v>
      </c>
      <c r="E1260" s="591"/>
      <c r="F1260" s="591"/>
      <c r="G1260" s="591"/>
      <c r="H1260" s="591"/>
      <c r="I1260" s="591"/>
      <c r="J1260" s="591"/>
      <c r="K1260" s="542"/>
      <c r="O1260" s="1134"/>
      <c r="Q1260" s="1133"/>
    </row>
    <row r="1261" spans="2:17" x14ac:dyDescent="0.3">
      <c r="B1261" s="126"/>
      <c r="C1261" s="583">
        <v>878</v>
      </c>
      <c r="D1261" s="625" t="e">
        <f t="shared" si="39"/>
        <v>#VALUE!</v>
      </c>
      <c r="E1261" s="591"/>
      <c r="F1261" s="591"/>
      <c r="G1261" s="591"/>
      <c r="H1261" s="591"/>
      <c r="I1261" s="591"/>
      <c r="J1261" s="591"/>
      <c r="K1261" s="542"/>
      <c r="O1261" s="1134"/>
      <c r="Q1261" s="1133"/>
    </row>
    <row r="1262" spans="2:17" x14ac:dyDescent="0.3">
      <c r="B1262" s="126"/>
      <c r="C1262" s="583">
        <v>879</v>
      </c>
      <c r="D1262" s="625" t="e">
        <f t="shared" si="39"/>
        <v>#VALUE!</v>
      </c>
      <c r="E1262" s="591"/>
      <c r="F1262" s="591"/>
      <c r="G1262" s="591"/>
      <c r="H1262" s="591"/>
      <c r="I1262" s="591"/>
      <c r="J1262" s="591"/>
      <c r="K1262" s="542"/>
      <c r="O1262" s="1134"/>
      <c r="Q1262" s="1133"/>
    </row>
    <row r="1263" spans="2:17" x14ac:dyDescent="0.3">
      <c r="B1263" s="126"/>
      <c r="C1263" s="583">
        <v>880</v>
      </c>
      <c r="D1263" s="625" t="e">
        <f t="shared" si="39"/>
        <v>#VALUE!</v>
      </c>
      <c r="E1263" s="591"/>
      <c r="F1263" s="591"/>
      <c r="G1263" s="591"/>
      <c r="H1263" s="591"/>
      <c r="I1263" s="591"/>
      <c r="J1263" s="591"/>
      <c r="K1263" s="542"/>
      <c r="O1263" s="1134"/>
      <c r="Q1263" s="1133"/>
    </row>
    <row r="1264" spans="2:17" x14ac:dyDescent="0.3">
      <c r="B1264" s="126"/>
      <c r="C1264" s="583">
        <v>881</v>
      </c>
      <c r="D1264" s="625" t="e">
        <f t="shared" si="39"/>
        <v>#VALUE!</v>
      </c>
      <c r="E1264" s="591"/>
      <c r="F1264" s="591"/>
      <c r="G1264" s="591"/>
      <c r="H1264" s="591"/>
      <c r="I1264" s="591"/>
      <c r="J1264" s="591"/>
      <c r="K1264" s="542"/>
      <c r="O1264" s="1134"/>
      <c r="Q1264" s="1133"/>
    </row>
    <row r="1265" spans="2:17" x14ac:dyDescent="0.3">
      <c r="B1265" s="126"/>
      <c r="C1265" s="583">
        <v>882</v>
      </c>
      <c r="D1265" s="625" t="e">
        <f t="shared" si="39"/>
        <v>#VALUE!</v>
      </c>
      <c r="E1265" s="591"/>
      <c r="F1265" s="591"/>
      <c r="G1265" s="591"/>
      <c r="H1265" s="591"/>
      <c r="I1265" s="591"/>
      <c r="J1265" s="591"/>
      <c r="K1265" s="542"/>
      <c r="O1265" s="1134"/>
      <c r="Q1265" s="1133"/>
    </row>
    <row r="1266" spans="2:17" x14ac:dyDescent="0.3">
      <c r="B1266" s="126"/>
      <c r="C1266" s="583">
        <v>883</v>
      </c>
      <c r="D1266" s="625" t="e">
        <f t="shared" si="39"/>
        <v>#VALUE!</v>
      </c>
      <c r="E1266" s="591"/>
      <c r="F1266" s="591"/>
      <c r="G1266" s="591"/>
      <c r="H1266" s="591"/>
      <c r="I1266" s="591"/>
      <c r="J1266" s="591"/>
      <c r="K1266" s="542"/>
      <c r="O1266" s="1134"/>
      <c r="Q1266" s="1133"/>
    </row>
    <row r="1267" spans="2:17" x14ac:dyDescent="0.3">
      <c r="B1267" s="126"/>
      <c r="C1267" s="583">
        <v>884</v>
      </c>
      <c r="D1267" s="625" t="e">
        <f t="shared" si="39"/>
        <v>#VALUE!</v>
      </c>
      <c r="E1267" s="591"/>
      <c r="F1267" s="591"/>
      <c r="G1267" s="591"/>
      <c r="H1267" s="591"/>
      <c r="I1267" s="591"/>
      <c r="J1267" s="591"/>
      <c r="K1267" s="542"/>
      <c r="O1267" s="1134"/>
      <c r="Q1267" s="1133"/>
    </row>
    <row r="1268" spans="2:17" x14ac:dyDescent="0.3">
      <c r="B1268" s="126"/>
      <c r="C1268" s="583">
        <v>885</v>
      </c>
      <c r="D1268" s="625" t="e">
        <f t="shared" si="39"/>
        <v>#VALUE!</v>
      </c>
      <c r="E1268" s="591"/>
      <c r="F1268" s="591"/>
      <c r="G1268" s="591"/>
      <c r="H1268" s="591"/>
      <c r="I1268" s="591"/>
      <c r="J1268" s="591"/>
      <c r="K1268" s="542"/>
      <c r="O1268" s="1134"/>
      <c r="Q1268" s="1133"/>
    </row>
    <row r="1269" spans="2:17" x14ac:dyDescent="0.3">
      <c r="B1269" s="126"/>
      <c r="C1269" s="583">
        <v>886</v>
      </c>
      <c r="D1269" s="625" t="e">
        <f t="shared" si="39"/>
        <v>#VALUE!</v>
      </c>
      <c r="E1269" s="591"/>
      <c r="F1269" s="591"/>
      <c r="G1269" s="591"/>
      <c r="H1269" s="591"/>
      <c r="I1269" s="591"/>
      <c r="J1269" s="591"/>
      <c r="K1269" s="542"/>
      <c r="O1269" s="1134"/>
      <c r="Q1269" s="1133"/>
    </row>
    <row r="1270" spans="2:17" x14ac:dyDescent="0.3">
      <c r="B1270" s="126"/>
      <c r="C1270" s="583">
        <v>887</v>
      </c>
      <c r="D1270" s="625" t="e">
        <f t="shared" si="39"/>
        <v>#VALUE!</v>
      </c>
      <c r="E1270" s="591"/>
      <c r="F1270" s="591"/>
      <c r="G1270" s="591"/>
      <c r="H1270" s="591"/>
      <c r="I1270" s="591"/>
      <c r="J1270" s="591"/>
      <c r="K1270" s="542"/>
      <c r="O1270" s="1134"/>
      <c r="Q1270" s="1133"/>
    </row>
    <row r="1271" spans="2:17" x14ac:dyDescent="0.3">
      <c r="B1271" s="126"/>
      <c r="C1271" s="583">
        <v>888</v>
      </c>
      <c r="D1271" s="625" t="e">
        <f t="shared" si="39"/>
        <v>#VALUE!</v>
      </c>
      <c r="E1271" s="591"/>
      <c r="F1271" s="591"/>
      <c r="G1271" s="591"/>
      <c r="H1271" s="591"/>
      <c r="I1271" s="591"/>
      <c r="J1271" s="591"/>
      <c r="K1271" s="542"/>
      <c r="O1271" s="1134"/>
      <c r="Q1271" s="1133"/>
    </row>
    <row r="1272" spans="2:17" x14ac:dyDescent="0.3">
      <c r="B1272" s="126"/>
      <c r="C1272" s="583">
        <v>889</v>
      </c>
      <c r="D1272" s="625" t="e">
        <f t="shared" si="39"/>
        <v>#VALUE!</v>
      </c>
      <c r="E1272" s="591"/>
      <c r="F1272" s="591"/>
      <c r="G1272" s="591"/>
      <c r="H1272" s="591"/>
      <c r="I1272" s="591"/>
      <c r="J1272" s="591"/>
      <c r="K1272" s="542"/>
      <c r="O1272" s="1134"/>
      <c r="Q1272" s="1133"/>
    </row>
    <row r="1273" spans="2:17" x14ac:dyDescent="0.3">
      <c r="B1273" s="126"/>
      <c r="C1273" s="583">
        <v>890</v>
      </c>
      <c r="D1273" s="625" t="e">
        <f t="shared" si="39"/>
        <v>#VALUE!</v>
      </c>
      <c r="E1273" s="591"/>
      <c r="F1273" s="591"/>
      <c r="G1273" s="591"/>
      <c r="H1273" s="591"/>
      <c r="I1273" s="591"/>
      <c r="J1273" s="591"/>
      <c r="K1273" s="542"/>
      <c r="O1273" s="1134"/>
      <c r="Q1273" s="1133"/>
    </row>
    <row r="1274" spans="2:17" x14ac:dyDescent="0.3">
      <c r="B1274" s="126"/>
      <c r="C1274" s="583">
        <v>891</v>
      </c>
      <c r="D1274" s="625" t="e">
        <f t="shared" si="39"/>
        <v>#VALUE!</v>
      </c>
      <c r="E1274" s="591"/>
      <c r="F1274" s="591"/>
      <c r="G1274" s="591"/>
      <c r="H1274" s="591"/>
      <c r="I1274" s="591"/>
      <c r="J1274" s="591"/>
      <c r="K1274" s="542"/>
      <c r="O1274" s="1134"/>
      <c r="Q1274" s="1133"/>
    </row>
    <row r="1275" spans="2:17" x14ac:dyDescent="0.3">
      <c r="B1275" s="126"/>
      <c r="C1275" s="583">
        <v>892</v>
      </c>
      <c r="D1275" s="625" t="e">
        <f t="shared" si="39"/>
        <v>#VALUE!</v>
      </c>
      <c r="E1275" s="591"/>
      <c r="F1275" s="591"/>
      <c r="G1275" s="591"/>
      <c r="H1275" s="591"/>
      <c r="I1275" s="591"/>
      <c r="J1275" s="591"/>
      <c r="K1275" s="542"/>
      <c r="O1275" s="1134"/>
      <c r="Q1275" s="1133"/>
    </row>
    <row r="1276" spans="2:17" x14ac:dyDescent="0.3">
      <c r="B1276" s="126"/>
      <c r="C1276" s="583">
        <v>893</v>
      </c>
      <c r="D1276" s="625" t="e">
        <f t="shared" si="39"/>
        <v>#VALUE!</v>
      </c>
      <c r="E1276" s="591"/>
      <c r="F1276" s="591"/>
      <c r="G1276" s="591"/>
      <c r="H1276" s="591"/>
      <c r="I1276" s="591"/>
      <c r="J1276" s="591"/>
      <c r="K1276" s="542"/>
      <c r="O1276" s="1134"/>
      <c r="Q1276" s="1133"/>
    </row>
    <row r="1277" spans="2:17" x14ac:dyDescent="0.3">
      <c r="B1277" s="126"/>
      <c r="C1277" s="583">
        <v>894</v>
      </c>
      <c r="D1277" s="625" t="e">
        <f t="shared" si="39"/>
        <v>#VALUE!</v>
      </c>
      <c r="E1277" s="591"/>
      <c r="F1277" s="591"/>
      <c r="G1277" s="591"/>
      <c r="H1277" s="591"/>
      <c r="I1277" s="591"/>
      <c r="J1277" s="591"/>
      <c r="K1277" s="542"/>
      <c r="O1277" s="1134"/>
      <c r="Q1277" s="1133"/>
    </row>
    <row r="1278" spans="2:17" x14ac:dyDescent="0.3">
      <c r="B1278" s="126"/>
      <c r="C1278" s="583">
        <v>895</v>
      </c>
      <c r="D1278" s="625" t="e">
        <f t="shared" si="39"/>
        <v>#VALUE!</v>
      </c>
      <c r="E1278" s="591"/>
      <c r="F1278" s="591"/>
      <c r="G1278" s="591"/>
      <c r="H1278" s="591"/>
      <c r="I1278" s="591"/>
      <c r="J1278" s="591"/>
      <c r="K1278" s="542"/>
      <c r="O1278" s="1134"/>
      <c r="Q1278" s="1133"/>
    </row>
    <row r="1279" spans="2:17" x14ac:dyDescent="0.3">
      <c r="B1279" s="126"/>
      <c r="C1279" s="583">
        <v>896</v>
      </c>
      <c r="D1279" s="625" t="e">
        <f t="shared" ref="D1279:D1342" si="40">$C$362*C1279</f>
        <v>#VALUE!</v>
      </c>
      <c r="E1279" s="591"/>
      <c r="F1279" s="591"/>
      <c r="G1279" s="591"/>
      <c r="H1279" s="591"/>
      <c r="I1279" s="591"/>
      <c r="J1279" s="591"/>
      <c r="K1279" s="542"/>
      <c r="O1279" s="1134"/>
      <c r="Q1279" s="1133"/>
    </row>
    <row r="1280" spans="2:17" x14ac:dyDescent="0.3">
      <c r="B1280" s="126"/>
      <c r="C1280" s="583">
        <v>897</v>
      </c>
      <c r="D1280" s="625" t="e">
        <f t="shared" si="40"/>
        <v>#VALUE!</v>
      </c>
      <c r="E1280" s="591"/>
      <c r="F1280" s="591"/>
      <c r="G1280" s="591"/>
      <c r="H1280" s="591"/>
      <c r="I1280" s="591"/>
      <c r="J1280" s="591"/>
      <c r="K1280" s="542"/>
      <c r="O1280" s="1134"/>
      <c r="Q1280" s="1133"/>
    </row>
    <row r="1281" spans="2:17" x14ac:dyDescent="0.3">
      <c r="B1281" s="126"/>
      <c r="C1281" s="583">
        <v>898</v>
      </c>
      <c r="D1281" s="625" t="e">
        <f t="shared" si="40"/>
        <v>#VALUE!</v>
      </c>
      <c r="E1281" s="591"/>
      <c r="F1281" s="591"/>
      <c r="G1281" s="591"/>
      <c r="H1281" s="591"/>
      <c r="I1281" s="591"/>
      <c r="J1281" s="591"/>
      <c r="K1281" s="542"/>
      <c r="O1281" s="1134"/>
      <c r="Q1281" s="1133"/>
    </row>
    <row r="1282" spans="2:17" x14ac:dyDescent="0.3">
      <c r="B1282" s="126"/>
      <c r="C1282" s="583">
        <v>899</v>
      </c>
      <c r="D1282" s="625" t="e">
        <f t="shared" si="40"/>
        <v>#VALUE!</v>
      </c>
      <c r="E1282" s="591"/>
      <c r="F1282" s="591"/>
      <c r="G1282" s="591"/>
      <c r="H1282" s="591"/>
      <c r="I1282" s="591"/>
      <c r="J1282" s="591"/>
      <c r="K1282" s="542"/>
      <c r="O1282" s="1134"/>
      <c r="Q1282" s="1133"/>
    </row>
    <row r="1283" spans="2:17" x14ac:dyDescent="0.3">
      <c r="B1283" s="126"/>
      <c r="C1283" s="583">
        <v>900</v>
      </c>
      <c r="D1283" s="625" t="e">
        <f t="shared" si="40"/>
        <v>#VALUE!</v>
      </c>
      <c r="E1283" s="591"/>
      <c r="F1283" s="591"/>
      <c r="G1283" s="591"/>
      <c r="H1283" s="591"/>
      <c r="I1283" s="591"/>
      <c r="J1283" s="591"/>
      <c r="K1283" s="542"/>
      <c r="O1283" s="1134"/>
      <c r="Q1283" s="1133"/>
    </row>
    <row r="1284" spans="2:17" x14ac:dyDescent="0.3">
      <c r="B1284" s="126"/>
      <c r="C1284" s="583">
        <v>901</v>
      </c>
      <c r="D1284" s="625" t="e">
        <f t="shared" si="40"/>
        <v>#VALUE!</v>
      </c>
      <c r="E1284" s="591"/>
      <c r="F1284" s="591"/>
      <c r="G1284" s="591"/>
      <c r="H1284" s="591"/>
      <c r="I1284" s="591"/>
      <c r="J1284" s="591"/>
      <c r="K1284" s="542"/>
      <c r="O1284" s="1134"/>
      <c r="Q1284" s="1133"/>
    </row>
    <row r="1285" spans="2:17" x14ac:dyDescent="0.3">
      <c r="B1285" s="126"/>
      <c r="C1285" s="583">
        <v>902</v>
      </c>
      <c r="D1285" s="625" t="e">
        <f t="shared" si="40"/>
        <v>#VALUE!</v>
      </c>
      <c r="E1285" s="591"/>
      <c r="F1285" s="591"/>
      <c r="G1285" s="591"/>
      <c r="H1285" s="591"/>
      <c r="I1285" s="591"/>
      <c r="J1285" s="591"/>
      <c r="K1285" s="542"/>
      <c r="O1285" s="1134"/>
      <c r="Q1285" s="1133"/>
    </row>
    <row r="1286" spans="2:17" x14ac:dyDescent="0.3">
      <c r="B1286" s="126"/>
      <c r="C1286" s="583">
        <v>903</v>
      </c>
      <c r="D1286" s="625" t="e">
        <f t="shared" si="40"/>
        <v>#VALUE!</v>
      </c>
      <c r="E1286" s="591"/>
      <c r="F1286" s="591"/>
      <c r="G1286" s="591"/>
      <c r="H1286" s="591"/>
      <c r="I1286" s="591"/>
      <c r="J1286" s="591"/>
      <c r="K1286" s="542"/>
      <c r="O1286" s="1134"/>
      <c r="Q1286" s="1133"/>
    </row>
    <row r="1287" spans="2:17" x14ac:dyDescent="0.3">
      <c r="B1287" s="126"/>
      <c r="C1287" s="583">
        <v>904</v>
      </c>
      <c r="D1287" s="625" t="e">
        <f t="shared" si="40"/>
        <v>#VALUE!</v>
      </c>
      <c r="E1287" s="591"/>
      <c r="F1287" s="591"/>
      <c r="G1287" s="591"/>
      <c r="H1287" s="591"/>
      <c r="I1287" s="591"/>
      <c r="J1287" s="591"/>
      <c r="K1287" s="542"/>
      <c r="O1287" s="1134"/>
      <c r="Q1287" s="1133"/>
    </row>
    <row r="1288" spans="2:17" x14ac:dyDescent="0.3">
      <c r="B1288" s="126"/>
      <c r="C1288" s="583">
        <v>905</v>
      </c>
      <c r="D1288" s="625" t="e">
        <f t="shared" si="40"/>
        <v>#VALUE!</v>
      </c>
      <c r="E1288" s="591"/>
      <c r="F1288" s="591"/>
      <c r="G1288" s="591"/>
      <c r="H1288" s="591"/>
      <c r="I1288" s="591"/>
      <c r="J1288" s="591"/>
      <c r="K1288" s="542"/>
      <c r="O1288" s="1134"/>
      <c r="Q1288" s="1133"/>
    </row>
    <row r="1289" spans="2:17" x14ac:dyDescent="0.3">
      <c r="B1289" s="126"/>
      <c r="C1289" s="583">
        <v>906</v>
      </c>
      <c r="D1289" s="625" t="e">
        <f t="shared" si="40"/>
        <v>#VALUE!</v>
      </c>
      <c r="E1289" s="591"/>
      <c r="F1289" s="591"/>
      <c r="G1289" s="591"/>
      <c r="H1289" s="591"/>
      <c r="I1289" s="591"/>
      <c r="J1289" s="591"/>
      <c r="K1289" s="542"/>
      <c r="O1289" s="1134"/>
      <c r="Q1289" s="1133"/>
    </row>
    <row r="1290" spans="2:17" x14ac:dyDescent="0.3">
      <c r="B1290" s="126"/>
      <c r="C1290" s="583">
        <v>907</v>
      </c>
      <c r="D1290" s="625" t="e">
        <f t="shared" si="40"/>
        <v>#VALUE!</v>
      </c>
      <c r="E1290" s="591"/>
      <c r="F1290" s="591"/>
      <c r="G1290" s="591"/>
      <c r="H1290" s="591"/>
      <c r="I1290" s="591"/>
      <c r="J1290" s="591"/>
      <c r="K1290" s="542"/>
      <c r="O1290" s="1134"/>
      <c r="Q1290" s="1133"/>
    </row>
    <row r="1291" spans="2:17" x14ac:dyDescent="0.3">
      <c r="B1291" s="126"/>
      <c r="C1291" s="583">
        <v>908</v>
      </c>
      <c r="D1291" s="625" t="e">
        <f t="shared" si="40"/>
        <v>#VALUE!</v>
      </c>
      <c r="E1291" s="591"/>
      <c r="F1291" s="591"/>
      <c r="G1291" s="591"/>
      <c r="H1291" s="591"/>
      <c r="I1291" s="591"/>
      <c r="J1291" s="591"/>
      <c r="K1291" s="542"/>
      <c r="O1291" s="1134"/>
      <c r="Q1291" s="1133"/>
    </row>
    <row r="1292" spans="2:17" x14ac:dyDescent="0.3">
      <c r="B1292" s="126"/>
      <c r="C1292" s="583">
        <v>909</v>
      </c>
      <c r="D1292" s="625" t="e">
        <f t="shared" si="40"/>
        <v>#VALUE!</v>
      </c>
      <c r="E1292" s="591"/>
      <c r="F1292" s="591"/>
      <c r="G1292" s="591"/>
      <c r="H1292" s="591"/>
      <c r="I1292" s="591"/>
      <c r="J1292" s="591"/>
      <c r="K1292" s="542"/>
      <c r="O1292" s="1134"/>
      <c r="Q1292" s="1133"/>
    </row>
    <row r="1293" spans="2:17" x14ac:dyDescent="0.3">
      <c r="B1293" s="126"/>
      <c r="C1293" s="583">
        <v>910</v>
      </c>
      <c r="D1293" s="625" t="e">
        <f t="shared" si="40"/>
        <v>#VALUE!</v>
      </c>
      <c r="E1293" s="591"/>
      <c r="F1293" s="591"/>
      <c r="G1293" s="591"/>
      <c r="H1293" s="591"/>
      <c r="I1293" s="591"/>
      <c r="J1293" s="591"/>
      <c r="K1293" s="542"/>
      <c r="O1293" s="1134"/>
      <c r="Q1293" s="1133"/>
    </row>
    <row r="1294" spans="2:17" x14ac:dyDescent="0.3">
      <c r="B1294" s="126"/>
      <c r="C1294" s="583">
        <v>911</v>
      </c>
      <c r="D1294" s="625" t="e">
        <f t="shared" si="40"/>
        <v>#VALUE!</v>
      </c>
      <c r="E1294" s="591"/>
      <c r="F1294" s="591"/>
      <c r="G1294" s="591"/>
      <c r="H1294" s="591"/>
      <c r="I1294" s="591"/>
      <c r="J1294" s="591"/>
      <c r="K1294" s="542"/>
      <c r="O1294" s="1134"/>
      <c r="Q1294" s="1133"/>
    </row>
    <row r="1295" spans="2:17" x14ac:dyDescent="0.3">
      <c r="B1295" s="126"/>
      <c r="C1295" s="583">
        <v>912</v>
      </c>
      <c r="D1295" s="625" t="e">
        <f t="shared" si="40"/>
        <v>#VALUE!</v>
      </c>
      <c r="E1295" s="591"/>
      <c r="F1295" s="591"/>
      <c r="G1295" s="591"/>
      <c r="H1295" s="591"/>
      <c r="I1295" s="591"/>
      <c r="J1295" s="591"/>
      <c r="K1295" s="542"/>
      <c r="O1295" s="1134"/>
      <c r="Q1295" s="1133"/>
    </row>
    <row r="1296" spans="2:17" x14ac:dyDescent="0.3">
      <c r="B1296" s="126"/>
      <c r="C1296" s="583">
        <v>913</v>
      </c>
      <c r="D1296" s="625" t="e">
        <f t="shared" si="40"/>
        <v>#VALUE!</v>
      </c>
      <c r="E1296" s="591"/>
      <c r="F1296" s="591"/>
      <c r="G1296" s="591"/>
      <c r="H1296" s="591"/>
      <c r="I1296" s="591"/>
      <c r="J1296" s="591"/>
      <c r="K1296" s="542"/>
      <c r="O1296" s="1134"/>
      <c r="Q1296" s="1133"/>
    </row>
    <row r="1297" spans="2:17" x14ac:dyDescent="0.3">
      <c r="B1297" s="126"/>
      <c r="C1297" s="583">
        <v>914</v>
      </c>
      <c r="D1297" s="625" t="e">
        <f t="shared" si="40"/>
        <v>#VALUE!</v>
      </c>
      <c r="E1297" s="591"/>
      <c r="F1297" s="591"/>
      <c r="G1297" s="591"/>
      <c r="H1297" s="591"/>
      <c r="I1297" s="591"/>
      <c r="J1297" s="591"/>
      <c r="K1297" s="542"/>
      <c r="O1297" s="1134"/>
      <c r="Q1297" s="1133"/>
    </row>
    <row r="1298" spans="2:17" x14ac:dyDescent="0.3">
      <c r="B1298" s="126"/>
      <c r="C1298" s="583">
        <v>915</v>
      </c>
      <c r="D1298" s="625" t="e">
        <f t="shared" si="40"/>
        <v>#VALUE!</v>
      </c>
      <c r="E1298" s="591"/>
      <c r="F1298" s="591"/>
      <c r="G1298" s="591"/>
      <c r="H1298" s="591"/>
      <c r="I1298" s="591"/>
      <c r="J1298" s="591"/>
      <c r="K1298" s="542"/>
      <c r="O1298" s="1134"/>
      <c r="Q1298" s="1133"/>
    </row>
    <row r="1299" spans="2:17" x14ac:dyDescent="0.3">
      <c r="B1299" s="126"/>
      <c r="C1299" s="583">
        <v>916</v>
      </c>
      <c r="D1299" s="625" t="e">
        <f t="shared" si="40"/>
        <v>#VALUE!</v>
      </c>
      <c r="E1299" s="591"/>
      <c r="F1299" s="591"/>
      <c r="G1299" s="591"/>
      <c r="H1299" s="591"/>
      <c r="I1299" s="591"/>
      <c r="J1299" s="591"/>
      <c r="K1299" s="542"/>
      <c r="O1299" s="1134"/>
      <c r="Q1299" s="1133"/>
    </row>
    <row r="1300" spans="2:17" x14ac:dyDescent="0.3">
      <c r="B1300" s="126"/>
      <c r="C1300" s="583">
        <v>917</v>
      </c>
      <c r="D1300" s="625" t="e">
        <f t="shared" si="40"/>
        <v>#VALUE!</v>
      </c>
      <c r="E1300" s="591"/>
      <c r="F1300" s="591"/>
      <c r="G1300" s="591"/>
      <c r="H1300" s="591"/>
      <c r="I1300" s="591"/>
      <c r="J1300" s="591"/>
      <c r="K1300" s="542"/>
      <c r="O1300" s="1134"/>
      <c r="Q1300" s="1133"/>
    </row>
    <row r="1301" spans="2:17" x14ac:dyDescent="0.3">
      <c r="B1301" s="126"/>
      <c r="C1301" s="583">
        <v>918</v>
      </c>
      <c r="D1301" s="625" t="e">
        <f t="shared" si="40"/>
        <v>#VALUE!</v>
      </c>
      <c r="E1301" s="591"/>
      <c r="F1301" s="591"/>
      <c r="G1301" s="591"/>
      <c r="H1301" s="591"/>
      <c r="I1301" s="591"/>
      <c r="J1301" s="591"/>
      <c r="K1301" s="542"/>
      <c r="O1301" s="1134"/>
      <c r="Q1301" s="1133"/>
    </row>
    <row r="1302" spans="2:17" x14ac:dyDescent="0.3">
      <c r="B1302" s="126"/>
      <c r="C1302" s="583">
        <v>919</v>
      </c>
      <c r="D1302" s="625" t="e">
        <f t="shared" si="40"/>
        <v>#VALUE!</v>
      </c>
      <c r="E1302" s="591"/>
      <c r="F1302" s="591"/>
      <c r="G1302" s="591"/>
      <c r="H1302" s="591"/>
      <c r="I1302" s="591"/>
      <c r="J1302" s="591"/>
      <c r="K1302" s="542"/>
      <c r="O1302" s="1134"/>
      <c r="Q1302" s="1133"/>
    </row>
    <row r="1303" spans="2:17" x14ac:dyDescent="0.3">
      <c r="B1303" s="126"/>
      <c r="C1303" s="583">
        <v>920</v>
      </c>
      <c r="D1303" s="625" t="e">
        <f t="shared" si="40"/>
        <v>#VALUE!</v>
      </c>
      <c r="E1303" s="591"/>
      <c r="F1303" s="591"/>
      <c r="G1303" s="591"/>
      <c r="H1303" s="591"/>
      <c r="I1303" s="591"/>
      <c r="J1303" s="591"/>
      <c r="K1303" s="542"/>
      <c r="O1303" s="1134"/>
      <c r="Q1303" s="1133"/>
    </row>
    <row r="1304" spans="2:17" x14ac:dyDescent="0.3">
      <c r="B1304" s="126"/>
      <c r="C1304" s="583">
        <v>921</v>
      </c>
      <c r="D1304" s="625" t="e">
        <f t="shared" si="40"/>
        <v>#VALUE!</v>
      </c>
      <c r="E1304" s="591"/>
      <c r="F1304" s="591"/>
      <c r="G1304" s="591"/>
      <c r="H1304" s="591"/>
      <c r="I1304" s="591"/>
      <c r="J1304" s="591"/>
      <c r="K1304" s="542"/>
      <c r="O1304" s="1134"/>
      <c r="Q1304" s="1133"/>
    </row>
    <row r="1305" spans="2:17" x14ac:dyDescent="0.3">
      <c r="B1305" s="126"/>
      <c r="C1305" s="583">
        <v>922</v>
      </c>
      <c r="D1305" s="625" t="e">
        <f t="shared" si="40"/>
        <v>#VALUE!</v>
      </c>
      <c r="E1305" s="591"/>
      <c r="F1305" s="591"/>
      <c r="G1305" s="591"/>
      <c r="H1305" s="591"/>
      <c r="I1305" s="591"/>
      <c r="J1305" s="591"/>
      <c r="K1305" s="542"/>
      <c r="O1305" s="1134"/>
      <c r="Q1305" s="1133"/>
    </row>
    <row r="1306" spans="2:17" x14ac:dyDescent="0.3">
      <c r="B1306" s="126"/>
      <c r="C1306" s="583">
        <v>923</v>
      </c>
      <c r="D1306" s="625" t="e">
        <f t="shared" si="40"/>
        <v>#VALUE!</v>
      </c>
      <c r="E1306" s="591"/>
      <c r="F1306" s="591"/>
      <c r="G1306" s="591"/>
      <c r="H1306" s="591"/>
      <c r="I1306" s="591"/>
      <c r="J1306" s="591"/>
      <c r="K1306" s="542"/>
      <c r="O1306" s="1134"/>
      <c r="Q1306" s="1133"/>
    </row>
    <row r="1307" spans="2:17" x14ac:dyDescent="0.3">
      <c r="B1307" s="126"/>
      <c r="C1307" s="583">
        <v>924</v>
      </c>
      <c r="D1307" s="625" t="e">
        <f t="shared" si="40"/>
        <v>#VALUE!</v>
      </c>
      <c r="E1307" s="591"/>
      <c r="F1307" s="591"/>
      <c r="G1307" s="591"/>
      <c r="H1307" s="591"/>
      <c r="I1307" s="591"/>
      <c r="J1307" s="591"/>
      <c r="K1307" s="542"/>
      <c r="O1307" s="1134"/>
      <c r="Q1307" s="1133"/>
    </row>
    <row r="1308" spans="2:17" x14ac:dyDescent="0.3">
      <c r="B1308" s="126"/>
      <c r="C1308" s="583">
        <v>925</v>
      </c>
      <c r="D1308" s="625" t="e">
        <f t="shared" si="40"/>
        <v>#VALUE!</v>
      </c>
      <c r="E1308" s="591"/>
      <c r="F1308" s="591"/>
      <c r="G1308" s="591"/>
      <c r="H1308" s="591"/>
      <c r="I1308" s="591"/>
      <c r="J1308" s="591"/>
      <c r="K1308" s="542"/>
      <c r="O1308" s="1134"/>
      <c r="Q1308" s="1133"/>
    </row>
    <row r="1309" spans="2:17" x14ac:dyDescent="0.3">
      <c r="B1309" s="126"/>
      <c r="C1309" s="583">
        <v>926</v>
      </c>
      <c r="D1309" s="625" t="e">
        <f t="shared" si="40"/>
        <v>#VALUE!</v>
      </c>
      <c r="E1309" s="591"/>
      <c r="F1309" s="591"/>
      <c r="G1309" s="591"/>
      <c r="H1309" s="591"/>
      <c r="I1309" s="591"/>
      <c r="J1309" s="591"/>
      <c r="K1309" s="542"/>
      <c r="O1309" s="1134"/>
      <c r="Q1309" s="1133"/>
    </row>
    <row r="1310" spans="2:17" x14ac:dyDescent="0.3">
      <c r="B1310" s="126"/>
      <c r="C1310" s="583">
        <v>927</v>
      </c>
      <c r="D1310" s="625" t="e">
        <f t="shared" si="40"/>
        <v>#VALUE!</v>
      </c>
      <c r="E1310" s="591"/>
      <c r="F1310" s="591"/>
      <c r="G1310" s="591"/>
      <c r="H1310" s="591"/>
      <c r="I1310" s="591"/>
      <c r="J1310" s="591"/>
      <c r="K1310" s="542"/>
      <c r="O1310" s="1134"/>
      <c r="Q1310" s="1133"/>
    </row>
    <row r="1311" spans="2:17" x14ac:dyDescent="0.3">
      <c r="B1311" s="126"/>
      <c r="C1311" s="583">
        <v>928</v>
      </c>
      <c r="D1311" s="625" t="e">
        <f t="shared" si="40"/>
        <v>#VALUE!</v>
      </c>
      <c r="E1311" s="591"/>
      <c r="F1311" s="591"/>
      <c r="G1311" s="591"/>
      <c r="H1311" s="591"/>
      <c r="I1311" s="591"/>
      <c r="J1311" s="591"/>
      <c r="K1311" s="542"/>
      <c r="O1311" s="1134"/>
      <c r="Q1311" s="1133"/>
    </row>
    <row r="1312" spans="2:17" x14ac:dyDescent="0.3">
      <c r="B1312" s="126"/>
      <c r="C1312" s="583">
        <v>929</v>
      </c>
      <c r="D1312" s="625" t="e">
        <f t="shared" si="40"/>
        <v>#VALUE!</v>
      </c>
      <c r="E1312" s="591"/>
      <c r="F1312" s="591"/>
      <c r="G1312" s="591"/>
      <c r="H1312" s="591"/>
      <c r="I1312" s="591"/>
      <c r="J1312" s="591"/>
      <c r="K1312" s="542"/>
      <c r="O1312" s="1134"/>
      <c r="Q1312" s="1133"/>
    </row>
    <row r="1313" spans="2:17" x14ac:dyDescent="0.3">
      <c r="B1313" s="126"/>
      <c r="C1313" s="583">
        <v>930</v>
      </c>
      <c r="D1313" s="625" t="e">
        <f t="shared" si="40"/>
        <v>#VALUE!</v>
      </c>
      <c r="E1313" s="591"/>
      <c r="F1313" s="591"/>
      <c r="G1313" s="591"/>
      <c r="H1313" s="591"/>
      <c r="I1313" s="591"/>
      <c r="J1313" s="591"/>
      <c r="K1313" s="542"/>
      <c r="O1313" s="1134"/>
      <c r="Q1313" s="1133"/>
    </row>
    <row r="1314" spans="2:17" x14ac:dyDescent="0.3">
      <c r="B1314" s="126"/>
      <c r="C1314" s="583">
        <v>931</v>
      </c>
      <c r="D1314" s="625" t="e">
        <f t="shared" si="40"/>
        <v>#VALUE!</v>
      </c>
      <c r="E1314" s="591"/>
      <c r="F1314" s="591"/>
      <c r="G1314" s="591"/>
      <c r="H1314" s="591"/>
      <c r="I1314" s="591"/>
      <c r="J1314" s="591"/>
      <c r="K1314" s="542"/>
      <c r="O1314" s="1134"/>
      <c r="Q1314" s="1133"/>
    </row>
    <row r="1315" spans="2:17" x14ac:dyDescent="0.3">
      <c r="B1315" s="126"/>
      <c r="C1315" s="583">
        <v>932</v>
      </c>
      <c r="D1315" s="625" t="e">
        <f t="shared" si="40"/>
        <v>#VALUE!</v>
      </c>
      <c r="E1315" s="591"/>
      <c r="F1315" s="591"/>
      <c r="G1315" s="591"/>
      <c r="H1315" s="591"/>
      <c r="I1315" s="591"/>
      <c r="J1315" s="591"/>
      <c r="K1315" s="542"/>
      <c r="O1315" s="1134"/>
      <c r="Q1315" s="1133"/>
    </row>
    <row r="1316" spans="2:17" x14ac:dyDescent="0.3">
      <c r="B1316" s="126"/>
      <c r="C1316" s="583">
        <v>933</v>
      </c>
      <c r="D1316" s="625" t="e">
        <f t="shared" si="40"/>
        <v>#VALUE!</v>
      </c>
      <c r="E1316" s="591"/>
      <c r="F1316" s="591"/>
      <c r="G1316" s="591"/>
      <c r="H1316" s="591"/>
      <c r="I1316" s="591"/>
      <c r="J1316" s="591"/>
      <c r="K1316" s="542"/>
      <c r="O1316" s="1134"/>
      <c r="Q1316" s="1133"/>
    </row>
    <row r="1317" spans="2:17" x14ac:dyDescent="0.3">
      <c r="B1317" s="126"/>
      <c r="C1317" s="583">
        <v>934</v>
      </c>
      <c r="D1317" s="625" t="e">
        <f t="shared" si="40"/>
        <v>#VALUE!</v>
      </c>
      <c r="E1317" s="591"/>
      <c r="F1317" s="591"/>
      <c r="G1317" s="591"/>
      <c r="H1317" s="591"/>
      <c r="I1317" s="591"/>
      <c r="J1317" s="591"/>
      <c r="K1317" s="542"/>
      <c r="O1317" s="1134"/>
      <c r="Q1317" s="1133"/>
    </row>
    <row r="1318" spans="2:17" x14ac:dyDescent="0.3">
      <c r="B1318" s="126"/>
      <c r="C1318" s="583">
        <v>935</v>
      </c>
      <c r="D1318" s="625" t="e">
        <f t="shared" si="40"/>
        <v>#VALUE!</v>
      </c>
      <c r="E1318" s="591"/>
      <c r="F1318" s="591"/>
      <c r="G1318" s="591"/>
      <c r="H1318" s="591"/>
      <c r="I1318" s="591"/>
      <c r="J1318" s="591"/>
      <c r="K1318" s="542"/>
      <c r="O1318" s="1134"/>
      <c r="Q1318" s="1133"/>
    </row>
    <row r="1319" spans="2:17" x14ac:dyDescent="0.3">
      <c r="B1319" s="126"/>
      <c r="C1319" s="583">
        <v>936</v>
      </c>
      <c r="D1319" s="625" t="e">
        <f t="shared" si="40"/>
        <v>#VALUE!</v>
      </c>
      <c r="E1319" s="591"/>
      <c r="F1319" s="591"/>
      <c r="G1319" s="591"/>
      <c r="H1319" s="591"/>
      <c r="I1319" s="591"/>
      <c r="J1319" s="591"/>
      <c r="K1319" s="542"/>
      <c r="O1319" s="1134"/>
      <c r="Q1319" s="1133"/>
    </row>
    <row r="1320" spans="2:17" x14ac:dyDescent="0.3">
      <c r="B1320" s="126"/>
      <c r="C1320" s="583">
        <v>937</v>
      </c>
      <c r="D1320" s="625" t="e">
        <f t="shared" si="40"/>
        <v>#VALUE!</v>
      </c>
      <c r="E1320" s="591"/>
      <c r="F1320" s="591"/>
      <c r="G1320" s="591"/>
      <c r="H1320" s="591"/>
      <c r="I1320" s="591"/>
      <c r="J1320" s="591"/>
      <c r="K1320" s="542"/>
      <c r="O1320" s="1134"/>
      <c r="Q1320" s="1133"/>
    </row>
    <row r="1321" spans="2:17" x14ac:dyDescent="0.3">
      <c r="B1321" s="126"/>
      <c r="C1321" s="583">
        <v>938</v>
      </c>
      <c r="D1321" s="625" t="e">
        <f t="shared" si="40"/>
        <v>#VALUE!</v>
      </c>
      <c r="E1321" s="591"/>
      <c r="F1321" s="591"/>
      <c r="G1321" s="591"/>
      <c r="H1321" s="591"/>
      <c r="I1321" s="591"/>
      <c r="J1321" s="591"/>
      <c r="K1321" s="542"/>
      <c r="O1321" s="1134"/>
      <c r="Q1321" s="1133"/>
    </row>
    <row r="1322" spans="2:17" x14ac:dyDescent="0.3">
      <c r="B1322" s="126"/>
      <c r="C1322" s="583">
        <v>939</v>
      </c>
      <c r="D1322" s="625" t="e">
        <f t="shared" si="40"/>
        <v>#VALUE!</v>
      </c>
      <c r="E1322" s="591"/>
      <c r="F1322" s="591"/>
      <c r="G1322" s="591"/>
      <c r="H1322" s="591"/>
      <c r="I1322" s="591"/>
      <c r="J1322" s="591"/>
      <c r="K1322" s="542"/>
      <c r="O1322" s="1134"/>
      <c r="Q1322" s="1133"/>
    </row>
    <row r="1323" spans="2:17" x14ac:dyDescent="0.3">
      <c r="B1323" s="126"/>
      <c r="C1323" s="583">
        <v>940</v>
      </c>
      <c r="D1323" s="625" t="e">
        <f t="shared" si="40"/>
        <v>#VALUE!</v>
      </c>
      <c r="E1323" s="591"/>
      <c r="F1323" s="591"/>
      <c r="G1323" s="591"/>
      <c r="H1323" s="591"/>
      <c r="I1323" s="591"/>
      <c r="J1323" s="591"/>
      <c r="K1323" s="542"/>
      <c r="O1323" s="1134"/>
      <c r="Q1323" s="1133"/>
    </row>
    <row r="1324" spans="2:17" x14ac:dyDescent="0.3">
      <c r="B1324" s="126"/>
      <c r="C1324" s="583">
        <v>941</v>
      </c>
      <c r="D1324" s="625" t="e">
        <f t="shared" si="40"/>
        <v>#VALUE!</v>
      </c>
      <c r="E1324" s="591"/>
      <c r="F1324" s="591"/>
      <c r="G1324" s="591"/>
      <c r="H1324" s="591"/>
      <c r="I1324" s="591"/>
      <c r="J1324" s="591"/>
      <c r="K1324" s="542"/>
      <c r="O1324" s="1134"/>
      <c r="Q1324" s="1133"/>
    </row>
    <row r="1325" spans="2:17" x14ac:dyDescent="0.3">
      <c r="B1325" s="126"/>
      <c r="C1325" s="583">
        <v>942</v>
      </c>
      <c r="D1325" s="625" t="e">
        <f t="shared" si="40"/>
        <v>#VALUE!</v>
      </c>
      <c r="E1325" s="591"/>
      <c r="F1325" s="591"/>
      <c r="G1325" s="591"/>
      <c r="H1325" s="591"/>
      <c r="I1325" s="591"/>
      <c r="J1325" s="591"/>
      <c r="K1325" s="542"/>
      <c r="O1325" s="1134"/>
      <c r="Q1325" s="1133"/>
    </row>
    <row r="1326" spans="2:17" x14ac:dyDescent="0.3">
      <c r="B1326" s="126"/>
      <c r="C1326" s="583">
        <v>943</v>
      </c>
      <c r="D1326" s="625" t="e">
        <f t="shared" si="40"/>
        <v>#VALUE!</v>
      </c>
      <c r="E1326" s="591"/>
      <c r="F1326" s="591"/>
      <c r="G1326" s="591"/>
      <c r="H1326" s="591"/>
      <c r="I1326" s="591"/>
      <c r="J1326" s="591"/>
      <c r="K1326" s="542"/>
      <c r="O1326" s="1134"/>
      <c r="Q1326" s="1133"/>
    </row>
    <row r="1327" spans="2:17" x14ac:dyDescent="0.3">
      <c r="B1327" s="126"/>
      <c r="C1327" s="583">
        <v>944</v>
      </c>
      <c r="D1327" s="625" t="e">
        <f t="shared" si="40"/>
        <v>#VALUE!</v>
      </c>
      <c r="E1327" s="591"/>
      <c r="F1327" s="591"/>
      <c r="G1327" s="591"/>
      <c r="H1327" s="591"/>
      <c r="I1327" s="591"/>
      <c r="J1327" s="591"/>
      <c r="K1327" s="542"/>
      <c r="O1327" s="1134"/>
      <c r="Q1327" s="1133"/>
    </row>
    <row r="1328" spans="2:17" x14ac:dyDescent="0.3">
      <c r="B1328" s="126"/>
      <c r="C1328" s="583">
        <v>945</v>
      </c>
      <c r="D1328" s="625" t="e">
        <f t="shared" si="40"/>
        <v>#VALUE!</v>
      </c>
      <c r="E1328" s="591"/>
      <c r="F1328" s="591"/>
      <c r="G1328" s="591"/>
      <c r="H1328" s="591"/>
      <c r="I1328" s="591"/>
      <c r="J1328" s="591"/>
      <c r="K1328" s="542"/>
      <c r="O1328" s="1134"/>
      <c r="Q1328" s="1133"/>
    </row>
    <row r="1329" spans="2:17" x14ac:dyDescent="0.3">
      <c r="B1329" s="126"/>
      <c r="C1329" s="583">
        <v>946</v>
      </c>
      <c r="D1329" s="625" t="e">
        <f t="shared" si="40"/>
        <v>#VALUE!</v>
      </c>
      <c r="E1329" s="591"/>
      <c r="F1329" s="591"/>
      <c r="G1329" s="591"/>
      <c r="H1329" s="591"/>
      <c r="I1329" s="591"/>
      <c r="J1329" s="591"/>
      <c r="K1329" s="542"/>
      <c r="O1329" s="1134"/>
      <c r="Q1329" s="1133"/>
    </row>
    <row r="1330" spans="2:17" x14ac:dyDescent="0.3">
      <c r="B1330" s="126"/>
      <c r="C1330" s="583">
        <v>947</v>
      </c>
      <c r="D1330" s="625" t="e">
        <f t="shared" si="40"/>
        <v>#VALUE!</v>
      </c>
      <c r="E1330" s="591"/>
      <c r="F1330" s="591"/>
      <c r="G1330" s="591"/>
      <c r="H1330" s="591"/>
      <c r="I1330" s="591"/>
      <c r="J1330" s="591"/>
      <c r="K1330" s="542"/>
      <c r="O1330" s="1134"/>
      <c r="Q1330" s="1133"/>
    </row>
    <row r="1331" spans="2:17" x14ac:dyDescent="0.3">
      <c r="B1331" s="126"/>
      <c r="C1331" s="583">
        <v>948</v>
      </c>
      <c r="D1331" s="625" t="e">
        <f t="shared" si="40"/>
        <v>#VALUE!</v>
      </c>
      <c r="E1331" s="591"/>
      <c r="F1331" s="591"/>
      <c r="G1331" s="591"/>
      <c r="H1331" s="591"/>
      <c r="I1331" s="591"/>
      <c r="J1331" s="591"/>
      <c r="K1331" s="542"/>
      <c r="O1331" s="1134"/>
      <c r="Q1331" s="1133"/>
    </row>
    <row r="1332" spans="2:17" x14ac:dyDescent="0.3">
      <c r="B1332" s="126"/>
      <c r="C1332" s="583">
        <v>949</v>
      </c>
      <c r="D1332" s="625" t="e">
        <f t="shared" si="40"/>
        <v>#VALUE!</v>
      </c>
      <c r="E1332" s="591"/>
      <c r="F1332" s="591"/>
      <c r="G1332" s="591"/>
      <c r="H1332" s="591"/>
      <c r="I1332" s="591"/>
      <c r="J1332" s="591"/>
      <c r="K1332" s="542"/>
      <c r="O1332" s="1134"/>
      <c r="Q1332" s="1133"/>
    </row>
    <row r="1333" spans="2:17" x14ac:dyDescent="0.3">
      <c r="B1333" s="126"/>
      <c r="C1333" s="583">
        <v>950</v>
      </c>
      <c r="D1333" s="625" t="e">
        <f t="shared" si="40"/>
        <v>#VALUE!</v>
      </c>
      <c r="E1333" s="591"/>
      <c r="F1333" s="591"/>
      <c r="G1333" s="591"/>
      <c r="H1333" s="591"/>
      <c r="I1333" s="591"/>
      <c r="J1333" s="591"/>
      <c r="K1333" s="542"/>
      <c r="O1333" s="1134"/>
      <c r="Q1333" s="1133"/>
    </row>
    <row r="1334" spans="2:17" x14ac:dyDescent="0.3">
      <c r="B1334" s="126"/>
      <c r="C1334" s="583">
        <v>951</v>
      </c>
      <c r="D1334" s="625" t="e">
        <f t="shared" si="40"/>
        <v>#VALUE!</v>
      </c>
      <c r="E1334" s="591"/>
      <c r="F1334" s="591"/>
      <c r="G1334" s="591"/>
      <c r="H1334" s="591"/>
      <c r="I1334" s="591"/>
      <c r="J1334" s="591"/>
      <c r="K1334" s="542"/>
      <c r="O1334" s="1134"/>
      <c r="Q1334" s="1133"/>
    </row>
    <row r="1335" spans="2:17" x14ac:dyDescent="0.3">
      <c r="B1335" s="126"/>
      <c r="C1335" s="583">
        <v>952</v>
      </c>
      <c r="D1335" s="625" t="e">
        <f t="shared" si="40"/>
        <v>#VALUE!</v>
      </c>
      <c r="E1335" s="591"/>
      <c r="F1335" s="591"/>
      <c r="G1335" s="591"/>
      <c r="H1335" s="591"/>
      <c r="I1335" s="591"/>
      <c r="J1335" s="591"/>
      <c r="K1335" s="542"/>
      <c r="O1335" s="1134"/>
      <c r="Q1335" s="1133"/>
    </row>
    <row r="1336" spans="2:17" x14ac:dyDescent="0.3">
      <c r="B1336" s="126"/>
      <c r="C1336" s="583">
        <v>953</v>
      </c>
      <c r="D1336" s="625" t="e">
        <f t="shared" si="40"/>
        <v>#VALUE!</v>
      </c>
      <c r="E1336" s="591"/>
      <c r="F1336" s="591"/>
      <c r="G1336" s="591"/>
      <c r="H1336" s="591"/>
      <c r="I1336" s="591"/>
      <c r="J1336" s="591"/>
      <c r="K1336" s="542"/>
      <c r="O1336" s="1134"/>
      <c r="Q1336" s="1133"/>
    </row>
    <row r="1337" spans="2:17" x14ac:dyDescent="0.3">
      <c r="B1337" s="126"/>
      <c r="C1337" s="583">
        <v>954</v>
      </c>
      <c r="D1337" s="625" t="e">
        <f t="shared" si="40"/>
        <v>#VALUE!</v>
      </c>
      <c r="E1337" s="591"/>
      <c r="F1337" s="591"/>
      <c r="G1337" s="591"/>
      <c r="H1337" s="591"/>
      <c r="I1337" s="591"/>
      <c r="J1337" s="591"/>
      <c r="K1337" s="542"/>
      <c r="O1337" s="1134"/>
      <c r="Q1337" s="1133"/>
    </row>
    <row r="1338" spans="2:17" x14ac:dyDescent="0.3">
      <c r="B1338" s="126"/>
      <c r="C1338" s="583">
        <v>955</v>
      </c>
      <c r="D1338" s="625" t="e">
        <f t="shared" si="40"/>
        <v>#VALUE!</v>
      </c>
      <c r="E1338" s="591"/>
      <c r="F1338" s="591"/>
      <c r="G1338" s="591"/>
      <c r="H1338" s="591"/>
      <c r="I1338" s="591"/>
      <c r="J1338" s="591"/>
      <c r="K1338" s="542"/>
      <c r="O1338" s="1134"/>
      <c r="Q1338" s="1133"/>
    </row>
    <row r="1339" spans="2:17" x14ac:dyDescent="0.3">
      <c r="B1339" s="126"/>
      <c r="C1339" s="583">
        <v>956</v>
      </c>
      <c r="D1339" s="625" t="e">
        <f t="shared" si="40"/>
        <v>#VALUE!</v>
      </c>
      <c r="E1339" s="591"/>
      <c r="F1339" s="591"/>
      <c r="G1339" s="591"/>
      <c r="H1339" s="591"/>
      <c r="I1339" s="591"/>
      <c r="J1339" s="591"/>
      <c r="K1339" s="542"/>
      <c r="O1339" s="1134"/>
      <c r="Q1339" s="1133"/>
    </row>
    <row r="1340" spans="2:17" x14ac:dyDescent="0.3">
      <c r="B1340" s="126"/>
      <c r="C1340" s="583">
        <v>957</v>
      </c>
      <c r="D1340" s="625" t="e">
        <f t="shared" si="40"/>
        <v>#VALUE!</v>
      </c>
      <c r="E1340" s="591"/>
      <c r="F1340" s="591"/>
      <c r="G1340" s="591"/>
      <c r="H1340" s="591"/>
      <c r="I1340" s="591"/>
      <c r="J1340" s="591"/>
      <c r="K1340" s="542"/>
      <c r="O1340" s="1134"/>
      <c r="Q1340" s="1133"/>
    </row>
    <row r="1341" spans="2:17" x14ac:dyDescent="0.3">
      <c r="B1341" s="126"/>
      <c r="C1341" s="583">
        <v>958</v>
      </c>
      <c r="D1341" s="625" t="e">
        <f t="shared" si="40"/>
        <v>#VALUE!</v>
      </c>
      <c r="E1341" s="591"/>
      <c r="F1341" s="591"/>
      <c r="G1341" s="591"/>
      <c r="H1341" s="591"/>
      <c r="I1341" s="591"/>
      <c r="J1341" s="591"/>
      <c r="K1341" s="542"/>
      <c r="O1341" s="1134"/>
      <c r="Q1341" s="1133"/>
    </row>
    <row r="1342" spans="2:17" x14ac:dyDescent="0.3">
      <c r="B1342" s="126"/>
      <c r="C1342" s="583">
        <v>959</v>
      </c>
      <c r="D1342" s="625" t="e">
        <f t="shared" si="40"/>
        <v>#VALUE!</v>
      </c>
      <c r="E1342" s="591"/>
      <c r="F1342" s="591"/>
      <c r="G1342" s="591"/>
      <c r="H1342" s="591"/>
      <c r="I1342" s="591"/>
      <c r="J1342" s="591"/>
      <c r="K1342" s="542"/>
      <c r="O1342" s="1134"/>
      <c r="Q1342" s="1133"/>
    </row>
    <row r="1343" spans="2:17" x14ac:dyDescent="0.3">
      <c r="B1343" s="126"/>
      <c r="C1343" s="583">
        <v>960</v>
      </c>
      <c r="D1343" s="625" t="e">
        <f t="shared" ref="D1343:D1383" si="41">$C$362*C1343</f>
        <v>#VALUE!</v>
      </c>
      <c r="E1343" s="591"/>
      <c r="F1343" s="591"/>
      <c r="G1343" s="591"/>
      <c r="H1343" s="591"/>
      <c r="I1343" s="591"/>
      <c r="J1343" s="591"/>
      <c r="K1343" s="542"/>
      <c r="O1343" s="1134"/>
      <c r="Q1343" s="1133"/>
    </row>
    <row r="1344" spans="2:17" x14ac:dyDescent="0.3">
      <c r="B1344" s="126"/>
      <c r="C1344" s="583">
        <v>961</v>
      </c>
      <c r="D1344" s="625" t="e">
        <f t="shared" si="41"/>
        <v>#VALUE!</v>
      </c>
      <c r="E1344" s="591"/>
      <c r="F1344" s="591"/>
      <c r="G1344" s="591"/>
      <c r="H1344" s="591"/>
      <c r="I1344" s="591"/>
      <c r="J1344" s="591"/>
      <c r="K1344" s="542"/>
      <c r="O1344" s="1134"/>
      <c r="Q1344" s="1133"/>
    </row>
    <row r="1345" spans="2:17" x14ac:dyDescent="0.3">
      <c r="B1345" s="126"/>
      <c r="C1345" s="583">
        <v>962</v>
      </c>
      <c r="D1345" s="625" t="e">
        <f t="shared" si="41"/>
        <v>#VALUE!</v>
      </c>
      <c r="E1345" s="591"/>
      <c r="F1345" s="591"/>
      <c r="G1345" s="591"/>
      <c r="H1345" s="591"/>
      <c r="I1345" s="591"/>
      <c r="J1345" s="591"/>
      <c r="K1345" s="542"/>
      <c r="O1345" s="1134"/>
      <c r="Q1345" s="1133"/>
    </row>
    <row r="1346" spans="2:17" x14ac:dyDescent="0.3">
      <c r="B1346" s="126"/>
      <c r="C1346" s="583">
        <v>963</v>
      </c>
      <c r="D1346" s="625" t="e">
        <f t="shared" si="41"/>
        <v>#VALUE!</v>
      </c>
      <c r="E1346" s="591"/>
      <c r="F1346" s="591"/>
      <c r="G1346" s="591"/>
      <c r="H1346" s="591"/>
      <c r="I1346" s="591"/>
      <c r="J1346" s="591"/>
      <c r="K1346" s="542"/>
      <c r="O1346" s="1134"/>
      <c r="Q1346" s="1133"/>
    </row>
    <row r="1347" spans="2:17" x14ac:dyDescent="0.3">
      <c r="B1347" s="126"/>
      <c r="C1347" s="583">
        <v>964</v>
      </c>
      <c r="D1347" s="625" t="e">
        <f t="shared" si="41"/>
        <v>#VALUE!</v>
      </c>
      <c r="E1347" s="591"/>
      <c r="F1347" s="591"/>
      <c r="G1347" s="591"/>
      <c r="H1347" s="591"/>
      <c r="I1347" s="591"/>
      <c r="J1347" s="591"/>
      <c r="K1347" s="542"/>
      <c r="O1347" s="1134"/>
      <c r="Q1347" s="1133"/>
    </row>
    <row r="1348" spans="2:17" x14ac:dyDescent="0.3">
      <c r="B1348" s="126"/>
      <c r="C1348" s="583">
        <v>965</v>
      </c>
      <c r="D1348" s="625" t="e">
        <f t="shared" si="41"/>
        <v>#VALUE!</v>
      </c>
      <c r="E1348" s="591"/>
      <c r="F1348" s="591"/>
      <c r="G1348" s="591"/>
      <c r="H1348" s="591"/>
      <c r="I1348" s="591"/>
      <c r="J1348" s="591"/>
      <c r="K1348" s="542"/>
      <c r="O1348" s="1134"/>
      <c r="Q1348" s="1133"/>
    </row>
    <row r="1349" spans="2:17" x14ac:dyDescent="0.3">
      <c r="B1349" s="126"/>
      <c r="C1349" s="583">
        <v>966</v>
      </c>
      <c r="D1349" s="625" t="e">
        <f t="shared" si="41"/>
        <v>#VALUE!</v>
      </c>
      <c r="E1349" s="591"/>
      <c r="F1349" s="591"/>
      <c r="G1349" s="591"/>
      <c r="H1349" s="591"/>
      <c r="I1349" s="591"/>
      <c r="J1349" s="591"/>
      <c r="K1349" s="542"/>
      <c r="O1349" s="1134"/>
      <c r="Q1349" s="1133"/>
    </row>
    <row r="1350" spans="2:17" x14ac:dyDescent="0.3">
      <c r="B1350" s="126"/>
      <c r="C1350" s="583">
        <v>967</v>
      </c>
      <c r="D1350" s="625" t="e">
        <f t="shared" si="41"/>
        <v>#VALUE!</v>
      </c>
      <c r="E1350" s="591"/>
      <c r="F1350" s="591"/>
      <c r="G1350" s="591"/>
      <c r="H1350" s="591"/>
      <c r="I1350" s="591"/>
      <c r="J1350" s="591"/>
      <c r="K1350" s="542"/>
      <c r="O1350" s="1134"/>
      <c r="Q1350" s="1133"/>
    </row>
    <row r="1351" spans="2:17" x14ac:dyDescent="0.3">
      <c r="B1351" s="126"/>
      <c r="C1351" s="583">
        <v>968</v>
      </c>
      <c r="D1351" s="625" t="e">
        <f t="shared" si="41"/>
        <v>#VALUE!</v>
      </c>
      <c r="E1351" s="591"/>
      <c r="F1351" s="591"/>
      <c r="G1351" s="591"/>
      <c r="H1351" s="591"/>
      <c r="I1351" s="591"/>
      <c r="J1351" s="591"/>
      <c r="K1351" s="542"/>
      <c r="O1351" s="1134"/>
      <c r="Q1351" s="1133"/>
    </row>
    <row r="1352" spans="2:17" x14ac:dyDescent="0.3">
      <c r="B1352" s="126"/>
      <c r="C1352" s="583">
        <v>969</v>
      </c>
      <c r="D1352" s="625" t="e">
        <f t="shared" si="41"/>
        <v>#VALUE!</v>
      </c>
      <c r="E1352" s="591"/>
      <c r="F1352" s="591"/>
      <c r="G1352" s="591"/>
      <c r="H1352" s="591"/>
      <c r="I1352" s="591"/>
      <c r="J1352" s="591"/>
      <c r="K1352" s="542"/>
      <c r="O1352" s="1134"/>
      <c r="Q1352" s="1133"/>
    </row>
    <row r="1353" spans="2:17" x14ac:dyDescent="0.3">
      <c r="B1353" s="126"/>
      <c r="C1353" s="583">
        <v>970</v>
      </c>
      <c r="D1353" s="625" t="e">
        <f t="shared" si="41"/>
        <v>#VALUE!</v>
      </c>
      <c r="E1353" s="591"/>
      <c r="F1353" s="591"/>
      <c r="G1353" s="591"/>
      <c r="H1353" s="591"/>
      <c r="I1353" s="591"/>
      <c r="J1353" s="591"/>
      <c r="K1353" s="542"/>
      <c r="O1353" s="1134"/>
      <c r="Q1353" s="1133"/>
    </row>
    <row r="1354" spans="2:17" x14ac:dyDescent="0.3">
      <c r="B1354" s="126"/>
      <c r="C1354" s="583">
        <v>971</v>
      </c>
      <c r="D1354" s="625" t="e">
        <f t="shared" si="41"/>
        <v>#VALUE!</v>
      </c>
      <c r="E1354" s="591"/>
      <c r="F1354" s="591"/>
      <c r="G1354" s="591"/>
      <c r="H1354" s="591"/>
      <c r="I1354" s="591"/>
      <c r="J1354" s="591"/>
      <c r="K1354" s="542"/>
      <c r="O1354" s="1134"/>
      <c r="Q1354" s="1133"/>
    </row>
    <row r="1355" spans="2:17" x14ac:dyDescent="0.3">
      <c r="B1355" s="126"/>
      <c r="C1355" s="583">
        <v>972</v>
      </c>
      <c r="D1355" s="625" t="e">
        <f t="shared" si="41"/>
        <v>#VALUE!</v>
      </c>
      <c r="E1355" s="591"/>
      <c r="F1355" s="591"/>
      <c r="G1355" s="591"/>
      <c r="H1355" s="591"/>
      <c r="I1355" s="591"/>
      <c r="J1355" s="591"/>
      <c r="K1355" s="542"/>
      <c r="O1355" s="1134"/>
      <c r="Q1355" s="1133"/>
    </row>
    <row r="1356" spans="2:17" x14ac:dyDescent="0.3">
      <c r="B1356" s="126"/>
      <c r="C1356" s="583">
        <v>973</v>
      </c>
      <c r="D1356" s="625" t="e">
        <f t="shared" si="41"/>
        <v>#VALUE!</v>
      </c>
      <c r="E1356" s="591"/>
      <c r="F1356" s="591"/>
      <c r="G1356" s="591"/>
      <c r="H1356" s="591"/>
      <c r="I1356" s="591"/>
      <c r="J1356" s="591"/>
      <c r="K1356" s="542"/>
      <c r="O1356" s="1134"/>
      <c r="Q1356" s="1133"/>
    </row>
    <row r="1357" spans="2:17" x14ac:dyDescent="0.3">
      <c r="B1357" s="126"/>
      <c r="C1357" s="583">
        <v>974</v>
      </c>
      <c r="D1357" s="625" t="e">
        <f t="shared" si="41"/>
        <v>#VALUE!</v>
      </c>
      <c r="E1357" s="591"/>
      <c r="F1357" s="591"/>
      <c r="G1357" s="591"/>
      <c r="H1357" s="591"/>
      <c r="I1357" s="591"/>
      <c r="J1357" s="591"/>
      <c r="K1357" s="542"/>
      <c r="O1357" s="1134"/>
      <c r="Q1357" s="1133"/>
    </row>
    <row r="1358" spans="2:17" x14ac:dyDescent="0.3">
      <c r="B1358" s="126"/>
      <c r="C1358" s="583">
        <v>975</v>
      </c>
      <c r="D1358" s="625" t="e">
        <f t="shared" si="41"/>
        <v>#VALUE!</v>
      </c>
      <c r="E1358" s="591"/>
      <c r="F1358" s="591"/>
      <c r="G1358" s="591"/>
      <c r="H1358" s="591"/>
      <c r="I1358" s="591"/>
      <c r="J1358" s="591"/>
      <c r="K1358" s="542"/>
      <c r="O1358" s="1134"/>
      <c r="Q1358" s="1133"/>
    </row>
    <row r="1359" spans="2:17" x14ac:dyDescent="0.3">
      <c r="B1359" s="126"/>
      <c r="C1359" s="583">
        <v>976</v>
      </c>
      <c r="D1359" s="625" t="e">
        <f t="shared" si="41"/>
        <v>#VALUE!</v>
      </c>
      <c r="E1359" s="591"/>
      <c r="F1359" s="591"/>
      <c r="G1359" s="591"/>
      <c r="H1359" s="591"/>
      <c r="I1359" s="591"/>
      <c r="J1359" s="591"/>
      <c r="K1359" s="542"/>
      <c r="O1359" s="1134"/>
      <c r="Q1359" s="1133"/>
    </row>
    <row r="1360" spans="2:17" x14ac:dyDescent="0.3">
      <c r="B1360" s="126"/>
      <c r="C1360" s="583">
        <v>977</v>
      </c>
      <c r="D1360" s="625" t="e">
        <f t="shared" si="41"/>
        <v>#VALUE!</v>
      </c>
      <c r="E1360" s="591"/>
      <c r="F1360" s="591"/>
      <c r="G1360" s="591"/>
      <c r="H1360" s="591"/>
      <c r="I1360" s="591"/>
      <c r="J1360" s="591"/>
      <c r="K1360" s="542"/>
      <c r="O1360" s="1134"/>
      <c r="Q1360" s="1133"/>
    </row>
    <row r="1361" spans="2:17" x14ac:dyDescent="0.3">
      <c r="B1361" s="126"/>
      <c r="C1361" s="583">
        <v>978</v>
      </c>
      <c r="D1361" s="625" t="e">
        <f t="shared" si="41"/>
        <v>#VALUE!</v>
      </c>
      <c r="E1361" s="591"/>
      <c r="F1361" s="591"/>
      <c r="G1361" s="591"/>
      <c r="H1361" s="591"/>
      <c r="I1361" s="591"/>
      <c r="J1361" s="591"/>
      <c r="K1361" s="542"/>
      <c r="O1361" s="1134"/>
      <c r="Q1361" s="1133"/>
    </row>
    <row r="1362" spans="2:17" x14ac:dyDescent="0.3">
      <c r="B1362" s="126"/>
      <c r="C1362" s="583">
        <v>979</v>
      </c>
      <c r="D1362" s="625" t="e">
        <f t="shared" si="41"/>
        <v>#VALUE!</v>
      </c>
      <c r="E1362" s="591"/>
      <c r="F1362" s="591"/>
      <c r="G1362" s="591"/>
      <c r="H1362" s="591"/>
      <c r="I1362" s="591"/>
      <c r="J1362" s="591"/>
      <c r="K1362" s="542"/>
      <c r="O1362" s="1134"/>
      <c r="Q1362" s="1133"/>
    </row>
    <row r="1363" spans="2:17" x14ac:dyDescent="0.3">
      <c r="B1363" s="126"/>
      <c r="C1363" s="583">
        <v>980</v>
      </c>
      <c r="D1363" s="625" t="e">
        <f t="shared" si="41"/>
        <v>#VALUE!</v>
      </c>
      <c r="E1363" s="591"/>
      <c r="F1363" s="591"/>
      <c r="G1363" s="591"/>
      <c r="H1363" s="591"/>
      <c r="I1363" s="591"/>
      <c r="J1363" s="591"/>
      <c r="K1363" s="542"/>
      <c r="O1363" s="1134"/>
      <c r="Q1363" s="1133"/>
    </row>
    <row r="1364" spans="2:17" x14ac:dyDescent="0.3">
      <c r="B1364" s="126"/>
      <c r="C1364" s="583">
        <v>981</v>
      </c>
      <c r="D1364" s="625" t="e">
        <f t="shared" si="41"/>
        <v>#VALUE!</v>
      </c>
      <c r="E1364" s="591"/>
      <c r="F1364" s="591"/>
      <c r="G1364" s="591"/>
      <c r="H1364" s="591"/>
      <c r="I1364" s="591"/>
      <c r="J1364" s="591"/>
      <c r="K1364" s="542"/>
      <c r="O1364" s="1134"/>
      <c r="Q1364" s="1133"/>
    </row>
    <row r="1365" spans="2:17" x14ac:dyDescent="0.3">
      <c r="B1365" s="126"/>
      <c r="C1365" s="583">
        <v>982</v>
      </c>
      <c r="D1365" s="625" t="e">
        <f t="shared" si="41"/>
        <v>#VALUE!</v>
      </c>
      <c r="E1365" s="591"/>
      <c r="F1365" s="591"/>
      <c r="G1365" s="591"/>
      <c r="H1365" s="591"/>
      <c r="I1365" s="591"/>
      <c r="J1365" s="591"/>
      <c r="K1365" s="542"/>
      <c r="O1365" s="1134"/>
      <c r="Q1365" s="1133"/>
    </row>
    <row r="1366" spans="2:17" x14ac:dyDescent="0.3">
      <c r="B1366" s="126"/>
      <c r="C1366" s="583">
        <v>983</v>
      </c>
      <c r="D1366" s="625" t="e">
        <f t="shared" si="41"/>
        <v>#VALUE!</v>
      </c>
      <c r="E1366" s="591"/>
      <c r="F1366" s="591"/>
      <c r="G1366" s="591"/>
      <c r="H1366" s="591"/>
      <c r="I1366" s="591"/>
      <c r="J1366" s="591"/>
      <c r="K1366" s="542"/>
      <c r="O1366" s="1134"/>
      <c r="Q1366" s="1133"/>
    </row>
    <row r="1367" spans="2:17" x14ac:dyDescent="0.3">
      <c r="B1367" s="126"/>
      <c r="C1367" s="583">
        <v>984</v>
      </c>
      <c r="D1367" s="625" t="e">
        <f t="shared" si="41"/>
        <v>#VALUE!</v>
      </c>
      <c r="E1367" s="591"/>
      <c r="F1367" s="591"/>
      <c r="G1367" s="591"/>
      <c r="H1367" s="591"/>
      <c r="I1367" s="591"/>
      <c r="J1367" s="591"/>
      <c r="K1367" s="542"/>
      <c r="O1367" s="1134"/>
      <c r="Q1367" s="1133"/>
    </row>
    <row r="1368" spans="2:17" x14ac:dyDescent="0.3">
      <c r="B1368" s="126"/>
      <c r="C1368" s="583">
        <v>985</v>
      </c>
      <c r="D1368" s="625" t="e">
        <f t="shared" si="41"/>
        <v>#VALUE!</v>
      </c>
      <c r="E1368" s="591"/>
      <c r="F1368" s="591"/>
      <c r="G1368" s="591"/>
      <c r="H1368" s="591"/>
      <c r="I1368" s="591"/>
      <c r="J1368" s="591"/>
      <c r="K1368" s="542"/>
      <c r="O1368" s="1134"/>
      <c r="Q1368" s="1133"/>
    </row>
    <row r="1369" spans="2:17" x14ac:dyDescent="0.3">
      <c r="B1369" s="126"/>
      <c r="C1369" s="583">
        <v>986</v>
      </c>
      <c r="D1369" s="625" t="e">
        <f t="shared" si="41"/>
        <v>#VALUE!</v>
      </c>
      <c r="E1369" s="591"/>
      <c r="F1369" s="591"/>
      <c r="G1369" s="591"/>
      <c r="H1369" s="591"/>
      <c r="I1369" s="591"/>
      <c r="J1369" s="591"/>
      <c r="K1369" s="542"/>
      <c r="O1369" s="1134"/>
      <c r="Q1369" s="1133"/>
    </row>
    <row r="1370" spans="2:17" x14ac:dyDescent="0.3">
      <c r="B1370" s="126"/>
      <c r="C1370" s="583">
        <v>987</v>
      </c>
      <c r="D1370" s="625" t="e">
        <f t="shared" si="41"/>
        <v>#VALUE!</v>
      </c>
      <c r="E1370" s="591"/>
      <c r="F1370" s="591"/>
      <c r="G1370" s="591"/>
      <c r="H1370" s="591"/>
      <c r="I1370" s="591"/>
      <c r="J1370" s="591"/>
      <c r="K1370" s="542"/>
      <c r="O1370" s="1134"/>
      <c r="Q1370" s="1133"/>
    </row>
    <row r="1371" spans="2:17" x14ac:dyDescent="0.3">
      <c r="B1371" s="126"/>
      <c r="C1371" s="583">
        <v>988</v>
      </c>
      <c r="D1371" s="625" t="e">
        <f t="shared" si="41"/>
        <v>#VALUE!</v>
      </c>
      <c r="E1371" s="591"/>
      <c r="F1371" s="591"/>
      <c r="G1371" s="591"/>
      <c r="H1371" s="591"/>
      <c r="I1371" s="591"/>
      <c r="J1371" s="591"/>
      <c r="K1371" s="542"/>
      <c r="O1371" s="1134"/>
      <c r="Q1371" s="1133"/>
    </row>
    <row r="1372" spans="2:17" x14ac:dyDescent="0.3">
      <c r="B1372" s="126"/>
      <c r="C1372" s="583">
        <v>989</v>
      </c>
      <c r="D1372" s="625" t="e">
        <f t="shared" si="41"/>
        <v>#VALUE!</v>
      </c>
      <c r="E1372" s="591"/>
      <c r="F1372" s="591"/>
      <c r="G1372" s="591"/>
      <c r="H1372" s="591"/>
      <c r="I1372" s="591"/>
      <c r="J1372" s="591"/>
      <c r="K1372" s="542"/>
      <c r="O1372" s="1134"/>
      <c r="Q1372" s="1133"/>
    </row>
    <row r="1373" spans="2:17" x14ac:dyDescent="0.3">
      <c r="B1373" s="126"/>
      <c r="C1373" s="583">
        <v>990</v>
      </c>
      <c r="D1373" s="625" t="e">
        <f t="shared" si="41"/>
        <v>#VALUE!</v>
      </c>
      <c r="E1373" s="591"/>
      <c r="F1373" s="591"/>
      <c r="G1373" s="591"/>
      <c r="H1373" s="591"/>
      <c r="I1373" s="591"/>
      <c r="J1373" s="591"/>
      <c r="K1373" s="542"/>
      <c r="O1373" s="1134"/>
      <c r="Q1373" s="1133"/>
    </row>
    <row r="1374" spans="2:17" x14ac:dyDescent="0.3">
      <c r="B1374" s="126"/>
      <c r="C1374" s="583">
        <v>991</v>
      </c>
      <c r="D1374" s="625" t="e">
        <f t="shared" si="41"/>
        <v>#VALUE!</v>
      </c>
      <c r="E1374" s="591"/>
      <c r="F1374" s="591"/>
      <c r="G1374" s="591"/>
      <c r="H1374" s="591"/>
      <c r="I1374" s="591"/>
      <c r="J1374" s="591"/>
      <c r="K1374" s="542"/>
      <c r="O1374" s="1134"/>
      <c r="Q1374" s="1133"/>
    </row>
    <row r="1375" spans="2:17" x14ac:dyDescent="0.3">
      <c r="B1375" s="126"/>
      <c r="C1375" s="583">
        <v>992</v>
      </c>
      <c r="D1375" s="625" t="e">
        <f t="shared" si="41"/>
        <v>#VALUE!</v>
      </c>
      <c r="E1375" s="591"/>
      <c r="F1375" s="591"/>
      <c r="G1375" s="591"/>
      <c r="H1375" s="591"/>
      <c r="I1375" s="591"/>
      <c r="J1375" s="591"/>
      <c r="K1375" s="542"/>
      <c r="O1375" s="1134"/>
      <c r="Q1375" s="1133"/>
    </row>
    <row r="1376" spans="2:17" x14ac:dyDescent="0.3">
      <c r="B1376" s="126"/>
      <c r="C1376" s="583">
        <v>993</v>
      </c>
      <c r="D1376" s="625" t="e">
        <f t="shared" si="41"/>
        <v>#VALUE!</v>
      </c>
      <c r="E1376" s="591"/>
      <c r="F1376" s="591"/>
      <c r="G1376" s="591"/>
      <c r="H1376" s="591"/>
      <c r="I1376" s="591"/>
      <c r="J1376" s="591"/>
      <c r="K1376" s="542"/>
      <c r="O1376" s="1134"/>
      <c r="Q1376" s="1133"/>
    </row>
    <row r="1377" spans="1:17" x14ac:dyDescent="0.3">
      <c r="B1377" s="126"/>
      <c r="C1377" s="583">
        <v>994</v>
      </c>
      <c r="D1377" s="625" t="e">
        <f t="shared" si="41"/>
        <v>#VALUE!</v>
      </c>
      <c r="E1377" s="591"/>
      <c r="F1377" s="591"/>
      <c r="G1377" s="591"/>
      <c r="H1377" s="591"/>
      <c r="I1377" s="591"/>
      <c r="J1377" s="591"/>
      <c r="K1377" s="542"/>
      <c r="O1377" s="1134"/>
      <c r="Q1377" s="1133"/>
    </row>
    <row r="1378" spans="1:17" x14ac:dyDescent="0.3">
      <c r="B1378" s="126"/>
      <c r="C1378" s="583">
        <v>995</v>
      </c>
      <c r="D1378" s="625" t="e">
        <f t="shared" si="41"/>
        <v>#VALUE!</v>
      </c>
      <c r="E1378" s="591"/>
      <c r="F1378" s="591"/>
      <c r="G1378" s="591"/>
      <c r="H1378" s="591"/>
      <c r="I1378" s="591"/>
      <c r="J1378" s="591"/>
      <c r="K1378" s="542"/>
      <c r="O1378" s="1134"/>
      <c r="Q1378" s="1133"/>
    </row>
    <row r="1379" spans="1:17" x14ac:dyDescent="0.3">
      <c r="B1379" s="126"/>
      <c r="C1379" s="583">
        <v>996</v>
      </c>
      <c r="D1379" s="625" t="e">
        <f t="shared" si="41"/>
        <v>#VALUE!</v>
      </c>
      <c r="E1379" s="591"/>
      <c r="F1379" s="591"/>
      <c r="G1379" s="591"/>
      <c r="H1379" s="591"/>
      <c r="I1379" s="591"/>
      <c r="J1379" s="591"/>
      <c r="K1379" s="542"/>
      <c r="O1379" s="1134"/>
      <c r="Q1379" s="1133"/>
    </row>
    <row r="1380" spans="1:17" x14ac:dyDescent="0.3">
      <c r="B1380" s="126"/>
      <c r="C1380" s="583">
        <v>997</v>
      </c>
      <c r="D1380" s="625" t="e">
        <f t="shared" si="41"/>
        <v>#VALUE!</v>
      </c>
      <c r="E1380" s="591"/>
      <c r="F1380" s="591"/>
      <c r="G1380" s="591"/>
      <c r="H1380" s="591"/>
      <c r="I1380" s="591"/>
      <c r="J1380" s="591"/>
      <c r="K1380" s="542"/>
      <c r="O1380" s="1134"/>
      <c r="Q1380" s="1133"/>
    </row>
    <row r="1381" spans="1:17" x14ac:dyDescent="0.3">
      <c r="B1381" s="126"/>
      <c r="C1381" s="583">
        <v>998</v>
      </c>
      <c r="D1381" s="625" t="e">
        <f t="shared" si="41"/>
        <v>#VALUE!</v>
      </c>
      <c r="E1381" s="591"/>
      <c r="F1381" s="591"/>
      <c r="G1381" s="591"/>
      <c r="H1381" s="591"/>
      <c r="I1381" s="591"/>
      <c r="J1381" s="591"/>
      <c r="K1381" s="542"/>
      <c r="O1381" s="1134"/>
      <c r="Q1381" s="1133"/>
    </row>
    <row r="1382" spans="1:17" x14ac:dyDescent="0.3">
      <c r="B1382" s="126"/>
      <c r="C1382" s="583">
        <v>999</v>
      </c>
      <c r="D1382" s="625" t="e">
        <f t="shared" si="41"/>
        <v>#VALUE!</v>
      </c>
      <c r="E1382" s="591"/>
      <c r="F1382" s="591"/>
      <c r="G1382" s="591"/>
      <c r="H1382" s="591"/>
      <c r="I1382" s="591"/>
      <c r="J1382" s="591"/>
      <c r="K1382" s="542"/>
      <c r="O1382" s="1134"/>
      <c r="Q1382" s="1133"/>
    </row>
    <row r="1383" spans="1:17" ht="17.25" thickBot="1" x14ac:dyDescent="0.35">
      <c r="B1383" s="126"/>
      <c r="C1383" s="592">
        <v>1000</v>
      </c>
      <c r="D1383" s="626" t="e">
        <f t="shared" si="41"/>
        <v>#VALUE!</v>
      </c>
      <c r="E1383" s="594"/>
      <c r="F1383" s="594"/>
      <c r="G1383" s="594"/>
      <c r="H1383" s="594"/>
      <c r="I1383" s="594"/>
      <c r="J1383" s="594"/>
      <c r="K1383" s="547"/>
      <c r="O1383" s="1134"/>
      <c r="Q1383" s="1133"/>
    </row>
    <row r="1384" spans="1:17" x14ac:dyDescent="0.3">
      <c r="B1384" s="126"/>
      <c r="C1384" s="126"/>
      <c r="D1384" s="126"/>
      <c r="E1384" s="591"/>
      <c r="F1384" s="591"/>
      <c r="G1384" s="591"/>
      <c r="H1384" s="591"/>
      <c r="I1384" s="591"/>
      <c r="J1384" s="591"/>
      <c r="K1384" s="122"/>
      <c r="O1384" s="1134"/>
      <c r="Q1384" s="1133"/>
    </row>
    <row r="1385" spans="1:17" ht="17.25" x14ac:dyDescent="0.3">
      <c r="A1385" s="127"/>
      <c r="B1385" s="136"/>
      <c r="C1385" s="137"/>
      <c r="D1385" s="138"/>
      <c r="E1385" s="136"/>
      <c r="F1385" s="284"/>
      <c r="G1385" s="283"/>
      <c r="H1385" s="284"/>
      <c r="I1385" s="139"/>
      <c r="J1385" s="127"/>
      <c r="K1385" s="127"/>
      <c r="L1385" s="140"/>
      <c r="M1385" s="127"/>
      <c r="N1385" s="127"/>
      <c r="O1385" s="127"/>
      <c r="P1385" s="1133"/>
      <c r="Q1385" s="1133"/>
    </row>
  </sheetData>
  <sheetProtection algorithmName="SHA-512" hashValue="vF4ZiQIZM1NwnXQR8aRU+5hwjtMr8C/6kSgcIOho8z3QQQucrlmJpo0kCtX6q247sCNQCO+RXewzMJC3PYxcMA==" saltValue="7GFpPP9+89m1NcOFubswEA==" spinCount="100000" sheet="1" selectLockedCells="1"/>
  <mergeCells count="45">
    <mergeCell ref="G361:K361"/>
    <mergeCell ref="G362:K362"/>
    <mergeCell ref="G365:H365"/>
    <mergeCell ref="G374:H374"/>
    <mergeCell ref="G355:K355"/>
    <mergeCell ref="G356:K356"/>
    <mergeCell ref="G357:K357"/>
    <mergeCell ref="G358:K358"/>
    <mergeCell ref="G359:K359"/>
    <mergeCell ref="G360:K360"/>
    <mergeCell ref="G354:K354"/>
    <mergeCell ref="F238:J238"/>
    <mergeCell ref="F239:J239"/>
    <mergeCell ref="F240:J240"/>
    <mergeCell ref="F241:J241"/>
    <mergeCell ref="F242:J242"/>
    <mergeCell ref="F243:J243"/>
    <mergeCell ref="F244:J244"/>
    <mergeCell ref="C350:K350"/>
    <mergeCell ref="G351:K351"/>
    <mergeCell ref="G352:K352"/>
    <mergeCell ref="G353:K353"/>
    <mergeCell ref="F237:J237"/>
    <mergeCell ref="F226:J226"/>
    <mergeCell ref="F227:J227"/>
    <mergeCell ref="F228:J228"/>
    <mergeCell ref="F229:J229"/>
    <mergeCell ref="F230:J230"/>
    <mergeCell ref="F231:J231"/>
    <mergeCell ref="F232:J232"/>
    <mergeCell ref="F233:J233"/>
    <mergeCell ref="F234:J234"/>
    <mergeCell ref="F235:J235"/>
    <mergeCell ref="F236:J236"/>
    <mergeCell ref="F225:J225"/>
    <mergeCell ref="B2:C2"/>
    <mergeCell ref="D3:E3"/>
    <mergeCell ref="G4:H4"/>
    <mergeCell ref="B12:B13"/>
    <mergeCell ref="C12:C13"/>
    <mergeCell ref="D12:D13"/>
    <mergeCell ref="E12:F12"/>
    <mergeCell ref="G12:G13"/>
    <mergeCell ref="F224:J224"/>
    <mergeCell ref="B163:G163"/>
  </mergeCells>
  <phoneticPr fontId="28" type="noConversion"/>
  <hyperlinks>
    <hyperlink ref="G4" location="Instructions!C33" display="Back to Instructions tab" xr:uid="{B5C8E659-91C1-4D77-ADDD-29690681CD4D}"/>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45A11-B8E3-497E-818E-5DE3F00A6092}">
  <sheetPr codeName="Sheet21">
    <tabColor rgb="FFFFFF00"/>
  </sheetPr>
  <dimension ref="A1:J13"/>
  <sheetViews>
    <sheetView zoomScale="80" zoomScaleNormal="80" workbookViewId="0">
      <selection activeCell="B14" sqref="B14"/>
    </sheetView>
  </sheetViews>
  <sheetFormatPr defaultColWidth="9" defaultRowHeight="16.5" x14ac:dyDescent="0.3"/>
  <cols>
    <col min="1" max="1" width="9" style="1470"/>
    <col min="2" max="2" width="28.875" style="1470" customWidth="1"/>
    <col min="3" max="3" width="34.625" style="1470" customWidth="1"/>
    <col min="4" max="16384" width="9" style="1470"/>
  </cols>
  <sheetData>
    <row r="1" spans="1:10" ht="17.25" thickBot="1" x14ac:dyDescent="0.35">
      <c r="A1" s="129"/>
      <c r="B1" s="129"/>
      <c r="C1" s="129"/>
      <c r="D1" s="129"/>
      <c r="E1" s="129"/>
      <c r="F1" s="129"/>
      <c r="G1" s="129"/>
      <c r="H1" s="129"/>
      <c r="I1" s="129"/>
      <c r="J1" s="129"/>
    </row>
    <row r="2" spans="1:10" ht="18" thickBot="1" x14ac:dyDescent="0.35">
      <c r="A2" s="129"/>
      <c r="B2" s="1874" t="s">
        <v>228</v>
      </c>
      <c r="C2" s="1875"/>
      <c r="D2" s="231"/>
      <c r="E2" s="231"/>
      <c r="F2" s="231"/>
      <c r="G2" s="130"/>
      <c r="H2" s="130"/>
      <c r="I2" s="130"/>
      <c r="J2" s="130"/>
    </row>
    <row r="3" spans="1:10" x14ac:dyDescent="0.3">
      <c r="A3" s="129"/>
      <c r="B3" s="304" t="s">
        <v>229</v>
      </c>
      <c r="C3" s="305" t="str">
        <f>'Version Control'!C3</f>
        <v>Consumer Boiler</v>
      </c>
      <c r="D3" s="236"/>
      <c r="E3" s="236"/>
      <c r="F3" s="236"/>
      <c r="G3" s="130"/>
      <c r="H3" s="130"/>
      <c r="I3" s="130"/>
      <c r="J3" s="130"/>
    </row>
    <row r="4" spans="1:10" ht="18" x14ac:dyDescent="0.3">
      <c r="A4" s="129"/>
      <c r="B4" s="306" t="s">
        <v>117</v>
      </c>
      <c r="C4" s="307" t="str">
        <f>'Version Control'!C4</f>
        <v>v2.1</v>
      </c>
      <c r="D4" s="235"/>
      <c r="E4" s="171"/>
      <c r="F4" s="235"/>
      <c r="G4" s="130"/>
      <c r="H4" s="1876" t="s">
        <v>124</v>
      </c>
      <c r="I4" s="1876"/>
      <c r="J4" s="1876"/>
    </row>
    <row r="5" spans="1:10" x14ac:dyDescent="0.3">
      <c r="A5" s="129"/>
      <c r="B5" s="306" t="s">
        <v>118</v>
      </c>
      <c r="C5" s="308">
        <f>'Version Control'!C5</f>
        <v>45407</v>
      </c>
      <c r="D5" s="232"/>
      <c r="E5" s="171"/>
      <c r="F5" s="235"/>
      <c r="G5" s="130"/>
      <c r="H5" s="130"/>
      <c r="I5" s="130"/>
      <c r="J5" s="130"/>
    </row>
    <row r="6" spans="1:10" x14ac:dyDescent="0.3">
      <c r="A6" s="129"/>
      <c r="B6" s="309" t="s">
        <v>116</v>
      </c>
      <c r="C6" s="310" t="str">
        <f ca="1">MID(CELL("filename",A1), FIND("]", CELL("filename", A1))+ 1, 255)</f>
        <v>Input Steady State Test Data</v>
      </c>
      <c r="D6" s="234"/>
      <c r="E6" s="171"/>
      <c r="F6" s="235"/>
      <c r="G6" s="130"/>
      <c r="H6" s="130"/>
      <c r="I6" s="130"/>
      <c r="J6" s="130"/>
    </row>
    <row r="7" spans="1:10" x14ac:dyDescent="0.3">
      <c r="A7" s="129"/>
      <c r="B7" s="311" t="s">
        <v>115</v>
      </c>
      <c r="C7" s="312" t="str">
        <f ca="1">'Version Control'!C7</f>
        <v>Consumer Boiler - v2.1.xlsx</v>
      </c>
      <c r="D7" s="234"/>
      <c r="E7" s="171"/>
      <c r="F7" s="235"/>
      <c r="G7" s="130"/>
      <c r="H7" s="130"/>
      <c r="I7" s="130"/>
      <c r="J7" s="130"/>
    </row>
    <row r="8" spans="1:10" ht="17.25" thickBot="1" x14ac:dyDescent="0.35">
      <c r="A8" s="129"/>
      <c r="B8" s="313" t="s">
        <v>119</v>
      </c>
      <c r="C8" s="314" t="str">
        <f>'Version Control'!C8</f>
        <v>[MM/DD/YYYY]</v>
      </c>
      <c r="D8" s="202"/>
      <c r="E8" s="156"/>
      <c r="F8" s="203"/>
      <c r="G8" s="130"/>
      <c r="H8" s="130"/>
      <c r="I8" s="130"/>
      <c r="J8" s="130"/>
    </row>
    <row r="9" spans="1:10" x14ac:dyDescent="0.3">
      <c r="A9" s="129"/>
      <c r="B9" s="129"/>
      <c r="C9" s="129"/>
      <c r="D9" s="129"/>
      <c r="E9" s="129"/>
      <c r="F9" s="129"/>
      <c r="G9" s="129"/>
      <c r="H9" s="129"/>
      <c r="I9" s="129"/>
      <c r="J9" s="129"/>
    </row>
    <row r="10" spans="1:10" ht="17.25" thickBot="1" x14ac:dyDescent="0.35">
      <c r="A10" s="129"/>
      <c r="B10" s="129"/>
      <c r="C10" s="129"/>
      <c r="D10" s="129"/>
      <c r="E10" s="129"/>
      <c r="F10" s="129"/>
      <c r="G10" s="129"/>
      <c r="H10" s="129"/>
      <c r="I10" s="129"/>
      <c r="J10" s="129"/>
    </row>
    <row r="11" spans="1:10" ht="18" thickBot="1" x14ac:dyDescent="0.35">
      <c r="A11" s="129"/>
      <c r="B11" s="1874" t="s">
        <v>228</v>
      </c>
      <c r="C11" s="1875"/>
      <c r="D11" s="129"/>
      <c r="E11" s="129"/>
      <c r="F11" s="129"/>
      <c r="G11" s="129"/>
      <c r="H11" s="129"/>
      <c r="I11" s="129"/>
      <c r="J11" s="129"/>
    </row>
    <row r="12" spans="1:10" ht="18" thickBot="1" x14ac:dyDescent="0.4">
      <c r="A12" s="129"/>
      <c r="B12" s="1877" t="s">
        <v>1296</v>
      </c>
      <c r="C12" s="1878"/>
      <c r="D12" s="129"/>
      <c r="E12" s="129"/>
      <c r="F12" s="129"/>
      <c r="G12" s="129"/>
      <c r="H12" s="129"/>
      <c r="I12" s="129"/>
      <c r="J12" s="129"/>
    </row>
    <row r="13" spans="1:10" x14ac:dyDescent="0.3">
      <c r="A13" s="129"/>
      <c r="B13" s="129"/>
      <c r="C13" s="129"/>
      <c r="D13" s="129"/>
      <c r="E13" s="129"/>
      <c r="F13" s="129"/>
      <c r="G13" s="129"/>
      <c r="H13" s="129"/>
      <c r="I13" s="129"/>
      <c r="J13" s="129"/>
    </row>
  </sheetData>
  <sheetProtection algorithmName="SHA-512" hashValue="7cZiRbqSy1darDCf1HU5J5FRb4oVPuMrc+SVa9GYEf1S1YQ4wIrVJZ7xWbOfS4T3+JoRn9xNKYiyChFWhUUIGQ==" saltValue="MfovzbA2h4iCiIzAgmUkCw==" spinCount="100000" sheet="1" objects="1" scenarios="1" selectLockedCells="1"/>
  <mergeCells count="4">
    <mergeCell ref="B2:C2"/>
    <mergeCell ref="H4:J4"/>
    <mergeCell ref="B11:C11"/>
    <mergeCell ref="B12:C12"/>
  </mergeCells>
  <hyperlinks>
    <hyperlink ref="H4" location="Instructions!C33" display="Back to Instructions tab" xr:uid="{19C8E9CA-62B4-44A4-B46A-8C96FC4BB03B}"/>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0FB18-9B4A-49BD-9090-86275B90251E}">
  <sheetPr codeName="Sheet22">
    <tabColor rgb="FFFFFF00"/>
  </sheetPr>
  <dimension ref="A1:J13"/>
  <sheetViews>
    <sheetView zoomScale="80" zoomScaleNormal="80" workbookViewId="0">
      <selection activeCell="B14" sqref="B14"/>
    </sheetView>
  </sheetViews>
  <sheetFormatPr defaultColWidth="9" defaultRowHeight="16.5" x14ac:dyDescent="0.3"/>
  <cols>
    <col min="1" max="1" width="9" style="1470"/>
    <col min="2" max="2" width="28.875" style="1470" customWidth="1"/>
    <col min="3" max="3" width="34.625" style="1470" customWidth="1"/>
    <col min="4" max="16384" width="9" style="1470"/>
  </cols>
  <sheetData>
    <row r="1" spans="1:10" ht="17.25" thickBot="1" x14ac:dyDescent="0.35">
      <c r="A1" s="129"/>
      <c r="B1" s="129"/>
      <c r="C1" s="129"/>
      <c r="D1" s="129"/>
      <c r="E1" s="129"/>
      <c r="F1" s="129"/>
      <c r="G1" s="129"/>
      <c r="H1" s="129"/>
      <c r="I1" s="129"/>
      <c r="J1" s="129"/>
    </row>
    <row r="2" spans="1:10" ht="18" thickBot="1" x14ac:dyDescent="0.35">
      <c r="A2" s="129"/>
      <c r="B2" s="1874" t="s">
        <v>228</v>
      </c>
      <c r="C2" s="1875"/>
      <c r="D2" s="231"/>
      <c r="E2" s="231"/>
      <c r="F2" s="231"/>
      <c r="G2" s="130"/>
      <c r="H2" s="130"/>
      <c r="I2" s="130"/>
      <c r="J2" s="130"/>
    </row>
    <row r="3" spans="1:10" x14ac:dyDescent="0.3">
      <c r="A3" s="129"/>
      <c r="B3" s="304" t="s">
        <v>229</v>
      </c>
      <c r="C3" s="305" t="str">
        <f>'Version Control'!C3</f>
        <v>Consumer Boiler</v>
      </c>
      <c r="D3" s="236"/>
      <c r="E3" s="236"/>
      <c r="F3" s="236"/>
      <c r="G3" s="130"/>
      <c r="H3" s="130"/>
      <c r="I3" s="130"/>
      <c r="J3" s="130"/>
    </row>
    <row r="4" spans="1:10" ht="18" x14ac:dyDescent="0.3">
      <c r="A4" s="129"/>
      <c r="B4" s="306" t="s">
        <v>117</v>
      </c>
      <c r="C4" s="307" t="str">
        <f>'Version Control'!C4</f>
        <v>v2.1</v>
      </c>
      <c r="D4" s="235"/>
      <c r="E4" s="171"/>
      <c r="F4" s="235"/>
      <c r="G4" s="130"/>
      <c r="H4" s="1876" t="s">
        <v>124</v>
      </c>
      <c r="I4" s="1876"/>
      <c r="J4" s="1876"/>
    </row>
    <row r="5" spans="1:10" x14ac:dyDescent="0.3">
      <c r="A5" s="129"/>
      <c r="B5" s="306" t="s">
        <v>118</v>
      </c>
      <c r="C5" s="308">
        <f>'Version Control'!C5</f>
        <v>45407</v>
      </c>
      <c r="D5" s="232"/>
      <c r="E5" s="171"/>
      <c r="F5" s="235"/>
      <c r="G5" s="130"/>
      <c r="H5" s="130"/>
      <c r="I5" s="130"/>
      <c r="J5" s="130"/>
    </row>
    <row r="6" spans="1:10" x14ac:dyDescent="0.3">
      <c r="A6" s="129"/>
      <c r="B6" s="309" t="s">
        <v>116</v>
      </c>
      <c r="C6" s="310" t="str">
        <f ca="1">MID(CELL("filename",A1), FIND("]", CELL("filename", A1))+ 1, 255)</f>
        <v>Input Cool-Down Test Data</v>
      </c>
      <c r="D6" s="234"/>
      <c r="E6" s="171"/>
      <c r="F6" s="235"/>
      <c r="G6" s="130"/>
      <c r="H6" s="130"/>
      <c r="I6" s="130"/>
      <c r="J6" s="130"/>
    </row>
    <row r="7" spans="1:10" x14ac:dyDescent="0.3">
      <c r="A7" s="129"/>
      <c r="B7" s="311" t="s">
        <v>115</v>
      </c>
      <c r="C7" s="312" t="str">
        <f ca="1">'Version Control'!C7</f>
        <v>Consumer Boiler - v2.1.xlsx</v>
      </c>
      <c r="D7" s="234"/>
      <c r="E7" s="171"/>
      <c r="F7" s="235"/>
      <c r="G7" s="130"/>
      <c r="H7" s="130"/>
      <c r="I7" s="130"/>
      <c r="J7" s="130"/>
    </row>
    <row r="8" spans="1:10" ht="17.25" thickBot="1" x14ac:dyDescent="0.35">
      <c r="A8" s="129"/>
      <c r="B8" s="313" t="s">
        <v>119</v>
      </c>
      <c r="C8" s="314" t="str">
        <f>'Version Control'!C8</f>
        <v>[MM/DD/YYYY]</v>
      </c>
      <c r="D8" s="202"/>
      <c r="E8" s="156"/>
      <c r="F8" s="203"/>
      <c r="G8" s="130"/>
      <c r="H8" s="130"/>
      <c r="I8" s="130"/>
      <c r="J8" s="130"/>
    </row>
    <row r="9" spans="1:10" x14ac:dyDescent="0.3">
      <c r="A9" s="129"/>
      <c r="B9" s="129"/>
      <c r="C9" s="129"/>
      <c r="D9" s="129"/>
      <c r="E9" s="129"/>
      <c r="F9" s="129"/>
      <c r="G9" s="129"/>
      <c r="H9" s="129"/>
      <c r="I9" s="129"/>
      <c r="J9" s="129"/>
    </row>
    <row r="10" spans="1:10" ht="17.25" thickBot="1" x14ac:dyDescent="0.35">
      <c r="A10" s="129"/>
      <c r="B10" s="129"/>
      <c r="C10" s="129"/>
      <c r="D10" s="129"/>
      <c r="E10" s="129"/>
      <c r="F10" s="129"/>
      <c r="G10" s="129"/>
      <c r="H10" s="129"/>
      <c r="I10" s="129"/>
      <c r="J10" s="129"/>
    </row>
    <row r="11" spans="1:10" ht="18" thickBot="1" x14ac:dyDescent="0.35">
      <c r="A11" s="129"/>
      <c r="B11" s="1874" t="s">
        <v>228</v>
      </c>
      <c r="C11" s="1875"/>
      <c r="D11" s="129"/>
      <c r="E11" s="129"/>
      <c r="F11" s="129"/>
      <c r="G11" s="129"/>
      <c r="H11" s="129"/>
      <c r="I11" s="129"/>
      <c r="J11" s="129"/>
    </row>
    <row r="12" spans="1:10" ht="18" thickBot="1" x14ac:dyDescent="0.4">
      <c r="A12" s="129"/>
      <c r="B12" s="1877" t="s">
        <v>1297</v>
      </c>
      <c r="C12" s="1878"/>
      <c r="D12" s="129"/>
      <c r="E12" s="129"/>
      <c r="F12" s="129"/>
      <c r="G12" s="129"/>
      <c r="H12" s="129"/>
      <c r="I12" s="129"/>
      <c r="J12" s="129"/>
    </row>
    <row r="13" spans="1:10" x14ac:dyDescent="0.3">
      <c r="A13" s="129"/>
      <c r="B13" s="129"/>
      <c r="C13" s="129"/>
      <c r="D13" s="129"/>
      <c r="E13" s="129"/>
      <c r="F13" s="129"/>
      <c r="G13" s="129"/>
      <c r="H13" s="129"/>
      <c r="I13" s="129"/>
      <c r="J13" s="129"/>
    </row>
  </sheetData>
  <sheetProtection algorithmName="SHA-512" hashValue="nbIGCYlhW34kZO8fwVfoGHXyHOgvT1uja2mQE8aHf6RDiGYiGQVzfxAWD4LX8dgoKenYqXkv2dz0k5f00cDc7A==" saltValue="rT6Ktdw7YRQZQCYznPl+eA==" spinCount="100000" sheet="1" objects="1" scenarios="1" selectLockedCells="1"/>
  <mergeCells count="4">
    <mergeCell ref="B2:C2"/>
    <mergeCell ref="H4:J4"/>
    <mergeCell ref="B11:C11"/>
    <mergeCell ref="B12:C12"/>
  </mergeCells>
  <hyperlinks>
    <hyperlink ref="H4" location="Instructions!C33" display="Back to Instructions tab" xr:uid="{7E934E02-E18A-443A-A7C2-CA16096F4F1B}"/>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9FA45-C11B-441F-AEAD-B844F3A35D5F}">
  <sheetPr codeName="Sheet23">
    <tabColor rgb="FFFFFF00"/>
  </sheetPr>
  <dimension ref="A1:J13"/>
  <sheetViews>
    <sheetView zoomScale="80" zoomScaleNormal="80" workbookViewId="0">
      <selection activeCell="B14" sqref="B14"/>
    </sheetView>
  </sheetViews>
  <sheetFormatPr defaultColWidth="9" defaultRowHeight="16.5" x14ac:dyDescent="0.3"/>
  <cols>
    <col min="1" max="1" width="9" style="1470"/>
    <col min="2" max="2" width="28.875" style="1470" customWidth="1"/>
    <col min="3" max="3" width="34.625" style="1470" customWidth="1"/>
    <col min="4" max="16384" width="9" style="1470"/>
  </cols>
  <sheetData>
    <row r="1" spans="1:10" ht="17.25" thickBot="1" x14ac:dyDescent="0.35">
      <c r="A1" s="129"/>
      <c r="B1" s="129"/>
      <c r="C1" s="129"/>
      <c r="D1" s="129"/>
      <c r="E1" s="129"/>
      <c r="F1" s="129"/>
      <c r="G1" s="129"/>
      <c r="H1" s="129"/>
      <c r="I1" s="129"/>
      <c r="J1" s="129"/>
    </row>
    <row r="2" spans="1:10" ht="18" thickBot="1" x14ac:dyDescent="0.35">
      <c r="A2" s="129"/>
      <c r="B2" s="1874" t="s">
        <v>228</v>
      </c>
      <c r="C2" s="1875"/>
      <c r="D2" s="231"/>
      <c r="E2" s="231"/>
      <c r="F2" s="231"/>
      <c r="G2" s="130"/>
      <c r="H2" s="130"/>
      <c r="I2" s="130"/>
      <c r="J2" s="130"/>
    </row>
    <row r="3" spans="1:10" x14ac:dyDescent="0.3">
      <c r="A3" s="129"/>
      <c r="B3" s="304" t="s">
        <v>229</v>
      </c>
      <c r="C3" s="305" t="str">
        <f>'Version Control'!C3</f>
        <v>Consumer Boiler</v>
      </c>
      <c r="D3" s="236"/>
      <c r="E3" s="236"/>
      <c r="F3" s="236"/>
      <c r="G3" s="130"/>
      <c r="H3" s="130"/>
      <c r="I3" s="130"/>
      <c r="J3" s="130"/>
    </row>
    <row r="4" spans="1:10" ht="18" x14ac:dyDescent="0.3">
      <c r="A4" s="129"/>
      <c r="B4" s="306" t="s">
        <v>117</v>
      </c>
      <c r="C4" s="307" t="str">
        <f>'Version Control'!C4</f>
        <v>v2.1</v>
      </c>
      <c r="D4" s="235"/>
      <c r="E4" s="171"/>
      <c r="F4" s="235"/>
      <c r="G4" s="130"/>
      <c r="H4" s="1876" t="s">
        <v>124</v>
      </c>
      <c r="I4" s="1876"/>
      <c r="J4" s="1876"/>
    </row>
    <row r="5" spans="1:10" x14ac:dyDescent="0.3">
      <c r="A5" s="129"/>
      <c r="B5" s="306" t="s">
        <v>118</v>
      </c>
      <c r="C5" s="308">
        <f>'Version Control'!C5</f>
        <v>45407</v>
      </c>
      <c r="D5" s="232"/>
      <c r="E5" s="171"/>
      <c r="F5" s="235"/>
      <c r="G5" s="130"/>
      <c r="H5" s="130"/>
      <c r="I5" s="130"/>
      <c r="J5" s="130"/>
    </row>
    <row r="6" spans="1:10" x14ac:dyDescent="0.3">
      <c r="A6" s="129"/>
      <c r="B6" s="309" t="s">
        <v>116</v>
      </c>
      <c r="C6" s="310" t="str">
        <f ca="1">MID(CELL("filename",A1), FIND("]", CELL("filename", A1))+ 1, 255)</f>
        <v>Input Heat-Up Test Data</v>
      </c>
      <c r="D6" s="234"/>
      <c r="E6" s="171"/>
      <c r="F6" s="235"/>
      <c r="G6" s="130"/>
      <c r="H6" s="130"/>
      <c r="I6" s="130"/>
      <c r="J6" s="130"/>
    </row>
    <row r="7" spans="1:10" x14ac:dyDescent="0.3">
      <c r="A7" s="129"/>
      <c r="B7" s="311" t="s">
        <v>115</v>
      </c>
      <c r="C7" s="312" t="str">
        <f ca="1">'Version Control'!C7</f>
        <v>Consumer Boiler - v2.1.xlsx</v>
      </c>
      <c r="D7" s="234"/>
      <c r="E7" s="171"/>
      <c r="F7" s="235"/>
      <c r="G7" s="130"/>
      <c r="H7" s="130"/>
      <c r="I7" s="130"/>
      <c r="J7" s="130"/>
    </row>
    <row r="8" spans="1:10" ht="17.25" thickBot="1" x14ac:dyDescent="0.35">
      <c r="A8" s="129"/>
      <c r="B8" s="313" t="s">
        <v>119</v>
      </c>
      <c r="C8" s="314" t="str">
        <f>'Version Control'!C8</f>
        <v>[MM/DD/YYYY]</v>
      </c>
      <c r="D8" s="202"/>
      <c r="E8" s="156"/>
      <c r="F8" s="203"/>
      <c r="G8" s="130"/>
      <c r="H8" s="130"/>
      <c r="I8" s="130"/>
      <c r="J8" s="130"/>
    </row>
    <row r="9" spans="1:10" x14ac:dyDescent="0.3">
      <c r="A9" s="129"/>
      <c r="B9" s="129"/>
      <c r="C9" s="129"/>
      <c r="D9" s="129"/>
      <c r="E9" s="129"/>
      <c r="F9" s="129"/>
      <c r="G9" s="129"/>
      <c r="H9" s="129"/>
      <c r="I9" s="129"/>
      <c r="J9" s="129"/>
    </row>
    <row r="10" spans="1:10" ht="17.25" thickBot="1" x14ac:dyDescent="0.35">
      <c r="A10" s="129"/>
      <c r="B10" s="129"/>
      <c r="C10" s="129"/>
      <c r="D10" s="129"/>
      <c r="E10" s="129"/>
      <c r="F10" s="129"/>
      <c r="G10" s="129"/>
      <c r="H10" s="129"/>
      <c r="I10" s="129"/>
      <c r="J10" s="129"/>
    </row>
    <row r="11" spans="1:10" ht="18" thickBot="1" x14ac:dyDescent="0.35">
      <c r="A11" s="129"/>
      <c r="B11" s="1874" t="s">
        <v>228</v>
      </c>
      <c r="C11" s="1875"/>
      <c r="D11" s="129"/>
      <c r="E11" s="129"/>
      <c r="F11" s="129"/>
      <c r="G11" s="129"/>
      <c r="H11" s="129"/>
      <c r="I11" s="129"/>
      <c r="J11" s="129"/>
    </row>
    <row r="12" spans="1:10" ht="18" thickBot="1" x14ac:dyDescent="0.4">
      <c r="A12" s="129"/>
      <c r="B12" s="1877" t="s">
        <v>1298</v>
      </c>
      <c r="C12" s="1878"/>
      <c r="D12" s="129"/>
      <c r="E12" s="129"/>
      <c r="F12" s="129"/>
      <c r="G12" s="129"/>
      <c r="H12" s="129"/>
      <c r="I12" s="129"/>
      <c r="J12" s="129"/>
    </row>
    <row r="13" spans="1:10" x14ac:dyDescent="0.3">
      <c r="A13" s="129"/>
      <c r="B13" s="129"/>
      <c r="C13" s="129"/>
      <c r="D13" s="129"/>
      <c r="E13" s="129"/>
      <c r="F13" s="129"/>
      <c r="G13" s="129"/>
      <c r="H13" s="129"/>
      <c r="I13" s="129"/>
      <c r="J13" s="129"/>
    </row>
  </sheetData>
  <sheetProtection algorithmName="SHA-512" hashValue="xlQf9+BlsZyBYa4kW6ILJGSUPSaz881Fq0Xo0/3FvD3yLBt58x/Jg79jvpnBoxgf5GmWMdt8F57yH/LLVIz8ww==" saltValue="1F/AsVNuLBrYhp+hwJLDpQ==" spinCount="100000" sheet="1" objects="1" scenarios="1" selectLockedCells="1"/>
  <mergeCells count="4">
    <mergeCell ref="B2:C2"/>
    <mergeCell ref="H4:J4"/>
    <mergeCell ref="B11:C11"/>
    <mergeCell ref="B12:C12"/>
  </mergeCells>
  <hyperlinks>
    <hyperlink ref="H4" location="Instructions!C33" display="Back to Instructions tab" xr:uid="{8F0A6709-32FF-4BFC-8B8C-934A890970BE}"/>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70C0"/>
  </sheetPr>
  <dimension ref="A1:Q224"/>
  <sheetViews>
    <sheetView showGridLines="0" zoomScale="80" zoomScaleNormal="80" workbookViewId="0">
      <selection activeCell="B12" sqref="B12:O33"/>
    </sheetView>
  </sheetViews>
  <sheetFormatPr defaultColWidth="9" defaultRowHeight="16.5" x14ac:dyDescent="0.3"/>
  <cols>
    <col min="1" max="1" width="3.625" style="130" customWidth="1"/>
    <col min="2" max="2" width="28.875" style="130" customWidth="1"/>
    <col min="3" max="3" width="49.875" style="130" customWidth="1"/>
    <col min="4" max="4" width="14.125" style="130" customWidth="1"/>
    <col min="5" max="5" width="20.125" style="130" customWidth="1"/>
    <col min="6" max="6" width="13.125" style="130" customWidth="1"/>
    <col min="7" max="7" width="12.875" style="130" customWidth="1"/>
    <col min="8" max="8" width="9" style="130"/>
    <col min="9" max="9" width="12.375" style="130" customWidth="1"/>
    <col min="10" max="10" width="13.375" style="130" customWidth="1"/>
    <col min="11" max="11" width="9" style="130" customWidth="1"/>
    <col min="12" max="12" width="24.875" style="130" customWidth="1"/>
    <col min="13" max="13" width="26" style="130" customWidth="1"/>
    <col min="14" max="14" width="20.375" style="130" customWidth="1"/>
    <col min="15" max="15" width="12.375" style="130" customWidth="1"/>
    <col min="16" max="16" width="4.875" style="130" customWidth="1"/>
    <col min="17" max="17" width="4.125" style="130" customWidth="1"/>
    <col min="18" max="16384" width="9" style="130"/>
  </cols>
  <sheetData>
    <row r="1" spans="2:17" ht="17.25" thickBot="1" x14ac:dyDescent="0.35">
      <c r="Q1" s="152"/>
    </row>
    <row r="2" spans="2:17" ht="18" thickBot="1" x14ac:dyDescent="0.35">
      <c r="B2" s="1874" t="s">
        <v>228</v>
      </c>
      <c r="C2" s="1875"/>
      <c r="D2" s="231"/>
      <c r="E2" s="231"/>
      <c r="F2" s="231"/>
      <c r="Q2" s="152"/>
    </row>
    <row r="3" spans="2:17" ht="17.25" customHeight="1" x14ac:dyDescent="0.3">
      <c r="B3" s="304" t="s">
        <v>229</v>
      </c>
      <c r="C3" s="305" t="str">
        <f>'Version Control'!C3</f>
        <v>Consumer Boiler</v>
      </c>
      <c r="D3" s="1880"/>
      <c r="E3" s="1880"/>
      <c r="F3" s="1880"/>
      <c r="Q3" s="152"/>
    </row>
    <row r="4" spans="2:17" ht="18" x14ac:dyDescent="0.3">
      <c r="B4" s="306" t="s">
        <v>117</v>
      </c>
      <c r="C4" s="307" t="str">
        <f>'Version Control'!C4</f>
        <v>v2.1</v>
      </c>
      <c r="D4" s="235"/>
      <c r="E4" s="171"/>
      <c r="F4" s="235"/>
      <c r="H4" s="1879" t="s">
        <v>124</v>
      </c>
      <c r="I4" s="1879"/>
      <c r="J4" s="1879"/>
      <c r="Q4" s="152"/>
    </row>
    <row r="5" spans="2:17" x14ac:dyDescent="0.3">
      <c r="B5" s="306" t="s">
        <v>118</v>
      </c>
      <c r="C5" s="308">
        <f>'Version Control'!C5</f>
        <v>45407</v>
      </c>
      <c r="D5" s="232"/>
      <c r="E5" s="171"/>
      <c r="F5" s="235"/>
      <c r="Q5" s="152"/>
    </row>
    <row r="6" spans="2:17" x14ac:dyDescent="0.3">
      <c r="B6" s="309" t="s">
        <v>116</v>
      </c>
      <c r="C6" s="310" t="str">
        <f ca="1">MID(CELL("filename",A1), FIND("]", CELL("filename", A1))+ 1, 255)</f>
        <v>Photos</v>
      </c>
      <c r="D6" s="234"/>
      <c r="E6" s="171"/>
      <c r="F6" s="235"/>
      <c r="Q6" s="152"/>
    </row>
    <row r="7" spans="2:17" x14ac:dyDescent="0.3">
      <c r="B7" s="311" t="s">
        <v>115</v>
      </c>
      <c r="C7" s="312" t="str">
        <f ca="1">'Version Control'!C7</f>
        <v>Consumer Boiler - v2.1.xlsx</v>
      </c>
      <c r="D7" s="234"/>
      <c r="E7" s="171"/>
      <c r="F7" s="235"/>
      <c r="Q7" s="152"/>
    </row>
    <row r="8" spans="2:17" ht="17.25" thickBot="1" x14ac:dyDescent="0.35">
      <c r="B8" s="313" t="s">
        <v>119</v>
      </c>
      <c r="C8" s="314" t="str">
        <f>'Version Control'!C8</f>
        <v>[MM/DD/YYYY]</v>
      </c>
      <c r="D8" s="202"/>
      <c r="E8" s="156"/>
      <c r="F8" s="203"/>
      <c r="Q8" s="152"/>
    </row>
    <row r="9" spans="2:17" x14ac:dyDescent="0.3">
      <c r="B9" s="129"/>
      <c r="C9" s="129"/>
      <c r="D9" s="129"/>
      <c r="E9" s="129"/>
      <c r="F9" s="129"/>
      <c r="G9" s="129"/>
      <c r="H9" s="129"/>
      <c r="I9" s="129"/>
      <c r="J9" s="129"/>
      <c r="K9" s="129"/>
      <c r="L9" s="129"/>
      <c r="M9" s="129"/>
      <c r="N9" s="129"/>
      <c r="O9" s="129"/>
      <c r="Q9" s="152"/>
    </row>
    <row r="10" spans="2:17" ht="17.25" thickBot="1" x14ac:dyDescent="0.35">
      <c r="B10" s="129"/>
      <c r="C10" s="129"/>
      <c r="D10" s="129"/>
      <c r="E10" s="129"/>
      <c r="F10" s="129"/>
      <c r="G10" s="129"/>
      <c r="H10" s="129"/>
      <c r="I10" s="129"/>
      <c r="J10" s="129"/>
      <c r="K10" s="129"/>
      <c r="L10" s="129"/>
      <c r="M10" s="129"/>
      <c r="N10" s="129"/>
      <c r="O10" s="129"/>
      <c r="Q10" s="152"/>
    </row>
    <row r="11" spans="2:17" ht="18" thickBot="1" x14ac:dyDescent="0.35">
      <c r="B11" s="143" t="s">
        <v>169</v>
      </c>
      <c r="C11" s="144"/>
      <c r="D11" s="144"/>
      <c r="E11" s="144"/>
      <c r="F11" s="144"/>
      <c r="G11" s="144"/>
      <c r="H11" s="144"/>
      <c r="I11" s="144"/>
      <c r="J11" s="144"/>
      <c r="K11" s="144"/>
      <c r="L11" s="144"/>
      <c r="M11" s="144"/>
      <c r="N11" s="144"/>
      <c r="O11" s="128"/>
      <c r="Q11" s="152"/>
    </row>
    <row r="12" spans="2:17" x14ac:dyDescent="0.3">
      <c r="B12" s="1567"/>
      <c r="C12" s="1568"/>
      <c r="D12" s="1568"/>
      <c r="E12" s="1568"/>
      <c r="F12" s="1568"/>
      <c r="G12" s="1568"/>
      <c r="H12" s="1568"/>
      <c r="I12" s="1568"/>
      <c r="J12" s="1568"/>
      <c r="K12" s="1568"/>
      <c r="L12" s="1568"/>
      <c r="M12" s="1568"/>
      <c r="N12" s="1568"/>
      <c r="O12" s="1569"/>
      <c r="Q12" s="152"/>
    </row>
    <row r="13" spans="2:17" x14ac:dyDescent="0.3">
      <c r="B13" s="1567"/>
      <c r="C13" s="1568"/>
      <c r="D13" s="1568"/>
      <c r="E13" s="1568"/>
      <c r="F13" s="1568"/>
      <c r="G13" s="1568"/>
      <c r="H13" s="1568"/>
      <c r="I13" s="1568"/>
      <c r="J13" s="1568"/>
      <c r="K13" s="1568"/>
      <c r="L13" s="1568"/>
      <c r="M13" s="1568"/>
      <c r="N13" s="1568"/>
      <c r="O13" s="1569"/>
      <c r="Q13" s="152"/>
    </row>
    <row r="14" spans="2:17" x14ac:dyDescent="0.3">
      <c r="B14" s="1567"/>
      <c r="C14" s="1568"/>
      <c r="D14" s="1568"/>
      <c r="E14" s="1568"/>
      <c r="F14" s="1568"/>
      <c r="G14" s="1568"/>
      <c r="H14" s="1568"/>
      <c r="I14" s="1568"/>
      <c r="J14" s="1568"/>
      <c r="K14" s="1568"/>
      <c r="L14" s="1568"/>
      <c r="M14" s="1568"/>
      <c r="N14" s="1568"/>
      <c r="O14" s="1569"/>
      <c r="Q14" s="152"/>
    </row>
    <row r="15" spans="2:17" x14ac:dyDescent="0.3">
      <c r="B15" s="1567"/>
      <c r="C15" s="1568"/>
      <c r="D15" s="1568"/>
      <c r="E15" s="1568"/>
      <c r="F15" s="1568"/>
      <c r="G15" s="1568"/>
      <c r="H15" s="1568"/>
      <c r="I15" s="1568"/>
      <c r="J15" s="1568"/>
      <c r="K15" s="1568"/>
      <c r="L15" s="1568"/>
      <c r="M15" s="1568"/>
      <c r="N15" s="1568"/>
      <c r="O15" s="1569"/>
      <c r="Q15" s="152"/>
    </row>
    <row r="16" spans="2:17" x14ac:dyDescent="0.3">
      <c r="B16" s="1567"/>
      <c r="C16" s="1568"/>
      <c r="D16" s="1568"/>
      <c r="E16" s="1568"/>
      <c r="F16" s="1568"/>
      <c r="G16" s="1568"/>
      <c r="H16" s="1568"/>
      <c r="I16" s="1568"/>
      <c r="J16" s="1568"/>
      <c r="K16" s="1568"/>
      <c r="L16" s="1568"/>
      <c r="M16" s="1568"/>
      <c r="N16" s="1568"/>
      <c r="O16" s="1569"/>
      <c r="Q16" s="152"/>
    </row>
    <row r="17" spans="2:17" x14ac:dyDescent="0.3">
      <c r="B17" s="1567"/>
      <c r="C17" s="1568"/>
      <c r="D17" s="1568"/>
      <c r="E17" s="1568"/>
      <c r="F17" s="1568"/>
      <c r="G17" s="1568"/>
      <c r="H17" s="1568"/>
      <c r="I17" s="1568"/>
      <c r="J17" s="1568"/>
      <c r="K17" s="1568"/>
      <c r="L17" s="1568"/>
      <c r="M17" s="1568"/>
      <c r="N17" s="1568"/>
      <c r="O17" s="1569"/>
      <c r="Q17" s="152"/>
    </row>
    <row r="18" spans="2:17" x14ac:dyDescent="0.3">
      <c r="B18" s="1567"/>
      <c r="C18" s="1568"/>
      <c r="D18" s="1568"/>
      <c r="E18" s="1568"/>
      <c r="F18" s="1568"/>
      <c r="G18" s="1568"/>
      <c r="H18" s="1568"/>
      <c r="I18" s="1568"/>
      <c r="J18" s="1568"/>
      <c r="K18" s="1568"/>
      <c r="L18" s="1568"/>
      <c r="M18" s="1568"/>
      <c r="N18" s="1568"/>
      <c r="O18" s="1569"/>
      <c r="Q18" s="152"/>
    </row>
    <row r="19" spans="2:17" x14ac:dyDescent="0.3">
      <c r="B19" s="1567"/>
      <c r="C19" s="1568"/>
      <c r="D19" s="1568"/>
      <c r="E19" s="1568"/>
      <c r="F19" s="1568"/>
      <c r="G19" s="1568"/>
      <c r="H19" s="1568"/>
      <c r="I19" s="1568"/>
      <c r="J19" s="1568"/>
      <c r="K19" s="1568"/>
      <c r="L19" s="1568"/>
      <c r="M19" s="1568"/>
      <c r="N19" s="1568"/>
      <c r="O19" s="1569"/>
      <c r="Q19" s="152"/>
    </row>
    <row r="20" spans="2:17" x14ac:dyDescent="0.3">
      <c r="B20" s="1567"/>
      <c r="C20" s="1568"/>
      <c r="D20" s="1568"/>
      <c r="E20" s="1568"/>
      <c r="F20" s="1568"/>
      <c r="G20" s="1568"/>
      <c r="H20" s="1568"/>
      <c r="I20" s="1568"/>
      <c r="J20" s="1568"/>
      <c r="K20" s="1568"/>
      <c r="L20" s="1568"/>
      <c r="M20" s="1568"/>
      <c r="N20" s="1568"/>
      <c r="O20" s="1569"/>
      <c r="Q20" s="152"/>
    </row>
    <row r="21" spans="2:17" x14ac:dyDescent="0.3">
      <c r="B21" s="1567"/>
      <c r="C21" s="1568"/>
      <c r="D21" s="1568"/>
      <c r="E21" s="1568"/>
      <c r="F21" s="1568"/>
      <c r="G21" s="1568"/>
      <c r="H21" s="1568"/>
      <c r="I21" s="1568"/>
      <c r="J21" s="1568"/>
      <c r="K21" s="1568"/>
      <c r="L21" s="1568"/>
      <c r="M21" s="1568"/>
      <c r="N21" s="1568"/>
      <c r="O21" s="1569"/>
      <c r="Q21" s="152"/>
    </row>
    <row r="22" spans="2:17" x14ac:dyDescent="0.3">
      <c r="B22" s="1567"/>
      <c r="C22" s="1568"/>
      <c r="D22" s="1568"/>
      <c r="E22" s="1568"/>
      <c r="F22" s="1568"/>
      <c r="G22" s="1568"/>
      <c r="H22" s="1568"/>
      <c r="I22" s="1568"/>
      <c r="J22" s="1568"/>
      <c r="K22" s="1568"/>
      <c r="L22" s="1568"/>
      <c r="M22" s="1568"/>
      <c r="N22" s="1568"/>
      <c r="O22" s="1569"/>
      <c r="Q22" s="152"/>
    </row>
    <row r="23" spans="2:17" x14ac:dyDescent="0.3">
      <c r="B23" s="1567"/>
      <c r="C23" s="1568"/>
      <c r="D23" s="1568"/>
      <c r="E23" s="1568"/>
      <c r="F23" s="1568"/>
      <c r="G23" s="1568"/>
      <c r="H23" s="1568"/>
      <c r="I23" s="1568"/>
      <c r="J23" s="1568"/>
      <c r="K23" s="1568"/>
      <c r="L23" s="1568"/>
      <c r="M23" s="1568"/>
      <c r="N23" s="1568"/>
      <c r="O23" s="1569"/>
      <c r="Q23" s="152"/>
    </row>
    <row r="24" spans="2:17" x14ac:dyDescent="0.3">
      <c r="B24" s="1567"/>
      <c r="C24" s="1568"/>
      <c r="D24" s="1568"/>
      <c r="E24" s="1568"/>
      <c r="F24" s="1568"/>
      <c r="G24" s="1568"/>
      <c r="H24" s="1568"/>
      <c r="I24" s="1568"/>
      <c r="J24" s="1568"/>
      <c r="K24" s="1568"/>
      <c r="L24" s="1568"/>
      <c r="M24" s="1568"/>
      <c r="N24" s="1568"/>
      <c r="O24" s="1569"/>
      <c r="Q24" s="152"/>
    </row>
    <row r="25" spans="2:17" x14ac:dyDescent="0.3">
      <c r="B25" s="1567"/>
      <c r="C25" s="1568"/>
      <c r="D25" s="1568"/>
      <c r="E25" s="1568"/>
      <c r="F25" s="1568"/>
      <c r="G25" s="1568"/>
      <c r="H25" s="1568"/>
      <c r="I25" s="1568"/>
      <c r="J25" s="1568"/>
      <c r="K25" s="1568"/>
      <c r="L25" s="1568"/>
      <c r="M25" s="1568"/>
      <c r="N25" s="1568"/>
      <c r="O25" s="1569"/>
      <c r="Q25" s="152"/>
    </row>
    <row r="26" spans="2:17" x14ac:dyDescent="0.3">
      <c r="B26" s="1567"/>
      <c r="C26" s="1568"/>
      <c r="D26" s="1568"/>
      <c r="E26" s="1568"/>
      <c r="F26" s="1568"/>
      <c r="G26" s="1568"/>
      <c r="H26" s="1568"/>
      <c r="I26" s="1568"/>
      <c r="J26" s="1568"/>
      <c r="K26" s="1568"/>
      <c r="L26" s="1568"/>
      <c r="M26" s="1568"/>
      <c r="N26" s="1568"/>
      <c r="O26" s="1569"/>
      <c r="Q26" s="152"/>
    </row>
    <row r="27" spans="2:17" x14ac:dyDescent="0.3">
      <c r="B27" s="1567"/>
      <c r="C27" s="1568"/>
      <c r="D27" s="1568"/>
      <c r="E27" s="1568"/>
      <c r="F27" s="1568"/>
      <c r="G27" s="1568"/>
      <c r="H27" s="1568"/>
      <c r="I27" s="1568"/>
      <c r="J27" s="1568"/>
      <c r="K27" s="1568"/>
      <c r="L27" s="1568"/>
      <c r="M27" s="1568"/>
      <c r="N27" s="1568"/>
      <c r="O27" s="1569"/>
      <c r="Q27" s="152"/>
    </row>
    <row r="28" spans="2:17" x14ac:dyDescent="0.3">
      <c r="B28" s="1567"/>
      <c r="C28" s="1568"/>
      <c r="D28" s="1568"/>
      <c r="E28" s="1568"/>
      <c r="F28" s="1568"/>
      <c r="G28" s="1568"/>
      <c r="H28" s="1568"/>
      <c r="I28" s="1568"/>
      <c r="J28" s="1568"/>
      <c r="K28" s="1568"/>
      <c r="L28" s="1568"/>
      <c r="M28" s="1568"/>
      <c r="N28" s="1568"/>
      <c r="O28" s="1569"/>
      <c r="Q28" s="152"/>
    </row>
    <row r="29" spans="2:17" x14ac:dyDescent="0.3">
      <c r="B29" s="1567"/>
      <c r="C29" s="1568"/>
      <c r="D29" s="1568"/>
      <c r="E29" s="1568"/>
      <c r="F29" s="1568"/>
      <c r="G29" s="1568"/>
      <c r="H29" s="1568"/>
      <c r="I29" s="1568"/>
      <c r="J29" s="1568"/>
      <c r="K29" s="1568"/>
      <c r="L29" s="1568"/>
      <c r="M29" s="1568"/>
      <c r="N29" s="1568"/>
      <c r="O29" s="1569"/>
      <c r="Q29" s="152"/>
    </row>
    <row r="30" spans="2:17" x14ac:dyDescent="0.3">
      <c r="B30" s="1567"/>
      <c r="C30" s="1568"/>
      <c r="D30" s="1568"/>
      <c r="E30" s="1568"/>
      <c r="F30" s="1568"/>
      <c r="G30" s="1568"/>
      <c r="H30" s="1568"/>
      <c r="I30" s="1568"/>
      <c r="J30" s="1568"/>
      <c r="K30" s="1568"/>
      <c r="L30" s="1568"/>
      <c r="M30" s="1568"/>
      <c r="N30" s="1568"/>
      <c r="O30" s="1569"/>
      <c r="Q30" s="152"/>
    </row>
    <row r="31" spans="2:17" x14ac:dyDescent="0.3">
      <c r="B31" s="1567"/>
      <c r="C31" s="1568"/>
      <c r="D31" s="1568"/>
      <c r="E31" s="1568"/>
      <c r="F31" s="1568"/>
      <c r="G31" s="1568"/>
      <c r="H31" s="1568"/>
      <c r="I31" s="1568"/>
      <c r="J31" s="1568"/>
      <c r="K31" s="1568"/>
      <c r="L31" s="1568"/>
      <c r="M31" s="1568"/>
      <c r="N31" s="1568"/>
      <c r="O31" s="1569"/>
      <c r="Q31" s="152"/>
    </row>
    <row r="32" spans="2:17" x14ac:dyDescent="0.3">
      <c r="B32" s="1567"/>
      <c r="C32" s="1568"/>
      <c r="D32" s="1568"/>
      <c r="E32" s="1568"/>
      <c r="F32" s="1568"/>
      <c r="G32" s="1568"/>
      <c r="H32" s="1568"/>
      <c r="I32" s="1568"/>
      <c r="J32" s="1568"/>
      <c r="K32" s="1568"/>
      <c r="L32" s="1568"/>
      <c r="M32" s="1568"/>
      <c r="N32" s="1568"/>
      <c r="O32" s="1569"/>
      <c r="Q32" s="152"/>
    </row>
    <row r="33" spans="2:17" ht="17.25" thickBot="1" x14ac:dyDescent="0.35">
      <c r="B33" s="1570"/>
      <c r="C33" s="1571"/>
      <c r="D33" s="1571"/>
      <c r="E33" s="1571"/>
      <c r="F33" s="1571"/>
      <c r="G33" s="1571"/>
      <c r="H33" s="1571"/>
      <c r="I33" s="1571"/>
      <c r="J33" s="1571"/>
      <c r="K33" s="1571"/>
      <c r="L33" s="1571"/>
      <c r="M33" s="1571"/>
      <c r="N33" s="1571"/>
      <c r="O33" s="1572"/>
      <c r="Q33" s="152"/>
    </row>
    <row r="34" spans="2:17" s="129" customFormat="1" ht="17.25" thickBot="1" x14ac:dyDescent="0.35">
      <c r="Q34" s="152"/>
    </row>
    <row r="35" spans="2:17" ht="18" thickBot="1" x14ac:dyDescent="0.35">
      <c r="B35" s="143" t="s">
        <v>171</v>
      </c>
      <c r="C35" s="144"/>
      <c r="D35" s="144"/>
      <c r="E35" s="144"/>
      <c r="F35" s="144"/>
      <c r="G35" s="144"/>
      <c r="H35" s="144"/>
      <c r="I35" s="144"/>
      <c r="J35" s="144"/>
      <c r="K35" s="144"/>
      <c r="L35" s="144"/>
      <c r="M35" s="144"/>
      <c r="N35" s="144"/>
      <c r="O35" s="128"/>
      <c r="Q35" s="152"/>
    </row>
    <row r="36" spans="2:17" x14ac:dyDescent="0.3">
      <c r="B36" s="1567"/>
      <c r="C36" s="1568"/>
      <c r="D36" s="1568"/>
      <c r="E36" s="1568"/>
      <c r="F36" s="1568"/>
      <c r="G36" s="1568"/>
      <c r="H36" s="1568"/>
      <c r="I36" s="1568"/>
      <c r="J36" s="1568"/>
      <c r="K36" s="1568"/>
      <c r="L36" s="1568"/>
      <c r="M36" s="1568"/>
      <c r="N36" s="1568"/>
      <c r="O36" s="1569"/>
      <c r="Q36" s="152"/>
    </row>
    <row r="37" spans="2:17" x14ac:dyDescent="0.3">
      <c r="B37" s="1567"/>
      <c r="C37" s="1568"/>
      <c r="D37" s="1568"/>
      <c r="E37" s="1568"/>
      <c r="F37" s="1568"/>
      <c r="G37" s="1568"/>
      <c r="H37" s="1568"/>
      <c r="I37" s="1568"/>
      <c r="J37" s="1568"/>
      <c r="K37" s="1568"/>
      <c r="L37" s="1568"/>
      <c r="M37" s="1568"/>
      <c r="N37" s="1568"/>
      <c r="O37" s="1569"/>
      <c r="Q37" s="152"/>
    </row>
    <row r="38" spans="2:17" x14ac:dyDescent="0.3">
      <c r="B38" s="1567"/>
      <c r="C38" s="1568"/>
      <c r="D38" s="1568"/>
      <c r="E38" s="1568"/>
      <c r="F38" s="1568"/>
      <c r="G38" s="1568"/>
      <c r="H38" s="1568"/>
      <c r="I38" s="1568"/>
      <c r="J38" s="1568"/>
      <c r="K38" s="1568"/>
      <c r="L38" s="1568"/>
      <c r="M38" s="1568"/>
      <c r="N38" s="1568"/>
      <c r="O38" s="1569"/>
      <c r="Q38" s="152"/>
    </row>
    <row r="39" spans="2:17" x14ac:dyDescent="0.3">
      <c r="B39" s="1567"/>
      <c r="C39" s="1568"/>
      <c r="D39" s="1568"/>
      <c r="E39" s="1568"/>
      <c r="F39" s="1568"/>
      <c r="G39" s="1568"/>
      <c r="H39" s="1568"/>
      <c r="I39" s="1568"/>
      <c r="J39" s="1568"/>
      <c r="K39" s="1568"/>
      <c r="L39" s="1568"/>
      <c r="M39" s="1568"/>
      <c r="N39" s="1568"/>
      <c r="O39" s="1569"/>
      <c r="Q39" s="152"/>
    </row>
    <row r="40" spans="2:17" x14ac:dyDescent="0.3">
      <c r="B40" s="1567"/>
      <c r="C40" s="1568"/>
      <c r="D40" s="1568"/>
      <c r="E40" s="1568"/>
      <c r="F40" s="1568"/>
      <c r="G40" s="1568"/>
      <c r="H40" s="1568"/>
      <c r="I40" s="1568"/>
      <c r="J40" s="1568"/>
      <c r="K40" s="1568"/>
      <c r="L40" s="1568"/>
      <c r="M40" s="1568"/>
      <c r="N40" s="1568"/>
      <c r="O40" s="1569"/>
      <c r="Q40" s="152"/>
    </row>
    <row r="41" spans="2:17" x14ac:dyDescent="0.3">
      <c r="B41" s="1567"/>
      <c r="C41" s="1568"/>
      <c r="D41" s="1568"/>
      <c r="E41" s="1568"/>
      <c r="F41" s="1568"/>
      <c r="G41" s="1568"/>
      <c r="H41" s="1568"/>
      <c r="I41" s="1568"/>
      <c r="J41" s="1568"/>
      <c r="K41" s="1568"/>
      <c r="L41" s="1568"/>
      <c r="M41" s="1568"/>
      <c r="N41" s="1568"/>
      <c r="O41" s="1569"/>
      <c r="Q41" s="152"/>
    </row>
    <row r="42" spans="2:17" x14ac:dyDescent="0.3">
      <c r="B42" s="1567"/>
      <c r="C42" s="1568"/>
      <c r="D42" s="1568"/>
      <c r="E42" s="1568"/>
      <c r="F42" s="1568"/>
      <c r="G42" s="1568"/>
      <c r="H42" s="1568"/>
      <c r="I42" s="1568"/>
      <c r="J42" s="1568"/>
      <c r="K42" s="1568"/>
      <c r="L42" s="1568"/>
      <c r="M42" s="1568"/>
      <c r="N42" s="1568"/>
      <c r="O42" s="1569"/>
      <c r="Q42" s="152"/>
    </row>
    <row r="43" spans="2:17" x14ac:dyDescent="0.3">
      <c r="B43" s="1567"/>
      <c r="C43" s="1568"/>
      <c r="D43" s="1568"/>
      <c r="E43" s="1568"/>
      <c r="F43" s="1568"/>
      <c r="G43" s="1568"/>
      <c r="H43" s="1568"/>
      <c r="I43" s="1568"/>
      <c r="J43" s="1568"/>
      <c r="K43" s="1568"/>
      <c r="L43" s="1568"/>
      <c r="M43" s="1568"/>
      <c r="N43" s="1568"/>
      <c r="O43" s="1569"/>
      <c r="Q43" s="152"/>
    </row>
    <row r="44" spans="2:17" x14ac:dyDescent="0.3">
      <c r="B44" s="1567"/>
      <c r="C44" s="1568"/>
      <c r="D44" s="1568"/>
      <c r="E44" s="1568"/>
      <c r="F44" s="1568"/>
      <c r="G44" s="1568"/>
      <c r="H44" s="1568"/>
      <c r="I44" s="1568"/>
      <c r="J44" s="1568"/>
      <c r="K44" s="1568"/>
      <c r="L44" s="1568"/>
      <c r="M44" s="1568"/>
      <c r="N44" s="1568"/>
      <c r="O44" s="1569"/>
      <c r="Q44" s="152"/>
    </row>
    <row r="45" spans="2:17" x14ac:dyDescent="0.3">
      <c r="B45" s="1567"/>
      <c r="C45" s="1568"/>
      <c r="D45" s="1568"/>
      <c r="E45" s="1568"/>
      <c r="F45" s="1568"/>
      <c r="G45" s="1568"/>
      <c r="H45" s="1568"/>
      <c r="I45" s="1568"/>
      <c r="J45" s="1568"/>
      <c r="K45" s="1568"/>
      <c r="L45" s="1568"/>
      <c r="M45" s="1568"/>
      <c r="N45" s="1568"/>
      <c r="O45" s="1569"/>
      <c r="Q45" s="152"/>
    </row>
    <row r="46" spans="2:17" x14ac:dyDescent="0.3">
      <c r="B46" s="1567"/>
      <c r="C46" s="1568"/>
      <c r="D46" s="1568"/>
      <c r="E46" s="1568"/>
      <c r="F46" s="1568"/>
      <c r="G46" s="1568"/>
      <c r="H46" s="1568"/>
      <c r="I46" s="1568"/>
      <c r="J46" s="1568"/>
      <c r="K46" s="1568"/>
      <c r="L46" s="1568"/>
      <c r="M46" s="1568"/>
      <c r="N46" s="1568"/>
      <c r="O46" s="1569"/>
      <c r="Q46" s="152"/>
    </row>
    <row r="47" spans="2:17" x14ac:dyDescent="0.3">
      <c r="B47" s="1567"/>
      <c r="C47" s="1568"/>
      <c r="D47" s="1568"/>
      <c r="E47" s="1568"/>
      <c r="F47" s="1568"/>
      <c r="G47" s="1568"/>
      <c r="H47" s="1568"/>
      <c r="I47" s="1568"/>
      <c r="J47" s="1568"/>
      <c r="K47" s="1568"/>
      <c r="L47" s="1568"/>
      <c r="M47" s="1568"/>
      <c r="N47" s="1568"/>
      <c r="O47" s="1569"/>
      <c r="Q47" s="152"/>
    </row>
    <row r="48" spans="2:17" x14ac:dyDescent="0.3">
      <c r="B48" s="1567"/>
      <c r="C48" s="1568"/>
      <c r="D48" s="1568"/>
      <c r="E48" s="1568"/>
      <c r="F48" s="1568"/>
      <c r="G48" s="1568"/>
      <c r="H48" s="1568"/>
      <c r="I48" s="1568"/>
      <c r="J48" s="1568"/>
      <c r="K48" s="1568"/>
      <c r="L48" s="1568"/>
      <c r="M48" s="1568"/>
      <c r="N48" s="1568"/>
      <c r="O48" s="1569"/>
      <c r="Q48" s="152"/>
    </row>
    <row r="49" spans="2:17" x14ac:dyDescent="0.3">
      <c r="B49" s="1567"/>
      <c r="C49" s="1568"/>
      <c r="D49" s="1568"/>
      <c r="E49" s="1568"/>
      <c r="F49" s="1568"/>
      <c r="G49" s="1568"/>
      <c r="H49" s="1568"/>
      <c r="I49" s="1568"/>
      <c r="J49" s="1568"/>
      <c r="K49" s="1568"/>
      <c r="L49" s="1568"/>
      <c r="M49" s="1568"/>
      <c r="N49" s="1568"/>
      <c r="O49" s="1569"/>
      <c r="Q49" s="152"/>
    </row>
    <row r="50" spans="2:17" x14ac:dyDescent="0.3">
      <c r="B50" s="1567"/>
      <c r="C50" s="1568"/>
      <c r="D50" s="1568"/>
      <c r="E50" s="1568"/>
      <c r="F50" s="1568"/>
      <c r="G50" s="1568"/>
      <c r="H50" s="1568"/>
      <c r="I50" s="1568"/>
      <c r="J50" s="1568"/>
      <c r="K50" s="1568"/>
      <c r="L50" s="1568"/>
      <c r="M50" s="1568"/>
      <c r="N50" s="1568"/>
      <c r="O50" s="1569"/>
      <c r="Q50" s="152"/>
    </row>
    <row r="51" spans="2:17" x14ac:dyDescent="0.3">
      <c r="B51" s="1567"/>
      <c r="C51" s="1568"/>
      <c r="D51" s="1568"/>
      <c r="E51" s="1568"/>
      <c r="F51" s="1568"/>
      <c r="G51" s="1568"/>
      <c r="H51" s="1568"/>
      <c r="I51" s="1568"/>
      <c r="J51" s="1568"/>
      <c r="K51" s="1568"/>
      <c r="L51" s="1568"/>
      <c r="M51" s="1568"/>
      <c r="N51" s="1568"/>
      <c r="O51" s="1569"/>
      <c r="Q51" s="152"/>
    </row>
    <row r="52" spans="2:17" x14ac:dyDescent="0.3">
      <c r="B52" s="1567"/>
      <c r="C52" s="1568"/>
      <c r="D52" s="1568"/>
      <c r="E52" s="1568"/>
      <c r="F52" s="1568"/>
      <c r="G52" s="1568"/>
      <c r="H52" s="1568"/>
      <c r="I52" s="1568"/>
      <c r="J52" s="1568"/>
      <c r="K52" s="1568"/>
      <c r="L52" s="1568"/>
      <c r="M52" s="1568"/>
      <c r="N52" s="1568"/>
      <c r="O52" s="1569"/>
      <c r="Q52" s="152"/>
    </row>
    <row r="53" spans="2:17" x14ac:dyDescent="0.3">
      <c r="B53" s="1567"/>
      <c r="C53" s="1568"/>
      <c r="D53" s="1568"/>
      <c r="E53" s="1568"/>
      <c r="F53" s="1568"/>
      <c r="G53" s="1568"/>
      <c r="H53" s="1568"/>
      <c r="I53" s="1568"/>
      <c r="J53" s="1568"/>
      <c r="K53" s="1568"/>
      <c r="L53" s="1568"/>
      <c r="M53" s="1568"/>
      <c r="N53" s="1568"/>
      <c r="O53" s="1569"/>
      <c r="Q53" s="152"/>
    </row>
    <row r="54" spans="2:17" x14ac:dyDescent="0.3">
      <c r="B54" s="1567"/>
      <c r="C54" s="1568"/>
      <c r="D54" s="1568"/>
      <c r="E54" s="1568"/>
      <c r="F54" s="1568"/>
      <c r="G54" s="1568"/>
      <c r="H54" s="1568"/>
      <c r="I54" s="1568"/>
      <c r="J54" s="1568"/>
      <c r="K54" s="1568"/>
      <c r="L54" s="1568"/>
      <c r="M54" s="1568"/>
      <c r="N54" s="1568"/>
      <c r="O54" s="1569"/>
      <c r="Q54" s="152"/>
    </row>
    <row r="55" spans="2:17" x14ac:dyDescent="0.3">
      <c r="B55" s="1567"/>
      <c r="C55" s="1568"/>
      <c r="D55" s="1568"/>
      <c r="E55" s="1568"/>
      <c r="F55" s="1568"/>
      <c r="G55" s="1568"/>
      <c r="H55" s="1568"/>
      <c r="I55" s="1568"/>
      <c r="J55" s="1568"/>
      <c r="K55" s="1568"/>
      <c r="L55" s="1568"/>
      <c r="M55" s="1568"/>
      <c r="N55" s="1568"/>
      <c r="O55" s="1569"/>
      <c r="Q55" s="152"/>
    </row>
    <row r="56" spans="2:17" x14ac:dyDescent="0.3">
      <c r="B56" s="1567"/>
      <c r="C56" s="1568"/>
      <c r="D56" s="1568"/>
      <c r="E56" s="1568"/>
      <c r="F56" s="1568"/>
      <c r="G56" s="1568"/>
      <c r="H56" s="1568"/>
      <c r="I56" s="1568"/>
      <c r="J56" s="1568"/>
      <c r="K56" s="1568"/>
      <c r="L56" s="1568"/>
      <c r="M56" s="1568"/>
      <c r="N56" s="1568"/>
      <c r="O56" s="1569"/>
      <c r="Q56" s="152"/>
    </row>
    <row r="57" spans="2:17" ht="17.25" thickBot="1" x14ac:dyDescent="0.35">
      <c r="B57" s="1570"/>
      <c r="C57" s="1571"/>
      <c r="D57" s="1571"/>
      <c r="E57" s="1571"/>
      <c r="F57" s="1571"/>
      <c r="G57" s="1571"/>
      <c r="H57" s="1571"/>
      <c r="I57" s="1571"/>
      <c r="J57" s="1571"/>
      <c r="K57" s="1571"/>
      <c r="L57" s="1571"/>
      <c r="M57" s="1571"/>
      <c r="N57" s="1571"/>
      <c r="O57" s="1572"/>
      <c r="Q57" s="152"/>
    </row>
    <row r="58" spans="2:17" ht="17.25" thickBot="1" x14ac:dyDescent="0.35">
      <c r="Q58" s="152"/>
    </row>
    <row r="59" spans="2:17" ht="18" thickBot="1" x14ac:dyDescent="0.35">
      <c r="B59" s="143" t="s">
        <v>817</v>
      </c>
      <c r="C59" s="144"/>
      <c r="D59" s="144"/>
      <c r="E59" s="144"/>
      <c r="F59" s="144"/>
      <c r="G59" s="144"/>
      <c r="H59" s="144"/>
      <c r="I59" s="144"/>
      <c r="J59" s="144"/>
      <c r="K59" s="144"/>
      <c r="L59" s="144"/>
      <c r="M59" s="144"/>
      <c r="N59" s="144"/>
      <c r="O59" s="128"/>
      <c r="Q59" s="152"/>
    </row>
    <row r="60" spans="2:17" x14ac:dyDescent="0.3">
      <c r="B60" s="1567"/>
      <c r="C60" s="1568"/>
      <c r="D60" s="1568"/>
      <c r="E60" s="1568"/>
      <c r="F60" s="1568"/>
      <c r="G60" s="1568"/>
      <c r="H60" s="1568"/>
      <c r="I60" s="1568"/>
      <c r="J60" s="1568"/>
      <c r="K60" s="1568"/>
      <c r="L60" s="1568"/>
      <c r="M60" s="1568"/>
      <c r="N60" s="1568"/>
      <c r="O60" s="1569"/>
      <c r="Q60" s="152"/>
    </row>
    <row r="61" spans="2:17" x14ac:dyDescent="0.3">
      <c r="B61" s="1567"/>
      <c r="C61" s="1568"/>
      <c r="D61" s="1568"/>
      <c r="E61" s="1568"/>
      <c r="F61" s="1568"/>
      <c r="G61" s="1568"/>
      <c r="H61" s="1568"/>
      <c r="I61" s="1568"/>
      <c r="J61" s="1568"/>
      <c r="K61" s="1568"/>
      <c r="L61" s="1568"/>
      <c r="M61" s="1568"/>
      <c r="N61" s="1568"/>
      <c r="O61" s="1569"/>
      <c r="Q61" s="152"/>
    </row>
    <row r="62" spans="2:17" x14ac:dyDescent="0.3">
      <c r="B62" s="1567"/>
      <c r="C62" s="1568"/>
      <c r="D62" s="1568"/>
      <c r="E62" s="1568"/>
      <c r="F62" s="1568"/>
      <c r="G62" s="1568"/>
      <c r="H62" s="1568"/>
      <c r="I62" s="1568"/>
      <c r="J62" s="1568"/>
      <c r="K62" s="1568"/>
      <c r="L62" s="1568"/>
      <c r="M62" s="1568"/>
      <c r="N62" s="1568"/>
      <c r="O62" s="1569"/>
      <c r="Q62" s="152"/>
    </row>
    <row r="63" spans="2:17" x14ac:dyDescent="0.3">
      <c r="B63" s="1567"/>
      <c r="C63" s="1568"/>
      <c r="D63" s="1568"/>
      <c r="E63" s="1568"/>
      <c r="F63" s="1568"/>
      <c r="G63" s="1568"/>
      <c r="H63" s="1568"/>
      <c r="I63" s="1568"/>
      <c r="J63" s="1568"/>
      <c r="K63" s="1568"/>
      <c r="L63" s="1568"/>
      <c r="M63" s="1568"/>
      <c r="N63" s="1568"/>
      <c r="O63" s="1569"/>
      <c r="Q63" s="152"/>
    </row>
    <row r="64" spans="2:17" x14ac:dyDescent="0.3">
      <c r="B64" s="1567"/>
      <c r="C64" s="1568"/>
      <c r="D64" s="1568"/>
      <c r="E64" s="1568"/>
      <c r="F64" s="1568"/>
      <c r="G64" s="1568"/>
      <c r="H64" s="1568"/>
      <c r="I64" s="1568"/>
      <c r="J64" s="1568"/>
      <c r="K64" s="1568"/>
      <c r="L64" s="1568"/>
      <c r="M64" s="1568"/>
      <c r="N64" s="1568"/>
      <c r="O64" s="1569"/>
      <c r="Q64" s="152"/>
    </row>
    <row r="65" spans="2:17" x14ac:dyDescent="0.3">
      <c r="B65" s="1567"/>
      <c r="C65" s="1568"/>
      <c r="D65" s="1568"/>
      <c r="E65" s="1568"/>
      <c r="F65" s="1568"/>
      <c r="G65" s="1568"/>
      <c r="H65" s="1568"/>
      <c r="I65" s="1568"/>
      <c r="J65" s="1568"/>
      <c r="K65" s="1568"/>
      <c r="L65" s="1568"/>
      <c r="M65" s="1568"/>
      <c r="N65" s="1568"/>
      <c r="O65" s="1569"/>
      <c r="Q65" s="152"/>
    </row>
    <row r="66" spans="2:17" x14ac:dyDescent="0.3">
      <c r="B66" s="1567"/>
      <c r="C66" s="1568"/>
      <c r="D66" s="1568"/>
      <c r="E66" s="1568"/>
      <c r="F66" s="1568"/>
      <c r="G66" s="1568"/>
      <c r="H66" s="1568"/>
      <c r="I66" s="1568"/>
      <c r="J66" s="1568"/>
      <c r="K66" s="1568"/>
      <c r="L66" s="1568"/>
      <c r="M66" s="1568"/>
      <c r="N66" s="1568"/>
      <c r="O66" s="1569"/>
      <c r="Q66" s="152"/>
    </row>
    <row r="67" spans="2:17" x14ac:dyDescent="0.3">
      <c r="B67" s="1567"/>
      <c r="C67" s="1568"/>
      <c r="D67" s="1568"/>
      <c r="E67" s="1568"/>
      <c r="F67" s="1568"/>
      <c r="G67" s="1568"/>
      <c r="H67" s="1568"/>
      <c r="I67" s="1568"/>
      <c r="J67" s="1568"/>
      <c r="K67" s="1568"/>
      <c r="L67" s="1568"/>
      <c r="M67" s="1568"/>
      <c r="N67" s="1568"/>
      <c r="O67" s="1569"/>
      <c r="Q67" s="152"/>
    </row>
    <row r="68" spans="2:17" x14ac:dyDescent="0.3">
      <c r="B68" s="1567"/>
      <c r="C68" s="1568"/>
      <c r="D68" s="1568"/>
      <c r="E68" s="1568"/>
      <c r="F68" s="1568"/>
      <c r="G68" s="1568"/>
      <c r="H68" s="1568"/>
      <c r="I68" s="1568"/>
      <c r="J68" s="1568"/>
      <c r="K68" s="1568"/>
      <c r="L68" s="1568"/>
      <c r="M68" s="1568"/>
      <c r="N68" s="1568"/>
      <c r="O68" s="1569"/>
      <c r="Q68" s="152"/>
    </row>
    <row r="69" spans="2:17" x14ac:dyDescent="0.3">
      <c r="B69" s="1567"/>
      <c r="C69" s="1568"/>
      <c r="D69" s="1568"/>
      <c r="E69" s="1568"/>
      <c r="F69" s="1568"/>
      <c r="G69" s="1568"/>
      <c r="H69" s="1568"/>
      <c r="I69" s="1568"/>
      <c r="J69" s="1568"/>
      <c r="K69" s="1568"/>
      <c r="L69" s="1568"/>
      <c r="M69" s="1568"/>
      <c r="N69" s="1568"/>
      <c r="O69" s="1569"/>
      <c r="Q69" s="152"/>
    </row>
    <row r="70" spans="2:17" x14ac:dyDescent="0.3">
      <c r="B70" s="1567"/>
      <c r="C70" s="1568"/>
      <c r="D70" s="1568"/>
      <c r="E70" s="1568"/>
      <c r="F70" s="1568"/>
      <c r="G70" s="1568"/>
      <c r="H70" s="1568"/>
      <c r="I70" s="1568"/>
      <c r="J70" s="1568"/>
      <c r="K70" s="1568"/>
      <c r="L70" s="1568"/>
      <c r="M70" s="1568"/>
      <c r="N70" s="1568"/>
      <c r="O70" s="1569"/>
      <c r="Q70" s="152"/>
    </row>
    <row r="71" spans="2:17" x14ac:dyDescent="0.3">
      <c r="B71" s="1567"/>
      <c r="C71" s="1568"/>
      <c r="D71" s="1568"/>
      <c r="E71" s="1568"/>
      <c r="F71" s="1568"/>
      <c r="G71" s="1568"/>
      <c r="H71" s="1568"/>
      <c r="I71" s="1568"/>
      <c r="J71" s="1568"/>
      <c r="K71" s="1568"/>
      <c r="L71" s="1568"/>
      <c r="M71" s="1568"/>
      <c r="N71" s="1568"/>
      <c r="O71" s="1569"/>
      <c r="Q71" s="152"/>
    </row>
    <row r="72" spans="2:17" x14ac:dyDescent="0.3">
      <c r="B72" s="1567"/>
      <c r="C72" s="1568"/>
      <c r="D72" s="1568"/>
      <c r="E72" s="1568"/>
      <c r="F72" s="1568"/>
      <c r="G72" s="1568"/>
      <c r="H72" s="1568"/>
      <c r="I72" s="1568"/>
      <c r="J72" s="1568"/>
      <c r="K72" s="1568"/>
      <c r="L72" s="1568"/>
      <c r="M72" s="1568"/>
      <c r="N72" s="1568"/>
      <c r="O72" s="1569"/>
      <c r="Q72" s="152"/>
    </row>
    <row r="73" spans="2:17" x14ac:dyDescent="0.3">
      <c r="B73" s="1567"/>
      <c r="C73" s="1568"/>
      <c r="D73" s="1568"/>
      <c r="E73" s="1568"/>
      <c r="F73" s="1568"/>
      <c r="G73" s="1568"/>
      <c r="H73" s="1568"/>
      <c r="I73" s="1568"/>
      <c r="J73" s="1568"/>
      <c r="K73" s="1568"/>
      <c r="L73" s="1568"/>
      <c r="M73" s="1568"/>
      <c r="N73" s="1568"/>
      <c r="O73" s="1569"/>
      <c r="Q73" s="152"/>
    </row>
    <row r="74" spans="2:17" x14ac:dyDescent="0.3">
      <c r="B74" s="1567"/>
      <c r="C74" s="1568"/>
      <c r="D74" s="1568"/>
      <c r="E74" s="1568"/>
      <c r="F74" s="1568"/>
      <c r="G74" s="1568"/>
      <c r="H74" s="1568"/>
      <c r="I74" s="1568"/>
      <c r="J74" s="1568"/>
      <c r="K74" s="1568"/>
      <c r="L74" s="1568"/>
      <c r="M74" s="1568"/>
      <c r="N74" s="1568"/>
      <c r="O74" s="1569"/>
      <c r="Q74" s="152"/>
    </row>
    <row r="75" spans="2:17" x14ac:dyDescent="0.3">
      <c r="B75" s="1567"/>
      <c r="C75" s="1568"/>
      <c r="D75" s="1568"/>
      <c r="E75" s="1568"/>
      <c r="F75" s="1568"/>
      <c r="G75" s="1568"/>
      <c r="H75" s="1568"/>
      <c r="I75" s="1568"/>
      <c r="J75" s="1568"/>
      <c r="K75" s="1568"/>
      <c r="L75" s="1568"/>
      <c r="M75" s="1568"/>
      <c r="N75" s="1568"/>
      <c r="O75" s="1569"/>
      <c r="Q75" s="152"/>
    </row>
    <row r="76" spans="2:17" x14ac:dyDescent="0.3">
      <c r="B76" s="1567"/>
      <c r="C76" s="1568"/>
      <c r="D76" s="1568"/>
      <c r="E76" s="1568"/>
      <c r="F76" s="1568"/>
      <c r="G76" s="1568"/>
      <c r="H76" s="1568"/>
      <c r="I76" s="1568"/>
      <c r="J76" s="1568"/>
      <c r="K76" s="1568"/>
      <c r="L76" s="1568"/>
      <c r="M76" s="1568"/>
      <c r="N76" s="1568"/>
      <c r="O76" s="1569"/>
      <c r="Q76" s="152"/>
    </row>
    <row r="77" spans="2:17" x14ac:dyDescent="0.3">
      <c r="B77" s="1567"/>
      <c r="C77" s="1568"/>
      <c r="D77" s="1568"/>
      <c r="E77" s="1568"/>
      <c r="F77" s="1568"/>
      <c r="G77" s="1568"/>
      <c r="H77" s="1568"/>
      <c r="I77" s="1568"/>
      <c r="J77" s="1568"/>
      <c r="K77" s="1568"/>
      <c r="L77" s="1568"/>
      <c r="M77" s="1568"/>
      <c r="N77" s="1568"/>
      <c r="O77" s="1569"/>
      <c r="Q77" s="152"/>
    </row>
    <row r="78" spans="2:17" x14ac:dyDescent="0.3">
      <c r="B78" s="1567"/>
      <c r="C78" s="1568"/>
      <c r="D78" s="1568"/>
      <c r="E78" s="1568"/>
      <c r="F78" s="1568"/>
      <c r="G78" s="1568"/>
      <c r="H78" s="1568"/>
      <c r="I78" s="1568"/>
      <c r="J78" s="1568"/>
      <c r="K78" s="1568"/>
      <c r="L78" s="1568"/>
      <c r="M78" s="1568"/>
      <c r="N78" s="1568"/>
      <c r="O78" s="1569"/>
      <c r="Q78" s="152"/>
    </row>
    <row r="79" spans="2:17" x14ac:dyDescent="0.3">
      <c r="B79" s="1567"/>
      <c r="C79" s="1568"/>
      <c r="D79" s="1568"/>
      <c r="E79" s="1568"/>
      <c r="F79" s="1568"/>
      <c r="G79" s="1568"/>
      <c r="H79" s="1568"/>
      <c r="I79" s="1568"/>
      <c r="J79" s="1568"/>
      <c r="K79" s="1568"/>
      <c r="L79" s="1568"/>
      <c r="M79" s="1568"/>
      <c r="N79" s="1568"/>
      <c r="O79" s="1569"/>
      <c r="Q79" s="152"/>
    </row>
    <row r="80" spans="2:17" x14ac:dyDescent="0.3">
      <c r="B80" s="1567"/>
      <c r="C80" s="1568"/>
      <c r="D80" s="1568"/>
      <c r="E80" s="1568"/>
      <c r="F80" s="1568"/>
      <c r="G80" s="1568"/>
      <c r="H80" s="1568"/>
      <c r="I80" s="1568"/>
      <c r="J80" s="1568"/>
      <c r="K80" s="1568"/>
      <c r="L80" s="1568"/>
      <c r="M80" s="1568"/>
      <c r="N80" s="1568"/>
      <c r="O80" s="1569"/>
      <c r="Q80" s="152"/>
    </row>
    <row r="81" spans="2:17" ht="17.25" thickBot="1" x14ac:dyDescent="0.35">
      <c r="B81" s="1570"/>
      <c r="C81" s="1571"/>
      <c r="D81" s="1571"/>
      <c r="E81" s="1571"/>
      <c r="F81" s="1571"/>
      <c r="G81" s="1571"/>
      <c r="H81" s="1571"/>
      <c r="I81" s="1571"/>
      <c r="J81" s="1571"/>
      <c r="K81" s="1571"/>
      <c r="L81" s="1571"/>
      <c r="M81" s="1571"/>
      <c r="N81" s="1571"/>
      <c r="O81" s="1572"/>
      <c r="Q81" s="152"/>
    </row>
    <row r="82" spans="2:17" ht="17.25" thickBot="1" x14ac:dyDescent="0.35">
      <c r="Q82" s="152"/>
    </row>
    <row r="83" spans="2:17" ht="18" thickBot="1" x14ac:dyDescent="0.35">
      <c r="B83" s="143" t="s">
        <v>170</v>
      </c>
      <c r="C83" s="144"/>
      <c r="D83" s="144"/>
      <c r="E83" s="144"/>
      <c r="F83" s="144"/>
      <c r="G83" s="144"/>
      <c r="H83" s="144"/>
      <c r="I83" s="144"/>
      <c r="J83" s="144"/>
      <c r="K83" s="144"/>
      <c r="L83" s="144"/>
      <c r="M83" s="144"/>
      <c r="N83" s="144"/>
      <c r="O83" s="128"/>
      <c r="Q83" s="152"/>
    </row>
    <row r="84" spans="2:17" x14ac:dyDescent="0.3">
      <c r="B84" s="1567"/>
      <c r="C84" s="1568"/>
      <c r="D84" s="1568"/>
      <c r="E84" s="1568"/>
      <c r="F84" s="1568"/>
      <c r="G84" s="1568"/>
      <c r="H84" s="1568"/>
      <c r="I84" s="1568"/>
      <c r="J84" s="1568"/>
      <c r="K84" s="1568"/>
      <c r="L84" s="1568"/>
      <c r="M84" s="1568"/>
      <c r="N84" s="1568"/>
      <c r="O84" s="1569"/>
      <c r="Q84" s="152"/>
    </row>
    <row r="85" spans="2:17" x14ac:dyDescent="0.3">
      <c r="B85" s="1567"/>
      <c r="C85" s="1568"/>
      <c r="D85" s="1568"/>
      <c r="E85" s="1568"/>
      <c r="F85" s="1568"/>
      <c r="G85" s="1568"/>
      <c r="H85" s="1568"/>
      <c r="I85" s="1568"/>
      <c r="J85" s="1568"/>
      <c r="K85" s="1568"/>
      <c r="L85" s="1568"/>
      <c r="M85" s="1568"/>
      <c r="N85" s="1568"/>
      <c r="O85" s="1569"/>
      <c r="Q85" s="152"/>
    </row>
    <row r="86" spans="2:17" x14ac:dyDescent="0.3">
      <c r="B86" s="1567"/>
      <c r="C86" s="1568"/>
      <c r="D86" s="1568"/>
      <c r="E86" s="1568"/>
      <c r="F86" s="1568"/>
      <c r="G86" s="1568"/>
      <c r="H86" s="1568"/>
      <c r="I86" s="1568"/>
      <c r="J86" s="1568"/>
      <c r="K86" s="1568"/>
      <c r="L86" s="1568"/>
      <c r="M86" s="1568"/>
      <c r="N86" s="1568"/>
      <c r="O86" s="1569"/>
      <c r="Q86" s="152"/>
    </row>
    <row r="87" spans="2:17" x14ac:dyDescent="0.3">
      <c r="B87" s="1567"/>
      <c r="C87" s="1568"/>
      <c r="D87" s="1568"/>
      <c r="E87" s="1568"/>
      <c r="F87" s="1568"/>
      <c r="G87" s="1568"/>
      <c r="H87" s="1568"/>
      <c r="I87" s="1568"/>
      <c r="J87" s="1568"/>
      <c r="K87" s="1568"/>
      <c r="L87" s="1568"/>
      <c r="M87" s="1568"/>
      <c r="N87" s="1568"/>
      <c r="O87" s="1569"/>
      <c r="Q87" s="152"/>
    </row>
    <row r="88" spans="2:17" x14ac:dyDescent="0.3">
      <c r="B88" s="1567"/>
      <c r="C88" s="1568"/>
      <c r="D88" s="1568"/>
      <c r="E88" s="1568"/>
      <c r="F88" s="1568"/>
      <c r="G88" s="1568"/>
      <c r="H88" s="1568"/>
      <c r="I88" s="1568"/>
      <c r="J88" s="1568"/>
      <c r="K88" s="1568"/>
      <c r="L88" s="1568"/>
      <c r="M88" s="1568"/>
      <c r="N88" s="1568"/>
      <c r="O88" s="1569"/>
      <c r="Q88" s="152"/>
    </row>
    <row r="89" spans="2:17" x14ac:dyDescent="0.3">
      <c r="B89" s="1567"/>
      <c r="C89" s="1568"/>
      <c r="D89" s="1568"/>
      <c r="E89" s="1568"/>
      <c r="F89" s="1568"/>
      <c r="G89" s="1568"/>
      <c r="H89" s="1568"/>
      <c r="I89" s="1568"/>
      <c r="J89" s="1568"/>
      <c r="K89" s="1568"/>
      <c r="L89" s="1568"/>
      <c r="M89" s="1568"/>
      <c r="N89" s="1568"/>
      <c r="O89" s="1569"/>
      <c r="Q89" s="152"/>
    </row>
    <row r="90" spans="2:17" x14ac:dyDescent="0.3">
      <c r="B90" s="1567"/>
      <c r="C90" s="1568"/>
      <c r="D90" s="1568"/>
      <c r="E90" s="1568"/>
      <c r="F90" s="1568"/>
      <c r="G90" s="1568"/>
      <c r="H90" s="1568"/>
      <c r="I90" s="1568"/>
      <c r="J90" s="1568"/>
      <c r="K90" s="1568"/>
      <c r="L90" s="1568"/>
      <c r="M90" s="1568"/>
      <c r="N90" s="1568"/>
      <c r="O90" s="1569"/>
      <c r="Q90" s="152"/>
    </row>
    <row r="91" spans="2:17" x14ac:dyDescent="0.3">
      <c r="B91" s="1567"/>
      <c r="C91" s="1568"/>
      <c r="D91" s="1568"/>
      <c r="E91" s="1568"/>
      <c r="F91" s="1568"/>
      <c r="G91" s="1568"/>
      <c r="H91" s="1568"/>
      <c r="I91" s="1568"/>
      <c r="J91" s="1568"/>
      <c r="K91" s="1568"/>
      <c r="L91" s="1568"/>
      <c r="M91" s="1568"/>
      <c r="N91" s="1568"/>
      <c r="O91" s="1569"/>
      <c r="Q91" s="152"/>
    </row>
    <row r="92" spans="2:17" x14ac:dyDescent="0.3">
      <c r="B92" s="1567"/>
      <c r="C92" s="1568"/>
      <c r="D92" s="1568"/>
      <c r="E92" s="1568"/>
      <c r="F92" s="1568"/>
      <c r="G92" s="1568"/>
      <c r="H92" s="1568"/>
      <c r="I92" s="1568"/>
      <c r="J92" s="1568"/>
      <c r="K92" s="1568"/>
      <c r="L92" s="1568"/>
      <c r="M92" s="1568"/>
      <c r="N92" s="1568"/>
      <c r="O92" s="1569"/>
      <c r="Q92" s="152"/>
    </row>
    <row r="93" spans="2:17" x14ac:dyDescent="0.3">
      <c r="B93" s="1567"/>
      <c r="C93" s="1568"/>
      <c r="D93" s="1568"/>
      <c r="E93" s="1568"/>
      <c r="F93" s="1568"/>
      <c r="G93" s="1568"/>
      <c r="H93" s="1568"/>
      <c r="I93" s="1568"/>
      <c r="J93" s="1568"/>
      <c r="K93" s="1568"/>
      <c r="L93" s="1568"/>
      <c r="M93" s="1568"/>
      <c r="N93" s="1568"/>
      <c r="O93" s="1569"/>
      <c r="Q93" s="152"/>
    </row>
    <row r="94" spans="2:17" x14ac:dyDescent="0.3">
      <c r="B94" s="1567"/>
      <c r="C94" s="1568"/>
      <c r="D94" s="1568"/>
      <c r="E94" s="1568"/>
      <c r="F94" s="1568"/>
      <c r="G94" s="1568"/>
      <c r="H94" s="1568"/>
      <c r="I94" s="1568"/>
      <c r="J94" s="1568"/>
      <c r="K94" s="1568"/>
      <c r="L94" s="1568"/>
      <c r="M94" s="1568"/>
      <c r="N94" s="1568"/>
      <c r="O94" s="1569"/>
      <c r="Q94" s="152"/>
    </row>
    <row r="95" spans="2:17" x14ac:dyDescent="0.3">
      <c r="B95" s="1567"/>
      <c r="C95" s="1568"/>
      <c r="D95" s="1568"/>
      <c r="E95" s="1568"/>
      <c r="F95" s="1568"/>
      <c r="G95" s="1568"/>
      <c r="H95" s="1568"/>
      <c r="I95" s="1568"/>
      <c r="J95" s="1568"/>
      <c r="K95" s="1568"/>
      <c r="L95" s="1568"/>
      <c r="M95" s="1568"/>
      <c r="N95" s="1568"/>
      <c r="O95" s="1569"/>
      <c r="Q95" s="152"/>
    </row>
    <row r="96" spans="2:17" x14ac:dyDescent="0.3">
      <c r="B96" s="1567"/>
      <c r="C96" s="1568"/>
      <c r="D96" s="1568"/>
      <c r="E96" s="1568"/>
      <c r="F96" s="1568"/>
      <c r="G96" s="1568"/>
      <c r="H96" s="1568"/>
      <c r="I96" s="1568"/>
      <c r="J96" s="1568"/>
      <c r="K96" s="1568"/>
      <c r="L96" s="1568"/>
      <c r="M96" s="1568"/>
      <c r="N96" s="1568"/>
      <c r="O96" s="1569"/>
      <c r="Q96" s="152"/>
    </row>
    <row r="97" spans="2:17" x14ac:dyDescent="0.3">
      <c r="B97" s="1567"/>
      <c r="C97" s="1568"/>
      <c r="D97" s="1568"/>
      <c r="E97" s="1568"/>
      <c r="F97" s="1568"/>
      <c r="G97" s="1568"/>
      <c r="H97" s="1568"/>
      <c r="I97" s="1568"/>
      <c r="J97" s="1568"/>
      <c r="K97" s="1568"/>
      <c r="L97" s="1568"/>
      <c r="M97" s="1568"/>
      <c r="N97" s="1568"/>
      <c r="O97" s="1569"/>
      <c r="Q97" s="152"/>
    </row>
    <row r="98" spans="2:17" x14ac:dyDescent="0.3">
      <c r="B98" s="1567"/>
      <c r="C98" s="1568"/>
      <c r="D98" s="1568"/>
      <c r="E98" s="1568"/>
      <c r="F98" s="1568"/>
      <c r="G98" s="1568"/>
      <c r="H98" s="1568"/>
      <c r="I98" s="1568"/>
      <c r="J98" s="1568"/>
      <c r="K98" s="1568"/>
      <c r="L98" s="1568"/>
      <c r="M98" s="1568"/>
      <c r="N98" s="1568"/>
      <c r="O98" s="1569"/>
      <c r="Q98" s="152"/>
    </row>
    <row r="99" spans="2:17" x14ac:dyDescent="0.3">
      <c r="B99" s="1567"/>
      <c r="C99" s="1568"/>
      <c r="D99" s="1568"/>
      <c r="E99" s="1568"/>
      <c r="F99" s="1568"/>
      <c r="G99" s="1568"/>
      <c r="H99" s="1568"/>
      <c r="I99" s="1568"/>
      <c r="J99" s="1568"/>
      <c r="K99" s="1568"/>
      <c r="L99" s="1568"/>
      <c r="M99" s="1568"/>
      <c r="N99" s="1568"/>
      <c r="O99" s="1569"/>
      <c r="Q99" s="152"/>
    </row>
    <row r="100" spans="2:17" x14ac:dyDescent="0.3">
      <c r="B100" s="1567"/>
      <c r="C100" s="1568"/>
      <c r="D100" s="1568"/>
      <c r="E100" s="1568"/>
      <c r="F100" s="1568"/>
      <c r="G100" s="1568"/>
      <c r="H100" s="1568"/>
      <c r="I100" s="1568"/>
      <c r="J100" s="1568"/>
      <c r="K100" s="1568"/>
      <c r="L100" s="1568"/>
      <c r="M100" s="1568"/>
      <c r="N100" s="1568"/>
      <c r="O100" s="1569"/>
      <c r="Q100" s="152"/>
    </row>
    <row r="101" spans="2:17" x14ac:dyDescent="0.3">
      <c r="B101" s="1567"/>
      <c r="C101" s="1568"/>
      <c r="D101" s="1568"/>
      <c r="E101" s="1568"/>
      <c r="F101" s="1568"/>
      <c r="G101" s="1568"/>
      <c r="H101" s="1568"/>
      <c r="I101" s="1568"/>
      <c r="J101" s="1568"/>
      <c r="K101" s="1568"/>
      <c r="L101" s="1568"/>
      <c r="M101" s="1568"/>
      <c r="N101" s="1568"/>
      <c r="O101" s="1569"/>
      <c r="Q101" s="152"/>
    </row>
    <row r="102" spans="2:17" x14ac:dyDescent="0.3">
      <c r="B102" s="1567"/>
      <c r="C102" s="1568"/>
      <c r="D102" s="1568"/>
      <c r="E102" s="1568"/>
      <c r="F102" s="1568"/>
      <c r="G102" s="1568"/>
      <c r="H102" s="1568"/>
      <c r="I102" s="1568"/>
      <c r="J102" s="1568"/>
      <c r="K102" s="1568"/>
      <c r="L102" s="1568"/>
      <c r="M102" s="1568"/>
      <c r="N102" s="1568"/>
      <c r="O102" s="1569"/>
      <c r="Q102" s="152"/>
    </row>
    <row r="103" spans="2:17" x14ac:dyDescent="0.3">
      <c r="B103" s="1567"/>
      <c r="C103" s="1568"/>
      <c r="D103" s="1568"/>
      <c r="E103" s="1568"/>
      <c r="F103" s="1568"/>
      <c r="G103" s="1568"/>
      <c r="H103" s="1568"/>
      <c r="I103" s="1568"/>
      <c r="J103" s="1568"/>
      <c r="K103" s="1568"/>
      <c r="L103" s="1568"/>
      <c r="M103" s="1568"/>
      <c r="N103" s="1568"/>
      <c r="O103" s="1569"/>
      <c r="Q103" s="152"/>
    </row>
    <row r="104" spans="2:17" x14ac:dyDescent="0.3">
      <c r="B104" s="1567"/>
      <c r="C104" s="1568"/>
      <c r="D104" s="1568"/>
      <c r="E104" s="1568"/>
      <c r="F104" s="1568"/>
      <c r="G104" s="1568"/>
      <c r="H104" s="1568"/>
      <c r="I104" s="1568"/>
      <c r="J104" s="1568"/>
      <c r="K104" s="1568"/>
      <c r="L104" s="1568"/>
      <c r="M104" s="1568"/>
      <c r="N104" s="1568"/>
      <c r="O104" s="1569"/>
      <c r="Q104" s="152"/>
    </row>
    <row r="105" spans="2:17" ht="17.25" thickBot="1" x14ac:dyDescent="0.35">
      <c r="B105" s="1570"/>
      <c r="C105" s="1571"/>
      <c r="D105" s="1571"/>
      <c r="E105" s="1571"/>
      <c r="F105" s="1571"/>
      <c r="G105" s="1571"/>
      <c r="H105" s="1571"/>
      <c r="I105" s="1571"/>
      <c r="J105" s="1571"/>
      <c r="K105" s="1571"/>
      <c r="L105" s="1571"/>
      <c r="M105" s="1571"/>
      <c r="N105" s="1571"/>
      <c r="O105" s="1572"/>
      <c r="Q105" s="152"/>
    </row>
    <row r="106" spans="2:17" ht="17.25" thickBot="1" x14ac:dyDescent="0.35">
      <c r="B106" s="171"/>
      <c r="C106" s="171"/>
      <c r="D106" s="171"/>
      <c r="E106" s="171"/>
      <c r="F106" s="171"/>
      <c r="G106" s="171"/>
      <c r="Q106" s="152"/>
    </row>
    <row r="107" spans="2:17" ht="18" thickBot="1" x14ac:dyDescent="0.35">
      <c r="B107" s="170" t="s">
        <v>818</v>
      </c>
      <c r="C107" s="144"/>
      <c r="D107" s="144"/>
      <c r="E107" s="144"/>
      <c r="F107" s="144"/>
      <c r="G107" s="128"/>
      <c r="I107" s="170" t="s">
        <v>819</v>
      </c>
      <c r="J107" s="144"/>
      <c r="K107" s="144"/>
      <c r="L107" s="144"/>
      <c r="M107" s="144"/>
      <c r="N107" s="144"/>
      <c r="O107" s="128"/>
      <c r="Q107" s="152"/>
    </row>
    <row r="108" spans="2:17" x14ac:dyDescent="0.3">
      <c r="B108" s="1567"/>
      <c r="C108" s="1568"/>
      <c r="D108" s="1568"/>
      <c r="E108" s="1568"/>
      <c r="F108" s="1568"/>
      <c r="G108" s="1569"/>
      <c r="I108" s="1567"/>
      <c r="J108" s="1568"/>
      <c r="K108" s="1568"/>
      <c r="L108" s="1568"/>
      <c r="M108" s="1568"/>
      <c r="N108" s="1568"/>
      <c r="O108" s="1569"/>
      <c r="Q108" s="152"/>
    </row>
    <row r="109" spans="2:17" x14ac:dyDescent="0.3">
      <c r="B109" s="1567"/>
      <c r="C109" s="1568"/>
      <c r="D109" s="1568"/>
      <c r="E109" s="1568"/>
      <c r="F109" s="1568"/>
      <c r="G109" s="1569"/>
      <c r="I109" s="1567"/>
      <c r="J109" s="1568"/>
      <c r="K109" s="1568"/>
      <c r="L109" s="1568"/>
      <c r="M109" s="1568"/>
      <c r="N109" s="1568"/>
      <c r="O109" s="1569"/>
      <c r="Q109" s="152"/>
    </row>
    <row r="110" spans="2:17" x14ac:dyDescent="0.3">
      <c r="B110" s="1567"/>
      <c r="C110" s="1568"/>
      <c r="D110" s="1568"/>
      <c r="E110" s="1568"/>
      <c r="F110" s="1568"/>
      <c r="G110" s="1569"/>
      <c r="I110" s="1567"/>
      <c r="J110" s="1568"/>
      <c r="K110" s="1568"/>
      <c r="L110" s="1568"/>
      <c r="M110" s="1568"/>
      <c r="N110" s="1568"/>
      <c r="O110" s="1569"/>
      <c r="Q110" s="152"/>
    </row>
    <row r="111" spans="2:17" x14ac:dyDescent="0.3">
      <c r="B111" s="1567"/>
      <c r="C111" s="1568"/>
      <c r="D111" s="1568"/>
      <c r="E111" s="1568"/>
      <c r="F111" s="1568"/>
      <c r="G111" s="1569"/>
      <c r="I111" s="1567"/>
      <c r="J111" s="1568"/>
      <c r="K111" s="1568"/>
      <c r="L111" s="1568"/>
      <c r="M111" s="1568"/>
      <c r="N111" s="1568"/>
      <c r="O111" s="1569"/>
      <c r="Q111" s="152"/>
    </row>
    <row r="112" spans="2:17" x14ac:dyDescent="0.3">
      <c r="B112" s="1567"/>
      <c r="C112" s="1568"/>
      <c r="D112" s="1568"/>
      <c r="E112" s="1568"/>
      <c r="F112" s="1568"/>
      <c r="G112" s="1569"/>
      <c r="I112" s="1567"/>
      <c r="J112" s="1568"/>
      <c r="K112" s="1568"/>
      <c r="L112" s="1568"/>
      <c r="M112" s="1568"/>
      <c r="N112" s="1568"/>
      <c r="O112" s="1569"/>
      <c r="Q112" s="152"/>
    </row>
    <row r="113" spans="2:17" x14ac:dyDescent="0.3">
      <c r="B113" s="1567"/>
      <c r="C113" s="1568"/>
      <c r="D113" s="1568"/>
      <c r="E113" s="1568"/>
      <c r="F113" s="1568"/>
      <c r="G113" s="1569"/>
      <c r="I113" s="1567"/>
      <c r="J113" s="1568"/>
      <c r="K113" s="1568"/>
      <c r="L113" s="1568"/>
      <c r="M113" s="1568"/>
      <c r="N113" s="1568"/>
      <c r="O113" s="1569"/>
      <c r="Q113" s="152"/>
    </row>
    <row r="114" spans="2:17" x14ac:dyDescent="0.3">
      <c r="B114" s="1567"/>
      <c r="C114" s="1568"/>
      <c r="D114" s="1568"/>
      <c r="E114" s="1568"/>
      <c r="F114" s="1568"/>
      <c r="G114" s="1569"/>
      <c r="I114" s="1567"/>
      <c r="J114" s="1568"/>
      <c r="K114" s="1568"/>
      <c r="L114" s="1568"/>
      <c r="M114" s="1568"/>
      <c r="N114" s="1568"/>
      <c r="O114" s="1569"/>
      <c r="Q114" s="152"/>
    </row>
    <row r="115" spans="2:17" x14ac:dyDescent="0.3">
      <c r="B115" s="1567"/>
      <c r="C115" s="1568"/>
      <c r="D115" s="1568"/>
      <c r="E115" s="1568"/>
      <c r="F115" s="1568"/>
      <c r="G115" s="1569"/>
      <c r="I115" s="1567"/>
      <c r="J115" s="1568"/>
      <c r="K115" s="1568"/>
      <c r="L115" s="1568"/>
      <c r="M115" s="1568"/>
      <c r="N115" s="1568"/>
      <c r="O115" s="1569"/>
      <c r="Q115" s="152"/>
    </row>
    <row r="116" spans="2:17" x14ac:dyDescent="0.3">
      <c r="B116" s="1567"/>
      <c r="C116" s="1568"/>
      <c r="D116" s="1568"/>
      <c r="E116" s="1568"/>
      <c r="F116" s="1568"/>
      <c r="G116" s="1569"/>
      <c r="I116" s="1567"/>
      <c r="J116" s="1568"/>
      <c r="K116" s="1568"/>
      <c r="L116" s="1568"/>
      <c r="M116" s="1568"/>
      <c r="N116" s="1568"/>
      <c r="O116" s="1569"/>
      <c r="Q116" s="152"/>
    </row>
    <row r="117" spans="2:17" x14ac:dyDescent="0.3">
      <c r="B117" s="1567"/>
      <c r="C117" s="1568"/>
      <c r="D117" s="1568"/>
      <c r="E117" s="1568"/>
      <c r="F117" s="1568"/>
      <c r="G117" s="1569"/>
      <c r="I117" s="1567"/>
      <c r="J117" s="1568"/>
      <c r="K117" s="1568"/>
      <c r="L117" s="1568"/>
      <c r="M117" s="1568"/>
      <c r="N117" s="1568"/>
      <c r="O117" s="1569"/>
      <c r="Q117" s="152"/>
    </row>
    <row r="118" spans="2:17" x14ac:dyDescent="0.3">
      <c r="B118" s="1567"/>
      <c r="C118" s="1568"/>
      <c r="D118" s="1568"/>
      <c r="E118" s="1568"/>
      <c r="F118" s="1568"/>
      <c r="G118" s="1569"/>
      <c r="I118" s="1567"/>
      <c r="J118" s="1568"/>
      <c r="K118" s="1568"/>
      <c r="L118" s="1568"/>
      <c r="M118" s="1568"/>
      <c r="N118" s="1568"/>
      <c r="O118" s="1569"/>
      <c r="Q118" s="152"/>
    </row>
    <row r="119" spans="2:17" x14ac:dyDescent="0.3">
      <c r="B119" s="1567"/>
      <c r="C119" s="1568"/>
      <c r="D119" s="1568"/>
      <c r="E119" s="1568"/>
      <c r="F119" s="1568"/>
      <c r="G119" s="1569"/>
      <c r="I119" s="1567"/>
      <c r="J119" s="1568"/>
      <c r="K119" s="1568"/>
      <c r="L119" s="1568"/>
      <c r="M119" s="1568"/>
      <c r="N119" s="1568"/>
      <c r="O119" s="1569"/>
      <c r="Q119" s="152"/>
    </row>
    <row r="120" spans="2:17" x14ac:dyDescent="0.3">
      <c r="B120" s="1567"/>
      <c r="C120" s="1568"/>
      <c r="D120" s="1568"/>
      <c r="E120" s="1568"/>
      <c r="F120" s="1568"/>
      <c r="G120" s="1569"/>
      <c r="I120" s="1567"/>
      <c r="J120" s="1568"/>
      <c r="K120" s="1568"/>
      <c r="L120" s="1568"/>
      <c r="M120" s="1568"/>
      <c r="N120" s="1568"/>
      <c r="O120" s="1569"/>
      <c r="Q120" s="152"/>
    </row>
    <row r="121" spans="2:17" x14ac:dyDescent="0.3">
      <c r="B121" s="1567"/>
      <c r="C121" s="1568"/>
      <c r="D121" s="1568"/>
      <c r="E121" s="1568"/>
      <c r="F121" s="1568"/>
      <c r="G121" s="1569"/>
      <c r="I121" s="1567"/>
      <c r="J121" s="1568"/>
      <c r="K121" s="1568"/>
      <c r="L121" s="1568"/>
      <c r="M121" s="1568"/>
      <c r="N121" s="1568"/>
      <c r="O121" s="1569"/>
      <c r="Q121" s="152"/>
    </row>
    <row r="122" spans="2:17" x14ac:dyDescent="0.3">
      <c r="B122" s="1567"/>
      <c r="C122" s="1568"/>
      <c r="D122" s="1568"/>
      <c r="E122" s="1568"/>
      <c r="F122" s="1568"/>
      <c r="G122" s="1569"/>
      <c r="I122" s="1567"/>
      <c r="J122" s="1568"/>
      <c r="K122" s="1568"/>
      <c r="L122" s="1568"/>
      <c r="M122" s="1568"/>
      <c r="N122" s="1568"/>
      <c r="O122" s="1569"/>
      <c r="Q122" s="152"/>
    </row>
    <row r="123" spans="2:17" x14ac:dyDescent="0.3">
      <c r="B123" s="1567"/>
      <c r="C123" s="1568"/>
      <c r="D123" s="1568"/>
      <c r="E123" s="1568"/>
      <c r="F123" s="1568"/>
      <c r="G123" s="1569"/>
      <c r="I123" s="1567"/>
      <c r="J123" s="1568"/>
      <c r="K123" s="1568"/>
      <c r="L123" s="1568"/>
      <c r="M123" s="1568"/>
      <c r="N123" s="1568"/>
      <c r="O123" s="1569"/>
      <c r="Q123" s="152"/>
    </row>
    <row r="124" spans="2:17" x14ac:dyDescent="0.3">
      <c r="B124" s="1567"/>
      <c r="C124" s="1568"/>
      <c r="D124" s="1568"/>
      <c r="E124" s="1568"/>
      <c r="F124" s="1568"/>
      <c r="G124" s="1569"/>
      <c r="I124" s="1567"/>
      <c r="J124" s="1568"/>
      <c r="K124" s="1568"/>
      <c r="L124" s="1568"/>
      <c r="M124" s="1568"/>
      <c r="N124" s="1568"/>
      <c r="O124" s="1569"/>
      <c r="Q124" s="152"/>
    </row>
    <row r="125" spans="2:17" x14ac:dyDescent="0.3">
      <c r="B125" s="1567"/>
      <c r="C125" s="1568"/>
      <c r="D125" s="1568"/>
      <c r="E125" s="1568"/>
      <c r="F125" s="1568"/>
      <c r="G125" s="1569"/>
      <c r="I125" s="1567"/>
      <c r="J125" s="1568"/>
      <c r="K125" s="1568"/>
      <c r="L125" s="1568"/>
      <c r="M125" s="1568"/>
      <c r="N125" s="1568"/>
      <c r="O125" s="1569"/>
      <c r="Q125" s="152"/>
    </row>
    <row r="126" spans="2:17" x14ac:dyDescent="0.3">
      <c r="B126" s="1567"/>
      <c r="C126" s="1568"/>
      <c r="D126" s="1568"/>
      <c r="E126" s="1568"/>
      <c r="F126" s="1568"/>
      <c r="G126" s="1569"/>
      <c r="I126" s="1567"/>
      <c r="J126" s="1568"/>
      <c r="K126" s="1568"/>
      <c r="L126" s="1568"/>
      <c r="M126" s="1568"/>
      <c r="N126" s="1568"/>
      <c r="O126" s="1569"/>
      <c r="Q126" s="152"/>
    </row>
    <row r="127" spans="2:17" x14ac:dyDescent="0.3">
      <c r="B127" s="1567"/>
      <c r="C127" s="1568"/>
      <c r="D127" s="1568"/>
      <c r="E127" s="1568"/>
      <c r="F127" s="1568"/>
      <c r="G127" s="1569"/>
      <c r="I127" s="1567"/>
      <c r="J127" s="1568"/>
      <c r="K127" s="1568"/>
      <c r="L127" s="1568"/>
      <c r="M127" s="1568"/>
      <c r="N127" s="1568"/>
      <c r="O127" s="1569"/>
      <c r="Q127" s="152"/>
    </row>
    <row r="128" spans="2:17" ht="17.25" thickBot="1" x14ac:dyDescent="0.35">
      <c r="B128" s="1570"/>
      <c r="C128" s="1571"/>
      <c r="D128" s="1571"/>
      <c r="E128" s="1571"/>
      <c r="F128" s="1571"/>
      <c r="G128" s="1572"/>
      <c r="I128" s="1570"/>
      <c r="J128" s="1571"/>
      <c r="K128" s="1571"/>
      <c r="L128" s="1571"/>
      <c r="M128" s="1571"/>
      <c r="N128" s="1571"/>
      <c r="O128" s="1572"/>
      <c r="Q128" s="152"/>
    </row>
    <row r="129" spans="2:17" ht="17.25" thickBot="1" x14ac:dyDescent="0.35">
      <c r="Q129" s="152"/>
    </row>
    <row r="130" spans="2:17" ht="18" thickBot="1" x14ac:dyDescent="0.35">
      <c r="B130" s="170" t="s">
        <v>820</v>
      </c>
      <c r="C130" s="144"/>
      <c r="D130" s="144"/>
      <c r="E130" s="144"/>
      <c r="F130" s="144"/>
      <c r="G130" s="128"/>
      <c r="I130" s="170" t="s">
        <v>821</v>
      </c>
      <c r="J130" s="144"/>
      <c r="K130" s="144"/>
      <c r="L130" s="144"/>
      <c r="M130" s="144"/>
      <c r="N130" s="144"/>
      <c r="O130" s="128"/>
      <c r="Q130" s="152"/>
    </row>
    <row r="131" spans="2:17" x14ac:dyDescent="0.3">
      <c r="B131" s="1567"/>
      <c r="C131" s="1568"/>
      <c r="D131" s="1568"/>
      <c r="E131" s="1568"/>
      <c r="F131" s="1568"/>
      <c r="G131" s="1569"/>
      <c r="I131" s="1567"/>
      <c r="J131" s="1568"/>
      <c r="K131" s="1568"/>
      <c r="L131" s="1568"/>
      <c r="M131" s="1568"/>
      <c r="N131" s="1568"/>
      <c r="O131" s="1569"/>
      <c r="Q131" s="152"/>
    </row>
    <row r="132" spans="2:17" x14ac:dyDescent="0.3">
      <c r="B132" s="1567"/>
      <c r="C132" s="1568"/>
      <c r="D132" s="1568"/>
      <c r="E132" s="1568"/>
      <c r="F132" s="1568"/>
      <c r="G132" s="1569"/>
      <c r="I132" s="1567"/>
      <c r="J132" s="1568"/>
      <c r="K132" s="1568"/>
      <c r="L132" s="1568"/>
      <c r="M132" s="1568"/>
      <c r="N132" s="1568"/>
      <c r="O132" s="1569"/>
      <c r="Q132" s="152"/>
    </row>
    <row r="133" spans="2:17" x14ac:dyDescent="0.3">
      <c r="B133" s="1567"/>
      <c r="C133" s="1568"/>
      <c r="D133" s="1568"/>
      <c r="E133" s="1568"/>
      <c r="F133" s="1568"/>
      <c r="G133" s="1569"/>
      <c r="I133" s="1567"/>
      <c r="J133" s="1568"/>
      <c r="K133" s="1568"/>
      <c r="L133" s="1568"/>
      <c r="M133" s="1568"/>
      <c r="N133" s="1568"/>
      <c r="O133" s="1569"/>
      <c r="Q133" s="152"/>
    </row>
    <row r="134" spans="2:17" x14ac:dyDescent="0.3">
      <c r="B134" s="1567"/>
      <c r="C134" s="1568"/>
      <c r="D134" s="1568"/>
      <c r="E134" s="1568"/>
      <c r="F134" s="1568"/>
      <c r="G134" s="1569"/>
      <c r="I134" s="1567"/>
      <c r="J134" s="1568"/>
      <c r="K134" s="1568"/>
      <c r="L134" s="1568"/>
      <c r="M134" s="1568"/>
      <c r="N134" s="1568"/>
      <c r="O134" s="1569"/>
      <c r="Q134" s="152"/>
    </row>
    <row r="135" spans="2:17" x14ac:dyDescent="0.3">
      <c r="B135" s="1567"/>
      <c r="C135" s="1568"/>
      <c r="D135" s="1568"/>
      <c r="E135" s="1568"/>
      <c r="F135" s="1568"/>
      <c r="G135" s="1569"/>
      <c r="I135" s="1567"/>
      <c r="J135" s="1568"/>
      <c r="K135" s="1568"/>
      <c r="L135" s="1568"/>
      <c r="M135" s="1568"/>
      <c r="N135" s="1568"/>
      <c r="O135" s="1569"/>
      <c r="Q135" s="152"/>
    </row>
    <row r="136" spans="2:17" x14ac:dyDescent="0.3">
      <c r="B136" s="1567"/>
      <c r="C136" s="1568"/>
      <c r="D136" s="1568"/>
      <c r="E136" s="1568"/>
      <c r="F136" s="1568"/>
      <c r="G136" s="1569"/>
      <c r="I136" s="1567"/>
      <c r="J136" s="1568"/>
      <c r="K136" s="1568"/>
      <c r="L136" s="1568"/>
      <c r="M136" s="1568"/>
      <c r="N136" s="1568"/>
      <c r="O136" s="1569"/>
      <c r="Q136" s="152"/>
    </row>
    <row r="137" spans="2:17" x14ac:dyDescent="0.3">
      <c r="B137" s="1567"/>
      <c r="C137" s="1568"/>
      <c r="D137" s="1568"/>
      <c r="E137" s="1568"/>
      <c r="F137" s="1568"/>
      <c r="G137" s="1569"/>
      <c r="I137" s="1567"/>
      <c r="J137" s="1568"/>
      <c r="K137" s="1568"/>
      <c r="L137" s="1568"/>
      <c r="M137" s="1568"/>
      <c r="N137" s="1568"/>
      <c r="O137" s="1569"/>
      <c r="Q137" s="152"/>
    </row>
    <row r="138" spans="2:17" x14ac:dyDescent="0.3">
      <c r="B138" s="1567"/>
      <c r="C138" s="1568"/>
      <c r="D138" s="1568"/>
      <c r="E138" s="1568"/>
      <c r="F138" s="1568"/>
      <c r="G138" s="1569"/>
      <c r="I138" s="1567"/>
      <c r="J138" s="1568"/>
      <c r="K138" s="1568"/>
      <c r="L138" s="1568"/>
      <c r="M138" s="1568"/>
      <c r="N138" s="1568"/>
      <c r="O138" s="1569"/>
      <c r="Q138" s="152"/>
    </row>
    <row r="139" spans="2:17" x14ac:dyDescent="0.3">
      <c r="B139" s="1567"/>
      <c r="C139" s="1568"/>
      <c r="D139" s="1568"/>
      <c r="E139" s="1568"/>
      <c r="F139" s="1568"/>
      <c r="G139" s="1569"/>
      <c r="I139" s="1567"/>
      <c r="J139" s="1568"/>
      <c r="K139" s="1568"/>
      <c r="L139" s="1568"/>
      <c r="M139" s="1568"/>
      <c r="N139" s="1568"/>
      <c r="O139" s="1569"/>
      <c r="Q139" s="152"/>
    </row>
    <row r="140" spans="2:17" x14ac:dyDescent="0.3">
      <c r="B140" s="1567"/>
      <c r="C140" s="1568"/>
      <c r="D140" s="1568"/>
      <c r="E140" s="1568"/>
      <c r="F140" s="1568"/>
      <c r="G140" s="1569"/>
      <c r="I140" s="1567"/>
      <c r="J140" s="1568"/>
      <c r="K140" s="1568"/>
      <c r="L140" s="1568"/>
      <c r="M140" s="1568"/>
      <c r="N140" s="1568"/>
      <c r="O140" s="1569"/>
      <c r="Q140" s="152"/>
    </row>
    <row r="141" spans="2:17" x14ac:dyDescent="0.3">
      <c r="B141" s="1567"/>
      <c r="C141" s="1568"/>
      <c r="D141" s="1568"/>
      <c r="E141" s="1568"/>
      <c r="F141" s="1568"/>
      <c r="G141" s="1569"/>
      <c r="I141" s="1567"/>
      <c r="J141" s="1568"/>
      <c r="K141" s="1568"/>
      <c r="L141" s="1568"/>
      <c r="M141" s="1568"/>
      <c r="N141" s="1568"/>
      <c r="O141" s="1569"/>
      <c r="Q141" s="152"/>
    </row>
    <row r="142" spans="2:17" x14ac:dyDescent="0.3">
      <c r="B142" s="1567"/>
      <c r="C142" s="1568"/>
      <c r="D142" s="1568"/>
      <c r="E142" s="1568"/>
      <c r="F142" s="1568"/>
      <c r="G142" s="1569"/>
      <c r="I142" s="1567"/>
      <c r="J142" s="1568"/>
      <c r="K142" s="1568"/>
      <c r="L142" s="1568"/>
      <c r="M142" s="1568"/>
      <c r="N142" s="1568"/>
      <c r="O142" s="1569"/>
      <c r="Q142" s="152"/>
    </row>
    <row r="143" spans="2:17" x14ac:dyDescent="0.3">
      <c r="B143" s="1567"/>
      <c r="C143" s="1568"/>
      <c r="D143" s="1568"/>
      <c r="E143" s="1568"/>
      <c r="F143" s="1568"/>
      <c r="G143" s="1569"/>
      <c r="I143" s="1567"/>
      <c r="J143" s="1568"/>
      <c r="K143" s="1568"/>
      <c r="L143" s="1568"/>
      <c r="M143" s="1568"/>
      <c r="N143" s="1568"/>
      <c r="O143" s="1569"/>
      <c r="Q143" s="152"/>
    </row>
    <row r="144" spans="2:17" x14ac:dyDescent="0.3">
      <c r="B144" s="1567"/>
      <c r="C144" s="1568"/>
      <c r="D144" s="1568"/>
      <c r="E144" s="1568"/>
      <c r="F144" s="1568"/>
      <c r="G144" s="1569"/>
      <c r="I144" s="1567"/>
      <c r="J144" s="1568"/>
      <c r="K144" s="1568"/>
      <c r="L144" s="1568"/>
      <c r="M144" s="1568"/>
      <c r="N144" s="1568"/>
      <c r="O144" s="1569"/>
      <c r="Q144" s="152"/>
    </row>
    <row r="145" spans="2:17" x14ac:dyDescent="0.3">
      <c r="B145" s="1567"/>
      <c r="C145" s="1568"/>
      <c r="D145" s="1568"/>
      <c r="E145" s="1568"/>
      <c r="F145" s="1568"/>
      <c r="G145" s="1569"/>
      <c r="I145" s="1567"/>
      <c r="J145" s="1568"/>
      <c r="K145" s="1568"/>
      <c r="L145" s="1568"/>
      <c r="M145" s="1568"/>
      <c r="N145" s="1568"/>
      <c r="O145" s="1569"/>
      <c r="Q145" s="152"/>
    </row>
    <row r="146" spans="2:17" x14ac:dyDescent="0.3">
      <c r="B146" s="1567"/>
      <c r="C146" s="1568"/>
      <c r="D146" s="1568"/>
      <c r="E146" s="1568"/>
      <c r="F146" s="1568"/>
      <c r="G146" s="1569"/>
      <c r="I146" s="1567"/>
      <c r="J146" s="1568"/>
      <c r="K146" s="1568"/>
      <c r="L146" s="1568"/>
      <c r="M146" s="1568"/>
      <c r="N146" s="1568"/>
      <c r="O146" s="1569"/>
      <c r="Q146" s="152"/>
    </row>
    <row r="147" spans="2:17" x14ac:dyDescent="0.3">
      <c r="B147" s="1567"/>
      <c r="C147" s="1568"/>
      <c r="D147" s="1568"/>
      <c r="E147" s="1568"/>
      <c r="F147" s="1568"/>
      <c r="G147" s="1569"/>
      <c r="I147" s="1567"/>
      <c r="J147" s="1568"/>
      <c r="K147" s="1568"/>
      <c r="L147" s="1568"/>
      <c r="M147" s="1568"/>
      <c r="N147" s="1568"/>
      <c r="O147" s="1569"/>
      <c r="Q147" s="152"/>
    </row>
    <row r="148" spans="2:17" x14ac:dyDescent="0.3">
      <c r="B148" s="1567"/>
      <c r="C148" s="1568"/>
      <c r="D148" s="1568"/>
      <c r="E148" s="1568"/>
      <c r="F148" s="1568"/>
      <c r="G148" s="1569"/>
      <c r="I148" s="1567"/>
      <c r="J148" s="1568"/>
      <c r="K148" s="1568"/>
      <c r="L148" s="1568"/>
      <c r="M148" s="1568"/>
      <c r="N148" s="1568"/>
      <c r="O148" s="1569"/>
      <c r="Q148" s="152"/>
    </row>
    <row r="149" spans="2:17" x14ac:dyDescent="0.3">
      <c r="B149" s="1567"/>
      <c r="C149" s="1568"/>
      <c r="D149" s="1568"/>
      <c r="E149" s="1568"/>
      <c r="F149" s="1568"/>
      <c r="G149" s="1569"/>
      <c r="I149" s="1567"/>
      <c r="J149" s="1568"/>
      <c r="K149" s="1568"/>
      <c r="L149" s="1568"/>
      <c r="M149" s="1568"/>
      <c r="N149" s="1568"/>
      <c r="O149" s="1569"/>
      <c r="Q149" s="152"/>
    </row>
    <row r="150" spans="2:17" x14ac:dyDescent="0.3">
      <c r="B150" s="1567"/>
      <c r="C150" s="1568"/>
      <c r="D150" s="1568"/>
      <c r="E150" s="1568"/>
      <c r="F150" s="1568"/>
      <c r="G150" s="1569"/>
      <c r="I150" s="1567"/>
      <c r="J150" s="1568"/>
      <c r="K150" s="1568"/>
      <c r="L150" s="1568"/>
      <c r="M150" s="1568"/>
      <c r="N150" s="1568"/>
      <c r="O150" s="1569"/>
      <c r="Q150" s="152"/>
    </row>
    <row r="151" spans="2:17" ht="17.25" thickBot="1" x14ac:dyDescent="0.35">
      <c r="B151" s="1570"/>
      <c r="C151" s="1571"/>
      <c r="D151" s="1571"/>
      <c r="E151" s="1571"/>
      <c r="F151" s="1571"/>
      <c r="G151" s="1572"/>
      <c r="I151" s="1570"/>
      <c r="J151" s="1571"/>
      <c r="K151" s="1571"/>
      <c r="L151" s="1571"/>
      <c r="M151" s="1571"/>
      <c r="N151" s="1571"/>
      <c r="O151" s="1572"/>
      <c r="Q151" s="152"/>
    </row>
    <row r="152" spans="2:17" ht="17.25" thickBot="1" x14ac:dyDescent="0.35">
      <c r="Q152" s="152"/>
    </row>
    <row r="153" spans="2:17" ht="18" thickBot="1" x14ac:dyDescent="0.35">
      <c r="B153" s="170" t="s">
        <v>822</v>
      </c>
      <c r="C153" s="144"/>
      <c r="D153" s="144"/>
      <c r="E153" s="144"/>
      <c r="F153" s="144"/>
      <c r="G153" s="128"/>
      <c r="I153" s="170" t="s">
        <v>823</v>
      </c>
      <c r="J153" s="144"/>
      <c r="K153" s="144"/>
      <c r="L153" s="144"/>
      <c r="M153" s="144"/>
      <c r="N153" s="144"/>
      <c r="O153" s="128"/>
      <c r="Q153" s="152"/>
    </row>
    <row r="154" spans="2:17" x14ac:dyDescent="0.3">
      <c r="B154" s="1567"/>
      <c r="C154" s="1568"/>
      <c r="D154" s="1568"/>
      <c r="E154" s="1568"/>
      <c r="F154" s="1568"/>
      <c r="G154" s="1569"/>
      <c r="I154" s="1567"/>
      <c r="J154" s="1568"/>
      <c r="K154" s="1568"/>
      <c r="L154" s="1568"/>
      <c r="M154" s="1568"/>
      <c r="N154" s="1568"/>
      <c r="O154" s="1569"/>
      <c r="Q154" s="152"/>
    </row>
    <row r="155" spans="2:17" x14ac:dyDescent="0.3">
      <c r="B155" s="1567"/>
      <c r="C155" s="1568"/>
      <c r="D155" s="1568"/>
      <c r="E155" s="1568"/>
      <c r="F155" s="1568"/>
      <c r="G155" s="1569"/>
      <c r="I155" s="1567"/>
      <c r="J155" s="1568"/>
      <c r="K155" s="1568"/>
      <c r="L155" s="1568"/>
      <c r="M155" s="1568"/>
      <c r="N155" s="1568"/>
      <c r="O155" s="1569"/>
      <c r="Q155" s="152"/>
    </row>
    <row r="156" spans="2:17" x14ac:dyDescent="0.3">
      <c r="B156" s="1567"/>
      <c r="C156" s="1568"/>
      <c r="D156" s="1568"/>
      <c r="E156" s="1568"/>
      <c r="F156" s="1568"/>
      <c r="G156" s="1569"/>
      <c r="I156" s="1567"/>
      <c r="J156" s="1568"/>
      <c r="K156" s="1568"/>
      <c r="L156" s="1568"/>
      <c r="M156" s="1568"/>
      <c r="N156" s="1568"/>
      <c r="O156" s="1569"/>
      <c r="Q156" s="152"/>
    </row>
    <row r="157" spans="2:17" x14ac:dyDescent="0.3">
      <c r="B157" s="1567"/>
      <c r="C157" s="1568"/>
      <c r="D157" s="1568"/>
      <c r="E157" s="1568"/>
      <c r="F157" s="1568"/>
      <c r="G157" s="1569"/>
      <c r="I157" s="1567"/>
      <c r="J157" s="1568"/>
      <c r="K157" s="1568"/>
      <c r="L157" s="1568"/>
      <c r="M157" s="1568"/>
      <c r="N157" s="1568"/>
      <c r="O157" s="1569"/>
      <c r="Q157" s="152"/>
    </row>
    <row r="158" spans="2:17" x14ac:dyDescent="0.3">
      <c r="B158" s="1567"/>
      <c r="C158" s="1568"/>
      <c r="D158" s="1568"/>
      <c r="E158" s="1568"/>
      <c r="F158" s="1568"/>
      <c r="G158" s="1569"/>
      <c r="I158" s="1567"/>
      <c r="J158" s="1568"/>
      <c r="K158" s="1568"/>
      <c r="L158" s="1568"/>
      <c r="M158" s="1568"/>
      <c r="N158" s="1568"/>
      <c r="O158" s="1569"/>
      <c r="Q158" s="152"/>
    </row>
    <row r="159" spans="2:17" x14ac:dyDescent="0.3">
      <c r="B159" s="1567"/>
      <c r="C159" s="1568"/>
      <c r="D159" s="1568"/>
      <c r="E159" s="1568"/>
      <c r="F159" s="1568"/>
      <c r="G159" s="1569"/>
      <c r="I159" s="1567"/>
      <c r="J159" s="1568"/>
      <c r="K159" s="1568"/>
      <c r="L159" s="1568"/>
      <c r="M159" s="1568"/>
      <c r="N159" s="1568"/>
      <c r="O159" s="1569"/>
      <c r="Q159" s="152"/>
    </row>
    <row r="160" spans="2:17" x14ac:dyDescent="0.3">
      <c r="B160" s="1567"/>
      <c r="C160" s="1568"/>
      <c r="D160" s="1568"/>
      <c r="E160" s="1568"/>
      <c r="F160" s="1568"/>
      <c r="G160" s="1569"/>
      <c r="I160" s="1567"/>
      <c r="J160" s="1568"/>
      <c r="K160" s="1568"/>
      <c r="L160" s="1568"/>
      <c r="M160" s="1568"/>
      <c r="N160" s="1568"/>
      <c r="O160" s="1569"/>
      <c r="Q160" s="152"/>
    </row>
    <row r="161" spans="2:17" x14ac:dyDescent="0.3">
      <c r="B161" s="1567"/>
      <c r="C161" s="1568"/>
      <c r="D161" s="1568"/>
      <c r="E161" s="1568"/>
      <c r="F161" s="1568"/>
      <c r="G161" s="1569"/>
      <c r="I161" s="1567"/>
      <c r="J161" s="1568"/>
      <c r="K161" s="1568"/>
      <c r="L161" s="1568"/>
      <c r="M161" s="1568"/>
      <c r="N161" s="1568"/>
      <c r="O161" s="1569"/>
      <c r="Q161" s="152"/>
    </row>
    <row r="162" spans="2:17" x14ac:dyDescent="0.3">
      <c r="B162" s="1567"/>
      <c r="C162" s="1568"/>
      <c r="D162" s="1568"/>
      <c r="E162" s="1568"/>
      <c r="F162" s="1568"/>
      <c r="G162" s="1569"/>
      <c r="I162" s="1567"/>
      <c r="J162" s="1568"/>
      <c r="K162" s="1568"/>
      <c r="L162" s="1568"/>
      <c r="M162" s="1568"/>
      <c r="N162" s="1568"/>
      <c r="O162" s="1569"/>
      <c r="Q162" s="152"/>
    </row>
    <row r="163" spans="2:17" x14ac:dyDescent="0.3">
      <c r="B163" s="1567"/>
      <c r="C163" s="1568"/>
      <c r="D163" s="1568"/>
      <c r="E163" s="1568"/>
      <c r="F163" s="1568"/>
      <c r="G163" s="1569"/>
      <c r="I163" s="1567"/>
      <c r="J163" s="1568"/>
      <c r="K163" s="1568"/>
      <c r="L163" s="1568"/>
      <c r="M163" s="1568"/>
      <c r="N163" s="1568"/>
      <c r="O163" s="1569"/>
      <c r="Q163" s="152"/>
    </row>
    <row r="164" spans="2:17" x14ac:dyDescent="0.3">
      <c r="B164" s="1567"/>
      <c r="C164" s="1568"/>
      <c r="D164" s="1568"/>
      <c r="E164" s="1568"/>
      <c r="F164" s="1568"/>
      <c r="G164" s="1569"/>
      <c r="I164" s="1567"/>
      <c r="J164" s="1568"/>
      <c r="K164" s="1568"/>
      <c r="L164" s="1568"/>
      <c r="M164" s="1568"/>
      <c r="N164" s="1568"/>
      <c r="O164" s="1569"/>
      <c r="Q164" s="152"/>
    </row>
    <row r="165" spans="2:17" x14ac:dyDescent="0.3">
      <c r="B165" s="1567"/>
      <c r="C165" s="1568"/>
      <c r="D165" s="1568"/>
      <c r="E165" s="1568"/>
      <c r="F165" s="1568"/>
      <c r="G165" s="1569"/>
      <c r="I165" s="1567"/>
      <c r="J165" s="1568"/>
      <c r="K165" s="1568"/>
      <c r="L165" s="1568"/>
      <c r="M165" s="1568"/>
      <c r="N165" s="1568"/>
      <c r="O165" s="1569"/>
      <c r="Q165" s="152"/>
    </row>
    <row r="166" spans="2:17" x14ac:dyDescent="0.3">
      <c r="B166" s="1567"/>
      <c r="C166" s="1568"/>
      <c r="D166" s="1568"/>
      <c r="E166" s="1568"/>
      <c r="F166" s="1568"/>
      <c r="G166" s="1569"/>
      <c r="I166" s="1567"/>
      <c r="J166" s="1568"/>
      <c r="K166" s="1568"/>
      <c r="L166" s="1568"/>
      <c r="M166" s="1568"/>
      <c r="N166" s="1568"/>
      <c r="O166" s="1569"/>
      <c r="Q166" s="152"/>
    </row>
    <row r="167" spans="2:17" x14ac:dyDescent="0.3">
      <c r="B167" s="1567"/>
      <c r="C167" s="1568"/>
      <c r="D167" s="1568"/>
      <c r="E167" s="1568"/>
      <c r="F167" s="1568"/>
      <c r="G167" s="1569"/>
      <c r="I167" s="1567"/>
      <c r="J167" s="1568"/>
      <c r="K167" s="1568"/>
      <c r="L167" s="1568"/>
      <c r="M167" s="1568"/>
      <c r="N167" s="1568"/>
      <c r="O167" s="1569"/>
      <c r="Q167" s="152"/>
    </row>
    <row r="168" spans="2:17" x14ac:dyDescent="0.3">
      <c r="B168" s="1567"/>
      <c r="C168" s="1568"/>
      <c r="D168" s="1568"/>
      <c r="E168" s="1568"/>
      <c r="F168" s="1568"/>
      <c r="G168" s="1569"/>
      <c r="I168" s="1567"/>
      <c r="J168" s="1568"/>
      <c r="K168" s="1568"/>
      <c r="L168" s="1568"/>
      <c r="M168" s="1568"/>
      <c r="N168" s="1568"/>
      <c r="O168" s="1569"/>
      <c r="Q168" s="152"/>
    </row>
    <row r="169" spans="2:17" x14ac:dyDescent="0.3">
      <c r="B169" s="1567"/>
      <c r="C169" s="1568"/>
      <c r="D169" s="1568"/>
      <c r="E169" s="1568"/>
      <c r="F169" s="1568"/>
      <c r="G169" s="1569"/>
      <c r="I169" s="1567"/>
      <c r="J169" s="1568"/>
      <c r="K169" s="1568"/>
      <c r="L169" s="1568"/>
      <c r="M169" s="1568"/>
      <c r="N169" s="1568"/>
      <c r="O169" s="1569"/>
      <c r="Q169" s="152"/>
    </row>
    <row r="170" spans="2:17" x14ac:dyDescent="0.3">
      <c r="B170" s="1567"/>
      <c r="C170" s="1568"/>
      <c r="D170" s="1568"/>
      <c r="E170" s="1568"/>
      <c r="F170" s="1568"/>
      <c r="G170" s="1569"/>
      <c r="I170" s="1567"/>
      <c r="J170" s="1568"/>
      <c r="K170" s="1568"/>
      <c r="L170" s="1568"/>
      <c r="M170" s="1568"/>
      <c r="N170" s="1568"/>
      <c r="O170" s="1569"/>
      <c r="Q170" s="152"/>
    </row>
    <row r="171" spans="2:17" x14ac:dyDescent="0.3">
      <c r="B171" s="1567"/>
      <c r="C171" s="1568"/>
      <c r="D171" s="1568"/>
      <c r="E171" s="1568"/>
      <c r="F171" s="1568"/>
      <c r="G171" s="1569"/>
      <c r="I171" s="1567"/>
      <c r="J171" s="1568"/>
      <c r="K171" s="1568"/>
      <c r="L171" s="1568"/>
      <c r="M171" s="1568"/>
      <c r="N171" s="1568"/>
      <c r="O171" s="1569"/>
      <c r="Q171" s="152"/>
    </row>
    <row r="172" spans="2:17" x14ac:dyDescent="0.3">
      <c r="B172" s="1567"/>
      <c r="C172" s="1568"/>
      <c r="D172" s="1568"/>
      <c r="E172" s="1568"/>
      <c r="F172" s="1568"/>
      <c r="G172" s="1569"/>
      <c r="I172" s="1567"/>
      <c r="J172" s="1568"/>
      <c r="K172" s="1568"/>
      <c r="L172" s="1568"/>
      <c r="M172" s="1568"/>
      <c r="N172" s="1568"/>
      <c r="O172" s="1569"/>
      <c r="Q172" s="152"/>
    </row>
    <row r="173" spans="2:17" x14ac:dyDescent="0.3">
      <c r="B173" s="1567"/>
      <c r="C173" s="1568"/>
      <c r="D173" s="1568"/>
      <c r="E173" s="1568"/>
      <c r="F173" s="1568"/>
      <c r="G173" s="1569"/>
      <c r="I173" s="1567"/>
      <c r="J173" s="1568"/>
      <c r="K173" s="1568"/>
      <c r="L173" s="1568"/>
      <c r="M173" s="1568"/>
      <c r="N173" s="1568"/>
      <c r="O173" s="1569"/>
      <c r="Q173" s="152"/>
    </row>
    <row r="174" spans="2:17" ht="17.25" thickBot="1" x14ac:dyDescent="0.35">
      <c r="B174" s="1570"/>
      <c r="C174" s="1571"/>
      <c r="D174" s="1571"/>
      <c r="E174" s="1571"/>
      <c r="F174" s="1571"/>
      <c r="G174" s="1572"/>
      <c r="I174" s="1570"/>
      <c r="J174" s="1571"/>
      <c r="K174" s="1571"/>
      <c r="L174" s="1571"/>
      <c r="M174" s="1571"/>
      <c r="N174" s="1571"/>
      <c r="O174" s="1572"/>
      <c r="Q174" s="152"/>
    </row>
    <row r="175" spans="2:17" ht="17.25" thickBot="1" x14ac:dyDescent="0.35">
      <c r="Q175" s="152"/>
    </row>
    <row r="176" spans="2:17" ht="18" thickBot="1" x14ac:dyDescent="0.35">
      <c r="B176" s="170" t="s">
        <v>816</v>
      </c>
      <c r="C176" s="144"/>
      <c r="D176" s="144"/>
      <c r="E176" s="144"/>
      <c r="F176" s="144"/>
      <c r="G176" s="144"/>
      <c r="H176" s="144"/>
      <c r="I176" s="144"/>
      <c r="J176" s="144"/>
      <c r="K176" s="144"/>
      <c r="L176" s="144"/>
      <c r="M176" s="144"/>
      <c r="N176" s="144"/>
      <c r="O176" s="128"/>
      <c r="Q176" s="152"/>
    </row>
    <row r="177" spans="2:17" x14ac:dyDescent="0.3">
      <c r="B177" s="1567"/>
      <c r="C177" s="1568"/>
      <c r="D177" s="1568"/>
      <c r="E177" s="1568"/>
      <c r="F177" s="1568"/>
      <c r="G177" s="1568"/>
      <c r="H177" s="1568"/>
      <c r="I177" s="1568"/>
      <c r="J177" s="1568"/>
      <c r="K177" s="1568"/>
      <c r="L177" s="1568"/>
      <c r="M177" s="1568"/>
      <c r="N177" s="1568"/>
      <c r="O177" s="1569"/>
      <c r="Q177" s="152"/>
    </row>
    <row r="178" spans="2:17" x14ac:dyDescent="0.3">
      <c r="B178" s="1567"/>
      <c r="C178" s="1568"/>
      <c r="D178" s="1568"/>
      <c r="E178" s="1568"/>
      <c r="F178" s="1568"/>
      <c r="G178" s="1568"/>
      <c r="H178" s="1568"/>
      <c r="I178" s="1568"/>
      <c r="J178" s="1568"/>
      <c r="K178" s="1568"/>
      <c r="L178" s="1568"/>
      <c r="M178" s="1568"/>
      <c r="N178" s="1568"/>
      <c r="O178" s="1569"/>
      <c r="Q178" s="152"/>
    </row>
    <row r="179" spans="2:17" x14ac:dyDescent="0.3">
      <c r="B179" s="1567"/>
      <c r="C179" s="1568"/>
      <c r="D179" s="1568"/>
      <c r="E179" s="1568"/>
      <c r="F179" s="1568"/>
      <c r="G179" s="1568"/>
      <c r="H179" s="1568"/>
      <c r="I179" s="1568"/>
      <c r="J179" s="1568"/>
      <c r="K179" s="1568"/>
      <c r="L179" s="1568"/>
      <c r="M179" s="1568"/>
      <c r="N179" s="1568"/>
      <c r="O179" s="1569"/>
      <c r="Q179" s="152"/>
    </row>
    <row r="180" spans="2:17" x14ac:dyDescent="0.3">
      <c r="B180" s="1567"/>
      <c r="C180" s="1568"/>
      <c r="D180" s="1568"/>
      <c r="E180" s="1568"/>
      <c r="F180" s="1568"/>
      <c r="G180" s="1568"/>
      <c r="H180" s="1568"/>
      <c r="I180" s="1568"/>
      <c r="J180" s="1568"/>
      <c r="K180" s="1568"/>
      <c r="L180" s="1568"/>
      <c r="M180" s="1568"/>
      <c r="N180" s="1568"/>
      <c r="O180" s="1569"/>
      <c r="Q180" s="152"/>
    </row>
    <row r="181" spans="2:17" x14ac:dyDescent="0.3">
      <c r="B181" s="1567"/>
      <c r="C181" s="1568"/>
      <c r="D181" s="1568"/>
      <c r="E181" s="1568"/>
      <c r="F181" s="1568"/>
      <c r="G181" s="1568"/>
      <c r="H181" s="1568"/>
      <c r="I181" s="1568"/>
      <c r="J181" s="1568"/>
      <c r="K181" s="1568"/>
      <c r="L181" s="1568"/>
      <c r="M181" s="1568"/>
      <c r="N181" s="1568"/>
      <c r="O181" s="1569"/>
      <c r="Q181" s="152"/>
    </row>
    <row r="182" spans="2:17" x14ac:dyDescent="0.3">
      <c r="B182" s="1567"/>
      <c r="C182" s="1568"/>
      <c r="D182" s="1568"/>
      <c r="E182" s="1568"/>
      <c r="F182" s="1568"/>
      <c r="G182" s="1568"/>
      <c r="H182" s="1568"/>
      <c r="I182" s="1568"/>
      <c r="J182" s="1568"/>
      <c r="K182" s="1568"/>
      <c r="L182" s="1568"/>
      <c r="M182" s="1568"/>
      <c r="N182" s="1568"/>
      <c r="O182" s="1569"/>
      <c r="Q182" s="152"/>
    </row>
    <row r="183" spans="2:17" x14ac:dyDescent="0.3">
      <c r="B183" s="1567"/>
      <c r="C183" s="1568"/>
      <c r="D183" s="1568"/>
      <c r="E183" s="1568"/>
      <c r="F183" s="1568"/>
      <c r="G183" s="1568"/>
      <c r="H183" s="1568"/>
      <c r="I183" s="1568"/>
      <c r="J183" s="1568"/>
      <c r="K183" s="1568"/>
      <c r="L183" s="1568"/>
      <c r="M183" s="1568"/>
      <c r="N183" s="1568"/>
      <c r="O183" s="1569"/>
      <c r="Q183" s="152"/>
    </row>
    <row r="184" spans="2:17" x14ac:dyDescent="0.3">
      <c r="B184" s="1567"/>
      <c r="C184" s="1568"/>
      <c r="D184" s="1568"/>
      <c r="E184" s="1568"/>
      <c r="F184" s="1568"/>
      <c r="G184" s="1568"/>
      <c r="H184" s="1568"/>
      <c r="I184" s="1568"/>
      <c r="J184" s="1568"/>
      <c r="K184" s="1568"/>
      <c r="L184" s="1568"/>
      <c r="M184" s="1568"/>
      <c r="N184" s="1568"/>
      <c r="O184" s="1569"/>
      <c r="Q184" s="152"/>
    </row>
    <row r="185" spans="2:17" x14ac:dyDescent="0.3">
      <c r="B185" s="1567"/>
      <c r="C185" s="1568"/>
      <c r="D185" s="1568"/>
      <c r="E185" s="1568"/>
      <c r="F185" s="1568"/>
      <c r="G185" s="1568"/>
      <c r="H185" s="1568"/>
      <c r="I185" s="1568"/>
      <c r="J185" s="1568"/>
      <c r="K185" s="1568"/>
      <c r="L185" s="1568"/>
      <c r="M185" s="1568"/>
      <c r="N185" s="1568"/>
      <c r="O185" s="1569"/>
      <c r="Q185" s="152"/>
    </row>
    <row r="186" spans="2:17" x14ac:dyDescent="0.3">
      <c r="B186" s="1567"/>
      <c r="C186" s="1568"/>
      <c r="D186" s="1568"/>
      <c r="E186" s="1568"/>
      <c r="F186" s="1568"/>
      <c r="G186" s="1568"/>
      <c r="H186" s="1568"/>
      <c r="I186" s="1568"/>
      <c r="J186" s="1568"/>
      <c r="K186" s="1568"/>
      <c r="L186" s="1568"/>
      <c r="M186" s="1568"/>
      <c r="N186" s="1568"/>
      <c r="O186" s="1569"/>
      <c r="Q186" s="152"/>
    </row>
    <row r="187" spans="2:17" x14ac:dyDescent="0.3">
      <c r="B187" s="1567"/>
      <c r="C187" s="1568"/>
      <c r="D187" s="1568"/>
      <c r="E187" s="1568"/>
      <c r="F187" s="1568"/>
      <c r="G187" s="1568"/>
      <c r="H187" s="1568"/>
      <c r="I187" s="1568"/>
      <c r="J187" s="1568"/>
      <c r="K187" s="1568"/>
      <c r="L187" s="1568"/>
      <c r="M187" s="1568"/>
      <c r="N187" s="1568"/>
      <c r="O187" s="1569"/>
      <c r="Q187" s="152"/>
    </row>
    <row r="188" spans="2:17" x14ac:dyDescent="0.3">
      <c r="B188" s="1567"/>
      <c r="C188" s="1568"/>
      <c r="D188" s="1568"/>
      <c r="E188" s="1568"/>
      <c r="F188" s="1568"/>
      <c r="G188" s="1568"/>
      <c r="H188" s="1568"/>
      <c r="I188" s="1568"/>
      <c r="J188" s="1568"/>
      <c r="K188" s="1568"/>
      <c r="L188" s="1568"/>
      <c r="M188" s="1568"/>
      <c r="N188" s="1568"/>
      <c r="O188" s="1569"/>
      <c r="Q188" s="152"/>
    </row>
    <row r="189" spans="2:17" x14ac:dyDescent="0.3">
      <c r="B189" s="1567"/>
      <c r="C189" s="1568"/>
      <c r="D189" s="1568"/>
      <c r="E189" s="1568"/>
      <c r="F189" s="1568"/>
      <c r="G189" s="1568"/>
      <c r="H189" s="1568"/>
      <c r="I189" s="1568"/>
      <c r="J189" s="1568"/>
      <c r="K189" s="1568"/>
      <c r="L189" s="1568"/>
      <c r="M189" s="1568"/>
      <c r="N189" s="1568"/>
      <c r="O189" s="1569"/>
      <c r="Q189" s="152"/>
    </row>
    <row r="190" spans="2:17" x14ac:dyDescent="0.3">
      <c r="B190" s="1567"/>
      <c r="C190" s="1568"/>
      <c r="D190" s="1568"/>
      <c r="E190" s="1568"/>
      <c r="F190" s="1568"/>
      <c r="G190" s="1568"/>
      <c r="H190" s="1568"/>
      <c r="I190" s="1568"/>
      <c r="J190" s="1568"/>
      <c r="K190" s="1568"/>
      <c r="L190" s="1568"/>
      <c r="M190" s="1568"/>
      <c r="N190" s="1568"/>
      <c r="O190" s="1569"/>
      <c r="Q190" s="152"/>
    </row>
    <row r="191" spans="2:17" x14ac:dyDescent="0.3">
      <c r="B191" s="1567"/>
      <c r="C191" s="1568"/>
      <c r="D191" s="1568"/>
      <c r="E191" s="1568"/>
      <c r="F191" s="1568"/>
      <c r="G191" s="1568"/>
      <c r="H191" s="1568"/>
      <c r="I191" s="1568"/>
      <c r="J191" s="1568"/>
      <c r="K191" s="1568"/>
      <c r="L191" s="1568"/>
      <c r="M191" s="1568"/>
      <c r="N191" s="1568"/>
      <c r="O191" s="1569"/>
      <c r="Q191" s="152"/>
    </row>
    <row r="192" spans="2:17" x14ac:dyDescent="0.3">
      <c r="B192" s="1567"/>
      <c r="C192" s="1568"/>
      <c r="D192" s="1568"/>
      <c r="E192" s="1568"/>
      <c r="F192" s="1568"/>
      <c r="G192" s="1568"/>
      <c r="H192" s="1568"/>
      <c r="I192" s="1568"/>
      <c r="J192" s="1568"/>
      <c r="K192" s="1568"/>
      <c r="L192" s="1568"/>
      <c r="M192" s="1568"/>
      <c r="N192" s="1568"/>
      <c r="O192" s="1569"/>
      <c r="Q192" s="152"/>
    </row>
    <row r="193" spans="2:17" x14ac:dyDescent="0.3">
      <c r="B193" s="1567"/>
      <c r="C193" s="1568"/>
      <c r="D193" s="1568"/>
      <c r="E193" s="1568"/>
      <c r="F193" s="1568"/>
      <c r="G193" s="1568"/>
      <c r="H193" s="1568"/>
      <c r="I193" s="1568"/>
      <c r="J193" s="1568"/>
      <c r="K193" s="1568"/>
      <c r="L193" s="1568"/>
      <c r="M193" s="1568"/>
      <c r="N193" s="1568"/>
      <c r="O193" s="1569"/>
      <c r="Q193" s="152"/>
    </row>
    <row r="194" spans="2:17" x14ac:dyDescent="0.3">
      <c r="B194" s="1567"/>
      <c r="C194" s="1568"/>
      <c r="D194" s="1568"/>
      <c r="E194" s="1568"/>
      <c r="F194" s="1568"/>
      <c r="G194" s="1568"/>
      <c r="H194" s="1568"/>
      <c r="I194" s="1568"/>
      <c r="J194" s="1568"/>
      <c r="K194" s="1568"/>
      <c r="L194" s="1568"/>
      <c r="M194" s="1568"/>
      <c r="N194" s="1568"/>
      <c r="O194" s="1569"/>
      <c r="Q194" s="152"/>
    </row>
    <row r="195" spans="2:17" x14ac:dyDescent="0.3">
      <c r="B195" s="1567"/>
      <c r="C195" s="1568"/>
      <c r="D195" s="1568"/>
      <c r="E195" s="1568"/>
      <c r="F195" s="1568"/>
      <c r="G195" s="1568"/>
      <c r="H195" s="1568"/>
      <c r="I195" s="1568"/>
      <c r="J195" s="1568"/>
      <c r="K195" s="1568"/>
      <c r="L195" s="1568"/>
      <c r="M195" s="1568"/>
      <c r="N195" s="1568"/>
      <c r="O195" s="1569"/>
      <c r="Q195" s="152"/>
    </row>
    <row r="196" spans="2:17" x14ac:dyDescent="0.3">
      <c r="B196" s="1567"/>
      <c r="C196" s="1568"/>
      <c r="D196" s="1568"/>
      <c r="E196" s="1568"/>
      <c r="F196" s="1568"/>
      <c r="G196" s="1568"/>
      <c r="H196" s="1568"/>
      <c r="I196" s="1568"/>
      <c r="J196" s="1568"/>
      <c r="K196" s="1568"/>
      <c r="L196" s="1568"/>
      <c r="M196" s="1568"/>
      <c r="N196" s="1568"/>
      <c r="O196" s="1569"/>
      <c r="Q196" s="152"/>
    </row>
    <row r="197" spans="2:17" x14ac:dyDescent="0.3">
      <c r="B197" s="1567"/>
      <c r="C197" s="1568"/>
      <c r="D197" s="1568"/>
      <c r="E197" s="1568"/>
      <c r="F197" s="1568"/>
      <c r="G197" s="1568"/>
      <c r="H197" s="1568"/>
      <c r="I197" s="1568"/>
      <c r="J197" s="1568"/>
      <c r="K197" s="1568"/>
      <c r="L197" s="1568"/>
      <c r="M197" s="1568"/>
      <c r="N197" s="1568"/>
      <c r="O197" s="1569"/>
      <c r="Q197" s="152"/>
    </row>
    <row r="198" spans="2:17" ht="17.25" thickBot="1" x14ac:dyDescent="0.35">
      <c r="B198" s="1570"/>
      <c r="C198" s="1571"/>
      <c r="D198" s="1571"/>
      <c r="E198" s="1571"/>
      <c r="F198" s="1571"/>
      <c r="G198" s="1571"/>
      <c r="H198" s="1571"/>
      <c r="I198" s="1571"/>
      <c r="J198" s="1571"/>
      <c r="K198" s="1571"/>
      <c r="L198" s="1571"/>
      <c r="M198" s="1571"/>
      <c r="N198" s="1571"/>
      <c r="O198" s="1572"/>
      <c r="Q198" s="152"/>
    </row>
    <row r="199" spans="2:17" ht="17.25" thickBot="1" x14ac:dyDescent="0.35">
      <c r="Q199" s="152"/>
    </row>
    <row r="200" spans="2:17" ht="18" thickBot="1" x14ac:dyDescent="0.35">
      <c r="B200" s="170" t="s">
        <v>824</v>
      </c>
      <c r="C200" s="144"/>
      <c r="D200" s="144"/>
      <c r="E200" s="144"/>
      <c r="F200" s="144"/>
      <c r="G200" s="144"/>
      <c r="H200" s="144"/>
      <c r="I200" s="144"/>
      <c r="J200" s="144"/>
      <c r="K200" s="144"/>
      <c r="L200" s="144"/>
      <c r="M200" s="144"/>
      <c r="N200" s="144"/>
      <c r="O200" s="128"/>
      <c r="Q200" s="152"/>
    </row>
    <row r="201" spans="2:17" x14ac:dyDescent="0.3">
      <c r="B201" s="1567"/>
      <c r="C201" s="1568"/>
      <c r="D201" s="1568"/>
      <c r="E201" s="1568"/>
      <c r="F201" s="1568"/>
      <c r="G201" s="1568"/>
      <c r="H201" s="1568"/>
      <c r="I201" s="1568"/>
      <c r="J201" s="1568"/>
      <c r="K201" s="1568"/>
      <c r="L201" s="1568"/>
      <c r="M201" s="1568"/>
      <c r="N201" s="1568"/>
      <c r="O201" s="1569"/>
      <c r="Q201" s="152"/>
    </row>
    <row r="202" spans="2:17" x14ac:dyDescent="0.3">
      <c r="B202" s="1567"/>
      <c r="C202" s="1568"/>
      <c r="D202" s="1568"/>
      <c r="E202" s="1568"/>
      <c r="F202" s="1568"/>
      <c r="G202" s="1568"/>
      <c r="H202" s="1568"/>
      <c r="I202" s="1568"/>
      <c r="J202" s="1568"/>
      <c r="K202" s="1568"/>
      <c r="L202" s="1568"/>
      <c r="M202" s="1568"/>
      <c r="N202" s="1568"/>
      <c r="O202" s="1569"/>
      <c r="Q202" s="152"/>
    </row>
    <row r="203" spans="2:17" x14ac:dyDescent="0.3">
      <c r="B203" s="1567"/>
      <c r="C203" s="1568"/>
      <c r="D203" s="1568"/>
      <c r="E203" s="1568"/>
      <c r="F203" s="1568"/>
      <c r="G203" s="1568"/>
      <c r="H203" s="1568"/>
      <c r="I203" s="1568"/>
      <c r="J203" s="1568"/>
      <c r="K203" s="1568"/>
      <c r="L203" s="1568"/>
      <c r="M203" s="1568"/>
      <c r="N203" s="1568"/>
      <c r="O203" s="1569"/>
      <c r="Q203" s="152"/>
    </row>
    <row r="204" spans="2:17" x14ac:dyDescent="0.3">
      <c r="B204" s="1567"/>
      <c r="C204" s="1568"/>
      <c r="D204" s="1568"/>
      <c r="E204" s="1568"/>
      <c r="F204" s="1568"/>
      <c r="G204" s="1568"/>
      <c r="H204" s="1568"/>
      <c r="I204" s="1568"/>
      <c r="J204" s="1568"/>
      <c r="K204" s="1568"/>
      <c r="L204" s="1568"/>
      <c r="M204" s="1568"/>
      <c r="N204" s="1568"/>
      <c r="O204" s="1569"/>
      <c r="Q204" s="152"/>
    </row>
    <row r="205" spans="2:17" x14ac:dyDescent="0.3">
      <c r="B205" s="1567"/>
      <c r="C205" s="1568"/>
      <c r="D205" s="1568"/>
      <c r="E205" s="1568"/>
      <c r="F205" s="1568"/>
      <c r="G205" s="1568"/>
      <c r="H205" s="1568"/>
      <c r="I205" s="1568"/>
      <c r="J205" s="1568"/>
      <c r="K205" s="1568"/>
      <c r="L205" s="1568"/>
      <c r="M205" s="1568"/>
      <c r="N205" s="1568"/>
      <c r="O205" s="1569"/>
      <c r="Q205" s="152"/>
    </row>
    <row r="206" spans="2:17" x14ac:dyDescent="0.3">
      <c r="B206" s="1567"/>
      <c r="C206" s="1568"/>
      <c r="D206" s="1568"/>
      <c r="E206" s="1568"/>
      <c r="F206" s="1568"/>
      <c r="G206" s="1568"/>
      <c r="H206" s="1568"/>
      <c r="I206" s="1568"/>
      <c r="J206" s="1568"/>
      <c r="K206" s="1568"/>
      <c r="L206" s="1568"/>
      <c r="M206" s="1568"/>
      <c r="N206" s="1568"/>
      <c r="O206" s="1569"/>
      <c r="Q206" s="152"/>
    </row>
    <row r="207" spans="2:17" x14ac:dyDescent="0.3">
      <c r="B207" s="1567"/>
      <c r="C207" s="1568"/>
      <c r="D207" s="1568"/>
      <c r="E207" s="1568"/>
      <c r="F207" s="1568"/>
      <c r="G207" s="1568"/>
      <c r="H207" s="1568"/>
      <c r="I207" s="1568"/>
      <c r="J207" s="1568"/>
      <c r="K207" s="1568"/>
      <c r="L207" s="1568"/>
      <c r="M207" s="1568"/>
      <c r="N207" s="1568"/>
      <c r="O207" s="1569"/>
      <c r="Q207" s="152"/>
    </row>
    <row r="208" spans="2:17" x14ac:dyDescent="0.3">
      <c r="B208" s="1567"/>
      <c r="C208" s="1568"/>
      <c r="D208" s="1568"/>
      <c r="E208" s="1568"/>
      <c r="F208" s="1568"/>
      <c r="G208" s="1568"/>
      <c r="H208" s="1568"/>
      <c r="I208" s="1568"/>
      <c r="J208" s="1568"/>
      <c r="K208" s="1568"/>
      <c r="L208" s="1568"/>
      <c r="M208" s="1568"/>
      <c r="N208" s="1568"/>
      <c r="O208" s="1569"/>
      <c r="Q208" s="152"/>
    </row>
    <row r="209" spans="1:17" x14ac:dyDescent="0.3">
      <c r="B209" s="1567"/>
      <c r="C209" s="1568"/>
      <c r="D209" s="1568"/>
      <c r="E209" s="1568"/>
      <c r="F209" s="1568"/>
      <c r="G209" s="1568"/>
      <c r="H209" s="1568"/>
      <c r="I209" s="1568"/>
      <c r="J209" s="1568"/>
      <c r="K209" s="1568"/>
      <c r="L209" s="1568"/>
      <c r="M209" s="1568"/>
      <c r="N209" s="1568"/>
      <c r="O209" s="1569"/>
      <c r="Q209" s="152"/>
    </row>
    <row r="210" spans="1:17" x14ac:dyDescent="0.3">
      <c r="B210" s="1567"/>
      <c r="C210" s="1568"/>
      <c r="D210" s="1568"/>
      <c r="E210" s="1568"/>
      <c r="F210" s="1568"/>
      <c r="G210" s="1568"/>
      <c r="H210" s="1568"/>
      <c r="I210" s="1568"/>
      <c r="J210" s="1568"/>
      <c r="K210" s="1568"/>
      <c r="L210" s="1568"/>
      <c r="M210" s="1568"/>
      <c r="N210" s="1568"/>
      <c r="O210" s="1569"/>
      <c r="Q210" s="152"/>
    </row>
    <row r="211" spans="1:17" x14ac:dyDescent="0.3">
      <c r="B211" s="1567"/>
      <c r="C211" s="1568"/>
      <c r="D211" s="1568"/>
      <c r="E211" s="1568"/>
      <c r="F211" s="1568"/>
      <c r="G211" s="1568"/>
      <c r="H211" s="1568"/>
      <c r="I211" s="1568"/>
      <c r="J211" s="1568"/>
      <c r="K211" s="1568"/>
      <c r="L211" s="1568"/>
      <c r="M211" s="1568"/>
      <c r="N211" s="1568"/>
      <c r="O211" s="1569"/>
      <c r="Q211" s="152"/>
    </row>
    <row r="212" spans="1:17" x14ac:dyDescent="0.3">
      <c r="B212" s="1567"/>
      <c r="C212" s="1568"/>
      <c r="D212" s="1568"/>
      <c r="E212" s="1568"/>
      <c r="F212" s="1568"/>
      <c r="G212" s="1568"/>
      <c r="H212" s="1568"/>
      <c r="I212" s="1568"/>
      <c r="J212" s="1568"/>
      <c r="K212" s="1568"/>
      <c r="L212" s="1568"/>
      <c r="M212" s="1568"/>
      <c r="N212" s="1568"/>
      <c r="O212" s="1569"/>
      <c r="Q212" s="152"/>
    </row>
    <row r="213" spans="1:17" x14ac:dyDescent="0.3">
      <c r="B213" s="1567"/>
      <c r="C213" s="1568"/>
      <c r="D213" s="1568"/>
      <c r="E213" s="1568"/>
      <c r="F213" s="1568"/>
      <c r="G213" s="1568"/>
      <c r="H213" s="1568"/>
      <c r="I213" s="1568"/>
      <c r="J213" s="1568"/>
      <c r="K213" s="1568"/>
      <c r="L213" s="1568"/>
      <c r="M213" s="1568"/>
      <c r="N213" s="1568"/>
      <c r="O213" s="1569"/>
      <c r="Q213" s="152"/>
    </row>
    <row r="214" spans="1:17" x14ac:dyDescent="0.3">
      <c r="B214" s="1567"/>
      <c r="C214" s="1568"/>
      <c r="D214" s="1568"/>
      <c r="E214" s="1568"/>
      <c r="F214" s="1568"/>
      <c r="G214" s="1568"/>
      <c r="H214" s="1568"/>
      <c r="I214" s="1568"/>
      <c r="J214" s="1568"/>
      <c r="K214" s="1568"/>
      <c r="L214" s="1568"/>
      <c r="M214" s="1568"/>
      <c r="N214" s="1568"/>
      <c r="O214" s="1569"/>
      <c r="Q214" s="152"/>
    </row>
    <row r="215" spans="1:17" x14ac:dyDescent="0.3">
      <c r="B215" s="1567"/>
      <c r="C215" s="1568"/>
      <c r="D215" s="1568"/>
      <c r="E215" s="1568"/>
      <c r="F215" s="1568"/>
      <c r="G215" s="1568"/>
      <c r="H215" s="1568"/>
      <c r="I215" s="1568"/>
      <c r="J215" s="1568"/>
      <c r="K215" s="1568"/>
      <c r="L215" s="1568"/>
      <c r="M215" s="1568"/>
      <c r="N215" s="1568"/>
      <c r="O215" s="1569"/>
      <c r="Q215" s="152"/>
    </row>
    <row r="216" spans="1:17" x14ac:dyDescent="0.3">
      <c r="B216" s="1567"/>
      <c r="C216" s="1568"/>
      <c r="D216" s="1568"/>
      <c r="E216" s="1568"/>
      <c r="F216" s="1568"/>
      <c r="G216" s="1568"/>
      <c r="H216" s="1568"/>
      <c r="I216" s="1568"/>
      <c r="J216" s="1568"/>
      <c r="K216" s="1568"/>
      <c r="L216" s="1568"/>
      <c r="M216" s="1568"/>
      <c r="N216" s="1568"/>
      <c r="O216" s="1569"/>
      <c r="Q216" s="152"/>
    </row>
    <row r="217" spans="1:17" x14ac:dyDescent="0.3">
      <c r="B217" s="1567"/>
      <c r="C217" s="1568"/>
      <c r="D217" s="1568"/>
      <c r="E217" s="1568"/>
      <c r="F217" s="1568"/>
      <c r="G217" s="1568"/>
      <c r="H217" s="1568"/>
      <c r="I217" s="1568"/>
      <c r="J217" s="1568"/>
      <c r="K217" s="1568"/>
      <c r="L217" s="1568"/>
      <c r="M217" s="1568"/>
      <c r="N217" s="1568"/>
      <c r="O217" s="1569"/>
      <c r="Q217" s="152"/>
    </row>
    <row r="218" spans="1:17" x14ac:dyDescent="0.3">
      <c r="B218" s="1567"/>
      <c r="C218" s="1568"/>
      <c r="D218" s="1568"/>
      <c r="E218" s="1568"/>
      <c r="F218" s="1568"/>
      <c r="G218" s="1568"/>
      <c r="H218" s="1568"/>
      <c r="I218" s="1568"/>
      <c r="J218" s="1568"/>
      <c r="K218" s="1568"/>
      <c r="L218" s="1568"/>
      <c r="M218" s="1568"/>
      <c r="N218" s="1568"/>
      <c r="O218" s="1569"/>
      <c r="Q218" s="152"/>
    </row>
    <row r="219" spans="1:17" x14ac:dyDescent="0.3">
      <c r="B219" s="1567"/>
      <c r="C219" s="1568"/>
      <c r="D219" s="1568"/>
      <c r="E219" s="1568"/>
      <c r="F219" s="1568"/>
      <c r="G219" s="1568"/>
      <c r="H219" s="1568"/>
      <c r="I219" s="1568"/>
      <c r="J219" s="1568"/>
      <c r="K219" s="1568"/>
      <c r="L219" s="1568"/>
      <c r="M219" s="1568"/>
      <c r="N219" s="1568"/>
      <c r="O219" s="1569"/>
      <c r="Q219" s="152"/>
    </row>
    <row r="220" spans="1:17" x14ac:dyDescent="0.3">
      <c r="B220" s="1567"/>
      <c r="C220" s="1568"/>
      <c r="D220" s="1568"/>
      <c r="E220" s="1568"/>
      <c r="F220" s="1568"/>
      <c r="G220" s="1568"/>
      <c r="H220" s="1568"/>
      <c r="I220" s="1568"/>
      <c r="J220" s="1568"/>
      <c r="K220" s="1568"/>
      <c r="L220" s="1568"/>
      <c r="M220" s="1568"/>
      <c r="N220" s="1568"/>
      <c r="O220" s="1569"/>
      <c r="Q220" s="152"/>
    </row>
    <row r="221" spans="1:17" x14ac:dyDescent="0.3">
      <c r="B221" s="1567"/>
      <c r="C221" s="1568"/>
      <c r="D221" s="1568"/>
      <c r="E221" s="1568"/>
      <c r="F221" s="1568"/>
      <c r="G221" s="1568"/>
      <c r="H221" s="1568"/>
      <c r="I221" s="1568"/>
      <c r="J221" s="1568"/>
      <c r="K221" s="1568"/>
      <c r="L221" s="1568"/>
      <c r="M221" s="1568"/>
      <c r="N221" s="1568"/>
      <c r="O221" s="1569"/>
      <c r="Q221" s="152"/>
    </row>
    <row r="222" spans="1:17" ht="17.25" thickBot="1" x14ac:dyDescent="0.35">
      <c r="B222" s="1570"/>
      <c r="C222" s="1571"/>
      <c r="D222" s="1571"/>
      <c r="E222" s="1571"/>
      <c r="F222" s="1571"/>
      <c r="G222" s="1571"/>
      <c r="H222" s="1571"/>
      <c r="I222" s="1571"/>
      <c r="J222" s="1571"/>
      <c r="K222" s="1571"/>
      <c r="L222" s="1571"/>
      <c r="M222" s="1571"/>
      <c r="N222" s="1571"/>
      <c r="O222" s="1572"/>
      <c r="Q222" s="152"/>
    </row>
    <row r="223" spans="1:17" x14ac:dyDescent="0.3">
      <c r="Q223" s="152"/>
    </row>
    <row r="224" spans="1:17" x14ac:dyDescent="0.3">
      <c r="A224" s="152"/>
      <c r="B224" s="152"/>
      <c r="C224" s="152"/>
      <c r="D224" s="152"/>
      <c r="E224" s="152"/>
      <c r="F224" s="152"/>
      <c r="G224" s="152"/>
      <c r="H224" s="152"/>
      <c r="I224" s="152"/>
      <c r="J224" s="152"/>
      <c r="K224" s="152"/>
      <c r="L224" s="152"/>
      <c r="M224" s="152"/>
      <c r="N224" s="152"/>
      <c r="O224" s="152"/>
      <c r="P224" s="152"/>
      <c r="Q224" s="152"/>
    </row>
  </sheetData>
  <sheetProtection algorithmName="SHA-512" hashValue="wNznFwsbtn5cwCfpzqXSjJ/7BjPu1K3X1eTEtqetwrOlpSZdqQPVXFBnZR2CO0RIYstF0wGPZKMLA//Zlwkx/g==" saltValue="egs0AyYNgZrTd6X5fTA/qg==" spinCount="100000" sheet="1" selectLockedCells="1"/>
  <mergeCells count="15">
    <mergeCell ref="B2:C2"/>
    <mergeCell ref="B201:O222"/>
    <mergeCell ref="B36:O57"/>
    <mergeCell ref="B108:G128"/>
    <mergeCell ref="I108:O128"/>
    <mergeCell ref="B60:O81"/>
    <mergeCell ref="B84:O105"/>
    <mergeCell ref="B131:G151"/>
    <mergeCell ref="I131:O151"/>
    <mergeCell ref="H4:J4"/>
    <mergeCell ref="D3:F3"/>
    <mergeCell ref="B12:O33"/>
    <mergeCell ref="B154:G174"/>
    <mergeCell ref="I154:O174"/>
    <mergeCell ref="B177:O198"/>
  </mergeCells>
  <phoneticPr fontId="28" type="noConversion"/>
  <hyperlinks>
    <hyperlink ref="H4" location="Instructions!C33" display="Back to Instructions tab" xr:uid="{00000000-0004-0000-0900-000000000000}"/>
  </hyperlinks>
  <printOptions horizontalCentered="1"/>
  <pageMargins left="0.25" right="0.25" top="0.75" bottom="0.25" header="0.3" footer="0.3"/>
  <pageSetup scale="75" fitToHeight="3" orientation="landscape" r:id="rId1"/>
  <headerFooter>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N88"/>
  <sheetViews>
    <sheetView showGridLines="0" zoomScale="80" zoomScaleNormal="80" workbookViewId="0">
      <selection activeCell="B13" sqref="B13:L16"/>
    </sheetView>
  </sheetViews>
  <sheetFormatPr defaultColWidth="9" defaultRowHeight="16.5" x14ac:dyDescent="0.3"/>
  <cols>
    <col min="1" max="1" width="3.625" style="108" customWidth="1"/>
    <col min="2" max="2" width="28.875" style="108" customWidth="1"/>
    <col min="3" max="3" width="38" style="108" customWidth="1"/>
    <col min="4" max="6" width="17.125" style="108" customWidth="1"/>
    <col min="7" max="11" width="9" style="108"/>
    <col min="12" max="12" width="8" style="108" customWidth="1"/>
    <col min="13" max="13" width="3.875" style="108" customWidth="1"/>
    <col min="14" max="14" width="2.875" style="108" customWidth="1"/>
    <col min="15" max="16384" width="9" style="108"/>
  </cols>
  <sheetData>
    <row r="1" spans="2:14" ht="17.25" thickBot="1" x14ac:dyDescent="0.35">
      <c r="N1" s="109"/>
    </row>
    <row r="2" spans="2:14" ht="18" thickBot="1" x14ac:dyDescent="0.35">
      <c r="B2" s="1537" t="s">
        <v>228</v>
      </c>
      <c r="C2" s="1538"/>
      <c r="D2" s="217"/>
      <c r="E2" s="217"/>
      <c r="F2" s="217"/>
      <c r="N2" s="109"/>
    </row>
    <row r="3" spans="2:14" ht="17.25" customHeight="1" x14ac:dyDescent="0.3">
      <c r="B3" s="221" t="s">
        <v>229</v>
      </c>
      <c r="C3" s="222" t="str">
        <f>'Version Control'!C3</f>
        <v>Consumer Boiler</v>
      </c>
      <c r="D3" s="1890"/>
      <c r="E3" s="1890"/>
      <c r="F3" s="1890"/>
      <c r="N3" s="109"/>
    </row>
    <row r="4" spans="2:14" x14ac:dyDescent="0.3">
      <c r="B4" s="223" t="s">
        <v>117</v>
      </c>
      <c r="C4" s="224" t="str">
        <f>'Version Control'!C4</f>
        <v>v2.1</v>
      </c>
      <c r="D4" s="218"/>
      <c r="E4" s="218"/>
      <c r="F4" s="218"/>
      <c r="H4" s="1891" t="s">
        <v>124</v>
      </c>
      <c r="I4" s="1891"/>
      <c r="J4" s="1891"/>
      <c r="N4" s="109"/>
    </row>
    <row r="5" spans="2:14" x14ac:dyDescent="0.3">
      <c r="B5" s="223" t="s">
        <v>118</v>
      </c>
      <c r="C5" s="225">
        <f>'Version Control'!C5</f>
        <v>45407</v>
      </c>
      <c r="D5" s="219"/>
      <c r="E5" s="218"/>
      <c r="F5" s="218"/>
      <c r="N5" s="109"/>
    </row>
    <row r="6" spans="2:14" x14ac:dyDescent="0.3">
      <c r="B6" s="226" t="s">
        <v>116</v>
      </c>
      <c r="C6" s="227" t="str">
        <f ca="1">MID(CELL("filename",A1), FIND("]", CELL("filename", A1))+ 1, 255)</f>
        <v>Comments</v>
      </c>
      <c r="D6" s="220"/>
      <c r="E6" s="218"/>
      <c r="F6" s="218"/>
      <c r="N6" s="109"/>
    </row>
    <row r="7" spans="2:14" x14ac:dyDescent="0.3">
      <c r="B7" s="228" t="s">
        <v>115</v>
      </c>
      <c r="C7" s="214" t="str">
        <f ca="1">'Version Control'!C7</f>
        <v>Consumer Boiler - v2.1.xlsx</v>
      </c>
      <c r="D7" s="220"/>
      <c r="E7" s="218"/>
      <c r="F7" s="218"/>
      <c r="N7" s="109"/>
    </row>
    <row r="8" spans="2:14" ht="17.25" thickBot="1" x14ac:dyDescent="0.35">
      <c r="B8" s="229" t="s">
        <v>119</v>
      </c>
      <c r="C8" s="230" t="str">
        <f>'Version Control'!C8</f>
        <v>[MM/DD/YYYY]</v>
      </c>
      <c r="D8" s="204"/>
      <c r="E8" s="205"/>
      <c r="F8" s="205"/>
      <c r="N8" s="109"/>
    </row>
    <row r="9" spans="2:14" x14ac:dyDescent="0.3">
      <c r="N9" s="109"/>
    </row>
    <row r="10" spans="2:14" ht="17.25" thickBot="1" x14ac:dyDescent="0.35">
      <c r="N10" s="109"/>
    </row>
    <row r="11" spans="2:14" ht="18" thickBot="1" x14ac:dyDescent="0.35">
      <c r="B11" s="1887" t="s">
        <v>1233</v>
      </c>
      <c r="C11" s="1888"/>
      <c r="D11" s="1888"/>
      <c r="E11" s="1888"/>
      <c r="F11" s="1888"/>
      <c r="G11" s="1888"/>
      <c r="H11" s="1888"/>
      <c r="I11" s="1888"/>
      <c r="J11" s="1888"/>
      <c r="K11" s="1888"/>
      <c r="L11" s="1889"/>
      <c r="M11" s="110"/>
      <c r="N11" s="109"/>
    </row>
    <row r="12" spans="2:14" x14ac:dyDescent="0.3">
      <c r="B12" s="1123"/>
      <c r="C12" s="1124"/>
      <c r="D12" s="1124"/>
      <c r="E12" s="1124"/>
      <c r="F12" s="1124"/>
      <c r="G12" s="1124"/>
      <c r="H12" s="1124"/>
      <c r="I12" s="1124"/>
      <c r="J12" s="1124"/>
      <c r="K12" s="1124"/>
      <c r="L12" s="1125"/>
      <c r="M12" s="112"/>
      <c r="N12" s="109"/>
    </row>
    <row r="13" spans="2:14" x14ac:dyDescent="0.3">
      <c r="B13" s="1881"/>
      <c r="C13" s="1882"/>
      <c r="D13" s="1882"/>
      <c r="E13" s="1882"/>
      <c r="F13" s="1882"/>
      <c r="G13" s="1882"/>
      <c r="H13" s="1882"/>
      <c r="I13" s="1882"/>
      <c r="J13" s="1882"/>
      <c r="K13" s="1882"/>
      <c r="L13" s="1883"/>
      <c r="M13" s="112"/>
      <c r="N13" s="109"/>
    </row>
    <row r="14" spans="2:14" x14ac:dyDescent="0.3">
      <c r="B14" s="1567"/>
      <c r="C14" s="1568"/>
      <c r="D14" s="1568"/>
      <c r="E14" s="1568"/>
      <c r="F14" s="1568"/>
      <c r="G14" s="1568"/>
      <c r="H14" s="1568"/>
      <c r="I14" s="1568"/>
      <c r="J14" s="1568"/>
      <c r="K14" s="1568"/>
      <c r="L14" s="1569"/>
      <c r="M14" s="112"/>
      <c r="N14" s="109"/>
    </row>
    <row r="15" spans="2:14" x14ac:dyDescent="0.3">
      <c r="B15" s="1567"/>
      <c r="C15" s="1568"/>
      <c r="D15" s="1568"/>
      <c r="E15" s="1568"/>
      <c r="F15" s="1568"/>
      <c r="G15" s="1568"/>
      <c r="H15" s="1568"/>
      <c r="I15" s="1568"/>
      <c r="J15" s="1568"/>
      <c r="K15" s="1568"/>
      <c r="L15" s="1569"/>
      <c r="M15" s="112"/>
      <c r="N15" s="109"/>
    </row>
    <row r="16" spans="2:14" x14ac:dyDescent="0.3">
      <c r="B16" s="1884"/>
      <c r="C16" s="1885"/>
      <c r="D16" s="1885"/>
      <c r="E16" s="1885"/>
      <c r="F16" s="1885"/>
      <c r="G16" s="1885"/>
      <c r="H16" s="1885"/>
      <c r="I16" s="1885"/>
      <c r="J16" s="1885"/>
      <c r="K16" s="1885"/>
      <c r="L16" s="1886"/>
      <c r="M16" s="112"/>
      <c r="N16" s="109"/>
    </row>
    <row r="17" spans="2:14" x14ac:dyDescent="0.3">
      <c r="B17" s="114"/>
      <c r="C17" s="115"/>
      <c r="D17" s="115"/>
      <c r="E17" s="115"/>
      <c r="F17" s="115"/>
      <c r="G17" s="115"/>
      <c r="H17" s="115"/>
      <c r="I17" s="115"/>
      <c r="J17" s="115"/>
      <c r="K17" s="115"/>
      <c r="L17" s="116"/>
      <c r="M17" s="112"/>
      <c r="N17" s="109"/>
    </row>
    <row r="18" spans="2:14" x14ac:dyDescent="0.3">
      <c r="B18" s="1881"/>
      <c r="C18" s="1882"/>
      <c r="D18" s="1882"/>
      <c r="E18" s="1882"/>
      <c r="F18" s="1882"/>
      <c r="G18" s="1882"/>
      <c r="H18" s="1882"/>
      <c r="I18" s="1882"/>
      <c r="J18" s="1882"/>
      <c r="K18" s="1882"/>
      <c r="L18" s="1883"/>
      <c r="M18" s="112"/>
      <c r="N18" s="109"/>
    </row>
    <row r="19" spans="2:14" x14ac:dyDescent="0.3">
      <c r="B19" s="1567"/>
      <c r="C19" s="1568"/>
      <c r="D19" s="1568"/>
      <c r="E19" s="1568"/>
      <c r="F19" s="1568"/>
      <c r="G19" s="1568"/>
      <c r="H19" s="1568"/>
      <c r="I19" s="1568"/>
      <c r="J19" s="1568"/>
      <c r="K19" s="1568"/>
      <c r="L19" s="1569"/>
      <c r="M19" s="112"/>
      <c r="N19" s="109"/>
    </row>
    <row r="20" spans="2:14" x14ac:dyDescent="0.3">
      <c r="B20" s="1567"/>
      <c r="C20" s="1568"/>
      <c r="D20" s="1568"/>
      <c r="E20" s="1568"/>
      <c r="F20" s="1568"/>
      <c r="G20" s="1568"/>
      <c r="H20" s="1568"/>
      <c r="I20" s="1568"/>
      <c r="J20" s="1568"/>
      <c r="K20" s="1568"/>
      <c r="L20" s="1569"/>
      <c r="M20" s="112"/>
      <c r="N20" s="109"/>
    </row>
    <row r="21" spans="2:14" x14ac:dyDescent="0.3">
      <c r="B21" s="1884"/>
      <c r="C21" s="1885"/>
      <c r="D21" s="1885"/>
      <c r="E21" s="1885"/>
      <c r="F21" s="1885"/>
      <c r="G21" s="1885"/>
      <c r="H21" s="1885"/>
      <c r="I21" s="1885"/>
      <c r="J21" s="1885"/>
      <c r="K21" s="1885"/>
      <c r="L21" s="1886"/>
      <c r="M21" s="112"/>
      <c r="N21" s="109"/>
    </row>
    <row r="22" spans="2:14" x14ac:dyDescent="0.3">
      <c r="B22" s="114"/>
      <c r="C22" s="115"/>
      <c r="D22" s="115"/>
      <c r="E22" s="115"/>
      <c r="F22" s="115"/>
      <c r="G22" s="115"/>
      <c r="H22" s="115"/>
      <c r="I22" s="115"/>
      <c r="J22" s="115"/>
      <c r="K22" s="115"/>
      <c r="L22" s="116"/>
      <c r="M22" s="112"/>
      <c r="N22" s="109"/>
    </row>
    <row r="23" spans="2:14" x14ac:dyDescent="0.3">
      <c r="B23" s="1881"/>
      <c r="C23" s="1882"/>
      <c r="D23" s="1882"/>
      <c r="E23" s="1882"/>
      <c r="F23" s="1882"/>
      <c r="G23" s="1882"/>
      <c r="H23" s="1882"/>
      <c r="I23" s="1882"/>
      <c r="J23" s="1882"/>
      <c r="K23" s="1882"/>
      <c r="L23" s="1883"/>
      <c r="M23" s="112"/>
      <c r="N23" s="109"/>
    </row>
    <row r="24" spans="2:14" x14ac:dyDescent="0.3">
      <c r="B24" s="1567"/>
      <c r="C24" s="1568"/>
      <c r="D24" s="1568"/>
      <c r="E24" s="1568"/>
      <c r="F24" s="1568"/>
      <c r="G24" s="1568"/>
      <c r="H24" s="1568"/>
      <c r="I24" s="1568"/>
      <c r="J24" s="1568"/>
      <c r="K24" s="1568"/>
      <c r="L24" s="1569"/>
      <c r="M24" s="112"/>
      <c r="N24" s="109"/>
    </row>
    <row r="25" spans="2:14" x14ac:dyDescent="0.3">
      <c r="B25" s="1567"/>
      <c r="C25" s="1568"/>
      <c r="D25" s="1568"/>
      <c r="E25" s="1568"/>
      <c r="F25" s="1568"/>
      <c r="G25" s="1568"/>
      <c r="H25" s="1568"/>
      <c r="I25" s="1568"/>
      <c r="J25" s="1568"/>
      <c r="K25" s="1568"/>
      <c r="L25" s="1569"/>
      <c r="M25" s="112"/>
      <c r="N25" s="109"/>
    </row>
    <row r="26" spans="2:14" x14ac:dyDescent="0.3">
      <c r="B26" s="1884"/>
      <c r="C26" s="1885"/>
      <c r="D26" s="1885"/>
      <c r="E26" s="1885"/>
      <c r="F26" s="1885"/>
      <c r="G26" s="1885"/>
      <c r="H26" s="1885"/>
      <c r="I26" s="1885"/>
      <c r="J26" s="1885"/>
      <c r="K26" s="1885"/>
      <c r="L26" s="1886"/>
      <c r="M26" s="112"/>
      <c r="N26" s="109"/>
    </row>
    <row r="27" spans="2:14" x14ac:dyDescent="0.3">
      <c r="B27" s="114"/>
      <c r="C27" s="115"/>
      <c r="D27" s="115"/>
      <c r="E27" s="115"/>
      <c r="F27" s="115"/>
      <c r="G27" s="115"/>
      <c r="H27" s="115"/>
      <c r="I27" s="115"/>
      <c r="J27" s="115"/>
      <c r="K27" s="115"/>
      <c r="L27" s="116"/>
      <c r="M27" s="112"/>
      <c r="N27" s="109"/>
    </row>
    <row r="28" spans="2:14" x14ac:dyDescent="0.3">
      <c r="B28" s="1881"/>
      <c r="C28" s="1882"/>
      <c r="D28" s="1882"/>
      <c r="E28" s="1882"/>
      <c r="F28" s="1882"/>
      <c r="G28" s="1882"/>
      <c r="H28" s="1882"/>
      <c r="I28" s="1882"/>
      <c r="J28" s="1882"/>
      <c r="K28" s="1882"/>
      <c r="L28" s="1883"/>
      <c r="M28" s="112"/>
      <c r="N28" s="109"/>
    </row>
    <row r="29" spans="2:14" x14ac:dyDescent="0.3">
      <c r="B29" s="1567"/>
      <c r="C29" s="1568"/>
      <c r="D29" s="1568"/>
      <c r="E29" s="1568"/>
      <c r="F29" s="1568"/>
      <c r="G29" s="1568"/>
      <c r="H29" s="1568"/>
      <c r="I29" s="1568"/>
      <c r="J29" s="1568"/>
      <c r="K29" s="1568"/>
      <c r="L29" s="1569"/>
      <c r="M29" s="112"/>
      <c r="N29" s="109"/>
    </row>
    <row r="30" spans="2:14" x14ac:dyDescent="0.3">
      <c r="B30" s="1567"/>
      <c r="C30" s="1568"/>
      <c r="D30" s="1568"/>
      <c r="E30" s="1568"/>
      <c r="F30" s="1568"/>
      <c r="G30" s="1568"/>
      <c r="H30" s="1568"/>
      <c r="I30" s="1568"/>
      <c r="J30" s="1568"/>
      <c r="K30" s="1568"/>
      <c r="L30" s="1569"/>
      <c r="M30" s="112"/>
      <c r="N30" s="109"/>
    </row>
    <row r="31" spans="2:14" x14ac:dyDescent="0.3">
      <c r="B31" s="1884"/>
      <c r="C31" s="1885"/>
      <c r="D31" s="1885"/>
      <c r="E31" s="1885"/>
      <c r="F31" s="1885"/>
      <c r="G31" s="1885"/>
      <c r="H31" s="1885"/>
      <c r="I31" s="1885"/>
      <c r="J31" s="1885"/>
      <c r="K31" s="1885"/>
      <c r="L31" s="1886"/>
      <c r="M31" s="112"/>
      <c r="N31" s="109"/>
    </row>
    <row r="32" spans="2:14" x14ac:dyDescent="0.3">
      <c r="B32" s="114"/>
      <c r="C32" s="115"/>
      <c r="D32" s="115"/>
      <c r="E32" s="115"/>
      <c r="F32" s="115"/>
      <c r="G32" s="115"/>
      <c r="H32" s="115"/>
      <c r="I32" s="115"/>
      <c r="J32" s="115"/>
      <c r="K32" s="115"/>
      <c r="L32" s="116"/>
      <c r="M32" s="112"/>
      <c r="N32" s="109"/>
    </row>
    <row r="33" spans="2:14" x14ac:dyDescent="0.3">
      <c r="B33" s="1881"/>
      <c r="C33" s="1882"/>
      <c r="D33" s="1882"/>
      <c r="E33" s="1882"/>
      <c r="F33" s="1882"/>
      <c r="G33" s="1882"/>
      <c r="H33" s="1882"/>
      <c r="I33" s="1882"/>
      <c r="J33" s="1882"/>
      <c r="K33" s="1882"/>
      <c r="L33" s="1883"/>
      <c r="M33" s="112"/>
      <c r="N33" s="109"/>
    </row>
    <row r="34" spans="2:14" x14ac:dyDescent="0.3">
      <c r="B34" s="1567"/>
      <c r="C34" s="1568"/>
      <c r="D34" s="1568"/>
      <c r="E34" s="1568"/>
      <c r="F34" s="1568"/>
      <c r="G34" s="1568"/>
      <c r="H34" s="1568"/>
      <c r="I34" s="1568"/>
      <c r="J34" s="1568"/>
      <c r="K34" s="1568"/>
      <c r="L34" s="1569"/>
      <c r="M34" s="112"/>
      <c r="N34" s="109"/>
    </row>
    <row r="35" spans="2:14" x14ac:dyDescent="0.3">
      <c r="B35" s="1567"/>
      <c r="C35" s="1568"/>
      <c r="D35" s="1568"/>
      <c r="E35" s="1568"/>
      <c r="F35" s="1568"/>
      <c r="G35" s="1568"/>
      <c r="H35" s="1568"/>
      <c r="I35" s="1568"/>
      <c r="J35" s="1568"/>
      <c r="K35" s="1568"/>
      <c r="L35" s="1569"/>
      <c r="M35" s="112"/>
      <c r="N35" s="109"/>
    </row>
    <row r="36" spans="2:14" x14ac:dyDescent="0.3">
      <c r="B36" s="1884"/>
      <c r="C36" s="1885"/>
      <c r="D36" s="1885"/>
      <c r="E36" s="1885"/>
      <c r="F36" s="1885"/>
      <c r="G36" s="1885"/>
      <c r="H36" s="1885"/>
      <c r="I36" s="1885"/>
      <c r="J36" s="1885"/>
      <c r="K36" s="1885"/>
      <c r="L36" s="1886"/>
      <c r="M36" s="112"/>
      <c r="N36" s="109"/>
    </row>
    <row r="37" spans="2:14" x14ac:dyDescent="0.3">
      <c r="B37" s="114"/>
      <c r="C37" s="115"/>
      <c r="D37" s="115"/>
      <c r="E37" s="115"/>
      <c r="F37" s="115"/>
      <c r="G37" s="115"/>
      <c r="H37" s="115"/>
      <c r="I37" s="115"/>
      <c r="J37" s="115"/>
      <c r="K37" s="115"/>
      <c r="L37" s="116"/>
      <c r="M37" s="112"/>
      <c r="N37" s="109"/>
    </row>
    <row r="38" spans="2:14" x14ac:dyDescent="0.3">
      <c r="B38" s="1881"/>
      <c r="C38" s="1882"/>
      <c r="D38" s="1882"/>
      <c r="E38" s="1882"/>
      <c r="F38" s="1882"/>
      <c r="G38" s="1882"/>
      <c r="H38" s="1882"/>
      <c r="I38" s="1882"/>
      <c r="J38" s="1882"/>
      <c r="K38" s="1882"/>
      <c r="L38" s="1883"/>
      <c r="M38" s="112"/>
      <c r="N38" s="109"/>
    </row>
    <row r="39" spans="2:14" x14ac:dyDescent="0.3">
      <c r="B39" s="1567"/>
      <c r="C39" s="1568"/>
      <c r="D39" s="1568"/>
      <c r="E39" s="1568"/>
      <c r="F39" s="1568"/>
      <c r="G39" s="1568"/>
      <c r="H39" s="1568"/>
      <c r="I39" s="1568"/>
      <c r="J39" s="1568"/>
      <c r="K39" s="1568"/>
      <c r="L39" s="1569"/>
      <c r="M39" s="112"/>
      <c r="N39" s="109"/>
    </row>
    <row r="40" spans="2:14" x14ac:dyDescent="0.3">
      <c r="B40" s="1567"/>
      <c r="C40" s="1568"/>
      <c r="D40" s="1568"/>
      <c r="E40" s="1568"/>
      <c r="F40" s="1568"/>
      <c r="G40" s="1568"/>
      <c r="H40" s="1568"/>
      <c r="I40" s="1568"/>
      <c r="J40" s="1568"/>
      <c r="K40" s="1568"/>
      <c r="L40" s="1569"/>
      <c r="M40" s="112"/>
      <c r="N40" s="109"/>
    </row>
    <row r="41" spans="2:14" x14ac:dyDescent="0.3">
      <c r="B41" s="1884"/>
      <c r="C41" s="1885"/>
      <c r="D41" s="1885"/>
      <c r="E41" s="1885"/>
      <c r="F41" s="1885"/>
      <c r="G41" s="1885"/>
      <c r="H41" s="1885"/>
      <c r="I41" s="1885"/>
      <c r="J41" s="1885"/>
      <c r="K41" s="1885"/>
      <c r="L41" s="1886"/>
      <c r="M41" s="112"/>
      <c r="N41" s="109"/>
    </row>
    <row r="42" spans="2:14" x14ac:dyDescent="0.3">
      <c r="B42" s="114"/>
      <c r="C42" s="115"/>
      <c r="D42" s="115"/>
      <c r="E42" s="115"/>
      <c r="F42" s="115"/>
      <c r="G42" s="115"/>
      <c r="H42" s="115"/>
      <c r="I42" s="115"/>
      <c r="J42" s="115"/>
      <c r="K42" s="115"/>
      <c r="L42" s="116"/>
      <c r="M42" s="112"/>
      <c r="N42" s="109"/>
    </row>
    <row r="43" spans="2:14" x14ac:dyDescent="0.3">
      <c r="B43" s="1881"/>
      <c r="C43" s="1882"/>
      <c r="D43" s="1882"/>
      <c r="E43" s="1882"/>
      <c r="F43" s="1882"/>
      <c r="G43" s="1882"/>
      <c r="H43" s="1882"/>
      <c r="I43" s="1882"/>
      <c r="J43" s="1882"/>
      <c r="K43" s="1882"/>
      <c r="L43" s="1883"/>
      <c r="M43" s="112"/>
      <c r="N43" s="109"/>
    </row>
    <row r="44" spans="2:14" x14ac:dyDescent="0.3">
      <c r="B44" s="1567"/>
      <c r="C44" s="1568"/>
      <c r="D44" s="1568"/>
      <c r="E44" s="1568"/>
      <c r="F44" s="1568"/>
      <c r="G44" s="1568"/>
      <c r="H44" s="1568"/>
      <c r="I44" s="1568"/>
      <c r="J44" s="1568"/>
      <c r="K44" s="1568"/>
      <c r="L44" s="1569"/>
      <c r="M44" s="112"/>
      <c r="N44" s="109"/>
    </row>
    <row r="45" spans="2:14" x14ac:dyDescent="0.3">
      <c r="B45" s="1567"/>
      <c r="C45" s="1568"/>
      <c r="D45" s="1568"/>
      <c r="E45" s="1568"/>
      <c r="F45" s="1568"/>
      <c r="G45" s="1568"/>
      <c r="H45" s="1568"/>
      <c r="I45" s="1568"/>
      <c r="J45" s="1568"/>
      <c r="K45" s="1568"/>
      <c r="L45" s="1569"/>
      <c r="M45" s="112"/>
      <c r="N45" s="109"/>
    </row>
    <row r="46" spans="2:14" x14ac:dyDescent="0.3">
      <c r="B46" s="1884"/>
      <c r="C46" s="1885"/>
      <c r="D46" s="1885"/>
      <c r="E46" s="1885"/>
      <c r="F46" s="1885"/>
      <c r="G46" s="1885"/>
      <c r="H46" s="1885"/>
      <c r="I46" s="1885"/>
      <c r="J46" s="1885"/>
      <c r="K46" s="1885"/>
      <c r="L46" s="1886"/>
      <c r="M46" s="112"/>
      <c r="N46" s="109"/>
    </row>
    <row r="47" spans="2:14" x14ac:dyDescent="0.3">
      <c r="B47" s="114"/>
      <c r="C47" s="115"/>
      <c r="D47" s="115"/>
      <c r="E47" s="115"/>
      <c r="F47" s="115"/>
      <c r="G47" s="115"/>
      <c r="H47" s="115"/>
      <c r="I47" s="115"/>
      <c r="J47" s="115"/>
      <c r="K47" s="115"/>
      <c r="L47" s="116"/>
      <c r="M47" s="112"/>
      <c r="N47" s="109"/>
    </row>
    <row r="48" spans="2:14" x14ac:dyDescent="0.3">
      <c r="B48" s="1881"/>
      <c r="C48" s="1882"/>
      <c r="D48" s="1882"/>
      <c r="E48" s="1882"/>
      <c r="F48" s="1882"/>
      <c r="G48" s="1882"/>
      <c r="H48" s="1882"/>
      <c r="I48" s="1882"/>
      <c r="J48" s="1882"/>
      <c r="K48" s="1882"/>
      <c r="L48" s="1883"/>
      <c r="M48" s="112"/>
      <c r="N48" s="109"/>
    </row>
    <row r="49" spans="2:14" x14ac:dyDescent="0.3">
      <c r="B49" s="1567"/>
      <c r="C49" s="1568"/>
      <c r="D49" s="1568"/>
      <c r="E49" s="1568"/>
      <c r="F49" s="1568"/>
      <c r="G49" s="1568"/>
      <c r="H49" s="1568"/>
      <c r="I49" s="1568"/>
      <c r="J49" s="1568"/>
      <c r="K49" s="1568"/>
      <c r="L49" s="1569"/>
      <c r="M49" s="112"/>
      <c r="N49" s="109"/>
    </row>
    <row r="50" spans="2:14" x14ac:dyDescent="0.3">
      <c r="B50" s="1567"/>
      <c r="C50" s="1568"/>
      <c r="D50" s="1568"/>
      <c r="E50" s="1568"/>
      <c r="F50" s="1568"/>
      <c r="G50" s="1568"/>
      <c r="H50" s="1568"/>
      <c r="I50" s="1568"/>
      <c r="J50" s="1568"/>
      <c r="K50" s="1568"/>
      <c r="L50" s="1569"/>
      <c r="M50" s="112"/>
      <c r="N50" s="109"/>
    </row>
    <row r="51" spans="2:14" x14ac:dyDescent="0.3">
      <c r="B51" s="1884"/>
      <c r="C51" s="1885"/>
      <c r="D51" s="1885"/>
      <c r="E51" s="1885"/>
      <c r="F51" s="1885"/>
      <c r="G51" s="1885"/>
      <c r="H51" s="1885"/>
      <c r="I51" s="1885"/>
      <c r="J51" s="1885"/>
      <c r="K51" s="1885"/>
      <c r="L51" s="1886"/>
      <c r="M51" s="112"/>
      <c r="N51" s="109"/>
    </row>
    <row r="52" spans="2:14" x14ac:dyDescent="0.3">
      <c r="B52" s="111"/>
      <c r="C52" s="112"/>
      <c r="D52" s="112"/>
      <c r="E52" s="112"/>
      <c r="F52" s="112"/>
      <c r="G52" s="112"/>
      <c r="H52" s="112"/>
      <c r="I52" s="112"/>
      <c r="J52" s="112"/>
      <c r="K52" s="112"/>
      <c r="L52" s="113"/>
      <c r="M52" s="112"/>
      <c r="N52" s="109"/>
    </row>
    <row r="53" spans="2:14" x14ac:dyDescent="0.3">
      <c r="B53" s="1881"/>
      <c r="C53" s="1882"/>
      <c r="D53" s="1882"/>
      <c r="E53" s="1882"/>
      <c r="F53" s="1882"/>
      <c r="G53" s="1882"/>
      <c r="H53" s="1882"/>
      <c r="I53" s="1882"/>
      <c r="J53" s="1882"/>
      <c r="K53" s="1882"/>
      <c r="L53" s="1883"/>
      <c r="N53" s="109"/>
    </row>
    <row r="54" spans="2:14" x14ac:dyDescent="0.3">
      <c r="B54" s="1567"/>
      <c r="C54" s="1568"/>
      <c r="D54" s="1568"/>
      <c r="E54" s="1568"/>
      <c r="F54" s="1568"/>
      <c r="G54" s="1568"/>
      <c r="H54" s="1568"/>
      <c r="I54" s="1568"/>
      <c r="J54" s="1568"/>
      <c r="K54" s="1568"/>
      <c r="L54" s="1569"/>
      <c r="N54" s="109"/>
    </row>
    <row r="55" spans="2:14" x14ac:dyDescent="0.3">
      <c r="B55" s="1567"/>
      <c r="C55" s="1568"/>
      <c r="D55" s="1568"/>
      <c r="E55" s="1568"/>
      <c r="F55" s="1568"/>
      <c r="G55" s="1568"/>
      <c r="H55" s="1568"/>
      <c r="I55" s="1568"/>
      <c r="J55" s="1568"/>
      <c r="K55" s="1568"/>
      <c r="L55" s="1569"/>
      <c r="N55" s="109"/>
    </row>
    <row r="56" spans="2:14" x14ac:dyDescent="0.3">
      <c r="B56" s="1884"/>
      <c r="C56" s="1885"/>
      <c r="D56" s="1885"/>
      <c r="E56" s="1885"/>
      <c r="F56" s="1885"/>
      <c r="G56" s="1885"/>
      <c r="H56" s="1885"/>
      <c r="I56" s="1885"/>
      <c r="J56" s="1885"/>
      <c r="K56" s="1885"/>
      <c r="L56" s="1886"/>
      <c r="N56" s="109"/>
    </row>
    <row r="57" spans="2:14" x14ac:dyDescent="0.3">
      <c r="B57" s="111"/>
      <c r="C57" s="112"/>
      <c r="D57" s="112"/>
      <c r="E57" s="112"/>
      <c r="F57" s="112"/>
      <c r="G57" s="112"/>
      <c r="H57" s="112"/>
      <c r="I57" s="112"/>
      <c r="J57" s="112"/>
      <c r="K57" s="112"/>
      <c r="L57" s="113"/>
      <c r="N57" s="109"/>
    </row>
    <row r="58" spans="2:14" x14ac:dyDescent="0.3">
      <c r="B58" s="1881"/>
      <c r="C58" s="1882"/>
      <c r="D58" s="1882"/>
      <c r="E58" s="1882"/>
      <c r="F58" s="1882"/>
      <c r="G58" s="1882"/>
      <c r="H58" s="1882"/>
      <c r="I58" s="1882"/>
      <c r="J58" s="1882"/>
      <c r="K58" s="1882"/>
      <c r="L58" s="1883"/>
      <c r="N58" s="109"/>
    </row>
    <row r="59" spans="2:14" x14ac:dyDescent="0.3">
      <c r="B59" s="1567"/>
      <c r="C59" s="1568"/>
      <c r="D59" s="1568"/>
      <c r="E59" s="1568"/>
      <c r="F59" s="1568"/>
      <c r="G59" s="1568"/>
      <c r="H59" s="1568"/>
      <c r="I59" s="1568"/>
      <c r="J59" s="1568"/>
      <c r="K59" s="1568"/>
      <c r="L59" s="1569"/>
      <c r="N59" s="109"/>
    </row>
    <row r="60" spans="2:14" x14ac:dyDescent="0.3">
      <c r="B60" s="1567"/>
      <c r="C60" s="1568"/>
      <c r="D60" s="1568"/>
      <c r="E60" s="1568"/>
      <c r="F60" s="1568"/>
      <c r="G60" s="1568"/>
      <c r="H60" s="1568"/>
      <c r="I60" s="1568"/>
      <c r="J60" s="1568"/>
      <c r="K60" s="1568"/>
      <c r="L60" s="1569"/>
      <c r="N60" s="109"/>
    </row>
    <row r="61" spans="2:14" x14ac:dyDescent="0.3">
      <c r="B61" s="1884"/>
      <c r="C61" s="1885"/>
      <c r="D61" s="1885"/>
      <c r="E61" s="1885"/>
      <c r="F61" s="1885"/>
      <c r="G61" s="1885"/>
      <c r="H61" s="1885"/>
      <c r="I61" s="1885"/>
      <c r="J61" s="1885"/>
      <c r="K61" s="1885"/>
      <c r="L61" s="1886"/>
      <c r="N61" s="109"/>
    </row>
    <row r="62" spans="2:14" x14ac:dyDescent="0.3">
      <c r="B62" s="111"/>
      <c r="C62" s="112"/>
      <c r="D62" s="112"/>
      <c r="E62" s="112"/>
      <c r="F62" s="112"/>
      <c r="G62" s="112"/>
      <c r="H62" s="112"/>
      <c r="I62" s="112"/>
      <c r="J62" s="112"/>
      <c r="K62" s="112"/>
      <c r="L62" s="113"/>
      <c r="N62" s="109"/>
    </row>
    <row r="63" spans="2:14" x14ac:dyDescent="0.3">
      <c r="B63" s="1881"/>
      <c r="C63" s="1882"/>
      <c r="D63" s="1882"/>
      <c r="E63" s="1882"/>
      <c r="F63" s="1882"/>
      <c r="G63" s="1882"/>
      <c r="H63" s="1882"/>
      <c r="I63" s="1882"/>
      <c r="J63" s="1882"/>
      <c r="K63" s="1882"/>
      <c r="L63" s="1883"/>
      <c r="N63" s="109"/>
    </row>
    <row r="64" spans="2:14" x14ac:dyDescent="0.3">
      <c r="B64" s="1567"/>
      <c r="C64" s="1568"/>
      <c r="D64" s="1568"/>
      <c r="E64" s="1568"/>
      <c r="F64" s="1568"/>
      <c r="G64" s="1568"/>
      <c r="H64" s="1568"/>
      <c r="I64" s="1568"/>
      <c r="J64" s="1568"/>
      <c r="K64" s="1568"/>
      <c r="L64" s="1569"/>
      <c r="N64" s="109"/>
    </row>
    <row r="65" spans="2:14" x14ac:dyDescent="0.3">
      <c r="B65" s="1567"/>
      <c r="C65" s="1568"/>
      <c r="D65" s="1568"/>
      <c r="E65" s="1568"/>
      <c r="F65" s="1568"/>
      <c r="G65" s="1568"/>
      <c r="H65" s="1568"/>
      <c r="I65" s="1568"/>
      <c r="J65" s="1568"/>
      <c r="K65" s="1568"/>
      <c r="L65" s="1569"/>
      <c r="N65" s="109"/>
    </row>
    <row r="66" spans="2:14" x14ac:dyDescent="0.3">
      <c r="B66" s="1884"/>
      <c r="C66" s="1885"/>
      <c r="D66" s="1885"/>
      <c r="E66" s="1885"/>
      <c r="F66" s="1885"/>
      <c r="G66" s="1885"/>
      <c r="H66" s="1885"/>
      <c r="I66" s="1885"/>
      <c r="J66" s="1885"/>
      <c r="K66" s="1885"/>
      <c r="L66" s="1886"/>
      <c r="N66" s="109"/>
    </row>
    <row r="67" spans="2:14" x14ac:dyDescent="0.3">
      <c r="B67" s="111"/>
      <c r="C67" s="112"/>
      <c r="D67" s="112"/>
      <c r="E67" s="112"/>
      <c r="F67" s="112"/>
      <c r="G67" s="112"/>
      <c r="H67" s="112"/>
      <c r="I67" s="112"/>
      <c r="J67" s="112"/>
      <c r="K67" s="112"/>
      <c r="L67" s="113"/>
      <c r="N67" s="109"/>
    </row>
    <row r="68" spans="2:14" x14ac:dyDescent="0.3">
      <c r="B68" s="1881"/>
      <c r="C68" s="1882"/>
      <c r="D68" s="1882"/>
      <c r="E68" s="1882"/>
      <c r="F68" s="1882"/>
      <c r="G68" s="1882"/>
      <c r="H68" s="1882"/>
      <c r="I68" s="1882"/>
      <c r="J68" s="1882"/>
      <c r="K68" s="1882"/>
      <c r="L68" s="1883"/>
      <c r="N68" s="109"/>
    </row>
    <row r="69" spans="2:14" x14ac:dyDescent="0.3">
      <c r="B69" s="1567"/>
      <c r="C69" s="1568"/>
      <c r="D69" s="1568"/>
      <c r="E69" s="1568"/>
      <c r="F69" s="1568"/>
      <c r="G69" s="1568"/>
      <c r="H69" s="1568"/>
      <c r="I69" s="1568"/>
      <c r="J69" s="1568"/>
      <c r="K69" s="1568"/>
      <c r="L69" s="1569"/>
      <c r="N69" s="109"/>
    </row>
    <row r="70" spans="2:14" x14ac:dyDescent="0.3">
      <c r="B70" s="1567"/>
      <c r="C70" s="1568"/>
      <c r="D70" s="1568"/>
      <c r="E70" s="1568"/>
      <c r="F70" s="1568"/>
      <c r="G70" s="1568"/>
      <c r="H70" s="1568"/>
      <c r="I70" s="1568"/>
      <c r="J70" s="1568"/>
      <c r="K70" s="1568"/>
      <c r="L70" s="1569"/>
      <c r="N70" s="109"/>
    </row>
    <row r="71" spans="2:14" x14ac:dyDescent="0.3">
      <c r="B71" s="1884"/>
      <c r="C71" s="1885"/>
      <c r="D71" s="1885"/>
      <c r="E71" s="1885"/>
      <c r="F71" s="1885"/>
      <c r="G71" s="1885"/>
      <c r="H71" s="1885"/>
      <c r="I71" s="1885"/>
      <c r="J71" s="1885"/>
      <c r="K71" s="1885"/>
      <c r="L71" s="1886"/>
      <c r="N71" s="109"/>
    </row>
    <row r="72" spans="2:14" x14ac:dyDescent="0.3">
      <c r="B72" s="111"/>
      <c r="C72" s="112"/>
      <c r="D72" s="112"/>
      <c r="E72" s="112"/>
      <c r="F72" s="112"/>
      <c r="G72" s="112"/>
      <c r="H72" s="112"/>
      <c r="I72" s="112"/>
      <c r="J72" s="112"/>
      <c r="K72" s="112"/>
      <c r="L72" s="113"/>
      <c r="N72" s="109"/>
    </row>
    <row r="73" spans="2:14" x14ac:dyDescent="0.3">
      <c r="B73" s="1881"/>
      <c r="C73" s="1882"/>
      <c r="D73" s="1882"/>
      <c r="E73" s="1882"/>
      <c r="F73" s="1882"/>
      <c r="G73" s="1882"/>
      <c r="H73" s="1882"/>
      <c r="I73" s="1882"/>
      <c r="J73" s="1882"/>
      <c r="K73" s="1882"/>
      <c r="L73" s="1883"/>
      <c r="N73" s="109"/>
    </row>
    <row r="74" spans="2:14" x14ac:dyDescent="0.3">
      <c r="B74" s="1567"/>
      <c r="C74" s="1568"/>
      <c r="D74" s="1568"/>
      <c r="E74" s="1568"/>
      <c r="F74" s="1568"/>
      <c r="G74" s="1568"/>
      <c r="H74" s="1568"/>
      <c r="I74" s="1568"/>
      <c r="J74" s="1568"/>
      <c r="K74" s="1568"/>
      <c r="L74" s="1569"/>
      <c r="N74" s="109"/>
    </row>
    <row r="75" spans="2:14" x14ac:dyDescent="0.3">
      <c r="B75" s="1567"/>
      <c r="C75" s="1568"/>
      <c r="D75" s="1568"/>
      <c r="E75" s="1568"/>
      <c r="F75" s="1568"/>
      <c r="G75" s="1568"/>
      <c r="H75" s="1568"/>
      <c r="I75" s="1568"/>
      <c r="J75" s="1568"/>
      <c r="K75" s="1568"/>
      <c r="L75" s="1569"/>
      <c r="N75" s="109"/>
    </row>
    <row r="76" spans="2:14" x14ac:dyDescent="0.3">
      <c r="B76" s="1884"/>
      <c r="C76" s="1885"/>
      <c r="D76" s="1885"/>
      <c r="E76" s="1885"/>
      <c r="F76" s="1885"/>
      <c r="G76" s="1885"/>
      <c r="H76" s="1885"/>
      <c r="I76" s="1885"/>
      <c r="J76" s="1885"/>
      <c r="K76" s="1885"/>
      <c r="L76" s="1886"/>
      <c r="N76" s="109"/>
    </row>
    <row r="77" spans="2:14" x14ac:dyDescent="0.3">
      <c r="B77" s="111"/>
      <c r="C77" s="112"/>
      <c r="D77" s="112"/>
      <c r="E77" s="112"/>
      <c r="F77" s="112"/>
      <c r="G77" s="112"/>
      <c r="H77" s="112"/>
      <c r="I77" s="112"/>
      <c r="J77" s="112"/>
      <c r="K77" s="112"/>
      <c r="L77" s="113"/>
      <c r="N77" s="109"/>
    </row>
    <row r="78" spans="2:14" x14ac:dyDescent="0.3">
      <c r="B78" s="1881"/>
      <c r="C78" s="1882"/>
      <c r="D78" s="1882"/>
      <c r="E78" s="1882"/>
      <c r="F78" s="1882"/>
      <c r="G78" s="1882"/>
      <c r="H78" s="1882"/>
      <c r="I78" s="1882"/>
      <c r="J78" s="1882"/>
      <c r="K78" s="1882"/>
      <c r="L78" s="1883"/>
      <c r="N78" s="109"/>
    </row>
    <row r="79" spans="2:14" x14ac:dyDescent="0.3">
      <c r="B79" s="1567"/>
      <c r="C79" s="1568"/>
      <c r="D79" s="1568"/>
      <c r="E79" s="1568"/>
      <c r="F79" s="1568"/>
      <c r="G79" s="1568"/>
      <c r="H79" s="1568"/>
      <c r="I79" s="1568"/>
      <c r="J79" s="1568"/>
      <c r="K79" s="1568"/>
      <c r="L79" s="1569"/>
      <c r="N79" s="109"/>
    </row>
    <row r="80" spans="2:14" x14ac:dyDescent="0.3">
      <c r="B80" s="1567"/>
      <c r="C80" s="1568"/>
      <c r="D80" s="1568"/>
      <c r="E80" s="1568"/>
      <c r="F80" s="1568"/>
      <c r="G80" s="1568"/>
      <c r="H80" s="1568"/>
      <c r="I80" s="1568"/>
      <c r="J80" s="1568"/>
      <c r="K80" s="1568"/>
      <c r="L80" s="1569"/>
      <c r="N80" s="109"/>
    </row>
    <row r="81" spans="1:14" x14ac:dyDescent="0.3">
      <c r="B81" s="1884"/>
      <c r="C81" s="1885"/>
      <c r="D81" s="1885"/>
      <c r="E81" s="1885"/>
      <c r="F81" s="1885"/>
      <c r="G81" s="1885"/>
      <c r="H81" s="1885"/>
      <c r="I81" s="1885"/>
      <c r="J81" s="1885"/>
      <c r="K81" s="1885"/>
      <c r="L81" s="1886"/>
      <c r="N81" s="109"/>
    </row>
    <row r="82" spans="1:14" x14ac:dyDescent="0.3">
      <c r="B82" s="111"/>
      <c r="C82" s="112"/>
      <c r="D82" s="112"/>
      <c r="E82" s="112"/>
      <c r="F82" s="112"/>
      <c r="G82" s="112"/>
      <c r="H82" s="112"/>
      <c r="I82" s="112"/>
      <c r="J82" s="112"/>
      <c r="K82" s="112"/>
      <c r="L82" s="113"/>
      <c r="N82" s="109"/>
    </row>
    <row r="83" spans="1:14" x14ac:dyDescent="0.3">
      <c r="B83" s="1881"/>
      <c r="C83" s="1882"/>
      <c r="D83" s="1882"/>
      <c r="E83" s="1882"/>
      <c r="F83" s="1882"/>
      <c r="G83" s="1882"/>
      <c r="H83" s="1882"/>
      <c r="I83" s="1882"/>
      <c r="J83" s="1882"/>
      <c r="K83" s="1882"/>
      <c r="L83" s="1883"/>
      <c r="N83" s="109"/>
    </row>
    <row r="84" spans="1:14" x14ac:dyDescent="0.3">
      <c r="B84" s="1567"/>
      <c r="C84" s="1568"/>
      <c r="D84" s="1568"/>
      <c r="E84" s="1568"/>
      <c r="F84" s="1568"/>
      <c r="G84" s="1568"/>
      <c r="H84" s="1568"/>
      <c r="I84" s="1568"/>
      <c r="J84" s="1568"/>
      <c r="K84" s="1568"/>
      <c r="L84" s="1569"/>
      <c r="N84" s="109"/>
    </row>
    <row r="85" spans="1:14" x14ac:dyDescent="0.3">
      <c r="B85" s="1567"/>
      <c r="C85" s="1568"/>
      <c r="D85" s="1568"/>
      <c r="E85" s="1568"/>
      <c r="F85" s="1568"/>
      <c r="G85" s="1568"/>
      <c r="H85" s="1568"/>
      <c r="I85" s="1568"/>
      <c r="J85" s="1568"/>
      <c r="K85" s="1568"/>
      <c r="L85" s="1569"/>
      <c r="N85" s="109"/>
    </row>
    <row r="86" spans="1:14" ht="17.25" thickBot="1" x14ac:dyDescent="0.35">
      <c r="B86" s="1570"/>
      <c r="C86" s="1571"/>
      <c r="D86" s="1571"/>
      <c r="E86" s="1571"/>
      <c r="F86" s="1571"/>
      <c r="G86" s="1571"/>
      <c r="H86" s="1571"/>
      <c r="I86" s="1571"/>
      <c r="J86" s="1571"/>
      <c r="K86" s="1571"/>
      <c r="L86" s="1572"/>
      <c r="N86" s="109"/>
    </row>
    <row r="87" spans="1:14" x14ac:dyDescent="0.3">
      <c r="N87" s="109"/>
    </row>
    <row r="88" spans="1:14" x14ac:dyDescent="0.3">
      <c r="A88" s="109"/>
      <c r="B88" s="109"/>
      <c r="C88" s="109"/>
      <c r="D88" s="109"/>
      <c r="E88" s="109"/>
      <c r="F88" s="109"/>
      <c r="G88" s="109"/>
      <c r="H88" s="109"/>
      <c r="I88" s="109"/>
      <c r="J88" s="109"/>
      <c r="K88" s="109"/>
      <c r="L88" s="109"/>
      <c r="M88" s="109"/>
      <c r="N88" s="109"/>
    </row>
  </sheetData>
  <sheetProtection algorithmName="SHA-512" hashValue="cqZWwN0ZLNBeX3SznvsUqUXn3U33sqsVXd7vPZ70pkRjqTECXEe+plfrn76ut5/BzWjYr9sBdRV7sUqCT/BM6w==" saltValue="bB4maqEj2eBrIcOuZG5mig==" spinCount="100000" sheet="1" selectLockedCells="1"/>
  <mergeCells count="19">
    <mergeCell ref="B78:L81"/>
    <mergeCell ref="B83:L86"/>
    <mergeCell ref="B53:L56"/>
    <mergeCell ref="B58:L61"/>
    <mergeCell ref="B63:L66"/>
    <mergeCell ref="B68:L71"/>
    <mergeCell ref="B73:L76"/>
    <mergeCell ref="B2:C2"/>
    <mergeCell ref="B48:L51"/>
    <mergeCell ref="B11:L11"/>
    <mergeCell ref="B13:L16"/>
    <mergeCell ref="B18:L21"/>
    <mergeCell ref="B23:L26"/>
    <mergeCell ref="B28:L31"/>
    <mergeCell ref="D3:F3"/>
    <mergeCell ref="H4:J4"/>
    <mergeCell ref="B33:L36"/>
    <mergeCell ref="B38:L41"/>
    <mergeCell ref="B43:L46"/>
  </mergeCells>
  <phoneticPr fontId="28" type="noConversion"/>
  <hyperlinks>
    <hyperlink ref="H4" location="Instructions!C33" display="Back to Instructions tab" xr:uid="{00000000-0004-0000-0B00-00000000000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70C0"/>
  </sheetPr>
  <dimension ref="A1:G20"/>
  <sheetViews>
    <sheetView showGridLines="0" zoomScale="80" zoomScaleNormal="80" workbookViewId="0">
      <selection activeCell="E15" sqref="E15"/>
    </sheetView>
  </sheetViews>
  <sheetFormatPr defaultColWidth="9" defaultRowHeight="16.5" x14ac:dyDescent="0.3"/>
  <cols>
    <col min="1" max="1" width="3.625" style="172" customWidth="1"/>
    <col min="2" max="2" width="28.5" style="172" customWidth="1"/>
    <col min="3" max="3" width="35.875" style="172" customWidth="1"/>
    <col min="4" max="4" width="17.5" style="172" customWidth="1"/>
    <col min="5" max="5" width="39.625" style="172" customWidth="1"/>
    <col min="6" max="6" width="3.875" style="172" customWidth="1"/>
    <col min="7" max="7" width="3.375" style="172" customWidth="1"/>
    <col min="8" max="16384" width="9" style="172"/>
  </cols>
  <sheetData>
    <row r="1" spans="1:7" ht="17.25" customHeight="1" thickBot="1" x14ac:dyDescent="0.35">
      <c r="G1" s="173"/>
    </row>
    <row r="2" spans="1:7" ht="18" thickBot="1" x14ac:dyDescent="0.35">
      <c r="B2" s="1510" t="s">
        <v>228</v>
      </c>
      <c r="C2" s="1511"/>
      <c r="G2" s="173"/>
    </row>
    <row r="3" spans="1:7" x14ac:dyDescent="0.3">
      <c r="B3" s="206" t="s">
        <v>229</v>
      </c>
      <c r="C3" s="207" t="str">
        <f>'Version Control'!C3</f>
        <v>Consumer Boiler</v>
      </c>
      <c r="G3" s="173"/>
    </row>
    <row r="4" spans="1:7" ht="18" x14ac:dyDescent="0.35">
      <c r="B4" s="208" t="s">
        <v>117</v>
      </c>
      <c r="C4" s="209" t="str">
        <f>'Version Control'!C4</f>
        <v>v2.1</v>
      </c>
      <c r="E4" s="174" t="s">
        <v>124</v>
      </c>
      <c r="G4" s="173"/>
    </row>
    <row r="5" spans="1:7" x14ac:dyDescent="0.3">
      <c r="B5" s="208" t="s">
        <v>118</v>
      </c>
      <c r="C5" s="210">
        <f>'Version Control'!C5</f>
        <v>45407</v>
      </c>
      <c r="G5" s="173"/>
    </row>
    <row r="6" spans="1:7" x14ac:dyDescent="0.3">
      <c r="B6" s="211" t="s">
        <v>116</v>
      </c>
      <c r="C6" s="212" t="str">
        <f ca="1">MID(CELL("filename",A1), FIND("]", CELL("filename", A1))+ 1, 255)</f>
        <v>Report Sign-Off Block</v>
      </c>
      <c r="G6" s="173"/>
    </row>
    <row r="7" spans="1:7" x14ac:dyDescent="0.3">
      <c r="B7" s="213" t="s">
        <v>115</v>
      </c>
      <c r="C7" s="214" t="str">
        <f ca="1">'Version Control'!C7</f>
        <v>Consumer Boiler - v2.1.xlsx</v>
      </c>
      <c r="G7" s="173"/>
    </row>
    <row r="8" spans="1:7" ht="17.25" thickBot="1" x14ac:dyDescent="0.35">
      <c r="B8" s="215" t="s">
        <v>119</v>
      </c>
      <c r="C8" s="216" t="str">
        <f>'Version Control'!C8</f>
        <v>[MM/DD/YYYY]</v>
      </c>
      <c r="G8" s="173"/>
    </row>
    <row r="9" spans="1:7" x14ac:dyDescent="0.3">
      <c r="G9" s="173"/>
    </row>
    <row r="10" spans="1:7" ht="17.25" thickBot="1" x14ac:dyDescent="0.35">
      <c r="G10" s="173"/>
    </row>
    <row r="11" spans="1:7" ht="18" thickBot="1" x14ac:dyDescent="0.35">
      <c r="A11" s="175"/>
      <c r="B11" s="1892" t="s">
        <v>127</v>
      </c>
      <c r="C11" s="1893"/>
      <c r="D11" s="1893"/>
      <c r="E11" s="1894"/>
      <c r="G11" s="173"/>
    </row>
    <row r="12" spans="1:7" ht="25.5" customHeight="1" x14ac:dyDescent="0.3">
      <c r="A12" s="175"/>
      <c r="B12" s="1895" t="s">
        <v>128</v>
      </c>
      <c r="C12" s="1896"/>
      <c r="D12" s="1896"/>
      <c r="E12" s="1897"/>
      <c r="G12" s="173"/>
    </row>
    <row r="13" spans="1:7" ht="30" customHeight="1" x14ac:dyDescent="0.3">
      <c r="A13" s="175"/>
      <c r="B13" s="1898"/>
      <c r="C13" s="1899"/>
      <c r="D13" s="1899"/>
      <c r="E13" s="1900"/>
      <c r="G13" s="173"/>
    </row>
    <row r="14" spans="1:7" ht="17.25" x14ac:dyDescent="0.35">
      <c r="A14" s="175"/>
      <c r="B14" s="1546" t="s">
        <v>129</v>
      </c>
      <c r="C14" s="1547"/>
      <c r="D14" s="78" t="s">
        <v>122</v>
      </c>
      <c r="E14" s="79" t="s">
        <v>130</v>
      </c>
      <c r="G14" s="173"/>
    </row>
    <row r="15" spans="1:7" x14ac:dyDescent="0.3">
      <c r="A15" s="175"/>
      <c r="B15" s="1548" t="s">
        <v>131</v>
      </c>
      <c r="C15" s="1549"/>
      <c r="D15" s="80" t="str">
        <f>'General Info &amp; Test Results'!C17</f>
        <v>[MM/DD/YYYY]</v>
      </c>
      <c r="E15" s="471" t="s">
        <v>132</v>
      </c>
      <c r="G15" s="173"/>
    </row>
    <row r="16" spans="1:7" x14ac:dyDescent="0.3">
      <c r="A16" s="175"/>
      <c r="B16" s="1548" t="s">
        <v>133</v>
      </c>
      <c r="C16" s="1549"/>
      <c r="D16" s="81" t="s">
        <v>123</v>
      </c>
      <c r="E16" s="471" t="s">
        <v>132</v>
      </c>
      <c r="G16" s="173"/>
    </row>
    <row r="17" spans="1:7" x14ac:dyDescent="0.3">
      <c r="A17" s="175"/>
      <c r="B17" s="1548" t="s">
        <v>134</v>
      </c>
      <c r="C17" s="1549"/>
      <c r="D17" s="81" t="s">
        <v>123</v>
      </c>
      <c r="E17" s="471" t="s">
        <v>132</v>
      </c>
      <c r="G17" s="173"/>
    </row>
    <row r="18" spans="1:7" ht="17.25" thickBot="1" x14ac:dyDescent="0.35">
      <c r="A18" s="175"/>
      <c r="B18" s="1550" t="s">
        <v>134</v>
      </c>
      <c r="C18" s="1551"/>
      <c r="D18" s="82" t="s">
        <v>123</v>
      </c>
      <c r="E18" s="1146" t="s">
        <v>132</v>
      </c>
      <c r="G18" s="173"/>
    </row>
    <row r="19" spans="1:7" x14ac:dyDescent="0.3">
      <c r="G19" s="173"/>
    </row>
    <row r="20" spans="1:7" x14ac:dyDescent="0.3">
      <c r="A20" s="173"/>
      <c r="B20" s="173"/>
      <c r="C20" s="173"/>
      <c r="D20" s="173"/>
      <c r="E20" s="173"/>
      <c r="F20" s="173"/>
      <c r="G20" s="173"/>
    </row>
  </sheetData>
  <sheetProtection algorithmName="SHA-512" hashValue="pCE1MeKVeanrRqqcGBzyTyc780LYOFhDJ+nYqAmnkDES0V1PkRlutNLV97s0XYOulJmkzHMRfBnZzIfOK/u4GA==" saltValue="uuFTodH10lYopbNMN2NKxA==" spinCount="100000" sheet="1" objects="1" scenarios="1" selectLockedCells="1"/>
  <mergeCells count="8">
    <mergeCell ref="B2:C2"/>
    <mergeCell ref="B18:C18"/>
    <mergeCell ref="B11:E11"/>
    <mergeCell ref="B12:E13"/>
    <mergeCell ref="B14:C14"/>
    <mergeCell ref="B15:C15"/>
    <mergeCell ref="B16:C16"/>
    <mergeCell ref="B17:C17"/>
  </mergeCells>
  <phoneticPr fontId="28" type="noConversion"/>
  <hyperlinks>
    <hyperlink ref="E4" location="Instructions!C33" display="Back to Instructions tab" xr:uid="{00000000-0004-0000-0C00-000000000000}"/>
  </hyperlinks>
  <pageMargins left="0.7" right="0.7" top="0.75" bottom="0.75" header="0.3" footer="0.3"/>
  <pageSetup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R267"/>
  <sheetViews>
    <sheetView showGridLines="0" zoomScale="80" zoomScaleNormal="80" workbookViewId="0">
      <selection activeCell="H4" sqref="H4"/>
    </sheetView>
  </sheetViews>
  <sheetFormatPr defaultColWidth="9" defaultRowHeight="16.5" x14ac:dyDescent="0.3"/>
  <cols>
    <col min="1" max="1" width="3.625" style="10" customWidth="1"/>
    <col min="2" max="2" width="37.625" style="10" customWidth="1"/>
    <col min="3" max="3" width="36.875" style="10" customWidth="1"/>
    <col min="4" max="4" width="22.375" style="10" customWidth="1"/>
    <col min="5" max="5" width="24.875" style="10" customWidth="1"/>
    <col min="6" max="6" width="13.625" style="10" customWidth="1"/>
    <col min="7" max="7" width="17.625" style="10" customWidth="1"/>
    <col min="8" max="8" width="23.875" style="10" bestFit="1" customWidth="1"/>
    <col min="9" max="9" width="31" style="10" customWidth="1"/>
    <col min="10" max="10" width="19.375" style="10" customWidth="1"/>
    <col min="11" max="11" width="24.375" style="10" customWidth="1"/>
    <col min="12" max="12" width="17.5" style="10" customWidth="1"/>
    <col min="13" max="13" width="20" style="10" customWidth="1"/>
    <col min="14" max="14" width="11.375" style="10" customWidth="1"/>
    <col min="15" max="15" width="13.125" style="10" bestFit="1" customWidth="1"/>
    <col min="16" max="17" width="9" style="10"/>
    <col min="18" max="18" width="2.875" style="10" customWidth="1"/>
    <col min="19" max="16384" width="9" style="10"/>
  </cols>
  <sheetData>
    <row r="1" spans="1:18" ht="17.25" customHeight="1" thickBot="1" x14ac:dyDescent="0.35">
      <c r="R1" s="185"/>
    </row>
    <row r="2" spans="1:18" ht="18" thickBot="1" x14ac:dyDescent="0.35">
      <c r="B2" s="1510" t="s">
        <v>228</v>
      </c>
      <c r="C2" s="1511"/>
      <c r="D2" s="217"/>
      <c r="E2" s="217"/>
      <c r="R2" s="185"/>
    </row>
    <row r="3" spans="1:18" x14ac:dyDescent="0.3">
      <c r="B3" s="206" t="s">
        <v>229</v>
      </c>
      <c r="C3" s="207" t="str">
        <f>'Version Control'!C3</f>
        <v>Consumer Boiler</v>
      </c>
      <c r="D3" s="218"/>
      <c r="E3" s="218"/>
      <c r="R3" s="185"/>
    </row>
    <row r="4" spans="1:18" ht="18" x14ac:dyDescent="0.35">
      <c r="B4" s="208" t="s">
        <v>117</v>
      </c>
      <c r="C4" s="209" t="str">
        <f>'Version Control'!C4</f>
        <v>v2.1</v>
      </c>
      <c r="D4" s="218"/>
      <c r="E4" s="218"/>
      <c r="H4" s="174" t="s">
        <v>124</v>
      </c>
      <c r="R4" s="185"/>
    </row>
    <row r="5" spans="1:18" x14ac:dyDescent="0.3">
      <c r="B5" s="208" t="s">
        <v>118</v>
      </c>
      <c r="C5" s="210">
        <f>'Version Control'!C5</f>
        <v>45407</v>
      </c>
      <c r="D5" s="218"/>
      <c r="E5" s="218"/>
      <c r="R5" s="185"/>
    </row>
    <row r="6" spans="1:18" x14ac:dyDescent="0.3">
      <c r="B6" s="211" t="s">
        <v>116</v>
      </c>
      <c r="C6" s="212" t="str">
        <f ca="1">MID(CELL("filename",A1), FIND("]", CELL("filename", A1))+ 1, 255)</f>
        <v>Drop-Downs and Tables</v>
      </c>
      <c r="D6" s="218"/>
      <c r="E6" s="218"/>
      <c r="R6" s="185"/>
    </row>
    <row r="7" spans="1:18" x14ac:dyDescent="0.3">
      <c r="B7" s="213" t="s">
        <v>115</v>
      </c>
      <c r="C7" s="214" t="str">
        <f ca="1">'Version Control'!C7</f>
        <v>Consumer Boiler - v2.1.xlsx</v>
      </c>
      <c r="D7" s="218"/>
      <c r="E7" s="218"/>
      <c r="R7" s="185"/>
    </row>
    <row r="8" spans="1:18" ht="17.25" thickBot="1" x14ac:dyDescent="0.35">
      <c r="B8" s="215" t="s">
        <v>119</v>
      </c>
      <c r="C8" s="216" t="str">
        <f>'Version Control'!C8</f>
        <v>[MM/DD/YYYY]</v>
      </c>
      <c r="D8" s="205"/>
      <c r="E8" s="205"/>
      <c r="R8" s="185"/>
    </row>
    <row r="9" spans="1:18" ht="17.25" thickBot="1" x14ac:dyDescent="0.35">
      <c r="R9" s="185"/>
    </row>
    <row r="10" spans="1:18" ht="18" thickBot="1" x14ac:dyDescent="0.4">
      <c r="A10" s="647"/>
      <c r="B10" s="648" t="s">
        <v>83</v>
      </c>
      <c r="C10" s="338"/>
      <c r="D10" s="338"/>
      <c r="E10" s="338"/>
      <c r="F10" s="338"/>
      <c r="G10" s="338"/>
      <c r="H10" s="338"/>
      <c r="I10" s="338"/>
      <c r="J10" s="338"/>
      <c r="K10" s="338"/>
      <c r="L10" s="338"/>
      <c r="M10" s="338"/>
      <c r="N10" s="338"/>
      <c r="O10" s="338"/>
      <c r="P10" s="338"/>
      <c r="Q10" s="339"/>
      <c r="R10" s="185"/>
    </row>
    <row r="11" spans="1:18" ht="17.25" x14ac:dyDescent="0.35">
      <c r="B11" s="23"/>
      <c r="R11" s="185"/>
    </row>
    <row r="12" spans="1:18" s="336" customFormat="1" ht="17.25" thickBot="1" x14ac:dyDescent="0.35">
      <c r="B12" s="639" t="s">
        <v>708</v>
      </c>
      <c r="C12" s="336" t="s">
        <v>1306</v>
      </c>
      <c r="D12" s="336" t="s">
        <v>1311</v>
      </c>
      <c r="N12" s="410"/>
      <c r="R12" s="411"/>
    </row>
    <row r="13" spans="1:18" x14ac:dyDescent="0.3">
      <c r="B13" s="644"/>
      <c r="C13" s="24"/>
      <c r="D13" s="24"/>
      <c r="N13" s="11"/>
      <c r="R13" s="185"/>
    </row>
    <row r="14" spans="1:18" x14ac:dyDescent="0.3">
      <c r="B14" s="645" t="s">
        <v>709</v>
      </c>
      <c r="C14" s="27" t="s">
        <v>1307</v>
      </c>
      <c r="D14" s="27" t="s">
        <v>1312</v>
      </c>
      <c r="N14" s="11"/>
      <c r="R14" s="185"/>
    </row>
    <row r="15" spans="1:18" ht="17.25" thickBot="1" x14ac:dyDescent="0.35">
      <c r="B15" s="646" t="s">
        <v>710</v>
      </c>
      <c r="C15" s="27" t="s">
        <v>1308</v>
      </c>
      <c r="D15" s="25" t="s">
        <v>1313</v>
      </c>
      <c r="L15" s="11"/>
      <c r="N15" s="11"/>
      <c r="R15" s="185"/>
    </row>
    <row r="16" spans="1:18" ht="17.25" thickBot="1" x14ac:dyDescent="0.35">
      <c r="B16" s="643"/>
      <c r="C16" s="25" t="s">
        <v>1309</v>
      </c>
      <c r="N16" s="11"/>
      <c r="R16" s="185"/>
    </row>
    <row r="17" spans="2:18" ht="17.25" thickBot="1" x14ac:dyDescent="0.35">
      <c r="B17" s="639" t="s">
        <v>720</v>
      </c>
      <c r="M17" s="11"/>
      <c r="N17" s="11"/>
      <c r="R17" s="185"/>
    </row>
    <row r="18" spans="2:18" x14ac:dyDescent="0.3">
      <c r="B18" s="640"/>
      <c r="M18" s="11"/>
      <c r="N18" s="11"/>
      <c r="R18" s="185"/>
    </row>
    <row r="19" spans="2:18" x14ac:dyDescent="0.3">
      <c r="B19" s="641" t="s">
        <v>18</v>
      </c>
      <c r="M19" s="11"/>
      <c r="N19" s="11"/>
      <c r="R19" s="185"/>
    </row>
    <row r="20" spans="2:18" x14ac:dyDescent="0.3">
      <c r="B20" s="641" t="s">
        <v>366</v>
      </c>
      <c r="N20" s="11"/>
      <c r="R20" s="185"/>
    </row>
    <row r="21" spans="2:18" ht="17.25" thickBot="1" x14ac:dyDescent="0.35">
      <c r="B21" s="642" t="s">
        <v>365</v>
      </c>
      <c r="N21" s="11"/>
      <c r="R21" s="185"/>
    </row>
    <row r="22" spans="2:18" x14ac:dyDescent="0.3">
      <c r="B22" s="643"/>
      <c r="N22" s="11"/>
      <c r="R22" s="185"/>
    </row>
    <row r="23" spans="2:18" ht="17.25" thickBot="1" x14ac:dyDescent="0.35">
      <c r="B23" s="639" t="s">
        <v>17</v>
      </c>
      <c r="L23" s="11"/>
      <c r="R23" s="185"/>
    </row>
    <row r="24" spans="2:18" x14ac:dyDescent="0.3">
      <c r="B24" s="640"/>
      <c r="L24" s="11"/>
      <c r="R24" s="185"/>
    </row>
    <row r="25" spans="2:18" x14ac:dyDescent="0.3">
      <c r="B25" s="641" t="s">
        <v>711</v>
      </c>
      <c r="L25" s="11"/>
      <c r="R25" s="185"/>
    </row>
    <row r="26" spans="2:18" ht="17.25" thickBot="1" x14ac:dyDescent="0.35">
      <c r="B26" s="642" t="s">
        <v>712</v>
      </c>
      <c r="L26" s="11"/>
      <c r="R26" s="185"/>
    </row>
    <row r="27" spans="2:18" x14ac:dyDescent="0.3">
      <c r="B27" s="643"/>
      <c r="L27" s="11"/>
      <c r="R27" s="185"/>
    </row>
    <row r="28" spans="2:18" ht="17.25" thickBot="1" x14ac:dyDescent="0.35">
      <c r="B28" s="639" t="s">
        <v>721</v>
      </c>
      <c r="C28" s="639" t="s">
        <v>730</v>
      </c>
      <c r="L28" s="11"/>
      <c r="R28" s="185"/>
    </row>
    <row r="29" spans="2:18" x14ac:dyDescent="0.3">
      <c r="B29" s="644"/>
      <c r="C29" s="24"/>
      <c r="L29" s="11"/>
      <c r="R29" s="185"/>
    </row>
    <row r="30" spans="2:18" x14ac:dyDescent="0.3">
      <c r="B30" s="645" t="s">
        <v>19</v>
      </c>
      <c r="C30" s="27" t="s">
        <v>40</v>
      </c>
      <c r="L30" s="11"/>
      <c r="R30" s="185"/>
    </row>
    <row r="31" spans="2:18" x14ac:dyDescent="0.3">
      <c r="B31" s="645" t="s">
        <v>713</v>
      </c>
      <c r="C31" s="27" t="s">
        <v>42</v>
      </c>
      <c r="L31" s="11"/>
      <c r="R31" s="185"/>
    </row>
    <row r="32" spans="2:18" ht="17.25" thickBot="1" x14ac:dyDescent="0.35">
      <c r="B32" s="646" t="s">
        <v>363</v>
      </c>
      <c r="C32" s="29" t="s">
        <v>406</v>
      </c>
      <c r="L32" s="11"/>
      <c r="R32" s="185"/>
    </row>
    <row r="33" spans="2:18" x14ac:dyDescent="0.3">
      <c r="B33" s="643"/>
      <c r="C33" s="29" t="s">
        <v>405</v>
      </c>
      <c r="L33" s="11"/>
      <c r="R33" s="185"/>
    </row>
    <row r="34" spans="2:18" x14ac:dyDescent="0.3">
      <c r="B34" s="643"/>
      <c r="C34" s="29" t="s">
        <v>361</v>
      </c>
      <c r="L34" s="11"/>
      <c r="R34" s="185"/>
    </row>
    <row r="35" spans="2:18" x14ac:dyDescent="0.3">
      <c r="B35" s="643"/>
      <c r="C35" s="29" t="s">
        <v>362</v>
      </c>
      <c r="L35" s="11"/>
      <c r="R35" s="185"/>
    </row>
    <row r="36" spans="2:18" ht="17.25" thickBot="1" x14ac:dyDescent="0.35">
      <c r="B36" s="643"/>
      <c r="C36" s="30" t="s">
        <v>363</v>
      </c>
      <c r="L36" s="11"/>
      <c r="R36" s="185"/>
    </row>
    <row r="37" spans="2:18" x14ac:dyDescent="0.3">
      <c r="B37" s="643"/>
      <c r="L37" s="11"/>
      <c r="R37" s="185"/>
    </row>
    <row r="38" spans="2:18" ht="17.25" thickBot="1" x14ac:dyDescent="0.35">
      <c r="B38" s="639" t="s">
        <v>722</v>
      </c>
      <c r="C38" s="336" t="s">
        <v>714</v>
      </c>
      <c r="D38" s="1148"/>
      <c r="E38" s="1149"/>
      <c r="L38" s="11"/>
      <c r="R38" s="185"/>
    </row>
    <row r="39" spans="2:18" x14ac:dyDescent="0.3">
      <c r="B39" s="640"/>
      <c r="C39" s="24"/>
      <c r="D39" s="1149"/>
      <c r="E39" s="1149"/>
      <c r="L39" s="11"/>
      <c r="R39" s="185"/>
    </row>
    <row r="40" spans="2:18" x14ac:dyDescent="0.3">
      <c r="B40" s="641" t="s">
        <v>364</v>
      </c>
      <c r="C40" s="27" t="s">
        <v>705</v>
      </c>
      <c r="D40" s="1149"/>
      <c r="E40" s="1149"/>
      <c r="L40" s="11"/>
      <c r="R40" s="185"/>
    </row>
    <row r="41" spans="2:18" ht="17.25" thickBot="1" x14ac:dyDescent="0.35">
      <c r="B41" s="642" t="s">
        <v>704</v>
      </c>
      <c r="C41" s="27" t="s">
        <v>715</v>
      </c>
      <c r="D41" s="1149"/>
      <c r="E41" s="1149"/>
      <c r="L41" s="11"/>
      <c r="R41" s="185"/>
    </row>
    <row r="42" spans="2:18" x14ac:dyDescent="0.3">
      <c r="C42" s="27" t="s">
        <v>706</v>
      </c>
      <c r="D42" s="1149"/>
      <c r="E42" s="1149"/>
      <c r="L42" s="11"/>
      <c r="R42" s="185"/>
    </row>
    <row r="43" spans="2:18" x14ac:dyDescent="0.3">
      <c r="C43" s="27" t="s">
        <v>707</v>
      </c>
      <c r="L43" s="11"/>
      <c r="R43" s="185"/>
    </row>
    <row r="44" spans="2:18" ht="17.25" thickBot="1" x14ac:dyDescent="0.35">
      <c r="C44" s="25" t="s">
        <v>716</v>
      </c>
      <c r="L44" s="11"/>
      <c r="R44" s="185"/>
    </row>
    <row r="45" spans="2:18" x14ac:dyDescent="0.3">
      <c r="C45" s="11"/>
      <c r="L45" s="11"/>
      <c r="R45" s="185"/>
    </row>
    <row r="46" spans="2:18" ht="17.25" thickBot="1" x14ac:dyDescent="0.35">
      <c r="B46" s="639" t="s">
        <v>731</v>
      </c>
      <c r="C46" s="11"/>
      <c r="L46" s="11"/>
      <c r="R46" s="185"/>
    </row>
    <row r="47" spans="2:18" x14ac:dyDescent="0.3">
      <c r="B47" s="640"/>
      <c r="C47" s="11"/>
      <c r="L47" s="11"/>
      <c r="R47" s="185"/>
    </row>
    <row r="48" spans="2:18" x14ac:dyDescent="0.3">
      <c r="B48" s="641" t="s">
        <v>705</v>
      </c>
      <c r="C48" s="11"/>
      <c r="L48" s="11"/>
      <c r="R48" s="185"/>
    </row>
    <row r="49" spans="2:18" x14ac:dyDescent="0.3">
      <c r="B49" s="641" t="s">
        <v>729</v>
      </c>
      <c r="C49" s="11"/>
      <c r="L49" s="11"/>
      <c r="R49" s="185"/>
    </row>
    <row r="50" spans="2:18" ht="17.25" thickBot="1" x14ac:dyDescent="0.35">
      <c r="B50" s="642" t="s">
        <v>21</v>
      </c>
      <c r="C50" s="11"/>
      <c r="L50" s="11"/>
      <c r="R50" s="185"/>
    </row>
    <row r="51" spans="2:18" x14ac:dyDescent="0.3">
      <c r="C51" s="11"/>
      <c r="L51" s="11"/>
      <c r="R51" s="185"/>
    </row>
    <row r="52" spans="2:18" ht="17.25" thickBot="1" x14ac:dyDescent="0.35">
      <c r="B52" s="639" t="s">
        <v>723</v>
      </c>
      <c r="C52" s="11"/>
      <c r="L52" s="11"/>
      <c r="R52" s="185"/>
    </row>
    <row r="53" spans="2:18" x14ac:dyDescent="0.3">
      <c r="B53" s="24"/>
      <c r="C53" s="11"/>
      <c r="L53" s="11"/>
      <c r="R53" s="185"/>
    </row>
    <row r="54" spans="2:18" x14ac:dyDescent="0.3">
      <c r="B54" s="27" t="s">
        <v>705</v>
      </c>
      <c r="C54" s="11"/>
      <c r="L54" s="11"/>
      <c r="R54" s="185"/>
    </row>
    <row r="55" spans="2:18" x14ac:dyDescent="0.3">
      <c r="B55" s="27" t="s">
        <v>803</v>
      </c>
      <c r="C55" s="11"/>
      <c r="L55" s="11"/>
      <c r="R55" s="185"/>
    </row>
    <row r="56" spans="2:18" ht="17.25" thickBot="1" x14ac:dyDescent="0.35">
      <c r="B56" s="25" t="s">
        <v>724</v>
      </c>
      <c r="C56" s="11"/>
      <c r="L56" s="11"/>
      <c r="R56" s="185"/>
    </row>
    <row r="57" spans="2:18" x14ac:dyDescent="0.3">
      <c r="C57" s="11"/>
      <c r="L57" s="11"/>
      <c r="R57" s="185"/>
    </row>
    <row r="58" spans="2:18" ht="17.25" thickBot="1" x14ac:dyDescent="0.35">
      <c r="B58" s="639" t="s">
        <v>725</v>
      </c>
      <c r="C58" s="11" t="s">
        <v>1114</v>
      </c>
      <c r="L58" s="11"/>
      <c r="R58" s="185"/>
    </row>
    <row r="59" spans="2:18" x14ac:dyDescent="0.3">
      <c r="B59" s="24"/>
      <c r="C59" s="24"/>
      <c r="L59" s="11"/>
      <c r="R59" s="185"/>
    </row>
    <row r="60" spans="2:18" x14ac:dyDescent="0.3">
      <c r="B60" s="29" t="s">
        <v>20</v>
      </c>
      <c r="C60" s="27" t="s">
        <v>204</v>
      </c>
      <c r="L60" s="11"/>
      <c r="R60" s="185"/>
    </row>
    <row r="61" spans="2:18" x14ac:dyDescent="0.3">
      <c r="B61" s="29" t="s">
        <v>321</v>
      </c>
      <c r="C61" s="29" t="s">
        <v>381</v>
      </c>
      <c r="L61" s="11"/>
      <c r="R61" s="185"/>
    </row>
    <row r="62" spans="2:18" ht="17.25" thickBot="1" x14ac:dyDescent="0.35">
      <c r="B62" s="29" t="s">
        <v>381</v>
      </c>
      <c r="C62" s="30" t="s">
        <v>382</v>
      </c>
      <c r="L62" s="11"/>
      <c r="R62" s="185"/>
    </row>
    <row r="63" spans="2:18" x14ac:dyDescent="0.3">
      <c r="B63" s="29" t="s">
        <v>382</v>
      </c>
      <c r="C63" s="11"/>
      <c r="L63" s="11"/>
      <c r="R63" s="185"/>
    </row>
    <row r="64" spans="2:18" ht="17.25" thickBot="1" x14ac:dyDescent="0.35">
      <c r="B64" s="30" t="s">
        <v>312</v>
      </c>
      <c r="C64" s="11"/>
      <c r="L64" s="11"/>
      <c r="R64" s="185"/>
    </row>
    <row r="65" spans="2:18" x14ac:dyDescent="0.3">
      <c r="C65" s="11"/>
      <c r="L65" s="11"/>
      <c r="R65" s="185"/>
    </row>
    <row r="66" spans="2:18" ht="17.25" thickBot="1" x14ac:dyDescent="0.35">
      <c r="B66" s="639" t="s">
        <v>82</v>
      </c>
      <c r="C66" s="11"/>
      <c r="L66" s="11"/>
      <c r="R66" s="185"/>
    </row>
    <row r="67" spans="2:18" x14ac:dyDescent="0.3">
      <c r="B67" s="24"/>
      <c r="C67" s="11"/>
      <c r="L67" s="11"/>
      <c r="R67" s="185"/>
    </row>
    <row r="68" spans="2:18" x14ac:dyDescent="0.3">
      <c r="B68" s="27" t="s">
        <v>20</v>
      </c>
      <c r="C68" s="11"/>
      <c r="L68" s="11"/>
      <c r="R68" s="185"/>
    </row>
    <row r="69" spans="2:18" x14ac:dyDescent="0.3">
      <c r="B69" s="27" t="s">
        <v>717</v>
      </c>
      <c r="C69" s="11"/>
      <c r="L69" s="11"/>
      <c r="R69" s="185"/>
    </row>
    <row r="70" spans="2:18" x14ac:dyDescent="0.3">
      <c r="B70" s="27" t="s">
        <v>718</v>
      </c>
      <c r="C70" s="11"/>
      <c r="L70" s="11"/>
      <c r="R70" s="185"/>
    </row>
    <row r="71" spans="2:18" ht="17.25" thickBot="1" x14ac:dyDescent="0.35">
      <c r="B71" s="25" t="s">
        <v>719</v>
      </c>
      <c r="C71" s="11"/>
      <c r="L71" s="11"/>
      <c r="R71" s="185"/>
    </row>
    <row r="72" spans="2:18" x14ac:dyDescent="0.3">
      <c r="C72" s="11"/>
      <c r="L72" s="11"/>
      <c r="R72" s="185"/>
    </row>
    <row r="73" spans="2:18" ht="17.25" thickBot="1" x14ac:dyDescent="0.35">
      <c r="B73" s="639" t="s">
        <v>26</v>
      </c>
      <c r="C73" s="10" t="s">
        <v>728</v>
      </c>
      <c r="D73" s="639" t="s">
        <v>369</v>
      </c>
      <c r="E73" s="10" t="s">
        <v>1190</v>
      </c>
      <c r="L73" s="11"/>
      <c r="R73" s="185"/>
    </row>
    <row r="74" spans="2:18" x14ac:dyDescent="0.3">
      <c r="B74" s="24"/>
      <c r="C74" s="24"/>
      <c r="D74" s="1228"/>
      <c r="E74" s="24"/>
      <c r="L74" s="11"/>
      <c r="R74" s="185"/>
    </row>
    <row r="75" spans="2:18" x14ac:dyDescent="0.3">
      <c r="B75" s="27" t="s">
        <v>367</v>
      </c>
      <c r="C75" s="27" t="s">
        <v>705</v>
      </c>
      <c r="D75" s="330" t="s">
        <v>367</v>
      </c>
      <c r="E75" s="27" t="s">
        <v>204</v>
      </c>
      <c r="L75" s="11"/>
      <c r="R75" s="185"/>
    </row>
    <row r="76" spans="2:18" ht="17.25" thickBot="1" x14ac:dyDescent="0.35">
      <c r="B76" s="27" t="s">
        <v>368</v>
      </c>
      <c r="C76" s="10" t="s">
        <v>204</v>
      </c>
      <c r="D76" s="28" t="s">
        <v>368</v>
      </c>
      <c r="E76" s="27" t="s">
        <v>1188</v>
      </c>
      <c r="L76" s="11"/>
      <c r="R76" s="185"/>
    </row>
    <row r="77" spans="2:18" ht="17.25" thickBot="1" x14ac:dyDescent="0.35">
      <c r="B77" s="25" t="s">
        <v>407</v>
      </c>
      <c r="C77" s="27" t="s">
        <v>726</v>
      </c>
      <c r="E77" s="27" t="s">
        <v>1189</v>
      </c>
      <c r="L77" s="11"/>
      <c r="R77" s="185"/>
    </row>
    <row r="78" spans="2:18" ht="17.25" thickBot="1" x14ac:dyDescent="0.35">
      <c r="C78" s="25" t="s">
        <v>727</v>
      </c>
      <c r="E78" s="25" t="s">
        <v>368</v>
      </c>
      <c r="L78" s="11"/>
      <c r="R78" s="185"/>
    </row>
    <row r="79" spans="2:18" x14ac:dyDescent="0.3">
      <c r="C79" s="11"/>
      <c r="L79" s="11"/>
      <c r="R79" s="185"/>
    </row>
    <row r="80" spans="2:18" ht="17.25" thickBot="1" x14ac:dyDescent="0.35">
      <c r="B80" s="639" t="s">
        <v>22</v>
      </c>
      <c r="C80" s="11"/>
      <c r="L80" s="11"/>
      <c r="R80" s="185"/>
    </row>
    <row r="81" spans="2:18" x14ac:dyDescent="0.3">
      <c r="B81" s="640"/>
      <c r="C81" s="11"/>
      <c r="L81" s="11"/>
      <c r="R81" s="185"/>
    </row>
    <row r="82" spans="2:18" x14ac:dyDescent="0.3">
      <c r="B82" s="641" t="s">
        <v>23</v>
      </c>
      <c r="C82" s="11"/>
      <c r="L82" s="11"/>
      <c r="R82" s="185"/>
    </row>
    <row r="83" spans="2:18" x14ac:dyDescent="0.3">
      <c r="B83" s="641" t="s">
        <v>24</v>
      </c>
      <c r="C83" s="11"/>
      <c r="L83" s="11"/>
      <c r="R83" s="185"/>
    </row>
    <row r="84" spans="2:18" ht="17.25" thickBot="1" x14ac:dyDescent="0.35">
      <c r="B84" s="642" t="s">
        <v>25</v>
      </c>
      <c r="C84" s="11"/>
      <c r="L84" s="11"/>
      <c r="R84" s="185"/>
    </row>
    <row r="85" spans="2:18" x14ac:dyDescent="0.3">
      <c r="C85" s="11"/>
      <c r="L85" s="11"/>
      <c r="R85" s="185"/>
    </row>
    <row r="86" spans="2:18" ht="17.25" thickBot="1" x14ac:dyDescent="0.35">
      <c r="B86" s="639" t="s">
        <v>218</v>
      </c>
      <c r="C86" s="11"/>
      <c r="L86" s="11"/>
      <c r="R86" s="185"/>
    </row>
    <row r="87" spans="2:18" x14ac:dyDescent="0.3">
      <c r="B87" s="24"/>
      <c r="C87" s="11"/>
      <c r="L87" s="11"/>
      <c r="R87" s="185"/>
    </row>
    <row r="88" spans="2:18" x14ac:dyDescent="0.3">
      <c r="B88" s="29" t="s">
        <v>216</v>
      </c>
      <c r="C88" s="11"/>
      <c r="L88" s="11"/>
      <c r="R88" s="185"/>
    </row>
    <row r="89" spans="2:18" ht="17.25" thickBot="1" x14ac:dyDescent="0.35">
      <c r="B89" s="30" t="s">
        <v>217</v>
      </c>
      <c r="C89" s="11"/>
      <c r="L89" s="11"/>
      <c r="R89" s="185"/>
    </row>
    <row r="90" spans="2:18" x14ac:dyDescent="0.3">
      <c r="C90" s="11"/>
      <c r="L90" s="11"/>
      <c r="R90" s="185"/>
    </row>
    <row r="91" spans="2:18" ht="17.25" thickBot="1" x14ac:dyDescent="0.35">
      <c r="B91" s="639" t="s">
        <v>202</v>
      </c>
      <c r="C91" s="11" t="s">
        <v>1107</v>
      </c>
      <c r="L91" s="11"/>
      <c r="R91" s="185"/>
    </row>
    <row r="92" spans="2:18" x14ac:dyDescent="0.3">
      <c r="B92" s="1228"/>
      <c r="C92" s="24"/>
      <c r="L92" s="11"/>
      <c r="R92" s="185"/>
    </row>
    <row r="93" spans="2:18" x14ac:dyDescent="0.3">
      <c r="B93" s="1229" t="s">
        <v>203</v>
      </c>
      <c r="C93" s="27" t="s">
        <v>1108</v>
      </c>
      <c r="L93" s="11"/>
      <c r="R93" s="185"/>
    </row>
    <row r="94" spans="2:18" ht="17.25" thickBot="1" x14ac:dyDescent="0.35">
      <c r="B94" s="28" t="s">
        <v>204</v>
      </c>
      <c r="C94" s="27" t="s">
        <v>1109</v>
      </c>
      <c r="L94" s="11"/>
      <c r="R94" s="185"/>
    </row>
    <row r="95" spans="2:18" ht="17.25" thickBot="1" x14ac:dyDescent="0.35">
      <c r="C95" s="25" t="s">
        <v>204</v>
      </c>
      <c r="L95" s="11"/>
      <c r="R95" s="185"/>
    </row>
    <row r="96" spans="2:18" ht="17.25" thickBot="1" x14ac:dyDescent="0.35">
      <c r="C96" s="11"/>
      <c r="L96" s="11"/>
      <c r="R96" s="185"/>
    </row>
    <row r="97" spans="1:18" ht="18" thickBot="1" x14ac:dyDescent="0.4">
      <c r="A97" s="647"/>
      <c r="B97" s="648" t="s">
        <v>370</v>
      </c>
      <c r="C97" s="338"/>
      <c r="D97" s="338"/>
      <c r="E97" s="338"/>
      <c r="F97" s="338"/>
      <c r="G97" s="338"/>
      <c r="H97" s="338"/>
      <c r="I97" s="338"/>
      <c r="J97" s="338"/>
      <c r="K97" s="338"/>
      <c r="L97" s="338"/>
      <c r="M97" s="338"/>
      <c r="N97" s="338"/>
      <c r="O97" s="338"/>
      <c r="P97" s="338"/>
      <c r="Q97" s="339"/>
      <c r="R97" s="185"/>
    </row>
    <row r="98" spans="1:18" ht="18" thickBot="1" x14ac:dyDescent="0.4">
      <c r="B98" s="23"/>
      <c r="R98" s="185"/>
    </row>
    <row r="99" spans="1:18" ht="18" thickBot="1" x14ac:dyDescent="0.4">
      <c r="B99" s="189" t="s">
        <v>209</v>
      </c>
      <c r="C99" s="190"/>
      <c r="D99" s="190"/>
      <c r="E99" s="190"/>
      <c r="F99" s="191"/>
      <c r="R99" s="185"/>
    </row>
    <row r="100" spans="1:18" ht="17.25" x14ac:dyDescent="0.35">
      <c r="B100" s="1908" t="s">
        <v>28</v>
      </c>
      <c r="C100" s="1910" t="s">
        <v>213</v>
      </c>
      <c r="D100" s="1912" t="s">
        <v>29</v>
      </c>
      <c r="E100" s="1906" t="s">
        <v>27</v>
      </c>
      <c r="F100" s="1907"/>
      <c r="R100" s="185"/>
    </row>
    <row r="101" spans="1:18" ht="18" thickBot="1" x14ac:dyDescent="0.4">
      <c r="B101" s="1909"/>
      <c r="C101" s="1911"/>
      <c r="D101" s="1913"/>
      <c r="E101" s="364" t="s">
        <v>30</v>
      </c>
      <c r="F101" s="365" t="s">
        <v>31</v>
      </c>
      <c r="R101" s="185"/>
    </row>
    <row r="102" spans="1:18" x14ac:dyDescent="0.3">
      <c r="B102" s="363" t="s">
        <v>40</v>
      </c>
      <c r="C102" s="355">
        <v>1025</v>
      </c>
      <c r="D102" s="366">
        <v>0.65</v>
      </c>
      <c r="E102" s="367">
        <v>7</v>
      </c>
      <c r="F102" s="368">
        <v>10.5</v>
      </c>
      <c r="R102" s="185"/>
    </row>
    <row r="103" spans="1:18" x14ac:dyDescent="0.3">
      <c r="B103" s="1" t="s">
        <v>42</v>
      </c>
      <c r="C103" s="13">
        <v>535</v>
      </c>
      <c r="D103" s="15">
        <v>0.38</v>
      </c>
      <c r="E103" s="14">
        <v>3.5</v>
      </c>
      <c r="F103" s="3">
        <v>5.25</v>
      </c>
      <c r="R103" s="185"/>
    </row>
    <row r="104" spans="1:18" x14ac:dyDescent="0.3">
      <c r="B104" s="4" t="s">
        <v>406</v>
      </c>
      <c r="C104" s="13">
        <v>3175</v>
      </c>
      <c r="D104" s="15">
        <v>2</v>
      </c>
      <c r="E104" s="14">
        <v>11</v>
      </c>
      <c r="F104" s="2">
        <v>13</v>
      </c>
      <c r="R104" s="185"/>
    </row>
    <row r="105" spans="1:18" ht="17.25" thickBot="1" x14ac:dyDescent="0.35">
      <c r="B105" s="5" t="s">
        <v>405</v>
      </c>
      <c r="C105" s="6">
        <v>2500</v>
      </c>
      <c r="D105" s="7">
        <v>1.53</v>
      </c>
      <c r="E105" s="8">
        <v>11</v>
      </c>
      <c r="F105" s="9">
        <v>13</v>
      </c>
      <c r="R105" s="185"/>
    </row>
    <row r="106" spans="1:18" x14ac:dyDescent="0.3">
      <c r="R106" s="185"/>
    </row>
    <row r="107" spans="1:18" ht="17.25" thickBot="1" x14ac:dyDescent="0.35">
      <c r="R107" s="185"/>
    </row>
    <row r="108" spans="1:18" ht="18" thickBot="1" x14ac:dyDescent="0.4">
      <c r="B108" s="189" t="s">
        <v>254</v>
      </c>
      <c r="C108" s="190"/>
      <c r="D108" s="190"/>
      <c r="E108" s="190"/>
      <c r="F108" s="191"/>
      <c r="R108" s="185"/>
    </row>
    <row r="109" spans="1:18" ht="17.25" x14ac:dyDescent="0.3">
      <c r="B109" s="1943" t="s">
        <v>255</v>
      </c>
      <c r="C109" s="1917" t="s">
        <v>258</v>
      </c>
      <c r="D109" s="1919"/>
      <c r="E109" s="1917" t="s">
        <v>259</v>
      </c>
      <c r="F109" s="1918"/>
      <c r="R109" s="185"/>
    </row>
    <row r="110" spans="1:18" ht="18" thickBot="1" x14ac:dyDescent="0.35">
      <c r="B110" s="1944"/>
      <c r="C110" s="337" t="s">
        <v>256</v>
      </c>
      <c r="D110" s="337" t="s">
        <v>257</v>
      </c>
      <c r="E110" s="337" t="s">
        <v>256</v>
      </c>
      <c r="F110" s="358" t="s">
        <v>257</v>
      </c>
      <c r="R110" s="185"/>
    </row>
    <row r="111" spans="1:18" x14ac:dyDescent="0.3">
      <c r="B111" s="363" t="s">
        <v>260</v>
      </c>
      <c r="C111" s="20">
        <v>38</v>
      </c>
      <c r="D111" s="20">
        <v>44</v>
      </c>
      <c r="E111" s="20">
        <v>30</v>
      </c>
      <c r="F111" s="21">
        <v>35</v>
      </c>
      <c r="R111" s="185"/>
    </row>
    <row r="112" spans="1:18" x14ac:dyDescent="0.3">
      <c r="B112" s="1" t="s">
        <v>261</v>
      </c>
      <c r="C112" s="18" t="s">
        <v>175</v>
      </c>
      <c r="D112" s="18" t="s">
        <v>175</v>
      </c>
      <c r="E112" s="18">
        <v>34</v>
      </c>
      <c r="F112" s="16">
        <v>37.9</v>
      </c>
      <c r="R112" s="185"/>
    </row>
    <row r="113" spans="2:18" ht="17.25" thickBot="1" x14ac:dyDescent="0.35">
      <c r="B113" s="346" t="s">
        <v>262</v>
      </c>
      <c r="C113" s="19">
        <v>0.1</v>
      </c>
      <c r="D113" s="19">
        <v>0.15</v>
      </c>
      <c r="E113" s="19">
        <v>0.2</v>
      </c>
      <c r="F113" s="17">
        <v>0.3</v>
      </c>
      <c r="R113" s="185"/>
    </row>
    <row r="114" spans="2:18" s="12" customFormat="1" x14ac:dyDescent="0.3">
      <c r="B114" s="331" t="s">
        <v>263</v>
      </c>
      <c r="C114" s="328"/>
      <c r="D114" s="328"/>
      <c r="E114" s="328"/>
      <c r="F114" s="332"/>
      <c r="R114" s="186"/>
    </row>
    <row r="115" spans="2:18" ht="17.25" thickBot="1" x14ac:dyDescent="0.35">
      <c r="B115" s="28" t="s">
        <v>264</v>
      </c>
      <c r="C115" s="26"/>
      <c r="D115" s="26"/>
      <c r="E115" s="26"/>
      <c r="F115" s="333"/>
      <c r="R115" s="185"/>
    </row>
    <row r="116" spans="2:18" x14ac:dyDescent="0.3">
      <c r="R116" s="185"/>
    </row>
    <row r="117" spans="2:18" ht="17.25" thickBot="1" x14ac:dyDescent="0.35">
      <c r="R117" s="185"/>
    </row>
    <row r="118" spans="2:18" ht="18" thickBot="1" x14ac:dyDescent="0.4">
      <c r="B118" s="189" t="s">
        <v>265</v>
      </c>
      <c r="C118" s="338"/>
      <c r="D118" s="338"/>
      <c r="E118" s="338"/>
      <c r="F118" s="338"/>
      <c r="G118" s="338"/>
      <c r="H118" s="338"/>
      <c r="I118" s="338"/>
      <c r="J118" s="338"/>
      <c r="K118" s="338"/>
      <c r="L118" s="338"/>
      <c r="M118" s="338"/>
      <c r="N118" s="338"/>
      <c r="O118" s="338"/>
      <c r="P118" s="339"/>
      <c r="R118" s="185"/>
    </row>
    <row r="119" spans="2:18" ht="17.25" x14ac:dyDescent="0.3">
      <c r="B119" s="1944" t="s">
        <v>266</v>
      </c>
      <c r="C119" s="1911" t="s">
        <v>271</v>
      </c>
      <c r="D119" s="1911" t="s">
        <v>270</v>
      </c>
      <c r="E119" s="1911" t="s">
        <v>267</v>
      </c>
      <c r="F119" s="1911" t="s">
        <v>272</v>
      </c>
      <c r="G119" s="1902" t="s">
        <v>274</v>
      </c>
      <c r="H119" s="1902"/>
      <c r="I119" s="1902"/>
      <c r="J119" s="1902" t="s">
        <v>275</v>
      </c>
      <c r="K119" s="1902"/>
      <c r="L119" s="1902" t="s">
        <v>276</v>
      </c>
      <c r="M119" s="1902"/>
      <c r="N119" s="195" t="s">
        <v>277</v>
      </c>
      <c r="O119" s="1910" t="s">
        <v>278</v>
      </c>
      <c r="P119" s="196" t="s">
        <v>279</v>
      </c>
      <c r="R119" s="185"/>
    </row>
    <row r="120" spans="2:18" ht="17.25" x14ac:dyDescent="0.3">
      <c r="B120" s="1944"/>
      <c r="C120" s="1920"/>
      <c r="D120" s="1920"/>
      <c r="E120" s="1920"/>
      <c r="F120" s="1920"/>
      <c r="G120" s="1914" t="s">
        <v>268</v>
      </c>
      <c r="H120" s="1914"/>
      <c r="I120" s="1914"/>
      <c r="J120" s="1915" t="s">
        <v>176</v>
      </c>
      <c r="K120" s="1916"/>
      <c r="L120" s="1915" t="s">
        <v>284</v>
      </c>
      <c r="M120" s="1916"/>
      <c r="N120" s="1903" t="s">
        <v>285</v>
      </c>
      <c r="O120" s="1911"/>
      <c r="P120" s="1921" t="s">
        <v>273</v>
      </c>
      <c r="R120" s="185"/>
    </row>
    <row r="121" spans="2:18" ht="17.25" x14ac:dyDescent="0.3">
      <c r="B121" s="1944"/>
      <c r="C121" s="337" t="s">
        <v>268</v>
      </c>
      <c r="D121" s="337" t="s">
        <v>268</v>
      </c>
      <c r="E121" s="337" t="s">
        <v>269</v>
      </c>
      <c r="F121" s="337" t="s">
        <v>273</v>
      </c>
      <c r="G121" s="335" t="s">
        <v>280</v>
      </c>
      <c r="H121" s="1915" t="s">
        <v>281</v>
      </c>
      <c r="I121" s="1916"/>
      <c r="J121" s="1915" t="s">
        <v>282</v>
      </c>
      <c r="K121" s="1916"/>
      <c r="L121" s="1915" t="s">
        <v>283</v>
      </c>
      <c r="M121" s="1916"/>
      <c r="N121" s="1902"/>
      <c r="O121" s="1920"/>
      <c r="P121" s="1922"/>
      <c r="R121" s="185"/>
    </row>
    <row r="122" spans="2:18" ht="18" thickBot="1" x14ac:dyDescent="0.35">
      <c r="B122" s="1944"/>
      <c r="C122" s="337" t="s">
        <v>256</v>
      </c>
      <c r="D122" s="337" t="s">
        <v>257</v>
      </c>
      <c r="E122" s="337" t="s">
        <v>257</v>
      </c>
      <c r="F122" s="337" t="s">
        <v>257</v>
      </c>
      <c r="G122" s="337" t="s">
        <v>256</v>
      </c>
      <c r="H122" s="337" t="s">
        <v>256</v>
      </c>
      <c r="I122" s="337" t="s">
        <v>257</v>
      </c>
      <c r="J122" s="337" t="s">
        <v>256</v>
      </c>
      <c r="K122" s="337" t="s">
        <v>257</v>
      </c>
      <c r="L122" s="337" t="s">
        <v>256</v>
      </c>
      <c r="M122" s="337" t="s">
        <v>257</v>
      </c>
      <c r="N122" s="337" t="s">
        <v>256</v>
      </c>
      <c r="O122" s="337" t="s">
        <v>257</v>
      </c>
      <c r="P122" s="358" t="s">
        <v>257</v>
      </c>
      <c r="R122" s="185"/>
    </row>
    <row r="123" spans="2:18" ht="49.5" x14ac:dyDescent="0.3">
      <c r="B123" s="361" t="s">
        <v>286</v>
      </c>
      <c r="C123" s="20">
        <v>100</v>
      </c>
      <c r="D123" s="20">
        <v>0</v>
      </c>
      <c r="E123" s="20" t="s">
        <v>288</v>
      </c>
      <c r="F123" s="20">
        <v>0.15</v>
      </c>
      <c r="G123" s="20">
        <v>420</v>
      </c>
      <c r="H123" s="20" t="s">
        <v>175</v>
      </c>
      <c r="I123" s="20">
        <v>550</v>
      </c>
      <c r="J123" s="20" t="s">
        <v>175</v>
      </c>
      <c r="K123" s="20" t="s">
        <v>175</v>
      </c>
      <c r="L123" s="20">
        <v>1.4</v>
      </c>
      <c r="M123" s="20">
        <v>2.2000000000000002</v>
      </c>
      <c r="N123" s="20">
        <v>35</v>
      </c>
      <c r="O123" s="20" t="s">
        <v>289</v>
      </c>
      <c r="P123" s="21">
        <v>0.5</v>
      </c>
      <c r="R123" s="185"/>
    </row>
    <row r="124" spans="2:18" ht="50.25" thickBot="1" x14ac:dyDescent="0.35">
      <c r="B124" s="362" t="s">
        <v>287</v>
      </c>
      <c r="C124" s="19">
        <v>100</v>
      </c>
      <c r="D124" s="19">
        <v>20</v>
      </c>
      <c r="E124" s="19">
        <v>0.05</v>
      </c>
      <c r="F124" s="19">
        <v>0.35</v>
      </c>
      <c r="G124" s="19" t="s">
        <v>290</v>
      </c>
      <c r="H124" s="19">
        <v>540</v>
      </c>
      <c r="I124" s="19">
        <v>640</v>
      </c>
      <c r="J124" s="19">
        <v>32.6</v>
      </c>
      <c r="K124" s="19">
        <v>37.93</v>
      </c>
      <c r="L124" s="19">
        <v>2</v>
      </c>
      <c r="M124" s="19">
        <v>3.6</v>
      </c>
      <c r="N124" s="19">
        <v>30</v>
      </c>
      <c r="O124" s="19" t="s">
        <v>175</v>
      </c>
      <c r="P124" s="17">
        <v>0.5</v>
      </c>
      <c r="R124" s="185"/>
    </row>
    <row r="125" spans="2:18" x14ac:dyDescent="0.3">
      <c r="B125" s="330" t="s">
        <v>1299</v>
      </c>
      <c r="C125" s="11"/>
      <c r="D125" s="11"/>
      <c r="E125" s="11"/>
      <c r="F125" s="11"/>
      <c r="G125" s="11"/>
      <c r="H125" s="11"/>
      <c r="I125" s="11"/>
      <c r="J125" s="11"/>
      <c r="K125" s="11"/>
      <c r="L125" s="11"/>
      <c r="M125" s="11"/>
      <c r="N125" s="11"/>
      <c r="O125" s="11"/>
      <c r="P125" s="334"/>
      <c r="R125" s="185"/>
    </row>
    <row r="126" spans="2:18" x14ac:dyDescent="0.3">
      <c r="B126" s="330" t="s">
        <v>291</v>
      </c>
      <c r="C126" s="11"/>
      <c r="D126" s="11"/>
      <c r="E126" s="11"/>
      <c r="F126" s="11"/>
      <c r="G126" s="11"/>
      <c r="H126" s="11"/>
      <c r="I126" s="11"/>
      <c r="J126" s="11"/>
      <c r="K126" s="11"/>
      <c r="L126" s="11"/>
      <c r="M126" s="11"/>
      <c r="N126" s="11"/>
      <c r="O126" s="11"/>
      <c r="P126" s="334"/>
      <c r="R126" s="185"/>
    </row>
    <row r="127" spans="2:18" x14ac:dyDescent="0.3">
      <c r="B127" s="330" t="s">
        <v>292</v>
      </c>
      <c r="C127" s="11"/>
      <c r="D127" s="11"/>
      <c r="E127" s="11"/>
      <c r="F127" s="11"/>
      <c r="G127" s="11"/>
      <c r="H127" s="11"/>
      <c r="I127" s="11"/>
      <c r="J127" s="11"/>
      <c r="K127" s="11"/>
      <c r="L127" s="11"/>
      <c r="M127" s="11"/>
      <c r="N127" s="11"/>
      <c r="O127" s="11"/>
      <c r="P127" s="334"/>
      <c r="R127" s="185"/>
    </row>
    <row r="128" spans="2:18" x14ac:dyDescent="0.3">
      <c r="B128" s="330" t="s">
        <v>293</v>
      </c>
      <c r="C128" s="11"/>
      <c r="D128" s="11"/>
      <c r="E128" s="11"/>
      <c r="F128" s="11"/>
      <c r="G128" s="11"/>
      <c r="H128" s="11"/>
      <c r="I128" s="11"/>
      <c r="J128" s="11"/>
      <c r="K128" s="11"/>
      <c r="L128" s="11"/>
      <c r="M128" s="11"/>
      <c r="N128" s="11"/>
      <c r="O128" s="11"/>
      <c r="P128" s="334"/>
      <c r="R128" s="185"/>
    </row>
    <row r="129" spans="2:18" x14ac:dyDescent="0.3">
      <c r="B129" s="330" t="s">
        <v>1300</v>
      </c>
      <c r="C129" s="11"/>
      <c r="D129" s="11"/>
      <c r="E129" s="11"/>
      <c r="F129" s="11"/>
      <c r="G129" s="11"/>
      <c r="H129" s="11"/>
      <c r="I129" s="11"/>
      <c r="J129" s="11"/>
      <c r="K129" s="11"/>
      <c r="L129" s="11"/>
      <c r="M129" s="11"/>
      <c r="N129" s="11"/>
      <c r="O129" s="11"/>
      <c r="P129" s="334"/>
      <c r="R129" s="185"/>
    </row>
    <row r="130" spans="2:18" x14ac:dyDescent="0.3">
      <c r="B130" s="330" t="s">
        <v>294</v>
      </c>
      <c r="C130" s="11"/>
      <c r="D130" s="11"/>
      <c r="E130" s="11"/>
      <c r="F130" s="11"/>
      <c r="G130" s="11"/>
      <c r="H130" s="11"/>
      <c r="I130" s="11"/>
      <c r="J130" s="11"/>
      <c r="K130" s="11"/>
      <c r="L130" s="11"/>
      <c r="M130" s="11"/>
      <c r="N130" s="11"/>
      <c r="O130" s="11"/>
      <c r="P130" s="334"/>
      <c r="R130" s="185"/>
    </row>
    <row r="131" spans="2:18" ht="17.25" thickBot="1" x14ac:dyDescent="0.35">
      <c r="B131" s="28" t="s">
        <v>295</v>
      </c>
      <c r="C131" s="26"/>
      <c r="D131" s="26"/>
      <c r="E131" s="26"/>
      <c r="F131" s="26"/>
      <c r="G131" s="26"/>
      <c r="H131" s="26"/>
      <c r="I131" s="26"/>
      <c r="J131" s="26"/>
      <c r="K131" s="26"/>
      <c r="L131" s="26"/>
      <c r="M131" s="26"/>
      <c r="N131" s="26"/>
      <c r="O131" s="26"/>
      <c r="P131" s="333"/>
      <c r="R131" s="185"/>
    </row>
    <row r="132" spans="2:18" x14ac:dyDescent="0.3">
      <c r="R132" s="185"/>
    </row>
    <row r="133" spans="2:18" ht="17.25" thickBot="1" x14ac:dyDescent="0.35">
      <c r="R133" s="185"/>
    </row>
    <row r="134" spans="2:18" ht="18" thickBot="1" x14ac:dyDescent="0.4">
      <c r="B134" s="340" t="s">
        <v>299</v>
      </c>
      <c r="C134" s="341"/>
      <c r="D134" s="341"/>
      <c r="E134" s="341"/>
      <c r="F134" s="341"/>
      <c r="G134" s="342"/>
      <c r="R134" s="185"/>
    </row>
    <row r="135" spans="2:18" ht="17.25" x14ac:dyDescent="0.3">
      <c r="B135" s="1930" t="s">
        <v>87</v>
      </c>
      <c r="C135" s="1931"/>
      <c r="D135" s="1920" t="s">
        <v>86</v>
      </c>
      <c r="E135" s="1920"/>
      <c r="F135" s="1920"/>
      <c r="G135" s="1928" t="s">
        <v>97</v>
      </c>
      <c r="R135" s="185"/>
    </row>
    <row r="136" spans="2:18" ht="52.5" thickBot="1" x14ac:dyDescent="0.35">
      <c r="B136" s="351" t="s">
        <v>64</v>
      </c>
      <c r="C136" s="337" t="s">
        <v>65</v>
      </c>
      <c r="D136" s="352" t="s">
        <v>296</v>
      </c>
      <c r="E136" s="352" t="s">
        <v>297</v>
      </c>
      <c r="F136" s="352" t="s">
        <v>298</v>
      </c>
      <c r="G136" s="1929"/>
      <c r="R136" s="185"/>
    </row>
    <row r="137" spans="2:18" x14ac:dyDescent="0.3">
      <c r="B137" s="354">
        <v>0</v>
      </c>
      <c r="C137" s="355">
        <v>55000</v>
      </c>
      <c r="D137" s="20">
        <v>0.38</v>
      </c>
      <c r="E137" s="20">
        <v>0.18</v>
      </c>
      <c r="F137" s="356">
        <v>0.18</v>
      </c>
      <c r="G137" s="357" t="str">
        <f>IF('General Info &amp; Test Results'!$C$29=MEDIAN(B137,'General Info &amp; Test Results'!$C$29,C137),"Yes","No")</f>
        <v>No</v>
      </c>
      <c r="R137" s="185"/>
    </row>
    <row r="138" spans="2:18" x14ac:dyDescent="0.3">
      <c r="B138" s="35">
        <v>55001</v>
      </c>
      <c r="C138" s="13">
        <v>80000</v>
      </c>
      <c r="D138" s="18">
        <v>0.38</v>
      </c>
      <c r="E138" s="344">
        <v>0.2</v>
      </c>
      <c r="F138" s="344">
        <v>0.2</v>
      </c>
      <c r="G138" s="193" t="str">
        <f>IF('General Info &amp; Test Results'!$C$29=MEDIAN(B138,'General Info &amp; Test Results'!$C$29,C138),"Yes","No")</f>
        <v>No</v>
      </c>
      <c r="R138" s="185"/>
    </row>
    <row r="139" spans="2:18" x14ac:dyDescent="0.3">
      <c r="B139" s="35">
        <v>80001</v>
      </c>
      <c r="C139" s="13">
        <v>100000</v>
      </c>
      <c r="D139" s="18">
        <v>0.38</v>
      </c>
      <c r="E139" s="18">
        <v>0.23</v>
      </c>
      <c r="F139" s="344">
        <v>0.23</v>
      </c>
      <c r="G139" s="193" t="str">
        <f>IF('General Info &amp; Test Results'!$C$29=MEDIAN(B139,'General Info &amp; Test Results'!$C$29,C139),"Yes","No")</f>
        <v>No</v>
      </c>
      <c r="R139" s="185"/>
    </row>
    <row r="140" spans="2:18" x14ac:dyDescent="0.3">
      <c r="B140" s="35">
        <v>100001</v>
      </c>
      <c r="C140" s="13">
        <v>200000</v>
      </c>
      <c r="D140" s="18">
        <v>0.48</v>
      </c>
      <c r="E140" s="18">
        <v>0.28000000000000003</v>
      </c>
      <c r="F140" s="344">
        <v>0.28000000000000003</v>
      </c>
      <c r="G140" s="193" t="str">
        <f>IF('General Info &amp; Test Results'!$C$29=MEDIAN(B140,'General Info &amp; Test Results'!$C$29,C140),"Yes","No")</f>
        <v>No</v>
      </c>
      <c r="R140" s="185"/>
    </row>
    <row r="141" spans="2:18" ht="17.25" thickBot="1" x14ac:dyDescent="0.35">
      <c r="B141" s="31">
        <v>200001</v>
      </c>
      <c r="C141" s="22">
        <v>300000</v>
      </c>
      <c r="D141" s="19">
        <v>0.57999999999999996</v>
      </c>
      <c r="E141" s="19">
        <v>0.33</v>
      </c>
      <c r="F141" s="345">
        <v>0.33</v>
      </c>
      <c r="G141" s="194" t="str">
        <f>IF('General Info &amp; Test Results'!$C$29=MEDIAN(B141,'General Info &amp; Test Results'!$C$29,C141),"Yes","No")</f>
        <v>No</v>
      </c>
      <c r="R141" s="185"/>
    </row>
    <row r="142" spans="2:18" ht="17.25" thickBot="1" x14ac:dyDescent="0.35">
      <c r="B142" s="28" t="s">
        <v>300</v>
      </c>
      <c r="C142" s="26"/>
      <c r="D142" s="26"/>
      <c r="E142" s="26"/>
      <c r="F142" s="26"/>
      <c r="G142" s="333"/>
      <c r="R142" s="185"/>
    </row>
    <row r="143" spans="2:18" x14ac:dyDescent="0.3">
      <c r="R143" s="185"/>
    </row>
    <row r="144" spans="2:18" ht="17.25" thickBot="1" x14ac:dyDescent="0.35">
      <c r="R144" s="185"/>
    </row>
    <row r="145" spans="2:18" ht="18" thickBot="1" x14ac:dyDescent="0.4">
      <c r="B145" s="340" t="s">
        <v>301</v>
      </c>
      <c r="C145" s="341"/>
      <c r="D145" s="342"/>
      <c r="R145" s="185"/>
    </row>
    <row r="146" spans="2:18" ht="17.25" x14ac:dyDescent="0.3">
      <c r="B146" s="1933" t="s">
        <v>302</v>
      </c>
      <c r="C146" s="1902"/>
      <c r="D146" s="1928" t="s">
        <v>304</v>
      </c>
      <c r="R146" s="185"/>
    </row>
    <row r="147" spans="2:18" ht="17.25" x14ac:dyDescent="0.3">
      <c r="B147" s="1934" t="s">
        <v>303</v>
      </c>
      <c r="C147" s="1914"/>
      <c r="D147" s="1935"/>
      <c r="R147" s="185"/>
    </row>
    <row r="148" spans="2:18" ht="18" thickBot="1" x14ac:dyDescent="0.35">
      <c r="B148" s="351" t="s">
        <v>64</v>
      </c>
      <c r="C148" s="337" t="s">
        <v>65</v>
      </c>
      <c r="D148" s="358" t="s">
        <v>305</v>
      </c>
      <c r="R148" s="185"/>
    </row>
    <row r="149" spans="2:18" ht="17.25" customHeight="1" x14ac:dyDescent="0.3">
      <c r="B149" s="359">
        <v>0</v>
      </c>
      <c r="C149" s="20">
        <v>849</v>
      </c>
      <c r="D149" s="360">
        <v>0.12</v>
      </c>
      <c r="R149" s="185"/>
    </row>
    <row r="150" spans="2:18" x14ac:dyDescent="0.3">
      <c r="B150" s="347">
        <v>850</v>
      </c>
      <c r="C150" s="18">
        <v>1599</v>
      </c>
      <c r="D150" s="348">
        <v>0.15</v>
      </c>
      <c r="R150" s="185"/>
    </row>
    <row r="151" spans="2:18" x14ac:dyDescent="0.3">
      <c r="B151" s="347">
        <v>1600</v>
      </c>
      <c r="C151" s="18">
        <v>2599</v>
      </c>
      <c r="D151" s="348">
        <v>0.2</v>
      </c>
      <c r="R151" s="185"/>
    </row>
    <row r="152" spans="2:18" ht="17.25" thickBot="1" x14ac:dyDescent="0.35">
      <c r="B152" s="349">
        <v>2600</v>
      </c>
      <c r="C152" s="19">
        <v>3999</v>
      </c>
      <c r="D152" s="350">
        <v>0.25</v>
      </c>
      <c r="R152" s="185"/>
    </row>
    <row r="153" spans="2:18" x14ac:dyDescent="0.3">
      <c r="R153" s="185"/>
    </row>
    <row r="154" spans="2:18" ht="17.25" thickBot="1" x14ac:dyDescent="0.35">
      <c r="R154" s="185"/>
    </row>
    <row r="155" spans="2:18" ht="18" thickBot="1" x14ac:dyDescent="0.4">
      <c r="B155" s="340" t="s">
        <v>306</v>
      </c>
      <c r="C155" s="341"/>
      <c r="D155" s="341"/>
      <c r="E155" s="341"/>
      <c r="F155" s="341"/>
      <c r="G155" s="341"/>
      <c r="H155" s="341"/>
      <c r="I155" s="341"/>
      <c r="J155" s="341"/>
      <c r="K155" s="342"/>
      <c r="R155" s="185"/>
    </row>
    <row r="156" spans="2:18" ht="17.25" x14ac:dyDescent="0.35">
      <c r="B156" s="378" t="s">
        <v>307</v>
      </c>
      <c r="C156" s="11"/>
      <c r="D156" s="11"/>
      <c r="E156" s="11"/>
      <c r="F156" s="11"/>
      <c r="G156" s="11"/>
      <c r="H156" s="11"/>
      <c r="I156" s="11"/>
      <c r="J156" s="11"/>
      <c r="K156" s="11"/>
      <c r="L156" s="416" t="s">
        <v>39</v>
      </c>
      <c r="R156" s="185"/>
    </row>
    <row r="157" spans="2:18" ht="18" thickBot="1" x14ac:dyDescent="0.4">
      <c r="B157" s="374" t="s">
        <v>308</v>
      </c>
      <c r="C157" s="337">
        <v>1</v>
      </c>
      <c r="D157" s="337">
        <v>2</v>
      </c>
      <c r="E157" s="337">
        <v>3</v>
      </c>
      <c r="F157" s="337">
        <v>4</v>
      </c>
      <c r="G157" s="337">
        <v>5</v>
      </c>
      <c r="H157" s="337">
        <v>6</v>
      </c>
      <c r="I157" s="337">
        <v>8</v>
      </c>
      <c r="J157" s="337">
        <v>9</v>
      </c>
      <c r="K157" s="412">
        <v>10</v>
      </c>
      <c r="L157" s="414" t="str">
        <f xml:space="preserve">
IF(AND(L158="X",L159="",L160="",L161="X",L162="",L163="",L164="X",L165="",L166="X"),1,
IF(AND(L158="X",L159="",L160="",L161="X",L162="",L163="",L164="",L165="X",L166="X"),2,
IF(AND(L158="X",L159="",L160="X",L161="",L162="",L163="",L164="",L165="X",L166="X"),3,
IF(AND(L158="X",L159="",L160="",L161="",L162="X",L163="",L164="",L165="X",L166="X"),4,
IF(AND(L158="X",L159="",L160="",L161="X",L162="",L163="X",L164="X",L165="",L166=""),5,
IF(AND(L158="X",L159="",L160="",L161="X",L162="",L163="X",L164="",L165="X",L166=""),6,
IF(AND(L158="X",L159="",L160="",L161="",L162="X",L163="X",L164="",L165="X",L166=""),8,
IF(AND(L158="",L159="X",L163="",L164="X",L165="",L166="X"),9,
IF(AND(L158="",L159="X",L163="",L164="",L165="X",L166="X"),10,
"Product Characteristics not filled in correctly")))))))))</f>
        <v>Product Characteristics not filled in correctly</v>
      </c>
      <c r="R157" s="185"/>
    </row>
    <row r="158" spans="2:18" x14ac:dyDescent="0.3">
      <c r="B158" s="363" t="s">
        <v>309</v>
      </c>
      <c r="C158" s="20" t="s">
        <v>320</v>
      </c>
      <c r="D158" s="20" t="s">
        <v>320</v>
      </c>
      <c r="E158" s="20" t="s">
        <v>320</v>
      </c>
      <c r="F158" s="20" t="s">
        <v>320</v>
      </c>
      <c r="G158" s="20" t="s">
        <v>320</v>
      </c>
      <c r="H158" s="20" t="s">
        <v>320</v>
      </c>
      <c r="I158" s="20" t="s">
        <v>320</v>
      </c>
      <c r="J158" s="375"/>
      <c r="K158" s="406"/>
      <c r="L158" s="415" t="str">
        <f>IF(L159="X","","X")</f>
        <v>X</v>
      </c>
      <c r="R158" s="185"/>
    </row>
    <row r="159" spans="2:18" ht="32.25" customHeight="1" x14ac:dyDescent="0.3">
      <c r="B159" s="372" t="s">
        <v>310</v>
      </c>
      <c r="C159" s="370"/>
      <c r="D159" s="370"/>
      <c r="E159" s="370"/>
      <c r="F159" s="370"/>
      <c r="G159" s="370"/>
      <c r="H159" s="370"/>
      <c r="I159" s="370"/>
      <c r="J159" s="18" t="s">
        <v>320</v>
      </c>
      <c r="K159" s="407" t="s">
        <v>320</v>
      </c>
      <c r="L159" s="413" t="str">
        <f>IF(OR('General Info &amp; Test Results'!C56="Outdoor",'General Info &amp; Test Results'!C56="Isolated Combustion System",
'General Info &amp; Test Results'!C57="Yes. With Heat Exchange.",'General Info &amp; Test Results'!C57="Yes. Without Heat Exchange."),
"X","")</f>
        <v/>
      </c>
      <c r="R159" s="185"/>
    </row>
    <row r="160" spans="2:18" x14ac:dyDescent="0.3">
      <c r="B160" s="1" t="s">
        <v>321</v>
      </c>
      <c r="C160" s="370"/>
      <c r="D160" s="370"/>
      <c r="E160" s="18" t="s">
        <v>320</v>
      </c>
      <c r="F160" s="370"/>
      <c r="G160" s="370"/>
      <c r="H160" s="370"/>
      <c r="I160" s="370"/>
      <c r="J160" s="1936" t="s">
        <v>374</v>
      </c>
      <c r="K160" s="1937"/>
      <c r="L160" s="413" t="str">
        <f>IF('General Info &amp; Test Results'!$C$52="","Fill in General Info",IF('General Info &amp; Test Results'!$C$52="Direct Exhaust","X",""))</f>
        <v>Fill in General Info</v>
      </c>
      <c r="R160" s="185"/>
    </row>
    <row r="161" spans="2:18" x14ac:dyDescent="0.3">
      <c r="B161" s="1" t="s">
        <v>311</v>
      </c>
      <c r="C161" s="18" t="s">
        <v>320</v>
      </c>
      <c r="D161" s="18" t="s">
        <v>320</v>
      </c>
      <c r="E161" s="370"/>
      <c r="F161" s="370"/>
      <c r="G161" s="18" t="s">
        <v>320</v>
      </c>
      <c r="H161" s="18" t="s">
        <v>320</v>
      </c>
      <c r="I161" s="370"/>
      <c r="J161" s="1938"/>
      <c r="K161" s="1939"/>
      <c r="L161" s="413" t="str">
        <f>IF('General Info &amp; Test Results'!$C$52="","Fill in General Info",
IF(OR('General Info &amp; Test Results'!$C$52="Draft Hood",'General Info &amp; Test Results'!$C$52="Integral Draft Diverter"),"X",""))</f>
        <v>Fill in General Info</v>
      </c>
      <c r="R161" s="185"/>
    </row>
    <row r="162" spans="2:18" x14ac:dyDescent="0.3">
      <c r="B162" s="1" t="s">
        <v>312</v>
      </c>
      <c r="C162" s="370"/>
      <c r="D162" s="370"/>
      <c r="E162" s="370"/>
      <c r="F162" s="18" t="s">
        <v>320</v>
      </c>
      <c r="G162" s="370"/>
      <c r="H162" s="370"/>
      <c r="I162" s="18" t="s">
        <v>320</v>
      </c>
      <c r="J162" s="1940"/>
      <c r="K162" s="1941"/>
      <c r="L162" s="413" t="str">
        <f>IF('General Info &amp; Test Results'!$C$52="","Fill in General Info",IF('General Info &amp; Test Results'!$C$52="Barometric Draft Control","X",""))</f>
        <v>Fill in General Info</v>
      </c>
      <c r="R162" s="185"/>
    </row>
    <row r="163" spans="2:18" x14ac:dyDescent="0.3">
      <c r="B163" s="1" t="s">
        <v>313</v>
      </c>
      <c r="C163" s="370"/>
      <c r="D163" s="370"/>
      <c r="E163" s="370"/>
      <c r="F163" s="370"/>
      <c r="G163" s="18" t="s">
        <v>320</v>
      </c>
      <c r="H163" s="18" t="s">
        <v>320</v>
      </c>
      <c r="I163" s="18" t="s">
        <v>320</v>
      </c>
      <c r="J163" s="370"/>
      <c r="K163" s="408"/>
      <c r="L163" s="413" t="str">
        <f>IF('General Info &amp; Test Results'!$C$54="","Fill in General Info",IF('General Info &amp; Test Results'!$C$54="Yes","X",""))</f>
        <v>Fill in General Info</v>
      </c>
      <c r="R163" s="185"/>
    </row>
    <row r="164" spans="2:18" x14ac:dyDescent="0.3">
      <c r="B164" s="1" t="s">
        <v>314</v>
      </c>
      <c r="C164" s="18" t="s">
        <v>320</v>
      </c>
      <c r="D164" s="370"/>
      <c r="E164" s="370"/>
      <c r="F164" s="370"/>
      <c r="G164" s="18" t="s">
        <v>320</v>
      </c>
      <c r="H164" s="370"/>
      <c r="I164" s="370"/>
      <c r="J164" s="18" t="s">
        <v>320</v>
      </c>
      <c r="K164" s="408"/>
      <c r="L164" s="413" t="str">
        <f>IF('General Info &amp; Test Results'!$C$49="","Fill in General Info",IF('General Info &amp; Test Results'!$C$49="Atmospheric","X",""))</f>
        <v>Fill in General Info</v>
      </c>
      <c r="R164" s="185"/>
    </row>
    <row r="165" spans="2:18" x14ac:dyDescent="0.3">
      <c r="B165" s="1" t="s">
        <v>315</v>
      </c>
      <c r="C165" s="370"/>
      <c r="D165" s="18" t="s">
        <v>320</v>
      </c>
      <c r="E165" s="18" t="s">
        <v>320</v>
      </c>
      <c r="F165" s="18" t="s">
        <v>320</v>
      </c>
      <c r="G165" s="370"/>
      <c r="H165" s="18" t="s">
        <v>320</v>
      </c>
      <c r="I165" s="18" t="s">
        <v>320</v>
      </c>
      <c r="J165" s="370"/>
      <c r="K165" s="407" t="s">
        <v>320</v>
      </c>
      <c r="L165" s="413" t="str">
        <f>IF('General Info &amp; Test Results'!$C$49="","Fill in General Info",IF('General Info &amp; Test Results'!$C$49="Power","X",""))</f>
        <v>Fill in General Info</v>
      </c>
      <c r="R165" s="185"/>
    </row>
    <row r="166" spans="2:18" ht="17.25" thickBot="1" x14ac:dyDescent="0.35">
      <c r="B166" s="1" t="s">
        <v>316</v>
      </c>
      <c r="C166" s="18" t="s">
        <v>320</v>
      </c>
      <c r="D166" s="18" t="s">
        <v>320</v>
      </c>
      <c r="E166" s="18" t="s">
        <v>320</v>
      </c>
      <c r="F166" s="18" t="s">
        <v>320</v>
      </c>
      <c r="G166" s="370"/>
      <c r="H166" s="370"/>
      <c r="I166" s="370"/>
      <c r="J166" s="18" t="s">
        <v>320</v>
      </c>
      <c r="K166" s="407" t="s">
        <v>320</v>
      </c>
      <c r="L166" s="414" t="str">
        <f>IF('General Info &amp; Test Results'!$C$55="","Fill in General Info",IF('General Info &amp; Test Results'!$C$55="Yes","X",""))</f>
        <v>Fill in General Info</v>
      </c>
      <c r="R166" s="185"/>
    </row>
    <row r="167" spans="2:18" ht="18" x14ac:dyDescent="0.35">
      <c r="B167" s="1" t="s">
        <v>805</v>
      </c>
      <c r="C167" s="18">
        <v>1</v>
      </c>
      <c r="D167" s="18">
        <v>0.4</v>
      </c>
      <c r="E167" s="18">
        <v>0.4</v>
      </c>
      <c r="F167" s="18">
        <v>0.4</v>
      </c>
      <c r="G167" s="18">
        <v>1</v>
      </c>
      <c r="H167" s="18">
        <v>0.4</v>
      </c>
      <c r="I167" s="18">
        <v>0.4</v>
      </c>
      <c r="J167" s="18">
        <v>1</v>
      </c>
      <c r="K167" s="16">
        <v>0.4</v>
      </c>
      <c r="R167" s="185"/>
    </row>
    <row r="168" spans="2:18" ht="18" x14ac:dyDescent="0.35">
      <c r="B168" s="1" t="s">
        <v>806</v>
      </c>
      <c r="C168" s="18" t="s">
        <v>503</v>
      </c>
      <c r="D168" s="18" t="s">
        <v>504</v>
      </c>
      <c r="E168" s="18" t="s">
        <v>504</v>
      </c>
      <c r="F168" s="18" t="s">
        <v>504</v>
      </c>
      <c r="G168" s="18"/>
      <c r="H168" s="18" t="s">
        <v>504</v>
      </c>
      <c r="I168" s="18" t="s">
        <v>504</v>
      </c>
      <c r="J168" s="18" t="s">
        <v>505</v>
      </c>
      <c r="K168" s="16" t="s">
        <v>504</v>
      </c>
      <c r="R168" s="185"/>
    </row>
    <row r="169" spans="2:18" ht="52.5" customHeight="1" x14ac:dyDescent="0.35">
      <c r="B169" s="1" t="s">
        <v>621</v>
      </c>
      <c r="C169" s="18">
        <v>1</v>
      </c>
      <c r="D169" s="18">
        <v>1</v>
      </c>
      <c r="E169" s="18" t="s">
        <v>317</v>
      </c>
      <c r="F169" s="369" t="s">
        <v>507</v>
      </c>
      <c r="G169" s="18" t="s">
        <v>323</v>
      </c>
      <c r="H169" s="18" t="s">
        <v>323</v>
      </c>
      <c r="I169" s="369" t="s">
        <v>506</v>
      </c>
      <c r="J169" s="370"/>
      <c r="K169" s="371"/>
      <c r="R169" s="185"/>
    </row>
    <row r="170" spans="2:18" ht="17.25" thickBot="1" x14ac:dyDescent="0.35">
      <c r="B170" s="346" t="s">
        <v>60</v>
      </c>
      <c r="C170" s="19" t="s">
        <v>322</v>
      </c>
      <c r="D170" s="19" t="s">
        <v>322</v>
      </c>
      <c r="E170" s="19">
        <v>1</v>
      </c>
      <c r="F170" s="19" t="s">
        <v>324</v>
      </c>
      <c r="G170" s="19" t="s">
        <v>322</v>
      </c>
      <c r="H170" s="19" t="s">
        <v>322</v>
      </c>
      <c r="I170" s="19" t="s">
        <v>324</v>
      </c>
      <c r="J170" s="376"/>
      <c r="K170" s="377"/>
      <c r="R170" s="185"/>
    </row>
    <row r="171" spans="2:18" x14ac:dyDescent="0.3">
      <c r="B171" s="373" t="s">
        <v>325</v>
      </c>
      <c r="C171" s="11"/>
      <c r="D171" s="11"/>
      <c r="E171" s="11"/>
      <c r="F171" s="11"/>
      <c r="G171" s="11"/>
      <c r="H171" s="11"/>
      <c r="I171" s="11"/>
      <c r="J171" s="11"/>
      <c r="K171" s="334"/>
      <c r="R171" s="185"/>
    </row>
    <row r="172" spans="2:18" x14ac:dyDescent="0.3">
      <c r="B172" s="330" t="s">
        <v>1261</v>
      </c>
      <c r="C172" s="11"/>
      <c r="D172" s="11"/>
      <c r="E172" s="11"/>
      <c r="F172" s="11"/>
      <c r="G172" s="11"/>
      <c r="H172" s="11"/>
      <c r="I172" s="11"/>
      <c r="J172" s="11"/>
      <c r="K172" s="334"/>
      <c r="R172" s="185"/>
    </row>
    <row r="173" spans="2:18" x14ac:dyDescent="0.3">
      <c r="B173" s="330" t="s">
        <v>318</v>
      </c>
      <c r="C173" s="11"/>
      <c r="D173" s="11"/>
      <c r="E173" s="11"/>
      <c r="F173" s="11"/>
      <c r="G173" s="11"/>
      <c r="H173" s="11"/>
      <c r="I173" s="11"/>
      <c r="J173" s="11"/>
      <c r="K173" s="334"/>
      <c r="R173" s="185"/>
    </row>
    <row r="174" spans="2:18" x14ac:dyDescent="0.3">
      <c r="B174" s="330" t="s">
        <v>438</v>
      </c>
      <c r="C174" s="11"/>
      <c r="D174" s="11"/>
      <c r="E174" s="11"/>
      <c r="F174" s="11"/>
      <c r="G174" s="11"/>
      <c r="H174" s="11"/>
      <c r="I174" s="11"/>
      <c r="J174" s="11"/>
      <c r="K174" s="334"/>
      <c r="R174" s="185"/>
    </row>
    <row r="175" spans="2:18" ht="17.25" thickBot="1" x14ac:dyDescent="0.35">
      <c r="B175" s="28" t="s">
        <v>319</v>
      </c>
      <c r="C175" s="26"/>
      <c r="D175" s="26"/>
      <c r="E175" s="26"/>
      <c r="F175" s="26"/>
      <c r="G175" s="26"/>
      <c r="H175" s="26"/>
      <c r="I175" s="26"/>
      <c r="J175" s="26"/>
      <c r="K175" s="333"/>
      <c r="R175" s="185"/>
    </row>
    <row r="176" spans="2:18" x14ac:dyDescent="0.3">
      <c r="R176" s="185"/>
    </row>
    <row r="177" spans="2:18" x14ac:dyDescent="0.3">
      <c r="R177" s="185"/>
    </row>
    <row r="178" spans="2:18" ht="18" x14ac:dyDescent="0.35">
      <c r="B178" s="1932" t="s">
        <v>208</v>
      </c>
      <c r="C178" s="1932"/>
      <c r="D178" s="1932"/>
      <c r="E178" s="1932"/>
      <c r="F178" s="1932"/>
      <c r="G178" s="1932"/>
      <c r="H178" s="1932"/>
      <c r="I178" s="1932"/>
      <c r="J178" s="1932"/>
      <c r="K178" s="1932"/>
      <c r="L178" s="1932"/>
      <c r="R178" s="185"/>
    </row>
    <row r="179" spans="2:18" ht="18" customHeight="1" x14ac:dyDescent="0.3">
      <c r="B179" s="1903" t="s">
        <v>41</v>
      </c>
      <c r="C179" s="1904" t="s">
        <v>226</v>
      </c>
      <c r="D179" s="1903" t="s">
        <v>43</v>
      </c>
      <c r="E179" s="1904" t="s">
        <v>227</v>
      </c>
      <c r="F179" s="1903" t="s">
        <v>44</v>
      </c>
      <c r="G179" s="1901" t="s">
        <v>45</v>
      </c>
      <c r="H179" s="525">
        <v>1</v>
      </c>
      <c r="I179" s="526">
        <v>2</v>
      </c>
      <c r="J179" s="526">
        <v>3</v>
      </c>
      <c r="K179" s="526">
        <v>4</v>
      </c>
      <c r="L179" s="526">
        <v>5</v>
      </c>
      <c r="R179" s="185"/>
    </row>
    <row r="180" spans="2:18" s="197" customFormat="1" ht="17.25" x14ac:dyDescent="0.35">
      <c r="B180" s="1902"/>
      <c r="C180" s="1905"/>
      <c r="D180" s="1902"/>
      <c r="E180" s="1905"/>
      <c r="F180" s="1902"/>
      <c r="G180" s="1902"/>
      <c r="H180" s="502" t="s">
        <v>46</v>
      </c>
      <c r="I180" s="502" t="s">
        <v>47</v>
      </c>
      <c r="J180" s="502" t="s">
        <v>48</v>
      </c>
      <c r="K180" s="502" t="s">
        <v>49</v>
      </c>
      <c r="L180" s="502" t="s">
        <v>50</v>
      </c>
      <c r="R180" s="198"/>
    </row>
    <row r="181" spans="2:18" s="197" customFormat="1" ht="17.25" x14ac:dyDescent="0.35">
      <c r="B181" s="537" t="s">
        <v>361</v>
      </c>
      <c r="C181" s="538">
        <v>19800</v>
      </c>
      <c r="D181" s="528">
        <v>14.56</v>
      </c>
      <c r="E181" s="538">
        <v>6.55</v>
      </c>
      <c r="F181" s="528">
        <v>6.7900000000000002E-2</v>
      </c>
      <c r="G181" s="528">
        <v>14.22</v>
      </c>
      <c r="H181" s="539">
        <v>0.24416834000000001</v>
      </c>
      <c r="I181" s="539">
        <v>3.3711449E-6</v>
      </c>
      <c r="J181" s="539">
        <v>8.8906304999999997E-9</v>
      </c>
      <c r="K181" s="539">
        <v>-1.3619019E-12</v>
      </c>
      <c r="L181" s="539">
        <v>-1.436741E-16</v>
      </c>
      <c r="R181" s="198"/>
    </row>
    <row r="182" spans="2:18" s="197" customFormat="1" ht="17.25" x14ac:dyDescent="0.35">
      <c r="B182" s="537" t="s">
        <v>362</v>
      </c>
      <c r="C182" s="538">
        <v>19500</v>
      </c>
      <c r="D182" s="528">
        <v>14.49</v>
      </c>
      <c r="E182" s="737">
        <v>6.5</v>
      </c>
      <c r="F182" s="528">
        <v>6.6680000000000003E-2</v>
      </c>
      <c r="G182" s="528">
        <v>14.34</v>
      </c>
      <c r="H182" s="539">
        <v>0.24361163</v>
      </c>
      <c r="I182" s="539">
        <v>3.6702685999999998E-6</v>
      </c>
      <c r="J182" s="539">
        <v>8.7098896999999995E-9</v>
      </c>
      <c r="K182" s="539">
        <v>-1.3094378000000001E-12</v>
      </c>
      <c r="L182" s="539">
        <v>1.5029208999999999E-16</v>
      </c>
      <c r="R182" s="198"/>
    </row>
    <row r="183" spans="2:18" x14ac:dyDescent="0.3">
      <c r="B183" s="379" t="s">
        <v>40</v>
      </c>
      <c r="C183" s="18">
        <v>20120</v>
      </c>
      <c r="D183" s="18">
        <v>14.45</v>
      </c>
      <c r="E183" s="182">
        <v>9.5500000000000007</v>
      </c>
      <c r="F183" s="18">
        <v>9.1939999999999994E-2</v>
      </c>
      <c r="G183" s="18">
        <v>10.96</v>
      </c>
      <c r="H183" s="178">
        <v>0.25949477999999998</v>
      </c>
      <c r="I183" s="178">
        <v>-4.9475802E-6</v>
      </c>
      <c r="J183" s="178">
        <v>1.3885838000000001E-8</v>
      </c>
      <c r="K183" s="178">
        <v>-2.8059994E-12</v>
      </c>
      <c r="L183" s="178">
        <v>3.7682440000000001E-17</v>
      </c>
      <c r="R183" s="185"/>
    </row>
    <row r="184" spans="2:18" x14ac:dyDescent="0.3">
      <c r="B184" s="379" t="s">
        <v>42</v>
      </c>
      <c r="C184" s="18">
        <v>18500</v>
      </c>
      <c r="D184" s="18">
        <v>11.81</v>
      </c>
      <c r="E184" s="182">
        <v>10.14</v>
      </c>
      <c r="F184" s="18">
        <v>9.6460000000000004E-2</v>
      </c>
      <c r="G184" s="344">
        <v>10.1</v>
      </c>
      <c r="H184" s="178">
        <v>0.26598442</v>
      </c>
      <c r="I184" s="178">
        <v>-7.7561435000000008E-6</v>
      </c>
      <c r="J184" s="178">
        <v>1.5833852000000001E-8</v>
      </c>
      <c r="K184" s="178">
        <v>-3.4194210000000002E-12</v>
      </c>
      <c r="L184" s="178">
        <v>1.2158977000000001E-16</v>
      </c>
      <c r="R184" s="185"/>
    </row>
    <row r="185" spans="2:18" x14ac:dyDescent="0.3">
      <c r="B185" s="379" t="s">
        <v>405</v>
      </c>
      <c r="C185" s="18">
        <v>21500</v>
      </c>
      <c r="D185" s="18">
        <v>15.58</v>
      </c>
      <c r="E185" s="182">
        <v>7.99</v>
      </c>
      <c r="F185" s="738">
        <v>8.4099999999999994E-2</v>
      </c>
      <c r="G185" s="344">
        <v>12.6</v>
      </c>
      <c r="H185" s="178">
        <v>0.25163638999999999</v>
      </c>
      <c r="I185" s="178">
        <v>-6.4144603999999997E-6</v>
      </c>
      <c r="J185" s="178">
        <v>1.1315072999999999E-8</v>
      </c>
      <c r="K185" s="178">
        <v>-2.0656792000000001E-12</v>
      </c>
      <c r="L185" s="178">
        <v>-5.4897330000000002E-17</v>
      </c>
      <c r="R185" s="185"/>
    </row>
    <row r="186" spans="2:18" x14ac:dyDescent="0.3">
      <c r="B186" s="379" t="s">
        <v>406</v>
      </c>
      <c r="C186" s="18">
        <v>20890</v>
      </c>
      <c r="D186" s="18">
        <v>15.36</v>
      </c>
      <c r="E186" s="182">
        <v>7.79</v>
      </c>
      <c r="F186" s="738">
        <v>8.0799999999999997E-2</v>
      </c>
      <c r="G186" s="18">
        <v>12.93</v>
      </c>
      <c r="H186" s="178">
        <v>0.25011246999999998</v>
      </c>
      <c r="I186" s="178">
        <v>1.7737005E-6</v>
      </c>
      <c r="J186" s="178">
        <v>1.0820337E-8</v>
      </c>
      <c r="K186" s="178">
        <v>-1.9220640999999999E-12</v>
      </c>
      <c r="L186" s="178">
        <v>-7.3013273999999997E-17</v>
      </c>
      <c r="R186" s="185"/>
    </row>
    <row r="187" spans="2:18" x14ac:dyDescent="0.3">
      <c r="B187" s="527" t="s">
        <v>18</v>
      </c>
      <c r="C187" s="528"/>
      <c r="D187" s="528"/>
      <c r="E187" s="529"/>
      <c r="F187" s="528"/>
      <c r="G187" s="530"/>
      <c r="H187" s="531">
        <v>0.25462120999999999</v>
      </c>
      <c r="I187" s="532">
        <v>-3.0260126E-5</v>
      </c>
      <c r="J187" s="532">
        <v>2.7608571000000001E-8</v>
      </c>
      <c r="K187" s="532">
        <v>-7.4253321000000006E-12</v>
      </c>
      <c r="L187" s="532">
        <v>6.4307377000000003E-16</v>
      </c>
      <c r="R187" s="185"/>
    </row>
    <row r="188" spans="2:18" x14ac:dyDescent="0.3">
      <c r="B188" s="524" t="str">
        <f>IF('Sys. # &amp; Product Characteristic'!Heating_Fuel_Used="","", 'Sys. # &amp; Product Characteristic'!Heating_Fuel_Used)</f>
        <v>No. 1 Fuel Oil</v>
      </c>
      <c r="C188" s="120">
        <f ca="1">IFERROR(OFFSET('Drop-Downs and Tables'!C$181,MATCH('Drop-Downs and Tables'!$B$188,'Drop-Downs and Tables'!$B$181:$B$187,0)-1,0),"")</f>
        <v>19800</v>
      </c>
      <c r="D188" s="120">
        <f ca="1">IFERROR(OFFSET('Drop-Downs and Tables'!D$181,MATCH('Drop-Downs and Tables'!$B$188,'Drop-Downs and Tables'!$B$181:$B$187,0)-1,0),"")</f>
        <v>14.56</v>
      </c>
      <c r="E188" s="120">
        <f ca="1">IFERROR(OFFSET('Drop-Downs and Tables'!E$181,MATCH('Drop-Downs and Tables'!$B$188,'Drop-Downs and Tables'!$B$181:$B$187,0)-1,0),"")</f>
        <v>6.55</v>
      </c>
      <c r="F188" s="120">
        <f ca="1">IFERROR(OFFSET('Drop-Downs and Tables'!F$181,MATCH('Drop-Downs and Tables'!$B$188,'Drop-Downs and Tables'!$B$181:$B$187,0)-1,0),"")</f>
        <v>6.7900000000000002E-2</v>
      </c>
      <c r="G188" s="120">
        <f ca="1">IFERROR(OFFSET('Drop-Downs and Tables'!G$181,MATCH('Drop-Downs and Tables'!$B$188,'Drop-Downs and Tables'!$B$181:$B$187,0)-1,0),"")</f>
        <v>14.22</v>
      </c>
      <c r="H188" s="120">
        <f ca="1">IFERROR(OFFSET('Drop-Downs and Tables'!H$181,MATCH('Drop-Downs and Tables'!$B$188,'Drop-Downs and Tables'!$B$181:$B$187,0)-1,0),"")</f>
        <v>0.24416834000000001</v>
      </c>
      <c r="I188" s="120">
        <f ca="1">IFERROR(OFFSET('Drop-Downs and Tables'!I$181,MATCH('Drop-Downs and Tables'!$B$188,'Drop-Downs and Tables'!$B$181:$B$187,0)-1,0),"")</f>
        <v>3.3711449E-6</v>
      </c>
      <c r="J188" s="120">
        <f ca="1">IFERROR(OFFSET('Drop-Downs and Tables'!J$181,MATCH('Drop-Downs and Tables'!$B$188,'Drop-Downs and Tables'!$B$181:$B$187,0)-1,0),"")</f>
        <v>8.8906304999999997E-9</v>
      </c>
      <c r="K188" s="120">
        <f ca="1">IFERROR(OFFSET('Drop-Downs and Tables'!K$181,MATCH('Drop-Downs and Tables'!$B$188,'Drop-Downs and Tables'!$B$181:$B$187,0)-1,0),"")</f>
        <v>-1.3619019E-12</v>
      </c>
      <c r="L188" s="120">
        <f ca="1">IFERROR(OFFSET('Drop-Downs and Tables'!L$181,MATCH('Drop-Downs and Tables'!$B$188,'Drop-Downs and Tables'!$B$181:$B$187,0)-1,0),"")</f>
        <v>-1.436741E-16</v>
      </c>
      <c r="R188" s="185"/>
    </row>
    <row r="189" spans="2:18" x14ac:dyDescent="0.3">
      <c r="R189" s="185"/>
    </row>
    <row r="190" spans="2:18" ht="17.25" thickBot="1" x14ac:dyDescent="0.35">
      <c r="R190" s="185"/>
    </row>
    <row r="191" spans="2:18" ht="18" thickBot="1" x14ac:dyDescent="0.4">
      <c r="B191" s="325" t="s">
        <v>210</v>
      </c>
      <c r="C191" s="382"/>
      <c r="D191" s="382"/>
      <c r="E191" s="383"/>
      <c r="R191" s="185"/>
    </row>
    <row r="192" spans="2:18" s="197" customFormat="1" ht="17.25" customHeight="1" x14ac:dyDescent="0.35">
      <c r="B192" s="1933" t="s">
        <v>63</v>
      </c>
      <c r="C192" s="1902"/>
      <c r="D192" s="1920" t="s">
        <v>327</v>
      </c>
      <c r="E192" s="1928" t="s">
        <v>328</v>
      </c>
      <c r="R192" s="198"/>
    </row>
    <row r="193" spans="2:18" s="197" customFormat="1" ht="17.25" x14ac:dyDescent="0.35">
      <c r="B193" s="1934"/>
      <c r="C193" s="1914"/>
      <c r="D193" s="1942"/>
      <c r="E193" s="1935"/>
      <c r="R193" s="198"/>
    </row>
    <row r="194" spans="2:18" s="197" customFormat="1" ht="18" thickBot="1" x14ac:dyDescent="0.4">
      <c r="B194" s="384" t="s">
        <v>64</v>
      </c>
      <c r="C194" s="385" t="s">
        <v>65</v>
      </c>
      <c r="D194" s="405" t="s">
        <v>326</v>
      </c>
      <c r="E194" s="353" t="s">
        <v>326</v>
      </c>
      <c r="K194" s="199"/>
      <c r="R194" s="198"/>
    </row>
    <row r="195" spans="2:18" x14ac:dyDescent="0.3">
      <c r="B195" s="386">
        <v>5000</v>
      </c>
      <c r="C195" s="387">
        <v>10000</v>
      </c>
      <c r="D195" s="355">
        <v>5</v>
      </c>
      <c r="E195" s="388">
        <v>5</v>
      </c>
      <c r="R195" s="185"/>
    </row>
    <row r="196" spans="2:18" x14ac:dyDescent="0.3">
      <c r="B196" s="32">
        <v>11000</v>
      </c>
      <c r="C196" s="33">
        <v>16000</v>
      </c>
      <c r="D196" s="13">
        <v>10</v>
      </c>
      <c r="E196" s="380" t="s">
        <v>329</v>
      </c>
      <c r="R196" s="185"/>
    </row>
    <row r="197" spans="2:18" x14ac:dyDescent="0.3">
      <c r="B197" s="32">
        <v>17000</v>
      </c>
      <c r="C197" s="33">
        <v>25000</v>
      </c>
      <c r="D197" s="13">
        <v>15</v>
      </c>
      <c r="E197" s="380" t="s">
        <v>330</v>
      </c>
      <c r="R197" s="185"/>
    </row>
    <row r="198" spans="2:18" x14ac:dyDescent="0.3">
      <c r="B198" s="32">
        <v>26000</v>
      </c>
      <c r="C198" s="33">
        <v>42000</v>
      </c>
      <c r="D198" s="13">
        <v>20</v>
      </c>
      <c r="E198" s="380" t="s">
        <v>331</v>
      </c>
      <c r="R198" s="185"/>
    </row>
    <row r="199" spans="2:18" x14ac:dyDescent="0.3">
      <c r="B199" s="32">
        <v>43000</v>
      </c>
      <c r="C199" s="33">
        <v>59000</v>
      </c>
      <c r="D199" s="13">
        <v>30</v>
      </c>
      <c r="E199" s="380" t="s">
        <v>332</v>
      </c>
      <c r="R199" s="185"/>
    </row>
    <row r="200" spans="2:18" x14ac:dyDescent="0.3">
      <c r="B200" s="32">
        <v>60000</v>
      </c>
      <c r="C200" s="33">
        <v>76000</v>
      </c>
      <c r="D200" s="13">
        <v>40</v>
      </c>
      <c r="E200" s="380" t="s">
        <v>333</v>
      </c>
      <c r="R200" s="185"/>
    </row>
    <row r="201" spans="2:18" x14ac:dyDescent="0.3">
      <c r="B201" s="32">
        <v>77000</v>
      </c>
      <c r="C201" s="33">
        <v>93000</v>
      </c>
      <c r="D201" s="13">
        <v>50</v>
      </c>
      <c r="E201" s="380" t="s">
        <v>334</v>
      </c>
      <c r="R201" s="185"/>
    </row>
    <row r="202" spans="2:18" x14ac:dyDescent="0.3">
      <c r="B202" s="32">
        <v>94000</v>
      </c>
      <c r="C202" s="33">
        <v>110000</v>
      </c>
      <c r="D202" s="13">
        <v>60</v>
      </c>
      <c r="E202" s="380" t="s">
        <v>335</v>
      </c>
      <c r="R202" s="185"/>
    </row>
    <row r="203" spans="2:18" x14ac:dyDescent="0.3">
      <c r="B203" s="32">
        <v>111000</v>
      </c>
      <c r="C203" s="33">
        <v>127000</v>
      </c>
      <c r="D203" s="13">
        <v>70</v>
      </c>
      <c r="E203" s="380" t="s">
        <v>336</v>
      </c>
      <c r="R203" s="185"/>
    </row>
    <row r="204" spans="2:18" x14ac:dyDescent="0.3">
      <c r="B204" s="32">
        <v>127000</v>
      </c>
      <c r="C204" s="33">
        <v>144000</v>
      </c>
      <c r="D204" s="13">
        <v>80</v>
      </c>
      <c r="E204" s="380" t="s">
        <v>337</v>
      </c>
      <c r="R204" s="185"/>
    </row>
    <row r="205" spans="2:18" x14ac:dyDescent="0.3">
      <c r="B205" s="32">
        <v>145000</v>
      </c>
      <c r="C205" s="33">
        <v>161000</v>
      </c>
      <c r="D205" s="13">
        <v>90</v>
      </c>
      <c r="E205" s="380" t="s">
        <v>338</v>
      </c>
      <c r="R205" s="185"/>
    </row>
    <row r="206" spans="2:18" x14ac:dyDescent="0.3">
      <c r="B206" s="32">
        <v>162000</v>
      </c>
      <c r="C206" s="33">
        <v>178000</v>
      </c>
      <c r="D206" s="13">
        <v>100</v>
      </c>
      <c r="E206" s="380" t="s">
        <v>339</v>
      </c>
      <c r="R206" s="185"/>
    </row>
    <row r="207" spans="2:18" x14ac:dyDescent="0.3">
      <c r="B207" s="32">
        <v>179000</v>
      </c>
      <c r="C207" s="33">
        <v>195000</v>
      </c>
      <c r="D207" s="13">
        <v>110</v>
      </c>
      <c r="E207" s="380" t="s">
        <v>340</v>
      </c>
      <c r="R207" s="185"/>
    </row>
    <row r="208" spans="2:18" ht="17.25" thickBot="1" x14ac:dyDescent="0.35">
      <c r="B208" s="34">
        <v>196000</v>
      </c>
      <c r="C208" s="22" t="s">
        <v>66</v>
      </c>
      <c r="D208" s="22">
        <v>130</v>
      </c>
      <c r="E208" s="381" t="s">
        <v>341</v>
      </c>
      <c r="R208" s="185"/>
    </row>
    <row r="209" spans="2:18" x14ac:dyDescent="0.3">
      <c r="R209" s="185"/>
    </row>
    <row r="210" spans="2:18" ht="17.25" thickBot="1" x14ac:dyDescent="0.35">
      <c r="R210" s="185"/>
    </row>
    <row r="211" spans="2:18" ht="18" thickBot="1" x14ac:dyDescent="0.4">
      <c r="B211" s="325" t="s">
        <v>343</v>
      </c>
      <c r="C211" s="326"/>
      <c r="D211" s="326"/>
      <c r="E211" s="326"/>
      <c r="F211" s="327"/>
      <c r="R211" s="185"/>
    </row>
    <row r="212" spans="2:18" ht="17.25" x14ac:dyDescent="0.35">
      <c r="B212" s="392"/>
      <c r="C212" s="1923" t="s">
        <v>344</v>
      </c>
      <c r="D212" s="1923"/>
      <c r="E212" s="1923" t="s">
        <v>345</v>
      </c>
      <c r="F212" s="1924"/>
      <c r="R212" s="185"/>
    </row>
    <row r="213" spans="2:18" ht="19.5" thickBot="1" x14ac:dyDescent="0.35">
      <c r="B213" s="200" t="s">
        <v>346</v>
      </c>
      <c r="C213" s="393" t="s">
        <v>348</v>
      </c>
      <c r="D213" s="393" t="s">
        <v>349</v>
      </c>
      <c r="E213" s="393" t="s">
        <v>348</v>
      </c>
      <c r="F213" s="201" t="s">
        <v>349</v>
      </c>
      <c r="R213" s="185"/>
    </row>
    <row r="214" spans="2:18" x14ac:dyDescent="0.3">
      <c r="B214" s="389" t="s">
        <v>23</v>
      </c>
      <c r="C214" s="390">
        <v>3.87</v>
      </c>
      <c r="D214" s="390">
        <v>13.3</v>
      </c>
      <c r="E214" s="390">
        <v>9.68</v>
      </c>
      <c r="F214" s="391">
        <v>33.26</v>
      </c>
      <c r="R214" s="185"/>
    </row>
    <row r="215" spans="2:18" x14ac:dyDescent="0.3">
      <c r="B215" s="347" t="s">
        <v>347</v>
      </c>
      <c r="C215" s="18">
        <v>10</v>
      </c>
      <c r="D215" s="18">
        <v>10</v>
      </c>
      <c r="E215" s="18">
        <v>15</v>
      </c>
      <c r="F215" s="16">
        <v>15</v>
      </c>
      <c r="R215" s="185"/>
    </row>
    <row r="216" spans="2:18" ht="17.25" thickBot="1" x14ac:dyDescent="0.35">
      <c r="B216" s="349" t="s">
        <v>25</v>
      </c>
      <c r="C216" s="19">
        <v>10</v>
      </c>
      <c r="D216" s="19">
        <v>10</v>
      </c>
      <c r="E216" s="19">
        <v>15</v>
      </c>
      <c r="F216" s="17">
        <v>15</v>
      </c>
      <c r="R216" s="185"/>
    </row>
    <row r="217" spans="2:18" x14ac:dyDescent="0.3">
      <c r="R217" s="185"/>
    </row>
    <row r="218" spans="2:18" ht="17.25" thickBot="1" x14ac:dyDescent="0.35">
      <c r="R218" s="185"/>
    </row>
    <row r="219" spans="2:18" ht="18" thickBot="1" x14ac:dyDescent="0.4">
      <c r="B219" s="325" t="s">
        <v>342</v>
      </c>
      <c r="C219" s="326"/>
      <c r="D219" s="326"/>
      <c r="E219" s="326"/>
      <c r="F219" s="326"/>
      <c r="G219" s="327"/>
      <c r="R219" s="185"/>
    </row>
    <row r="220" spans="2:18" ht="17.25" x14ac:dyDescent="0.35">
      <c r="B220" s="1925" t="s">
        <v>354</v>
      </c>
      <c r="C220" s="1923"/>
      <c r="D220" s="1923" t="s">
        <v>352</v>
      </c>
      <c r="E220" s="1923"/>
      <c r="F220" s="1923" t="s">
        <v>353</v>
      </c>
      <c r="G220" s="1924"/>
      <c r="R220" s="185"/>
    </row>
    <row r="221" spans="2:18" ht="32.25" customHeight="1" x14ac:dyDescent="0.4">
      <c r="B221" s="1926" t="s">
        <v>355</v>
      </c>
      <c r="C221" s="1927"/>
      <c r="D221" s="395" t="s">
        <v>350</v>
      </c>
      <c r="E221" s="395" t="s">
        <v>351</v>
      </c>
      <c r="F221" s="395" t="s">
        <v>350</v>
      </c>
      <c r="G221" s="343" t="s">
        <v>351</v>
      </c>
      <c r="R221" s="185"/>
    </row>
    <row r="222" spans="2:18" ht="19.5" thickBot="1" x14ac:dyDescent="0.45">
      <c r="B222" s="374" t="s">
        <v>64</v>
      </c>
      <c r="C222" s="397" t="s">
        <v>65</v>
      </c>
      <c r="D222" s="397" t="s">
        <v>356</v>
      </c>
      <c r="E222" s="397" t="s">
        <v>357</v>
      </c>
      <c r="F222" s="397" t="s">
        <v>358</v>
      </c>
      <c r="G222" s="398" t="s">
        <v>359</v>
      </c>
      <c r="R222" s="185"/>
    </row>
    <row r="223" spans="2:18" x14ac:dyDescent="0.3">
      <c r="B223" s="363">
        <v>6</v>
      </c>
      <c r="C223" s="399">
        <v>15</v>
      </c>
      <c r="D223" s="400">
        <v>0.95</v>
      </c>
      <c r="E223" s="400">
        <v>5.0000000000000044E-2</v>
      </c>
      <c r="F223" s="399">
        <v>41</v>
      </c>
      <c r="G223" s="401">
        <v>9</v>
      </c>
      <c r="R223" s="185"/>
    </row>
    <row r="224" spans="2:18" x14ac:dyDescent="0.3">
      <c r="B224" s="1">
        <v>16</v>
      </c>
      <c r="C224" s="329">
        <v>20</v>
      </c>
      <c r="D224" s="394">
        <v>0.9</v>
      </c>
      <c r="E224" s="394">
        <v>9.9999999999999978E-2</v>
      </c>
      <c r="F224" s="329">
        <v>42</v>
      </c>
      <c r="G224" s="396">
        <v>14</v>
      </c>
      <c r="R224" s="185"/>
    </row>
    <row r="225" spans="2:18" x14ac:dyDescent="0.3">
      <c r="B225" s="1">
        <v>21</v>
      </c>
      <c r="C225" s="329">
        <v>25</v>
      </c>
      <c r="D225" s="394">
        <v>0.84</v>
      </c>
      <c r="E225" s="394">
        <v>0.16000000000000003</v>
      </c>
      <c r="F225" s="329">
        <v>43</v>
      </c>
      <c r="G225" s="396">
        <v>18</v>
      </c>
      <c r="R225" s="185"/>
    </row>
    <row r="226" spans="2:18" x14ac:dyDescent="0.3">
      <c r="B226" s="1">
        <v>26</v>
      </c>
      <c r="C226" s="329">
        <v>28</v>
      </c>
      <c r="D226" s="394">
        <v>0.77</v>
      </c>
      <c r="E226" s="394">
        <v>0.22999999999999998</v>
      </c>
      <c r="F226" s="329">
        <v>44</v>
      </c>
      <c r="G226" s="396">
        <v>22</v>
      </c>
      <c r="R226" s="185"/>
    </row>
    <row r="227" spans="2:18" x14ac:dyDescent="0.3">
      <c r="B227" s="1">
        <v>29</v>
      </c>
      <c r="C227" s="329">
        <v>31</v>
      </c>
      <c r="D227" s="394">
        <v>0.7</v>
      </c>
      <c r="E227" s="394">
        <v>0.30000000000000004</v>
      </c>
      <c r="F227" s="329">
        <v>45</v>
      </c>
      <c r="G227" s="396">
        <v>24</v>
      </c>
      <c r="R227" s="185"/>
    </row>
    <row r="228" spans="2:18" x14ac:dyDescent="0.3">
      <c r="B228" s="1">
        <v>32</v>
      </c>
      <c r="C228" s="329">
        <v>33</v>
      </c>
      <c r="D228" s="394">
        <v>0.66</v>
      </c>
      <c r="E228" s="394">
        <v>0.33999999999999997</v>
      </c>
      <c r="F228" s="329">
        <v>46</v>
      </c>
      <c r="G228" s="396">
        <v>26</v>
      </c>
      <c r="R228" s="185"/>
    </row>
    <row r="229" spans="2:18" x14ac:dyDescent="0.3">
      <c r="B229" s="1">
        <v>34</v>
      </c>
      <c r="C229" s="329">
        <v>35</v>
      </c>
      <c r="D229" s="394">
        <v>0.6</v>
      </c>
      <c r="E229" s="394">
        <v>0.4</v>
      </c>
      <c r="F229" s="329">
        <v>47</v>
      </c>
      <c r="G229" s="396">
        <v>27</v>
      </c>
      <c r="R229" s="185"/>
    </row>
    <row r="230" spans="2:18" x14ac:dyDescent="0.3">
      <c r="B230" s="1">
        <v>36</v>
      </c>
      <c r="C230" s="329">
        <v>37</v>
      </c>
      <c r="D230" s="394">
        <v>0.54</v>
      </c>
      <c r="E230" s="394">
        <v>0.45999999999999996</v>
      </c>
      <c r="F230" s="329">
        <v>48</v>
      </c>
      <c r="G230" s="396">
        <v>28</v>
      </c>
      <c r="R230" s="185"/>
    </row>
    <row r="231" spans="2:18" x14ac:dyDescent="0.3">
      <c r="B231" s="1">
        <v>38</v>
      </c>
      <c r="C231" s="329">
        <v>39</v>
      </c>
      <c r="D231" s="394">
        <v>0.48</v>
      </c>
      <c r="E231" s="394">
        <v>0.52</v>
      </c>
      <c r="F231" s="329">
        <v>48</v>
      </c>
      <c r="G231" s="396">
        <v>30</v>
      </c>
      <c r="R231" s="185"/>
    </row>
    <row r="232" spans="2:18" x14ac:dyDescent="0.3">
      <c r="B232" s="1">
        <v>40</v>
      </c>
      <c r="C232" s="329">
        <v>41</v>
      </c>
      <c r="D232" s="394">
        <v>0.42</v>
      </c>
      <c r="E232" s="394">
        <v>0.58000000000000007</v>
      </c>
      <c r="F232" s="329">
        <v>49</v>
      </c>
      <c r="G232" s="396">
        <v>31</v>
      </c>
      <c r="R232" s="185"/>
    </row>
    <row r="233" spans="2:18" x14ac:dyDescent="0.3">
      <c r="B233" s="1">
        <v>42</v>
      </c>
      <c r="C233" s="329">
        <v>43</v>
      </c>
      <c r="D233" s="394">
        <v>0.35</v>
      </c>
      <c r="E233" s="394">
        <v>0.65</v>
      </c>
      <c r="F233" s="329">
        <v>50</v>
      </c>
      <c r="G233" s="396">
        <v>32</v>
      </c>
      <c r="R233" s="185"/>
    </row>
    <row r="234" spans="2:18" x14ac:dyDescent="0.3">
      <c r="B234" s="1">
        <v>44</v>
      </c>
      <c r="C234" s="329">
        <v>45</v>
      </c>
      <c r="D234" s="394">
        <v>0.28999999999999998</v>
      </c>
      <c r="E234" s="394">
        <v>0.71</v>
      </c>
      <c r="F234" s="329">
        <v>51</v>
      </c>
      <c r="G234" s="396">
        <v>33</v>
      </c>
      <c r="R234" s="185"/>
    </row>
    <row r="235" spans="2:18" x14ac:dyDescent="0.3">
      <c r="B235" s="1">
        <v>46</v>
      </c>
      <c r="C235" s="329">
        <v>47</v>
      </c>
      <c r="D235" s="394">
        <v>0.23</v>
      </c>
      <c r="E235" s="394">
        <v>0.77</v>
      </c>
      <c r="F235" s="329">
        <v>52</v>
      </c>
      <c r="G235" s="396">
        <v>35</v>
      </c>
      <c r="R235" s="185"/>
    </row>
    <row r="236" spans="2:18" x14ac:dyDescent="0.3">
      <c r="B236" s="1">
        <v>48</v>
      </c>
      <c r="C236" s="329">
        <v>49</v>
      </c>
      <c r="D236" s="394">
        <v>0.18</v>
      </c>
      <c r="E236" s="394">
        <v>0.82000000000000006</v>
      </c>
      <c r="F236" s="329">
        <v>54</v>
      </c>
      <c r="G236" s="396">
        <v>36</v>
      </c>
      <c r="R236" s="185"/>
    </row>
    <row r="237" spans="2:18" x14ac:dyDescent="0.3">
      <c r="B237" s="1">
        <v>50</v>
      </c>
      <c r="C237" s="329">
        <v>52</v>
      </c>
      <c r="D237" s="394">
        <v>0.12</v>
      </c>
      <c r="E237" s="394">
        <v>0.88</v>
      </c>
      <c r="F237" s="329">
        <v>55</v>
      </c>
      <c r="G237" s="396">
        <v>37</v>
      </c>
      <c r="R237" s="185"/>
    </row>
    <row r="238" spans="2:18" x14ac:dyDescent="0.3">
      <c r="B238" s="1">
        <v>53</v>
      </c>
      <c r="C238" s="329">
        <v>57</v>
      </c>
      <c r="D238" s="394">
        <v>7.0000000000000007E-2</v>
      </c>
      <c r="E238" s="394">
        <v>0.92999999999999994</v>
      </c>
      <c r="F238" s="329">
        <v>58</v>
      </c>
      <c r="G238" s="396">
        <v>39</v>
      </c>
      <c r="R238" s="185"/>
    </row>
    <row r="239" spans="2:18" ht="17.25" thickBot="1" x14ac:dyDescent="0.35">
      <c r="B239" s="346">
        <v>58</v>
      </c>
      <c r="C239" s="402">
        <v>62</v>
      </c>
      <c r="D239" s="403">
        <v>0.02</v>
      </c>
      <c r="E239" s="403">
        <v>0.98</v>
      </c>
      <c r="F239" s="402">
        <v>61</v>
      </c>
      <c r="G239" s="404">
        <v>40</v>
      </c>
      <c r="R239" s="185"/>
    </row>
    <row r="240" spans="2:18" ht="17.25" thickBot="1" x14ac:dyDescent="0.35">
      <c r="B240" s="28" t="s">
        <v>360</v>
      </c>
      <c r="C240" s="26"/>
      <c r="D240" s="26"/>
      <c r="E240" s="26"/>
      <c r="F240" s="26"/>
      <c r="G240" s="333"/>
      <c r="R240" s="185"/>
    </row>
    <row r="241" spans="2:18" x14ac:dyDescent="0.3">
      <c r="R241" s="185"/>
    </row>
    <row r="242" spans="2:18" ht="17.25" thickBot="1" x14ac:dyDescent="0.35">
      <c r="R242" s="185"/>
    </row>
    <row r="243" spans="2:18" ht="18" thickBot="1" x14ac:dyDescent="0.35">
      <c r="B243" s="654" t="s">
        <v>753</v>
      </c>
      <c r="C243" s="655"/>
      <c r="D243" s="655"/>
      <c r="E243" s="656"/>
      <c r="F243" s="657"/>
      <c r="G243" s="657"/>
      <c r="H243" s="657"/>
      <c r="R243" s="185"/>
    </row>
    <row r="244" spans="2:18" ht="36" customHeight="1" thickBot="1" x14ac:dyDescent="0.35">
      <c r="B244" s="1954" t="s">
        <v>734</v>
      </c>
      <c r="C244" s="1955"/>
      <c r="D244" s="1955"/>
      <c r="E244" s="1956"/>
      <c r="F244" s="657"/>
      <c r="G244" s="657"/>
      <c r="H244" s="657"/>
      <c r="R244" s="185"/>
    </row>
    <row r="245" spans="2:18" ht="17.25" x14ac:dyDescent="0.35">
      <c r="B245" s="668" t="s">
        <v>404</v>
      </c>
      <c r="C245" s="1951" t="s">
        <v>14</v>
      </c>
      <c r="D245" s="1952"/>
      <c r="E245" s="1953"/>
      <c r="F245" s="658"/>
      <c r="G245" s="659"/>
      <c r="H245" s="659"/>
      <c r="R245" s="185"/>
    </row>
    <row r="246" spans="2:18" x14ac:dyDescent="0.3">
      <c r="B246" s="652" t="s">
        <v>826</v>
      </c>
      <c r="C246" s="661" t="s">
        <v>733</v>
      </c>
      <c r="D246" s="653">
        <v>1</v>
      </c>
      <c r="E246" s="667" t="s">
        <v>51</v>
      </c>
      <c r="F246" s="658"/>
      <c r="G246" s="659"/>
      <c r="H246" s="659"/>
      <c r="R246" s="185"/>
    </row>
    <row r="247" spans="2:18" x14ac:dyDescent="0.3">
      <c r="B247" s="652" t="s">
        <v>827</v>
      </c>
      <c r="C247" s="661" t="s">
        <v>733</v>
      </c>
      <c r="D247" s="653">
        <v>2</v>
      </c>
      <c r="E247" s="667" t="s">
        <v>51</v>
      </c>
      <c r="F247" s="658"/>
      <c r="G247" s="659"/>
      <c r="H247" s="659"/>
      <c r="R247" s="185"/>
    </row>
    <row r="248" spans="2:18" x14ac:dyDescent="0.3">
      <c r="B248" s="652" t="s">
        <v>825</v>
      </c>
      <c r="C248" s="661" t="s">
        <v>733</v>
      </c>
      <c r="D248" s="653">
        <v>2</v>
      </c>
      <c r="E248" s="667" t="s">
        <v>51</v>
      </c>
      <c r="F248" s="658"/>
      <c r="G248" s="659"/>
      <c r="H248" s="659"/>
      <c r="R248" s="185"/>
    </row>
    <row r="249" spans="2:18" ht="18" x14ac:dyDescent="0.3">
      <c r="B249" s="652" t="s">
        <v>732</v>
      </c>
      <c r="C249" s="661" t="s">
        <v>733</v>
      </c>
      <c r="D249" s="653">
        <v>0.2</v>
      </c>
      <c r="E249" s="617" t="s">
        <v>735</v>
      </c>
      <c r="F249" s="660"/>
      <c r="G249" s="630"/>
      <c r="H249" s="630"/>
      <c r="R249" s="185"/>
    </row>
    <row r="250" spans="2:18" x14ac:dyDescent="0.3">
      <c r="B250" s="652" t="s">
        <v>736</v>
      </c>
      <c r="C250" s="661" t="s">
        <v>733</v>
      </c>
      <c r="D250" s="653">
        <v>0.5</v>
      </c>
      <c r="E250" s="617" t="s">
        <v>739</v>
      </c>
      <c r="R250" s="185"/>
    </row>
    <row r="251" spans="2:18" ht="18" x14ac:dyDescent="0.3">
      <c r="B251" s="652" t="s">
        <v>737</v>
      </c>
      <c r="C251" s="661" t="s">
        <v>733</v>
      </c>
      <c r="D251" s="653">
        <v>0.01</v>
      </c>
      <c r="E251" s="617" t="s">
        <v>735</v>
      </c>
      <c r="R251" s="185"/>
    </row>
    <row r="252" spans="2:18" x14ac:dyDescent="0.3">
      <c r="B252" s="652" t="s">
        <v>738</v>
      </c>
      <c r="C252" s="661" t="s">
        <v>733</v>
      </c>
      <c r="D252" s="653">
        <v>0.2</v>
      </c>
      <c r="E252" s="617" t="s">
        <v>393</v>
      </c>
      <c r="R252" s="185"/>
    </row>
    <row r="253" spans="2:18" ht="18" x14ac:dyDescent="0.3">
      <c r="B253" s="652" t="s">
        <v>740</v>
      </c>
      <c r="C253" s="661" t="s">
        <v>733</v>
      </c>
      <c r="D253" s="653">
        <v>5.0000000000000001E-3</v>
      </c>
      <c r="E253" s="617" t="s">
        <v>735</v>
      </c>
      <c r="R253" s="185"/>
    </row>
    <row r="254" spans="2:18" ht="18" x14ac:dyDescent="0.35">
      <c r="B254" s="652" t="s">
        <v>741</v>
      </c>
      <c r="C254" s="661" t="s">
        <v>733</v>
      </c>
      <c r="D254" s="653">
        <v>0.1</v>
      </c>
      <c r="E254" s="617" t="s">
        <v>273</v>
      </c>
      <c r="R254" s="185"/>
    </row>
    <row r="255" spans="2:18" x14ac:dyDescent="0.3">
      <c r="B255" s="652" t="s">
        <v>742</v>
      </c>
      <c r="C255" s="661" t="s">
        <v>733</v>
      </c>
      <c r="D255" s="653">
        <v>0.5</v>
      </c>
      <c r="E255" s="617" t="s">
        <v>743</v>
      </c>
      <c r="R255" s="185"/>
    </row>
    <row r="256" spans="2:18" x14ac:dyDescent="0.3">
      <c r="B256" s="652" t="s">
        <v>744</v>
      </c>
      <c r="C256" s="661" t="s">
        <v>733</v>
      </c>
      <c r="D256" s="653">
        <v>0.5</v>
      </c>
      <c r="E256" s="617" t="s">
        <v>743</v>
      </c>
      <c r="R256" s="185"/>
    </row>
    <row r="257" spans="1:18" x14ac:dyDescent="0.3">
      <c r="B257" s="652" t="s">
        <v>745</v>
      </c>
      <c r="C257" s="661" t="s">
        <v>733</v>
      </c>
      <c r="D257" s="653">
        <v>0.5</v>
      </c>
      <c r="E257" s="617" t="s">
        <v>746</v>
      </c>
      <c r="R257" s="185"/>
    </row>
    <row r="258" spans="1:18" ht="32.25" customHeight="1" x14ac:dyDescent="0.3">
      <c r="B258" s="739" t="s">
        <v>828</v>
      </c>
      <c r="C258" s="1945" t="s">
        <v>830</v>
      </c>
      <c r="D258" s="1946"/>
      <c r="E258" s="1947"/>
      <c r="R258" s="185"/>
    </row>
    <row r="259" spans="1:18" x14ac:dyDescent="0.3">
      <c r="B259" s="652" t="s">
        <v>747</v>
      </c>
      <c r="C259" s="661" t="s">
        <v>733</v>
      </c>
      <c r="D259" s="653">
        <v>2</v>
      </c>
      <c r="E259" s="617" t="s">
        <v>273</v>
      </c>
      <c r="R259" s="185"/>
    </row>
    <row r="260" spans="1:18" x14ac:dyDescent="0.3">
      <c r="B260" s="1" t="s">
        <v>748</v>
      </c>
      <c r="C260" s="661" t="s">
        <v>733</v>
      </c>
      <c r="D260" s="18">
        <v>1</v>
      </c>
      <c r="E260" s="617" t="s">
        <v>273</v>
      </c>
      <c r="R260" s="185"/>
    </row>
    <row r="261" spans="1:18" x14ac:dyDescent="0.3">
      <c r="B261" s="1" t="s">
        <v>749</v>
      </c>
      <c r="C261" s="661" t="s">
        <v>733</v>
      </c>
      <c r="D261" s="18">
        <v>1</v>
      </c>
      <c r="E261" s="617" t="s">
        <v>273</v>
      </c>
      <c r="R261" s="185"/>
    </row>
    <row r="262" spans="1:18" x14ac:dyDescent="0.3">
      <c r="B262" s="1" t="s">
        <v>750</v>
      </c>
      <c r="C262" s="661" t="s">
        <v>733</v>
      </c>
      <c r="D262" s="18">
        <v>1</v>
      </c>
      <c r="E262" s="617" t="s">
        <v>273</v>
      </c>
      <c r="R262" s="185"/>
    </row>
    <row r="263" spans="1:18" x14ac:dyDescent="0.3">
      <c r="B263" s="1" t="s">
        <v>751</v>
      </c>
      <c r="C263" s="661" t="s">
        <v>733</v>
      </c>
      <c r="D263" s="18">
        <v>1</v>
      </c>
      <c r="E263" s="617" t="s">
        <v>273</v>
      </c>
      <c r="R263" s="185"/>
    </row>
    <row r="264" spans="1:18" x14ac:dyDescent="0.3">
      <c r="B264" s="1" t="s">
        <v>752</v>
      </c>
      <c r="C264" s="661" t="s">
        <v>733</v>
      </c>
      <c r="D264" s="18">
        <v>1</v>
      </c>
      <c r="E264" s="617" t="s">
        <v>273</v>
      </c>
      <c r="R264" s="185"/>
    </row>
    <row r="265" spans="1:18" ht="17.25" thickBot="1" x14ac:dyDescent="0.35">
      <c r="B265" s="346" t="s">
        <v>829</v>
      </c>
      <c r="C265" s="1948"/>
      <c r="D265" s="1949"/>
      <c r="E265" s="1950"/>
      <c r="R265" s="185"/>
    </row>
    <row r="266" spans="1:18" x14ac:dyDescent="0.3">
      <c r="R266" s="185"/>
    </row>
    <row r="267" spans="1:18" x14ac:dyDescent="0.3">
      <c r="A267" s="185"/>
      <c r="B267" s="185"/>
      <c r="C267" s="185"/>
      <c r="D267" s="185"/>
      <c r="E267" s="185"/>
      <c r="F267" s="185"/>
      <c r="G267" s="185"/>
      <c r="H267" s="185"/>
      <c r="I267" s="185"/>
      <c r="J267" s="185"/>
      <c r="K267" s="185"/>
      <c r="L267" s="185"/>
      <c r="M267" s="185"/>
      <c r="N267" s="185"/>
      <c r="O267" s="185"/>
      <c r="P267" s="185"/>
      <c r="Q267" s="185"/>
      <c r="R267" s="185"/>
    </row>
  </sheetData>
  <sheetProtection algorithmName="SHA-512" hashValue="oNhLaomAR6d1uYKaJgJlJm+1gAZclmAdBsBjnnJCoeKg1l887/CrrtcZ69jKG0QPSPtcj+xqyl+FbnQgnzJFOw==" saltValue="OqCPgRQ8XaXNL0z5YMKUYw==" spinCount="100000" sheet="1" selectLockedCells="1"/>
  <mergeCells count="52">
    <mergeCell ref="C258:E258"/>
    <mergeCell ref="C265:E265"/>
    <mergeCell ref="C245:E245"/>
    <mergeCell ref="B244:E244"/>
    <mergeCell ref="B119:B122"/>
    <mergeCell ref="D220:E220"/>
    <mergeCell ref="B179:B180"/>
    <mergeCell ref="B109:B110"/>
    <mergeCell ref="F119:F120"/>
    <mergeCell ref="E119:E120"/>
    <mergeCell ref="D119:D120"/>
    <mergeCell ref="C119:C120"/>
    <mergeCell ref="F220:G220"/>
    <mergeCell ref="B220:C220"/>
    <mergeCell ref="B221:C221"/>
    <mergeCell ref="G135:G136"/>
    <mergeCell ref="B135:C135"/>
    <mergeCell ref="B178:L178"/>
    <mergeCell ref="D135:F135"/>
    <mergeCell ref="B146:C146"/>
    <mergeCell ref="B147:C147"/>
    <mergeCell ref="D146:D147"/>
    <mergeCell ref="J160:K162"/>
    <mergeCell ref="B192:C193"/>
    <mergeCell ref="D192:D193"/>
    <mergeCell ref="E192:E193"/>
    <mergeCell ref="E212:F212"/>
    <mergeCell ref="C212:D212"/>
    <mergeCell ref="N120:N121"/>
    <mergeCell ref="O119:O121"/>
    <mergeCell ref="P120:P121"/>
    <mergeCell ref="L120:M120"/>
    <mergeCell ref="J120:K120"/>
    <mergeCell ref="J121:K121"/>
    <mergeCell ref="L121:M121"/>
    <mergeCell ref="L119:M119"/>
    <mergeCell ref="G120:I120"/>
    <mergeCell ref="H121:I121"/>
    <mergeCell ref="E109:F109"/>
    <mergeCell ref="C109:D109"/>
    <mergeCell ref="J119:K119"/>
    <mergeCell ref="G119:I119"/>
    <mergeCell ref="B2:C2"/>
    <mergeCell ref="E100:F100"/>
    <mergeCell ref="B100:B101"/>
    <mergeCell ref="C100:C101"/>
    <mergeCell ref="D100:D101"/>
    <mergeCell ref="G179:G180"/>
    <mergeCell ref="F179:F180"/>
    <mergeCell ref="E179:E180"/>
    <mergeCell ref="D179:D180"/>
    <mergeCell ref="C179:C180"/>
  </mergeCells>
  <phoneticPr fontId="28" type="noConversion"/>
  <hyperlinks>
    <hyperlink ref="H4" location="Instructions!C33" display="Back to Instructions tab" xr:uid="{00000000-0004-0000-0D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E26"/>
  <sheetViews>
    <sheetView showGridLines="0" zoomScale="80" zoomScaleNormal="80" workbookViewId="0">
      <selection activeCell="B13" sqref="B13"/>
    </sheetView>
  </sheetViews>
  <sheetFormatPr defaultColWidth="9" defaultRowHeight="16.5" x14ac:dyDescent="0.3"/>
  <cols>
    <col min="1" max="1" width="3.625" style="60" customWidth="1"/>
    <col min="2" max="2" width="29" style="71" customWidth="1"/>
    <col min="3" max="3" width="54.625" style="59" customWidth="1"/>
    <col min="4" max="4" width="5.625" style="60" customWidth="1"/>
    <col min="5" max="5" width="3.375" style="60" customWidth="1"/>
    <col min="6" max="16384" width="9" style="60"/>
  </cols>
  <sheetData>
    <row r="1" spans="2:5" ht="17.25" customHeight="1" thickBot="1" x14ac:dyDescent="0.35">
      <c r="B1" s="59"/>
      <c r="C1" s="60"/>
      <c r="E1" s="61"/>
    </row>
    <row r="2" spans="2:5" ht="18" thickBot="1" x14ac:dyDescent="0.35">
      <c r="B2" s="1510" t="s">
        <v>228</v>
      </c>
      <c r="C2" s="1511"/>
      <c r="E2" s="61"/>
    </row>
    <row r="3" spans="2:5" x14ac:dyDescent="0.3">
      <c r="B3" s="206" t="s">
        <v>229</v>
      </c>
      <c r="C3" s="207" t="s">
        <v>252</v>
      </c>
      <c r="E3" s="61"/>
    </row>
    <row r="4" spans="2:5" x14ac:dyDescent="0.3">
      <c r="B4" s="208" t="s">
        <v>117</v>
      </c>
      <c r="C4" s="209" t="str">
        <f>INDEX(B13:B62,COUNTA(B13:B62),1)</f>
        <v>v2.1</v>
      </c>
      <c r="E4" s="61"/>
    </row>
    <row r="5" spans="2:5" x14ac:dyDescent="0.3">
      <c r="B5" s="208" t="s">
        <v>118</v>
      </c>
      <c r="C5" s="210">
        <f>IF(MAX(B13:C104)=0,"No Revisions Dates Entered",MAX(C13:C104))</f>
        <v>45407</v>
      </c>
      <c r="E5" s="61"/>
    </row>
    <row r="6" spans="2:5" x14ac:dyDescent="0.3">
      <c r="B6" s="211" t="s">
        <v>116</v>
      </c>
      <c r="C6" s="212" t="str">
        <f ca="1">MID(CELL("filename",A1), FIND("]", CELL("filename", A1))+ 1, 255)</f>
        <v>Version Control</v>
      </c>
      <c r="E6" s="61"/>
    </row>
    <row r="7" spans="2:5" x14ac:dyDescent="0.3">
      <c r="B7" s="213" t="s">
        <v>115</v>
      </c>
      <c r="C7" s="214" t="str">
        <f ca="1">MID(CELL("FILENAME",F16),FIND("[",CELL("FILENAME",F16))+1,FIND("]",CELL("FILENAME",F16))-FIND("[",CELL("FILENAME",F16))-1)</f>
        <v>Consumer Boiler - v2.1.xlsx</v>
      </c>
      <c r="E7" s="61"/>
    </row>
    <row r="8" spans="2:5" ht="17.25" thickBot="1" x14ac:dyDescent="0.35">
      <c r="B8" s="215" t="s">
        <v>119</v>
      </c>
      <c r="C8" s="216" t="str">
        <f>'General Info &amp; Test Results'!C17</f>
        <v>[MM/DD/YYYY]</v>
      </c>
      <c r="E8" s="61"/>
    </row>
    <row r="9" spans="2:5" x14ac:dyDescent="0.3">
      <c r="B9" s="60"/>
      <c r="C9" s="60"/>
      <c r="E9" s="61"/>
    </row>
    <row r="10" spans="2:5" ht="17.25" thickBot="1" x14ac:dyDescent="0.35">
      <c r="B10" s="60"/>
      <c r="C10" s="60"/>
      <c r="E10" s="61"/>
    </row>
    <row r="11" spans="2:5" ht="18" thickBot="1" x14ac:dyDescent="0.35">
      <c r="B11" s="62" t="s">
        <v>120</v>
      </c>
      <c r="C11" s="63"/>
      <c r="E11" s="61"/>
    </row>
    <row r="12" spans="2:5" ht="18" thickBot="1" x14ac:dyDescent="0.4">
      <c r="B12" s="64" t="s">
        <v>121</v>
      </c>
      <c r="C12" s="65" t="s">
        <v>122</v>
      </c>
      <c r="E12" s="61"/>
    </row>
    <row r="13" spans="2:5" x14ac:dyDescent="0.3">
      <c r="B13" s="177" t="s">
        <v>253</v>
      </c>
      <c r="C13" s="66">
        <v>43523</v>
      </c>
      <c r="E13" s="61"/>
    </row>
    <row r="14" spans="2:5" x14ac:dyDescent="0.3">
      <c r="B14" s="188" t="s">
        <v>1036</v>
      </c>
      <c r="C14" s="67">
        <v>43644</v>
      </c>
      <c r="D14" s="68"/>
      <c r="E14" s="61"/>
    </row>
    <row r="15" spans="2:5" x14ac:dyDescent="0.3">
      <c r="B15" s="188" t="s">
        <v>1037</v>
      </c>
      <c r="C15" s="67">
        <v>43685</v>
      </c>
      <c r="E15" s="61"/>
    </row>
    <row r="16" spans="2:5" x14ac:dyDescent="0.3">
      <c r="B16" s="188" t="s">
        <v>1038</v>
      </c>
      <c r="C16" s="67">
        <v>43699</v>
      </c>
      <c r="E16" s="61"/>
    </row>
    <row r="17" spans="1:5" x14ac:dyDescent="0.3">
      <c r="B17" s="188" t="s">
        <v>1040</v>
      </c>
      <c r="C17" s="67">
        <v>43721</v>
      </c>
      <c r="E17" s="61"/>
    </row>
    <row r="18" spans="1:5" x14ac:dyDescent="0.3">
      <c r="B18" s="1157" t="s">
        <v>1054</v>
      </c>
      <c r="C18" s="1158">
        <v>44624</v>
      </c>
      <c r="E18" s="61"/>
    </row>
    <row r="19" spans="1:5" x14ac:dyDescent="0.3">
      <c r="B19" s="315" t="s">
        <v>1056</v>
      </c>
      <c r="C19" s="316">
        <v>44795</v>
      </c>
      <c r="E19" s="61"/>
    </row>
    <row r="20" spans="1:5" x14ac:dyDescent="0.3">
      <c r="B20" s="315" t="s">
        <v>1057</v>
      </c>
      <c r="C20" s="316">
        <v>44841</v>
      </c>
      <c r="E20" s="61"/>
    </row>
    <row r="21" spans="1:5" x14ac:dyDescent="0.3">
      <c r="B21" s="315" t="s">
        <v>1206</v>
      </c>
      <c r="C21" s="316">
        <v>45072</v>
      </c>
      <c r="E21" s="61"/>
    </row>
    <row r="22" spans="1:5" x14ac:dyDescent="0.3">
      <c r="B22" s="315" t="s">
        <v>1207</v>
      </c>
      <c r="C22" s="316">
        <v>45299</v>
      </c>
      <c r="E22" s="61"/>
    </row>
    <row r="23" spans="1:5" x14ac:dyDescent="0.3">
      <c r="B23" s="315" t="s">
        <v>1315</v>
      </c>
      <c r="C23" s="316">
        <v>45407</v>
      </c>
      <c r="E23" s="61"/>
    </row>
    <row r="24" spans="1:5" ht="17.25" thickBot="1" x14ac:dyDescent="0.35">
      <c r="B24" s="69"/>
      <c r="C24" s="70"/>
      <c r="E24" s="61"/>
    </row>
    <row r="25" spans="1:5" x14ac:dyDescent="0.3">
      <c r="E25" s="61"/>
    </row>
    <row r="26" spans="1:5" x14ac:dyDescent="0.3">
      <c r="A26" s="61"/>
      <c r="B26" s="72"/>
      <c r="C26" s="73"/>
      <c r="D26" s="61"/>
      <c r="E26" s="61"/>
    </row>
  </sheetData>
  <sheetProtection algorithmName="SHA-512" hashValue="2Aj6Z4ck9NfzezO5fgEsLHR99VQybER8PIK1DpSqDhogHpMrJTGZ8AFf4WuYwVnrSJiSpdkPQNGoUXOfSEkuWg==" saltValue="V5Q3UzOfNYhrMpgE6PnB3Q==" spinCount="100000" sheet="1" selectLockedCells="1"/>
  <mergeCells count="1">
    <mergeCell ref="B2:C2"/>
  </mergeCells>
  <phoneticPr fontId="2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8A322910C88F41AF3CECC9D84C45A0" ma:contentTypeVersion="11" ma:contentTypeDescription="Create a new document." ma:contentTypeScope="" ma:versionID="252cd865b362443dfba2e08aac02fe67">
  <xsd:schema xmlns:xsd="http://www.w3.org/2001/XMLSchema" xmlns:xs="http://www.w3.org/2001/XMLSchema" xmlns:p="http://schemas.microsoft.com/office/2006/metadata/properties" xmlns:ns3="6b21f2cd-7e21-4a27-a68e-70a292afbeff" xmlns:ns4="d7333f67-cf4f-43be-a4a5-11b0519b9950" targetNamespace="http://schemas.microsoft.com/office/2006/metadata/properties" ma:root="true" ma:fieldsID="68f0aac4be342145be0a5e9c4471b564" ns3:_="" ns4:_="">
    <xsd:import namespace="6b21f2cd-7e21-4a27-a68e-70a292afbeff"/>
    <xsd:import namespace="d7333f67-cf4f-43be-a4a5-11b0519b995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1f2cd-7e21-4a27-a68e-70a292afbe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333f67-cf4f-43be-a4a5-11b0519b995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activity xmlns="6b21f2cd-7e21-4a27-a68e-70a292afbeff" xsi:nil="true"/>
  </documentManagement>
</p:properties>
</file>

<file path=customXml/itemProps1.xml><?xml version="1.0" encoding="utf-8"?>
<ds:datastoreItem xmlns:ds="http://schemas.openxmlformats.org/officeDocument/2006/customXml" ds:itemID="{ABE40968-CB88-41BD-984A-98F80656E24F}">
  <ds:schemaRefs>
    <ds:schemaRef ds:uri="http://schemas.microsoft.com/sharepoint/v3/contenttype/forms"/>
  </ds:schemaRefs>
</ds:datastoreItem>
</file>

<file path=customXml/itemProps2.xml><?xml version="1.0" encoding="utf-8"?>
<ds:datastoreItem xmlns:ds="http://schemas.openxmlformats.org/officeDocument/2006/customXml" ds:itemID="{C53657B2-74A3-44CC-9186-B87065430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1f2cd-7e21-4a27-a68e-70a292afbeff"/>
    <ds:schemaRef ds:uri="d7333f67-cf4f-43be-a4a5-11b0519b99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EA485A-A43B-49A3-AE42-38EF318E7E5E}">
  <ds:schemaRefs>
    <ds:schemaRef ds:uri="http://purl.org/dc/dcmitype/"/>
    <ds:schemaRef ds:uri="d7333f67-cf4f-43be-a4a5-11b0519b9950"/>
    <ds:schemaRef ds:uri="6b21f2cd-7e21-4a27-a68e-70a292afbeff"/>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1085</vt:i4>
      </vt:variant>
    </vt:vector>
  </HeadingPairs>
  <TitlesOfParts>
    <vt:vector size="1108" baseType="lpstr">
      <vt:lpstr>Instructions</vt:lpstr>
      <vt:lpstr>General Info &amp; Test Results</vt:lpstr>
      <vt:lpstr>Sys. # &amp; Product Characteristic</vt:lpstr>
      <vt:lpstr>Instrumentation</vt:lpstr>
      <vt:lpstr>Test Conditions</vt:lpstr>
      <vt:lpstr>Standby &amp; Off Power</vt:lpstr>
      <vt:lpstr>Jacket Loss</vt:lpstr>
      <vt:lpstr>Max Test</vt:lpstr>
      <vt:lpstr>Reduced Test</vt:lpstr>
      <vt:lpstr>Cyclic Timing Calculations</vt:lpstr>
      <vt:lpstr>Electric F, B Calculations</vt:lpstr>
      <vt:lpstr> Non-Con, Non-Mod Calculations</vt:lpstr>
      <vt:lpstr>Con, Non-Mod Calculations</vt:lpstr>
      <vt:lpstr>Non-Con, Mod Calculations</vt:lpstr>
      <vt:lpstr>Con, Mod Calculations</vt:lpstr>
      <vt:lpstr>Input Steady State Test Data</vt:lpstr>
      <vt:lpstr>Input Cool-Down Test Data</vt:lpstr>
      <vt:lpstr>Input Heat-Up Test Data</vt:lpstr>
      <vt:lpstr>Photos</vt:lpstr>
      <vt:lpstr>Comments</vt:lpstr>
      <vt:lpstr>Report Sign-Off Block</vt:lpstr>
      <vt:lpstr>Drop-Downs and Tables</vt:lpstr>
      <vt:lpstr>Version Control</vt:lpstr>
      <vt:lpstr>' Non-Con, Non-Mod Calculations'!A</vt:lpstr>
      <vt:lpstr>'Con, Non-Mod Calculations'!A</vt:lpstr>
      <vt:lpstr>'Test Conditions'!A.D</vt:lpstr>
      <vt:lpstr>'Test Conditions'!A.O</vt:lpstr>
      <vt:lpstr>'Test Conditions'!A.OD</vt:lpstr>
      <vt:lpstr>'Test Conditions'!A.OL</vt:lpstr>
      <vt:lpstr>'Test Conditions'!A.S</vt:lpstr>
      <vt:lpstr>' Non-Con, Non-Mod Calculations'!A_1</vt:lpstr>
      <vt:lpstr>'Con, Mod Calculations'!A_DOE_Max</vt:lpstr>
      <vt:lpstr>'Non-Con, Mod Calculations'!A_DOE_Max</vt:lpstr>
      <vt:lpstr>'Con, Mod Calculations'!A_DOE_Reduced</vt:lpstr>
      <vt:lpstr>'Non-Con, Mod Calculations'!A_DOE_Reduced</vt:lpstr>
      <vt:lpstr>'Con, Mod Calculations'!A_Max</vt:lpstr>
      <vt:lpstr>'Non-Con, Mod Calculations'!A_Max</vt:lpstr>
      <vt:lpstr>'Con, Mod Calculations'!A_Mod</vt:lpstr>
      <vt:lpstr>'Non-Con, Mod Calculations'!A_Mod</vt:lpstr>
      <vt:lpstr>'Con, Mod Calculations'!A_Reduced</vt:lpstr>
      <vt:lpstr>'Non-Con, Mod Calculations'!A_Reduced</vt:lpstr>
      <vt:lpstr>' Non-Con, Non-Mod Calculations'!AF</vt:lpstr>
      <vt:lpstr>'Con, Non-Mod Calculations'!AF</vt:lpstr>
      <vt:lpstr>'Con, Mod Calculations'!AF_Max</vt:lpstr>
      <vt:lpstr>'Non-Con, Mod Calculations'!AF_Max</vt:lpstr>
      <vt:lpstr>'Con, Mod Calculations'!AF_Reduced</vt:lpstr>
      <vt:lpstr>'Non-Con, Mod Calculations'!AF_Reduced</vt:lpstr>
      <vt:lpstr>' Non-Con, Non-Mod Calculations'!AFUE</vt:lpstr>
      <vt:lpstr>'Con, Mod Calculations'!AFUE</vt:lpstr>
      <vt:lpstr>'Con, Non-Mod Calculations'!AFUE</vt:lpstr>
      <vt:lpstr>'Electric F, B Calculations'!AFUE</vt:lpstr>
      <vt:lpstr>'Non-Con, Mod Calculations'!AFUE</vt:lpstr>
      <vt:lpstr>' Non-Con, Non-Mod Calculations'!alpha</vt:lpstr>
      <vt:lpstr>'Con, Mod Calculations'!alpha</vt:lpstr>
      <vt:lpstr>'Con, Non-Mod Calculations'!alpha</vt:lpstr>
      <vt:lpstr>'Non-Con, Mod Calculations'!alpha</vt:lpstr>
      <vt:lpstr>Alpha</vt:lpstr>
      <vt:lpstr>'Cyclic Timing Calculations'!Alpha.R</vt:lpstr>
      <vt:lpstr>'Cyclic Timing Calculations'!Alpha_Max</vt:lpstr>
      <vt:lpstr>'Cyclic Timing Calculations'!Alpha_Reduced</vt:lpstr>
      <vt:lpstr>'Sys. # &amp; Product Characteristic'!Attached_Barometric_Damper</vt:lpstr>
      <vt:lpstr>'Con, Mod Calculations'!Avg_HDD</vt:lpstr>
      <vt:lpstr>'Con, Non-Mod Calculations'!Avg_HDD</vt:lpstr>
      <vt:lpstr>'Electric F, B Calculations'!Avg_Heating_Load_Hours</vt:lpstr>
      <vt:lpstr>' Non-Con, Non-Mod Calculations'!Avg_Heating_Season_Hrs</vt:lpstr>
      <vt:lpstr>'Con, Mod Calculations'!Avg_Heating_Season_Hrs</vt:lpstr>
      <vt:lpstr>'Con, Non-Mod Calculations'!Avg_Heating_Season_Hrs</vt:lpstr>
      <vt:lpstr>'Electric F, B Calculations'!Avg_Heating_Season_Hrs</vt:lpstr>
      <vt:lpstr>'Non-Con, Mod Calculations'!Avg_Heating_Season_Hrs</vt:lpstr>
      <vt:lpstr>' Non-Con, Non-Mod Calculations'!Avg_HLH</vt:lpstr>
      <vt:lpstr>'Con, Non-Mod Calculations'!Avg_HLH</vt:lpstr>
      <vt:lpstr>'Non-Con, Mod Calculations'!Avg_HLH</vt:lpstr>
      <vt:lpstr>Avg_HLH</vt:lpstr>
      <vt:lpstr>'Non-Con, Mod Calculations'!Avg_NonHeating_Season_Hours</vt:lpstr>
      <vt:lpstr>' Non-Con, Non-Mod Calculations'!Avg_NonHeating_Season_Hrs</vt:lpstr>
      <vt:lpstr>'Con, Mod Calculations'!Avg_NonHeating_Season_Hrs</vt:lpstr>
      <vt:lpstr>'Con, Non-Mod Calculations'!Avg_NonHeating_Season_Hrs</vt:lpstr>
      <vt:lpstr>'Electric F, B Calculations'!Avg_NonHeating_Season_Hrs</vt:lpstr>
      <vt:lpstr>' Non-Con, Non-Mod Calculations'!B</vt:lpstr>
      <vt:lpstr>'Con, Non-Mod Calculations'!B</vt:lpstr>
      <vt:lpstr>' Non-Con, Non-Mod Calculations'!B_1</vt:lpstr>
      <vt:lpstr>'Con, Mod Calculations'!B_DOE_Max</vt:lpstr>
      <vt:lpstr>'Non-Con, Mod Calculations'!B_DOE_Max</vt:lpstr>
      <vt:lpstr>'Non-Con, Mod Calculations'!B_DOE_Reduced</vt:lpstr>
      <vt:lpstr>B_DOE_Reduced</vt:lpstr>
      <vt:lpstr>'Con, Mod Calculations'!B_Max</vt:lpstr>
      <vt:lpstr>'Non-Con, Mod Calculations'!B_Max</vt:lpstr>
      <vt:lpstr>'Con, Mod Calculations'!B_Mod</vt:lpstr>
      <vt:lpstr>'Non-Con, Mod Calculations'!B_Mod</vt:lpstr>
      <vt:lpstr>'Con, Mod Calculations'!B_Reduced</vt:lpstr>
      <vt:lpstr>'Non-Con, Mod Calculations'!B_Reduced</vt:lpstr>
      <vt:lpstr>' Non-Con, Non-Mod Calculations'!BE</vt:lpstr>
      <vt:lpstr>'Con, Non-Mod Calculations'!BE</vt:lpstr>
      <vt:lpstr>'Max Test'!BE</vt:lpstr>
      <vt:lpstr>'Reduced Test'!BE</vt:lpstr>
      <vt:lpstr>'Con, Mod Calculations'!BE_Max</vt:lpstr>
      <vt:lpstr>'Non-Con, Mod Calculations'!BE_Max</vt:lpstr>
      <vt:lpstr>'Con, Mod Calculations'!BE_Reduced</vt:lpstr>
      <vt:lpstr>'Non-Con, Mod Calculations'!BE_Reduced</vt:lpstr>
      <vt:lpstr>' Non-Con, Non-Mod Calculations'!BOH</vt:lpstr>
      <vt:lpstr>'Con, Mod Calculations'!BOH</vt:lpstr>
      <vt:lpstr>'Con, Non-Mod Calculations'!BOH</vt:lpstr>
      <vt:lpstr>'Electric F, B Calculations'!BOH</vt:lpstr>
      <vt:lpstr>'Non-Con, Mod Calculations'!BOH</vt:lpstr>
      <vt:lpstr>' Non-Con, Non-Mod Calculations'!BOH.M</vt:lpstr>
      <vt:lpstr>'Con, Mod Calculations'!BOH.M</vt:lpstr>
      <vt:lpstr>'Non-Con, Mod Calculations'!BOH.M</vt:lpstr>
      <vt:lpstr>' Non-Con, Non-Mod Calculations'!BOH.RH</vt:lpstr>
      <vt:lpstr>'Con, Mod Calculations'!BOH.RH_Max</vt:lpstr>
      <vt:lpstr>'Non-Con, Mod Calculations'!BOH.RH_Max</vt:lpstr>
      <vt:lpstr>'Con, Mod Calculations'!BOH.RH_Reduced</vt:lpstr>
      <vt:lpstr>'Non-Con, Mod Calculations'!BOH.RH_Reduced</vt:lpstr>
      <vt:lpstr>' Non-Con, Non-Mod Calculations'!BOH.SS</vt:lpstr>
      <vt:lpstr>'Con, Mod Calculations'!BOH.SS</vt:lpstr>
      <vt:lpstr>'Con, Non-Mod Calculations'!BOH.SS</vt:lpstr>
      <vt:lpstr>'Non-Con, Mod Calculations'!BOH.SS</vt:lpstr>
      <vt:lpstr>'General Info &amp; Test Results'!Brand</vt:lpstr>
      <vt:lpstr>'Sys. # &amp; Product Characteristic'!Burner_Type</vt:lpstr>
      <vt:lpstr>' Non-Con, Non-Mod Calculations'!C.IID</vt:lpstr>
      <vt:lpstr>'Con, Non-Mod Calculations'!C.IID</vt:lpstr>
      <vt:lpstr>'Con, Mod Calculations'!C.IID_Max</vt:lpstr>
      <vt:lpstr>'Non-Con, Mod Calculations'!C.IID_Max</vt:lpstr>
      <vt:lpstr>'Con, Mod Calculations'!C.IID_Reduced</vt:lpstr>
      <vt:lpstr>'Non-Con, Mod Calculations'!C.IID_Reduced</vt:lpstr>
      <vt:lpstr>' Non-Con, Non-Mod Calculations'!C.J</vt:lpstr>
      <vt:lpstr>'Con, Non-Mod Calculations'!C.J</vt:lpstr>
      <vt:lpstr>'Con, Mod Calculations'!C.J_Max</vt:lpstr>
      <vt:lpstr>'Non-Con, Mod Calculations'!C.J_Max</vt:lpstr>
      <vt:lpstr>'Con, Mod Calculations'!C.J_Reduced</vt:lpstr>
      <vt:lpstr>'Non-Con, Mod Calculations'!C.J_Reduced</vt:lpstr>
      <vt:lpstr>' Non-Con, Non-Mod Calculations'!C.P</vt:lpstr>
      <vt:lpstr>'Con, Non-Mod Calculations'!C.P</vt:lpstr>
      <vt:lpstr>'Con, Mod Calculations'!C.P_Max</vt:lpstr>
      <vt:lpstr>'Non-Con, Mod Calculations'!C.P_Max</vt:lpstr>
      <vt:lpstr>'Con, Mod Calculations'!C.P_Reduced</vt:lpstr>
      <vt:lpstr>'Non-Con, Mod Calculations'!C.P_Reduced</vt:lpstr>
      <vt:lpstr>' Non-Con, Non-Mod Calculations'!C.S</vt:lpstr>
      <vt:lpstr>'Con, Non-Mod Calculations'!C.S</vt:lpstr>
      <vt:lpstr>'Con, Mod Calculations'!C.S_Max</vt:lpstr>
      <vt:lpstr>'Non-Con, Mod Calculations'!C.S_Max</vt:lpstr>
      <vt:lpstr>'Con, Mod Calculations'!C.S_Reduced</vt:lpstr>
      <vt:lpstr>'Non-Con, Mod Calculations'!C.S_Reduced</vt:lpstr>
      <vt:lpstr>' Non-Con, Non-Mod Calculations'!C.T</vt:lpstr>
      <vt:lpstr>'Con, Non-Mod Calculations'!C.T</vt:lpstr>
      <vt:lpstr>'Max Test'!C.T</vt:lpstr>
      <vt:lpstr>'Reduced Test'!C.T_Closed_KL</vt:lpstr>
      <vt:lpstr>'Max Test'!C.T_Closed_TG</vt:lpstr>
      <vt:lpstr>'Con, Mod Calculations'!C.T_Max</vt:lpstr>
      <vt:lpstr>'Non-Con, Mod Calculations'!C.T_Max</vt:lpstr>
      <vt:lpstr>'Reduced Test'!C.T_Open_KL</vt:lpstr>
      <vt:lpstr>'Max Test'!C.T_Open_TG</vt:lpstr>
      <vt:lpstr>'Con, Mod Calculations'!C.T_Reduced</vt:lpstr>
      <vt:lpstr>'Non-Con, Mod Calculations'!C.T_Reduced</vt:lpstr>
      <vt:lpstr>'Max Test'!C.T_TG</vt:lpstr>
      <vt:lpstr>'Reduced Test'!C.T_TG</vt:lpstr>
      <vt:lpstr>'Max Test'!C.TB_Closed</vt:lpstr>
      <vt:lpstr>'Reduced Test'!C.TB_Closed</vt:lpstr>
      <vt:lpstr>'Max Test'!C.TB_Open</vt:lpstr>
      <vt:lpstr>'Reduced Test'!C.TB_Open</vt:lpstr>
      <vt:lpstr>' Non-Con, Non-Mod Calculations'!C.TM</vt:lpstr>
      <vt:lpstr>'Con, Non-Mod Calculations'!C.TM</vt:lpstr>
      <vt:lpstr>'Max Test'!C.TM</vt:lpstr>
      <vt:lpstr>'Reduced Test'!C.TM_Closed_KL</vt:lpstr>
      <vt:lpstr>'Max Test'!C.TM_Closed_TG</vt:lpstr>
      <vt:lpstr>'Con, Mod Calculations'!C.TM_Max</vt:lpstr>
      <vt:lpstr>'Non-Con, Mod Calculations'!C.TM_Max</vt:lpstr>
      <vt:lpstr>'Reduced Test'!C.TM_Open_KL</vt:lpstr>
      <vt:lpstr>'Max Test'!C.TM_Open_TG</vt:lpstr>
      <vt:lpstr>'Con, Mod Calculations'!C.TM_Reduced</vt:lpstr>
      <vt:lpstr>'Non-Con, Mod Calculations'!C.TM_Reduced</vt:lpstr>
      <vt:lpstr>'Reduced Test'!C.TM_TG</vt:lpstr>
      <vt:lpstr>' Non-Con, Non-Mod Calculations'!C.TOFF</vt:lpstr>
      <vt:lpstr>'Con, Non-Mod Calculations'!C.TOFF</vt:lpstr>
      <vt:lpstr>'Con, Mod Calculations'!C.TOFF_Max</vt:lpstr>
      <vt:lpstr>'Non-Con, Mod Calculations'!C.TOFF_Max</vt:lpstr>
      <vt:lpstr>'Con, Mod Calculations'!C.TOFF_Reduced</vt:lpstr>
      <vt:lpstr>'Non-Con, Mod Calculations'!C.TOFF_Reduced</vt:lpstr>
      <vt:lpstr>' Non-Con, Non-Mod Calculations'!C.TON</vt:lpstr>
      <vt:lpstr>'Con, Non-Mod Calculations'!C.TON</vt:lpstr>
      <vt:lpstr>'Non-Con, Mod Calculations'!C.TON</vt:lpstr>
      <vt:lpstr>'Con, Mod Calculations'!C.TON_Max</vt:lpstr>
      <vt:lpstr>'Con, Mod Calculations'!C.TON_Reduced</vt:lpstr>
      <vt:lpstr>'Non-Con, Mod Calculations'!C.TON_Reduced</vt:lpstr>
      <vt:lpstr>' Non-Con, Non-Mod Calculations'!C.TS</vt:lpstr>
      <vt:lpstr>'Con, Non-Mod Calculations'!C.TS</vt:lpstr>
      <vt:lpstr>'Con, Mod Calculations'!C.TS_Max</vt:lpstr>
      <vt:lpstr>'Non-Con, Mod Calculations'!C.TS_Max</vt:lpstr>
      <vt:lpstr>'Con, Mod Calculations'!C.TS_Reduced</vt:lpstr>
      <vt:lpstr>'Non-Con, Mod Calculations'!C.TS_Reduced</vt:lpstr>
      <vt:lpstr>' Non-Con, Non-Mod Calculations'!C1.S</vt:lpstr>
      <vt:lpstr>'Con, Non-Mod Calculations'!C1.S</vt:lpstr>
      <vt:lpstr>'Con, Mod Calculations'!C1.S_Max</vt:lpstr>
      <vt:lpstr>'Non-Con, Mod Calculations'!C1.S_Max</vt:lpstr>
      <vt:lpstr>'Con, Mod Calculations'!C1.S_Reduced</vt:lpstr>
      <vt:lpstr>'Non-Con, Mod Calculations'!C1.S_Reduced</vt:lpstr>
      <vt:lpstr>Circulation</vt:lpstr>
      <vt:lpstr>'General Info &amp; Test Results'!Condition_as_received</vt:lpstr>
      <vt:lpstr>'Sys. # &amp; Product Characteristic'!Control_Type</vt:lpstr>
      <vt:lpstr>'Max Test'!Cool_Down_End</vt:lpstr>
      <vt:lpstr>'Reduced Test'!Cool_Down_End</vt:lpstr>
      <vt:lpstr>'Max Test'!Cool_Down_Start</vt:lpstr>
      <vt:lpstr>'Reduced Test'!Cool_Down_Start</vt:lpstr>
      <vt:lpstr>' Non-Con, Non-Mod Calculations'!D.F</vt:lpstr>
      <vt:lpstr>'Con, Non-Mod Calculations'!D.F</vt:lpstr>
      <vt:lpstr>'Con, Mod Calculations'!D.F_Max</vt:lpstr>
      <vt:lpstr>'Non-Con, Mod Calculations'!D.F_Max</vt:lpstr>
      <vt:lpstr>'Non-Con, Mod Calculations'!D.F_Max_Power_Burner_Direct_Vent</vt:lpstr>
      <vt:lpstr>' Non-Con, Non-Mod Calculations'!D.F_Power_Burner_Direct_Vent</vt:lpstr>
      <vt:lpstr>'Con, Non-Mod Calculations'!D.F_Power_Burner_Direct_Vent</vt:lpstr>
      <vt:lpstr>'Con, Mod Calculations'!D.F_Power_Burner_Direct_Vent_Max</vt:lpstr>
      <vt:lpstr>'Con, Mod Calculations'!D.F_Power_Burner_Direct_Vent_Reduced</vt:lpstr>
      <vt:lpstr>'Con, Mod Calculations'!D.F_Reduced</vt:lpstr>
      <vt:lpstr>'Non-Con, Mod Calculations'!D.F_Reduced</vt:lpstr>
      <vt:lpstr>'Non-Con, Mod Calculations'!D.F_Reduced_Power_Burner_Direct_Vent</vt:lpstr>
      <vt:lpstr>' Non-Con, Non-Mod Calculations'!D.O</vt:lpstr>
      <vt:lpstr>'Con, Non-Mod Calculations'!D.O</vt:lpstr>
      <vt:lpstr>'Con, Mod Calculations'!D.O_Max</vt:lpstr>
      <vt:lpstr>'Non-Con, Mod Calculations'!D.O_Max</vt:lpstr>
      <vt:lpstr>'Con, Mod Calculations'!D.O_Reduced</vt:lpstr>
      <vt:lpstr>'Non-Con, Mod Calculations'!D.O_Reduced</vt:lpstr>
      <vt:lpstr>' Non-Con, Non-Mod Calculations'!D.OI</vt:lpstr>
      <vt:lpstr>'Con, Non-Mod Calculations'!D.OI</vt:lpstr>
      <vt:lpstr>'Con, Mod Calculations'!D.OI_Max</vt:lpstr>
      <vt:lpstr>'Non-Con, Mod Calculations'!D.OI_Max</vt:lpstr>
      <vt:lpstr>'Con, Mod Calculations'!D.OI_Reduced</vt:lpstr>
      <vt:lpstr>'Non-Con, Mod Calculations'!D.OI_Reduced</vt:lpstr>
      <vt:lpstr>' Non-Con, Non-Mod Calculations'!D.P</vt:lpstr>
      <vt:lpstr>'Con, Non-Mod Calculations'!D.P</vt:lpstr>
      <vt:lpstr>'Con, Non-Mod Calculations'!D.P_Draft_Diverter</vt:lpstr>
      <vt:lpstr>'Con, Mod Calculations'!D.P_Draft_Diverter_Max</vt:lpstr>
      <vt:lpstr>'Non-Con, Mod Calculations'!D.P_Draft_Diverter_Max</vt:lpstr>
      <vt:lpstr>'Con, Mod Calculations'!D.P_Draft_Diverter_Reduced</vt:lpstr>
      <vt:lpstr>'Non-Con, Mod Calculations'!D.P_Draft_Diverter_Reduced</vt:lpstr>
      <vt:lpstr>' Non-Con, Non-Mod Calculations'!D.P_Draft_Hood_Diverter</vt:lpstr>
      <vt:lpstr>'Con, Mod Calculations'!D.P_Max</vt:lpstr>
      <vt:lpstr>'Non-Con, Mod Calculations'!D.P_Max</vt:lpstr>
      <vt:lpstr>'Non-Con, Mod Calculations'!D.P_Max_Power_Burner_Direct_Vent</vt:lpstr>
      <vt:lpstr>' Non-Con, Non-Mod Calculations'!D.P_Power_Burner_Direct_Vent</vt:lpstr>
      <vt:lpstr>'Con, Non-Mod Calculations'!D.P_Power_Burner_Direct_Vent</vt:lpstr>
      <vt:lpstr>'Con, Mod Calculations'!D.P_Power_Vent_Direct_Vent_Max</vt:lpstr>
      <vt:lpstr>'Con, Mod Calculations'!D.P_Power_Vent_Direct_Vent_Reduced</vt:lpstr>
      <vt:lpstr>'Con, Mod Calculations'!D.P_Reduced</vt:lpstr>
      <vt:lpstr>'Non-Con, Mod Calculations'!D.P_Reduced</vt:lpstr>
      <vt:lpstr>'Non-Con, Mod Calculations'!D.P_Reduced_Power_Vent_Direct_Vent</vt:lpstr>
      <vt:lpstr>'Con, Non-Mod Calculations'!D.S</vt:lpstr>
      <vt:lpstr>'Non-Con, Mod Calculations'!D.S</vt:lpstr>
      <vt:lpstr>' Non-Con, Non-Mod Calculations'!D.S_1</vt:lpstr>
      <vt:lpstr>' Non-Con, Non-Mod Calculations'!D.S_2</vt:lpstr>
      <vt:lpstr>'Con, Mod Calculations'!D.S_Max</vt:lpstr>
      <vt:lpstr>'Non-Con, Mod Calculations'!D.S_Max_Power_Burner_Direct_Vent</vt:lpstr>
      <vt:lpstr>'Con, Non-Mod Calculations'!D.S_Power_Burner_Direct_Vent</vt:lpstr>
      <vt:lpstr>'Con, Mod Calculations'!D.S_Power_Burner_Direct_Vent_Max</vt:lpstr>
      <vt:lpstr>'Con, Mod Calculations'!D.S_Power_Burner_Direct_Vent_Reduced</vt:lpstr>
      <vt:lpstr>' Non-Con, Non-Mod Calculations'!D.S_Power_Vent_Direct_Vent</vt:lpstr>
      <vt:lpstr>'Con, Mod Calculations'!D.S_Reduced</vt:lpstr>
      <vt:lpstr>'Non-Con, Mod Calculations'!D.S_Reduced</vt:lpstr>
      <vt:lpstr>'Non-Con, Mod Calculations'!D.S_Reduced_Power_Burner_Direct_Vent</vt:lpstr>
      <vt:lpstr>'General Info &amp; Test Results'!Date_of_Manufacture</vt:lpstr>
      <vt:lpstr>Date_Product_Received</vt:lpstr>
      <vt:lpstr>'Non-Con, Mod Calculations'!DektaT.SSS_Reduced</vt:lpstr>
      <vt:lpstr>' Non-Con, Non-Mod Calculations'!DeltaT.FSS</vt:lpstr>
      <vt:lpstr>'Con, Non-Mod Calculations'!DeltaT.FSS</vt:lpstr>
      <vt:lpstr>'Con, Mod Calculations'!DeltaT.FSS_Max</vt:lpstr>
      <vt:lpstr>'Non-Con, Mod Calculations'!DeltaT.FSS_Max</vt:lpstr>
      <vt:lpstr>'Con, Mod Calculations'!DeltaT.FSS_Reduced</vt:lpstr>
      <vt:lpstr>'Non-Con, Mod Calculations'!DeltaT.FSS_Reduced</vt:lpstr>
      <vt:lpstr>' Non-Con, Non-Mod Calculations'!DeltaT.SSS</vt:lpstr>
      <vt:lpstr>'Non-Con, Mod Calculations'!DeltaT.SSS_Max</vt:lpstr>
      <vt:lpstr>'Electric F, B Calculations'!DHR</vt:lpstr>
      <vt:lpstr>' Non-Con, Non-Mod Calculations'!DHR_Adjust</vt:lpstr>
      <vt:lpstr>'Con, Mod Calculations'!DHR_Adjust</vt:lpstr>
      <vt:lpstr>'Con, Non-Mod Calculations'!DHR_Adjust</vt:lpstr>
      <vt:lpstr>'Electric F, B Calculations'!DHR_Adjust</vt:lpstr>
      <vt:lpstr>'Non-Con, Mod Calculations'!DHR_Adjust</vt:lpstr>
      <vt:lpstr>'Sys. # &amp; Product Characteristic'!Direct_Vent?</vt:lpstr>
      <vt:lpstr>' Non-Con, Non-Mod Calculations'!DO.S</vt:lpstr>
      <vt:lpstr>'Con, Non-Mod Calculations'!DO.S</vt:lpstr>
      <vt:lpstr>'Con, Mod Calculations'!DO.S_Max</vt:lpstr>
      <vt:lpstr>'Non-Con, Mod Calculations'!DO.S_Max</vt:lpstr>
      <vt:lpstr>'Con, Mod Calculations'!DO.S_Reduced</vt:lpstr>
      <vt:lpstr>'Non-Con, Mod Calculations'!DO.S_Reduced</vt:lpstr>
      <vt:lpstr>'Max Test'!Does_the_boiler_employ_a_post_purge?</vt:lpstr>
      <vt:lpstr>Draft_Equipment</vt:lpstr>
      <vt:lpstr>' Non-Con, Non-Mod Calculations'!Draft_Imposed?</vt:lpstr>
      <vt:lpstr>'Reduced Test'!Draft_Imposed?</vt:lpstr>
      <vt:lpstr>'Con, Mod Calculations'!Draft_Imposed_Max?</vt:lpstr>
      <vt:lpstr>'Non-Con, Mod Calculations'!Draft_Imposed_Max?</vt:lpstr>
      <vt:lpstr>'Con, Mod Calculations'!Draft_Imposed_Reduced?</vt:lpstr>
      <vt:lpstr>'Non-Con, Mod Calculations'!Draft_Imposed_Reduced?</vt:lpstr>
      <vt:lpstr>' Non-Con, Non-Mod Calculations'!E.AE</vt:lpstr>
      <vt:lpstr>'Con, Mod Calculations'!E.AE</vt:lpstr>
      <vt:lpstr>'Con, Non-Mod Calculations'!E.AE</vt:lpstr>
      <vt:lpstr>'Non-Con, Mod Calculations'!E.AE</vt:lpstr>
      <vt:lpstr>' Non-Con, Non-Mod Calculations'!E.AER</vt:lpstr>
      <vt:lpstr>'Con, Mod Calculations'!E.AER</vt:lpstr>
      <vt:lpstr>'Con, Non-Mod Calculations'!E.AER</vt:lpstr>
      <vt:lpstr>'Non-Con, Mod Calculations'!E.AER</vt:lpstr>
      <vt:lpstr>'Electric F, B Calculations'!E.E</vt:lpstr>
      <vt:lpstr>'Electric F, B Calculations'!E.ER</vt:lpstr>
      <vt:lpstr>' Non-Con, Non-Mod Calculations'!E.F</vt:lpstr>
      <vt:lpstr>'Con, Mod Calculations'!E.F</vt:lpstr>
      <vt:lpstr>'Con, Non-Mod Calculations'!E.F</vt:lpstr>
      <vt:lpstr>'Non-Con, Mod Calculations'!E.F</vt:lpstr>
      <vt:lpstr>'Con, Mod Calculations'!E.FR</vt:lpstr>
      <vt:lpstr>'Con, Non-Mod Calculations'!E.FR</vt:lpstr>
      <vt:lpstr>'Non-Con, Mod Calculations'!E.FR</vt:lpstr>
      <vt:lpstr>' Non-Con, Non-Mod Calculations'!E.FR_Annual</vt:lpstr>
      <vt:lpstr>'Electric F, B Calculations'!E.IN</vt:lpstr>
      <vt:lpstr>'Max Test'!E.IN</vt:lpstr>
      <vt:lpstr>'Reduced Test'!E.IN</vt:lpstr>
      <vt:lpstr>' Non-Con, Non-Mod Calculations'!E.SO</vt:lpstr>
      <vt:lpstr>'Con, Mod Calculations'!E.SO</vt:lpstr>
      <vt:lpstr>'Con, Non-Mod Calculations'!E.SO</vt:lpstr>
      <vt:lpstr>'Electric F, B Calculations'!E.SO</vt:lpstr>
      <vt:lpstr>'Non-Con, Mod Calculations'!E.SO</vt:lpstr>
      <vt:lpstr>' Non-Con, Non-Mod Calculations'!E.SOR</vt:lpstr>
      <vt:lpstr>'Con, Mod Calculations'!E.SOR</vt:lpstr>
      <vt:lpstr>'Con, Non-Mod Calculations'!E.SOR</vt:lpstr>
      <vt:lpstr>'Electric F, B Calculations'!E.SOR</vt:lpstr>
      <vt:lpstr>'Non-Con, Mod Calculations'!E.SOR</vt:lpstr>
      <vt:lpstr>' Non-Con, Non-Mod Calculations'!EF</vt:lpstr>
      <vt:lpstr>'Con, Mod Calculations'!EF</vt:lpstr>
      <vt:lpstr>'Con, Non-Mod Calculations'!EF</vt:lpstr>
      <vt:lpstr>'Electric F, B Calculations'!EF</vt:lpstr>
      <vt:lpstr>'Non-Con, Mod Calculations'!EF</vt:lpstr>
      <vt:lpstr>' Non-Con, Non-Mod Calculations'!Eff.motor</vt:lpstr>
      <vt:lpstr>'Con, Mod Calculations'!Eff.motor</vt:lpstr>
      <vt:lpstr>'Con, Non-Mod Calculations'!Eff.motor</vt:lpstr>
      <vt:lpstr>'Non-Con, Mod Calculations'!Eff.motor</vt:lpstr>
      <vt:lpstr>'Test Conditions'!Eff.motor</vt:lpstr>
      <vt:lpstr>' Non-Con, Non-Mod Calculations'!Effy.HS</vt:lpstr>
      <vt:lpstr>'Con, Mod Calculations'!Effy.HS</vt:lpstr>
      <vt:lpstr>'Con, Non-Mod Calculations'!Effy.HS</vt:lpstr>
      <vt:lpstr>'Electric F, B Calculations'!Effy.HS</vt:lpstr>
      <vt:lpstr>'Non-Con, Mod Calculations'!Effy.HS</vt:lpstr>
      <vt:lpstr>' Non-Con, Non-Mod Calculations'!Effy.SS</vt:lpstr>
      <vt:lpstr>'Con, Non-Mod Calculations'!Effy.SS</vt:lpstr>
      <vt:lpstr>'Electric F, B Calculations'!Effy.SS</vt:lpstr>
      <vt:lpstr>'Con, Mod Calculations'!Effy.SS_Max</vt:lpstr>
      <vt:lpstr>'Cyclic Timing Calculations'!Effy.SS_Max</vt:lpstr>
      <vt:lpstr>'Non-Con, Mod Calculations'!Effy.SS_Max</vt:lpstr>
      <vt:lpstr>'Con, Mod Calculations'!Effy.SS_Reduced</vt:lpstr>
      <vt:lpstr>'Cyclic Timing Calculations'!Effy.SS_Reduced</vt:lpstr>
      <vt:lpstr>'Non-Con, Mod Calculations'!Effy.SS_Reduced</vt:lpstr>
      <vt:lpstr>'Con, Mod Calculations'!Effy.SSM</vt:lpstr>
      <vt:lpstr>'Non-Con, Mod Calculations'!Effy.SSM</vt:lpstr>
      <vt:lpstr>'Con, Mod Calculations'!Effy.SSW</vt:lpstr>
      <vt:lpstr>'Non-Con, Mod Calculations'!Effy.SSW</vt:lpstr>
      <vt:lpstr>'Con, Mod Calculations'!Effy.UH</vt:lpstr>
      <vt:lpstr>'Non-Con, Mod Calculations'!Effy.UH</vt:lpstr>
      <vt:lpstr>'Con, Mod Calculations'!Effy.UM</vt:lpstr>
      <vt:lpstr>'Non-Con, Mod Calculations'!Effy.UM</vt:lpstr>
      <vt:lpstr>'Con, Mod Calculations'!Effy.UR</vt:lpstr>
      <vt:lpstr>'Non-Con, Mod Calculations'!Effy.UR</vt:lpstr>
      <vt:lpstr>'Sys. # &amp; Product Characteristic'!Energy_Source</vt:lpstr>
      <vt:lpstr>' Non-Con, Non-Mod Calculations'!F_3</vt:lpstr>
      <vt:lpstr>'Con, Non-Mod Calculations'!F_3</vt:lpstr>
      <vt:lpstr>'Non-Con, Mod Calculations'!F_3_Max</vt:lpstr>
      <vt:lpstr>'Non-Con, Mod Calculations'!F_3_Reduced</vt:lpstr>
      <vt:lpstr>' Non-Con, Non-Mod Calculations'!F_4</vt:lpstr>
      <vt:lpstr>'Con, Non-Mod Calculations'!F_4</vt:lpstr>
      <vt:lpstr>'Non-Con, Mod Calculations'!F_4_Max</vt:lpstr>
      <vt:lpstr>'Non-Con, Mod Calculations'!F_4_Reduced</vt:lpstr>
      <vt:lpstr>' Non-Con, Non-Mod Calculations'!F_5</vt:lpstr>
      <vt:lpstr>'Con, Non-Mod Calculations'!F_5</vt:lpstr>
      <vt:lpstr>' Non-Con, Non-Mod Calculations'!F_6</vt:lpstr>
      <vt:lpstr>'Con, Non-Mod Calculations'!F_6</vt:lpstr>
      <vt:lpstr>' Non-Con, Non-Mod Calculations'!F_7</vt:lpstr>
      <vt:lpstr>'Con, Non-Mod Calculations'!F_7</vt:lpstr>
      <vt:lpstr>' Non-Con, Non-Mod Calculations'!F_8</vt:lpstr>
      <vt:lpstr>'Con, Non-Mod Calculations'!F_8</vt:lpstr>
      <vt:lpstr>'Con, Mod Calculations'!F3_Max</vt:lpstr>
      <vt:lpstr>'Con, Mod Calculations'!F3_Reduced</vt:lpstr>
      <vt:lpstr>'Con, Mod Calculations'!F4_Max</vt:lpstr>
      <vt:lpstr>'Con, Mod Calculations'!F4_Reduced</vt:lpstr>
      <vt:lpstr>'Con, Mod Calculations'!F5_Max</vt:lpstr>
      <vt:lpstr>'Non-Con, Mod Calculations'!F5_Max</vt:lpstr>
      <vt:lpstr>'Con, Mod Calculations'!F5_Reduced</vt:lpstr>
      <vt:lpstr>'Non-Con, Mod Calculations'!F5_Reduced</vt:lpstr>
      <vt:lpstr>'Con, Mod Calculations'!F6_Max</vt:lpstr>
      <vt:lpstr>'Non-Con, Mod Calculations'!F6_Max</vt:lpstr>
      <vt:lpstr>'Con, Mod Calculations'!F6_Reduced</vt:lpstr>
      <vt:lpstr>'Non-Con, Mod Calculations'!F6_Reduced</vt:lpstr>
      <vt:lpstr>'Con, Mod Calculations'!F7_Max</vt:lpstr>
      <vt:lpstr>'Non-Con, Mod Calculations'!F7_Max</vt:lpstr>
      <vt:lpstr>'Con, Mod Calculations'!F7_Reduced</vt:lpstr>
      <vt:lpstr>'Non-Con, Mod Calculations'!F7_Reduced</vt:lpstr>
      <vt:lpstr>'Con, Mod Calculations'!F8_Max</vt:lpstr>
      <vt:lpstr>'Non-Con, Mod Calculations'!F8_Max</vt:lpstr>
      <vt:lpstr>'Con, Mod Calculations'!F8_Reduced</vt:lpstr>
      <vt:lpstr>'Non-Con, Mod Calculations'!F8_Reduced</vt:lpstr>
      <vt:lpstr>Finned_Tube_Boiler</vt:lpstr>
      <vt:lpstr>FinnedTube_Boiler</vt:lpstr>
      <vt:lpstr>'Max Test'!five_mins_thirty_secs</vt:lpstr>
      <vt:lpstr>'Reduced Test'!five_mins_thirty_secs</vt:lpstr>
      <vt:lpstr>'Sys. # &amp; Product Characteristic'!Flue_Gas</vt:lpstr>
      <vt:lpstr>'Max Test'!four_mins_thirty_secs</vt:lpstr>
      <vt:lpstr>'Reduced Test'!four_mins_thirty_secs</vt:lpstr>
      <vt:lpstr>'Max Test'!fourty_five_mins</vt:lpstr>
      <vt:lpstr>'Reduced Test'!fourty_five_mins</vt:lpstr>
      <vt:lpstr>GasType</vt:lpstr>
      <vt:lpstr>'Jacket Loss'!h.C.bottom</vt:lpstr>
      <vt:lpstr>'Jacket Loss'!h.C.Side</vt:lpstr>
      <vt:lpstr>'Jacket Loss'!h.C.top</vt:lpstr>
      <vt:lpstr>'Jacket Loss'!h.ri</vt:lpstr>
      <vt:lpstr>h.ri</vt:lpstr>
      <vt:lpstr>h.rs</vt:lpstr>
      <vt:lpstr>h_rs</vt:lpstr>
      <vt:lpstr>hc_bottom</vt:lpstr>
      <vt:lpstr>hc_side</vt:lpstr>
      <vt:lpstr>hc_top</vt:lpstr>
      <vt:lpstr>' Non-Con, Non-Mod Calculations'!HDD</vt:lpstr>
      <vt:lpstr>'Non-Con, Mod Calculations'!HDD</vt:lpstr>
      <vt:lpstr>' Non-Con, Non-Mod Calculations'!HDD_Per_Day</vt:lpstr>
      <vt:lpstr>'Con, Mod Calculations'!HDD_Per_Day</vt:lpstr>
      <vt:lpstr>'Con, Non-Mod Calculations'!HDD_Per_Day</vt:lpstr>
      <vt:lpstr>'Non-Con, Mod Calculations'!HDD_Per_Day</vt:lpstr>
      <vt:lpstr>'Max Test'!Heat_Up_End</vt:lpstr>
      <vt:lpstr>'Reduced Test'!Heat_Up_End</vt:lpstr>
      <vt:lpstr>'Max Test'!Heat_Up_Start</vt:lpstr>
      <vt:lpstr>'Reduced Test'!Heat_Up_Start</vt:lpstr>
      <vt:lpstr>'Sys. # &amp; Product Characteristic'!Heating_Fuel_Used</vt:lpstr>
      <vt:lpstr>'Sys. # &amp; Product Characteristic'!Heating_Medium</vt:lpstr>
      <vt:lpstr>'Test Conditions'!HHV</vt:lpstr>
      <vt:lpstr>' Non-Con, Non-Mod Calculations'!HHV.A</vt:lpstr>
      <vt:lpstr>'Con, Non-Mod Calculations'!HHV.A</vt:lpstr>
      <vt:lpstr>'Con, Mod Calculations'!HHV.A_Max</vt:lpstr>
      <vt:lpstr>'Non-Con, Mod Calculations'!HHV.A_Max</vt:lpstr>
      <vt:lpstr>'Con, Mod Calculations'!HHV.A_Reduced</vt:lpstr>
      <vt:lpstr>'Non-Con, Mod Calculations'!HHV.A_Reduced</vt:lpstr>
      <vt:lpstr>'Max Test'!HHV_CYC</vt:lpstr>
      <vt:lpstr>'Reduced Test'!HHV_CYC</vt:lpstr>
      <vt:lpstr>'Max Test'!HHV_SS</vt:lpstr>
      <vt:lpstr>'Reduced Test'!HHV_SS</vt:lpstr>
      <vt:lpstr>' Non-Con, Non-Mod Calculations'!HLH</vt:lpstr>
      <vt:lpstr>'Con, Mod Calculations'!HLH</vt:lpstr>
      <vt:lpstr>'Con, Non-Mod Calculations'!HLH</vt:lpstr>
      <vt:lpstr>'Electric F, B Calculations'!HLH</vt:lpstr>
      <vt:lpstr>'Non-Con, Mod Calculations'!HLH</vt:lpstr>
      <vt:lpstr>' Non-Con, Non-Mod Calculations'!hrs_per_yr</vt:lpstr>
      <vt:lpstr>'Con, Mod Calculations'!hrs_per_yr</vt:lpstr>
      <vt:lpstr>'Con, Non-Mod Calculations'!hrs_per_yr</vt:lpstr>
      <vt:lpstr>'Reduced Test'!HupCdownPerformed</vt:lpstr>
      <vt:lpstr>HupCdownPerformed</vt:lpstr>
      <vt:lpstr>'Sys. # &amp; Product Characteristic'!Ignition</vt:lpstr>
      <vt:lpstr>'Max Test'!Imposed_draft?</vt:lpstr>
      <vt:lpstr>'Sys. # &amp; Product Characteristic'!Installation</vt:lpstr>
      <vt:lpstr>Installation</vt:lpstr>
      <vt:lpstr>Jacket_Loss</vt:lpstr>
      <vt:lpstr>'Test Conditions'!Jacket_Loss_Factor</vt:lpstr>
      <vt:lpstr>' Non-Con, Non-Mod Calculations'!K</vt:lpstr>
      <vt:lpstr>'Con, Non-Mod Calculations'!K</vt:lpstr>
      <vt:lpstr>'Electric F, B Calculations'!K</vt:lpstr>
      <vt:lpstr>'Electric F, B Calculations'!K.Conv</vt:lpstr>
      <vt:lpstr>' Non-Con, Non-Mod Calculations'!K.IOFF</vt:lpstr>
      <vt:lpstr>'Con, Non-Mod Calculations'!K.IOFF</vt:lpstr>
      <vt:lpstr>'Con, Mod Calculations'!K.IOFF_Max</vt:lpstr>
      <vt:lpstr>'Non-Con, Mod Calculations'!K.IOFF_Max</vt:lpstr>
      <vt:lpstr>'Con, Mod Calculations'!K.IOFF_Reduced</vt:lpstr>
      <vt:lpstr>'Non-Con, Mod Calculations'!K.IOFF_Reduced</vt:lpstr>
      <vt:lpstr>' Non-Con, Non-Mod Calculations'!K.ION</vt:lpstr>
      <vt:lpstr>'Con, Non-Mod Calculations'!K.ION</vt:lpstr>
      <vt:lpstr>'Con, Mod Calculations'!K.ION_Max</vt:lpstr>
      <vt:lpstr>'Non-Con, Mod Calculations'!K.ION_Max</vt:lpstr>
      <vt:lpstr>'Con, Mod Calculations'!K.ION_Reduced</vt:lpstr>
      <vt:lpstr>'Non-Con, Mod Calculations'!K.ION_Reduced</vt:lpstr>
      <vt:lpstr>' Non-Con, Non-Mod Calculations'!K.L</vt:lpstr>
      <vt:lpstr>'Con, Non-Mod Calculations'!K.L</vt:lpstr>
      <vt:lpstr>'Con, Mod Calculations'!K.L_Max</vt:lpstr>
      <vt:lpstr>'Non-Con, Mod Calculations'!K.L_Max</vt:lpstr>
      <vt:lpstr>'Con, Mod Calculations'!K.L_Reduced</vt:lpstr>
      <vt:lpstr>'Non-Con, Mod Calculations'!K.L_Reduced</vt:lpstr>
      <vt:lpstr>' Non-Con, Non-Mod Calculations'!K.SOFF</vt:lpstr>
      <vt:lpstr>'Con, Non-Mod Calculations'!K.SOFF</vt:lpstr>
      <vt:lpstr>'Con, Mod Calculations'!K.SOFF_Max</vt:lpstr>
      <vt:lpstr>'Non-Con, Mod Calculations'!K.SOFF_Max</vt:lpstr>
      <vt:lpstr>'Con, Mod Calculations'!K.SOFF_Reduced</vt:lpstr>
      <vt:lpstr>'Non-Con, Mod Calculations'!K.SOFF_Reduced</vt:lpstr>
      <vt:lpstr>' Non-Con, Non-Mod Calculations'!K.SON</vt:lpstr>
      <vt:lpstr>'Con, Non-Mod Calculations'!K.SON</vt:lpstr>
      <vt:lpstr>'Con, Mod Calculations'!K.SON_Max</vt:lpstr>
      <vt:lpstr>'Non-Con, Mod Calculations'!K.SON_Max</vt:lpstr>
      <vt:lpstr>'Con, Mod Calculations'!K.SON_Reduced</vt:lpstr>
      <vt:lpstr>'Non-Con, Mod Calculations'!K.SON_Reduced</vt:lpstr>
      <vt:lpstr>'Cyclic Timing Calculations'!K_Adjust</vt:lpstr>
      <vt:lpstr>'Cyclic Timing Calculations'!K_Adjust_Reduced</vt:lpstr>
      <vt:lpstr>'Con, Mod Calculations'!K_Conv</vt:lpstr>
      <vt:lpstr>'Con, Non-Mod Calculations'!K_Conv</vt:lpstr>
      <vt:lpstr>'Non-Con, Mod Calculations'!K_Conv</vt:lpstr>
      <vt:lpstr>' Non-Con, Non-Mod Calculations'!K_Elec</vt:lpstr>
      <vt:lpstr>'Con, Mod Calculations'!K_Max</vt:lpstr>
      <vt:lpstr>'Non-Con, Mod Calculations'!K_Max</vt:lpstr>
      <vt:lpstr>'Con, Mod Calculations'!K_Reduced</vt:lpstr>
      <vt:lpstr>'Non-Con, Mod Calculations'!K_Reduced</vt:lpstr>
      <vt:lpstr>'Con, Mod Calculations'!L.C</vt:lpstr>
      <vt:lpstr>'Con, Non-Mod Calculations'!L.C</vt:lpstr>
      <vt:lpstr>'Con, Non-Mod Calculations'!L.CSS</vt:lpstr>
      <vt:lpstr>'Con, Mod Calculations'!L.CSS_Max</vt:lpstr>
      <vt:lpstr>'Con, Mod Calculations'!L.CSS_Reduced</vt:lpstr>
      <vt:lpstr>'Con, Mod Calculations'!L.G</vt:lpstr>
      <vt:lpstr>'Con, Non-Mod Calculations'!L.G</vt:lpstr>
      <vt:lpstr>'Con, Non-Mod Calculations'!L.GSS</vt:lpstr>
      <vt:lpstr>'Con, Mod Calculations'!L.GSS_Max</vt:lpstr>
      <vt:lpstr>'Con, Mod Calculations'!L.GSS_Reduced</vt:lpstr>
      <vt:lpstr>' Non-Con, Non-Mod Calculations'!L.IOFF</vt:lpstr>
      <vt:lpstr>'Con, Non-Mod Calculations'!L.IOFF</vt:lpstr>
      <vt:lpstr>'Con, Mod Calculations'!L.IOFF_Max</vt:lpstr>
      <vt:lpstr>'Non-Con, Mod Calculations'!L.IOFF_Max</vt:lpstr>
      <vt:lpstr>'Con, Mod Calculations'!L.IOFF_Reduced</vt:lpstr>
      <vt:lpstr>'Non-Con, Mod Calculations'!L.IOFF_Reduced</vt:lpstr>
      <vt:lpstr>' Non-Con, Non-Mod Calculations'!L.IOFF1</vt:lpstr>
      <vt:lpstr>'Con, Non-Mod Calculations'!L.IOFF1</vt:lpstr>
      <vt:lpstr>'Con, Mod Calculations'!L.IOFF1_Max</vt:lpstr>
      <vt:lpstr>'Non-Con, Mod Calculations'!L.IOFF1_Max</vt:lpstr>
      <vt:lpstr>'Con, Mod Calculations'!L.IOFF1_Reduced</vt:lpstr>
      <vt:lpstr>'Non-Con, Mod Calculations'!L.IOFF1_Reduced</vt:lpstr>
      <vt:lpstr>' Non-Con, Non-Mod Calculations'!L.IOFF2</vt:lpstr>
      <vt:lpstr>'Con, Non-Mod Calculations'!L.IOFF2</vt:lpstr>
      <vt:lpstr>'Con, Mod Calculations'!L.IOFF2_Max</vt:lpstr>
      <vt:lpstr>'Non-Con, Mod Calculations'!L.IOFF2_Max</vt:lpstr>
      <vt:lpstr>'Con, Mod Calculations'!L.IOFF2_Reduced</vt:lpstr>
      <vt:lpstr>'Non-Con, Mod Calculations'!L.IOFF2_Reduced</vt:lpstr>
      <vt:lpstr>' Non-Con, Non-Mod Calculations'!L.ION</vt:lpstr>
      <vt:lpstr>'Con, Non-Mod Calculations'!L.ION</vt:lpstr>
      <vt:lpstr>'Con, Mod Calculations'!L.ION_Max</vt:lpstr>
      <vt:lpstr>'Non-Con, Mod Calculations'!L.ION_Max</vt:lpstr>
      <vt:lpstr>'Con, Mod Calculations'!L.ION_Reduced</vt:lpstr>
      <vt:lpstr>'Non-Con, Mod Calculations'!L.ION_Reduced</vt:lpstr>
      <vt:lpstr>'Non-Con, Mod Calculations'!L.IONM</vt:lpstr>
      <vt:lpstr>'Con, Mod Calculations'!L.IONM_Max</vt:lpstr>
      <vt:lpstr>' Non-Con, Non-Mod Calculations'!L.J</vt:lpstr>
      <vt:lpstr>'Con, Non-Mod Calculations'!L.J</vt:lpstr>
      <vt:lpstr>'Electric F, B Calculations'!L.J</vt:lpstr>
      <vt:lpstr>'Jacket Loss'!L.J</vt:lpstr>
      <vt:lpstr>'Con, Mod Calculations'!L.J_Max</vt:lpstr>
      <vt:lpstr>'Cyclic Timing Calculations'!L.J_Max</vt:lpstr>
      <vt:lpstr>'Non-Con, Mod Calculations'!L.J_Max</vt:lpstr>
      <vt:lpstr>'Con, Mod Calculations'!L.J_Reduced</vt:lpstr>
      <vt:lpstr>'Cyclic Timing Calculations'!L.J_Reduced</vt:lpstr>
      <vt:lpstr>'Non-Con, Mod Calculations'!L.J_Reduced</vt:lpstr>
      <vt:lpstr>' Non-Con, Non-Mod Calculations'!L.LA</vt:lpstr>
      <vt:lpstr>'Con, Non-Mod Calculations'!L.LA</vt:lpstr>
      <vt:lpstr>'Con, Mod Calculations'!L.LA_Max</vt:lpstr>
      <vt:lpstr>'Non-Con, Mod Calculations'!L.LA_Max</vt:lpstr>
      <vt:lpstr>'Con, Mod Calculations'!L.LA_Reduced</vt:lpstr>
      <vt:lpstr>'Non-Con, Mod Calculations'!L.LA_Reduced</vt:lpstr>
      <vt:lpstr>' Non-Con, Non-Mod Calculations'!L.SOFF</vt:lpstr>
      <vt:lpstr>'Con, Non-Mod Calculations'!L.SOFF</vt:lpstr>
      <vt:lpstr>'Con, Mod Calculations'!L.SOFF_Max</vt:lpstr>
      <vt:lpstr>'Non-Con, Mod Calculations'!L.SOFF_Max</vt:lpstr>
      <vt:lpstr>'Con, Mod Calculations'!L.SOFF_Reduced</vt:lpstr>
      <vt:lpstr>'Non-Con, Mod Calculations'!L.SOFF_Reduced</vt:lpstr>
      <vt:lpstr>' Non-Con, Non-Mod Calculations'!L.SOFF1</vt:lpstr>
      <vt:lpstr>'Con, Non-Mod Calculations'!L.SOFF1</vt:lpstr>
      <vt:lpstr>'Con, Mod Calculations'!L.SOFF1_Max</vt:lpstr>
      <vt:lpstr>'Non-Con, Mod Calculations'!L.SOFF1_Max</vt:lpstr>
      <vt:lpstr>'Con, Mod Calculations'!L.SOFF1_Reduced</vt:lpstr>
      <vt:lpstr>'Non-Con, Mod Calculations'!L.SOFF1_Reduced</vt:lpstr>
      <vt:lpstr>' Non-Con, Non-Mod Calculations'!L.SOFF2</vt:lpstr>
      <vt:lpstr>'Con, Non-Mod Calculations'!L.SOFF2</vt:lpstr>
      <vt:lpstr>'Con, Mod Calculations'!L.SOFF2_Max</vt:lpstr>
      <vt:lpstr>'Non-Con, Mod Calculations'!L.SOFF2_Max</vt:lpstr>
      <vt:lpstr>'Con, Mod Calculations'!L.SOFF2_Reduced</vt:lpstr>
      <vt:lpstr>'Non-Con, Mod Calculations'!L.SOFF2_Reduced</vt:lpstr>
      <vt:lpstr>' Non-Con, Non-Mod Calculations'!L.SON</vt:lpstr>
      <vt:lpstr>'Con, Mod Calculations'!L.SON</vt:lpstr>
      <vt:lpstr>'Con, Non-Mod Calculations'!L.SON</vt:lpstr>
      <vt:lpstr>'Non-Con, Mod Calculations'!L.SON_Max</vt:lpstr>
      <vt:lpstr>'Con, Mod Calculations'!L.SON_Reduced</vt:lpstr>
      <vt:lpstr>'Non-Con, Mod Calculations'!L.SON_Reduced</vt:lpstr>
      <vt:lpstr>' Non-Con, Non-Mod Calculations'!L.SSS</vt:lpstr>
      <vt:lpstr>'Con, Non-Mod Calculations'!L.SSS</vt:lpstr>
      <vt:lpstr>'Con, Mod Calculations'!L.SSS_Max</vt:lpstr>
      <vt:lpstr>'Non-Con, Mod Calculations'!L.SSS_Max</vt:lpstr>
      <vt:lpstr>'Con, Mod Calculations'!L.SSS_Reduced</vt:lpstr>
      <vt:lpstr>'Non-Con, Mod Calculations'!L.SSS_Reduced</vt:lpstr>
      <vt:lpstr>'Cyclic Timing Calculations'!LF.H</vt:lpstr>
      <vt:lpstr>'Cyclic Timing Calculations'!LF.R</vt:lpstr>
      <vt:lpstr>'Con, Mod Calculations'!M.C</vt:lpstr>
      <vt:lpstr>'Con, Non-Mod Calculations'!M.C</vt:lpstr>
      <vt:lpstr>'Max Test'!M.C</vt:lpstr>
      <vt:lpstr>'Reduced Test'!M.C</vt:lpstr>
      <vt:lpstr>'Con, Non-Mod Calculations'!M.CSS</vt:lpstr>
      <vt:lpstr>'Max Test'!M.CSS</vt:lpstr>
      <vt:lpstr>'Reduced Test'!M.CSS</vt:lpstr>
      <vt:lpstr>'Con, Mod Calculations'!M.CSS_Max</vt:lpstr>
      <vt:lpstr>'Con, Mod Calculations'!M.CSS_Reduced</vt:lpstr>
      <vt:lpstr>' Non-Con, Non-Mod Calculations'!M.FM</vt:lpstr>
      <vt:lpstr>'Con, Non-Mod Calculations'!M.FM</vt:lpstr>
      <vt:lpstr>'Con, Mod Calculations'!M.FM_Max</vt:lpstr>
      <vt:lpstr>'Non-Con, Mod Calculations'!M.FM_Max</vt:lpstr>
      <vt:lpstr>'Con, Mod Calculations'!M.FM_Reduced</vt:lpstr>
      <vt:lpstr>'Non-Con, Mod Calculations'!M.FM_Reduced</vt:lpstr>
      <vt:lpstr>'Con, Non-Mod Calculations'!M.FOFF</vt:lpstr>
      <vt:lpstr>M.FOFF</vt:lpstr>
      <vt:lpstr>'Con, Mod Calculations'!M.FOFF_Max</vt:lpstr>
      <vt:lpstr>'Non-Con, Mod Calculations'!M.FOFF_Max</vt:lpstr>
      <vt:lpstr>'Con, Mod Calculations'!M.FOFF_Reduced</vt:lpstr>
      <vt:lpstr>'Non-Con, Mod Calculations'!M.FOFF_Reduced</vt:lpstr>
      <vt:lpstr>' Non-Con, Non-Mod Calculations'!M.FOfFF</vt:lpstr>
      <vt:lpstr>' Non-Con, Non-Mod Calculations'!M.FON</vt:lpstr>
      <vt:lpstr>'Con, Non-Mod Calculations'!M.FON</vt:lpstr>
      <vt:lpstr>'Con, Mod Calculations'!M.FON_Max</vt:lpstr>
      <vt:lpstr>'Non-Con, Mod Calculations'!M.FON_Max</vt:lpstr>
      <vt:lpstr>'Con, Mod Calculations'!M.FON_Reduced</vt:lpstr>
      <vt:lpstr>'Non-Con, Mod Calculations'!M.FON_Reduced</vt:lpstr>
      <vt:lpstr>Manufacturer</vt:lpstr>
      <vt:lpstr>Manufacturer_Model_Number</vt:lpstr>
      <vt:lpstr>Manufacturer_Reccomended_CO2_Reading</vt:lpstr>
      <vt:lpstr>Measured_Rate_Max_Test</vt:lpstr>
      <vt:lpstr>Measured_Rate_Reduced_Test</vt:lpstr>
      <vt:lpstr>' Non-Con, Non-Mod Calculations'!n</vt:lpstr>
      <vt:lpstr>'Cyclic Timing Calculations'!N.50_Max</vt:lpstr>
      <vt:lpstr>'Cyclic Timing Calculations'!N.50_Reduced</vt:lpstr>
      <vt:lpstr>'General Info &amp; Test Results'!Nameplate_Maximum_Input</vt:lpstr>
      <vt:lpstr>Nameplate_Power_Burner_Motor_Efficiency</vt:lpstr>
      <vt:lpstr>Nameplate_Rate_Max_Test</vt:lpstr>
      <vt:lpstr>Nameplate_Rate_Reduced_Test</vt:lpstr>
      <vt:lpstr>'General Info &amp; Test Results'!Nameplate_Reduced_Input</vt:lpstr>
      <vt:lpstr>Nameplate_Voltage</vt:lpstr>
      <vt:lpstr>Namplate_Maximum_Input</vt:lpstr>
      <vt:lpstr>'Con, Mod Calculations'!Natl_Avg_Heating_Load_Hrs</vt:lpstr>
      <vt:lpstr>No</vt:lpstr>
      <vt:lpstr>Off_Cycle_Devices</vt:lpstr>
      <vt:lpstr>'Test Conditions'!Omega</vt:lpstr>
      <vt:lpstr>'Max Test'!P.B</vt:lpstr>
      <vt:lpstr>'Reduced Test'!P.B_Closed_KL</vt:lpstr>
      <vt:lpstr>'Max Test'!P.B_Closed_TG</vt:lpstr>
      <vt:lpstr>'Reduced Test'!P.B_Open_KL</vt:lpstr>
      <vt:lpstr>'Max Test'!P.B_Open_TG</vt:lpstr>
      <vt:lpstr>'Reduced Test'!P.B_TG</vt:lpstr>
      <vt:lpstr>' Non-Con, Non-Mod Calculations'!P.WOFF</vt:lpstr>
      <vt:lpstr>'Con, Mod Calculations'!P.WOFF</vt:lpstr>
      <vt:lpstr>'Con, Non-Mod Calculations'!P.WOFF</vt:lpstr>
      <vt:lpstr>'Electric F, B Calculations'!P.WOFF</vt:lpstr>
      <vt:lpstr>'Non-Con, Mod Calculations'!P.WOFF</vt:lpstr>
      <vt:lpstr>'Standby &amp; Off Power'!P.WOFF</vt:lpstr>
      <vt:lpstr>' Non-Con, Non-Mod Calculations'!P.WSB</vt:lpstr>
      <vt:lpstr>'Con, Mod Calculations'!P.WSB</vt:lpstr>
      <vt:lpstr>'Con, Non-Mod Calculations'!P.WSB</vt:lpstr>
      <vt:lpstr>'Electric F, B Calculations'!P.WSB</vt:lpstr>
      <vt:lpstr>'Non-Con, Mod Calculations'!P.WSB</vt:lpstr>
      <vt:lpstr>'Standby &amp; Off Power'!P.WSB</vt:lpstr>
      <vt:lpstr>' Non-Con, Non-Mod Calculations'!PE</vt:lpstr>
      <vt:lpstr>'Con, Non-Mod Calculations'!PE</vt:lpstr>
      <vt:lpstr>'Max Test'!PE</vt:lpstr>
      <vt:lpstr>'Reduced Test'!PE</vt:lpstr>
      <vt:lpstr>' Non-Con, Non-Mod Calculations'!PE.IG</vt:lpstr>
      <vt:lpstr>'Con, Mod Calculations'!PE.IG</vt:lpstr>
      <vt:lpstr>'Con, Non-Mod Calculations'!PE.IG</vt:lpstr>
      <vt:lpstr>'Max Test'!PE.IG</vt:lpstr>
      <vt:lpstr>'Non-Con, Mod Calculations'!PE.IG</vt:lpstr>
      <vt:lpstr>'Reduced Test'!PE.IG</vt:lpstr>
      <vt:lpstr>'Con, Mod Calculations'!PE_Max</vt:lpstr>
      <vt:lpstr>'Non-Con, Mod Calculations'!PE_Max</vt:lpstr>
      <vt:lpstr>'Con, Mod Calculations'!PE_Reduced</vt:lpstr>
      <vt:lpstr>'Non-Con, Mod Calculations'!PE_Reduced</vt:lpstr>
      <vt:lpstr>' Non-Con, Non-Mod Calculations'!Phi</vt:lpstr>
      <vt:lpstr>'Con, Non-Mod Calculations'!Phi</vt:lpstr>
      <vt:lpstr>'Con, Mod Calculations'!Phi_Max</vt:lpstr>
      <vt:lpstr>'Non-Con, Mod Calculations'!Phi_Max</vt:lpstr>
      <vt:lpstr>'Con, Mod Calculations'!Phi_Reduced</vt:lpstr>
      <vt:lpstr>'Non-Con, Mod Calculations'!Phi_Reduced</vt:lpstr>
      <vt:lpstr>' Non-Con, Non-Mod Calculations'!Post_Purge?</vt:lpstr>
      <vt:lpstr>'Con, Non-Mod Calculations'!Post_Purge?</vt:lpstr>
      <vt:lpstr>'Reduced Test'!Post_Purge?</vt:lpstr>
      <vt:lpstr>'Con, Mod Calculations'!Post_Purge_Max?</vt:lpstr>
      <vt:lpstr>'Non-Con, Mod Calculations'!Post_Purge_Max?</vt:lpstr>
      <vt:lpstr>'Con, Mod Calculations'!Post_Purge_Reduced?</vt:lpstr>
      <vt:lpstr>'Non-Con, Mod Calculations'!Post_Purge_Reduced?</vt:lpstr>
      <vt:lpstr>Power_Burner_Option</vt:lpstr>
      <vt:lpstr>Product</vt:lpstr>
      <vt:lpstr>Product_Class</vt:lpstr>
      <vt:lpstr>' Non-Con, Non-Mod Calculations'!Psi.FI</vt:lpstr>
      <vt:lpstr>'Con, Non-Mod Calculations'!Psi.FI</vt:lpstr>
      <vt:lpstr>'Con, Mod Calculations'!Psi.FI_Max</vt:lpstr>
      <vt:lpstr>'Non-Con, Mod Calculations'!Psi.FI_Max</vt:lpstr>
      <vt:lpstr>'Con, Mod Calculations'!Psi.FI_Reduced</vt:lpstr>
      <vt:lpstr>'Non-Con, Mod Calculations'!Psi.FI_Reduced</vt:lpstr>
      <vt:lpstr>' Non-Con, Non-Mod Calculations'!Psi.FIX</vt:lpstr>
      <vt:lpstr>'Con, Non-Mod Calculations'!Psi.FIX</vt:lpstr>
      <vt:lpstr>'Non-Con, Mod Calculations'!Psi.FIX_Max</vt:lpstr>
      <vt:lpstr>Psi.FIX_Max</vt:lpstr>
      <vt:lpstr>'Con, Mod Calculations'!Psi.FIX_Reduced</vt:lpstr>
      <vt:lpstr>'Non-Con, Mod Calculations'!Psi.FIX_Reduced</vt:lpstr>
      <vt:lpstr>' Non-Con, Non-Mod Calculations'!Psi.FO</vt:lpstr>
      <vt:lpstr>'Con, Non-Mod Calculations'!Psi.FO</vt:lpstr>
      <vt:lpstr>'Con, Mod Calculations'!Psi.FO_Max</vt:lpstr>
      <vt:lpstr>'Non-Con, Mod Calculations'!Psi.FO_Max</vt:lpstr>
      <vt:lpstr>'Con, Mod Calculations'!Psi.FO_Reduced</vt:lpstr>
      <vt:lpstr>'Non-Con, Mod Calculations'!Psi.FO_Reduced</vt:lpstr>
      <vt:lpstr>' Non-Con, Non-Mod Calculations'!Psi.FOX</vt:lpstr>
      <vt:lpstr>'Con, Non-Mod Calculations'!Psi.FOX</vt:lpstr>
      <vt:lpstr>'Non-Con, Mod Calculations'!Psi.FOX_Max</vt:lpstr>
      <vt:lpstr>Psi.FOX_Max</vt:lpstr>
      <vt:lpstr>'Con, Mod Calculations'!Psi.FOX_Reduced</vt:lpstr>
      <vt:lpstr>'Non-Con, Mod Calculations'!Psi.FOX_Reduced</vt:lpstr>
      <vt:lpstr>' Non-Con, Non-Mod Calculations'!Psi.SIX</vt:lpstr>
      <vt:lpstr>'Con, Non-Mod Calculations'!Psi.SIX</vt:lpstr>
      <vt:lpstr>'Con, Mod Calculations'!Psi.SIX_Max</vt:lpstr>
      <vt:lpstr>'Non-Con, Mod Calculations'!Psi.SIX_Max</vt:lpstr>
      <vt:lpstr>'Con, Mod Calculations'!Psi.SIX_Reduced</vt:lpstr>
      <vt:lpstr>'Non-Con, Mod Calculations'!Psi.SIX_Reduced</vt:lpstr>
      <vt:lpstr>' Non-Con, Non-Mod Calculations'!Psi.SO</vt:lpstr>
      <vt:lpstr>'Non-Con, Mod Calculations'!Psi.SO_Max</vt:lpstr>
      <vt:lpstr>'Non-Con, Mod Calculations'!Psi.SO_Reduced</vt:lpstr>
      <vt:lpstr>' Non-Con, Non-Mod Calculations'!Psi.SOX</vt:lpstr>
      <vt:lpstr>'Non-Con, Mod Calculations'!Psi.SOX_Max</vt:lpstr>
      <vt:lpstr>'Non-Con, Mod Calculations'!Psi.SOX_Reduced</vt:lpstr>
      <vt:lpstr>'Con, Mod Calculations'!Pump_Delay?</vt:lpstr>
      <vt:lpstr>'Con, Non-Mod Calculations'!Pump_Delay?</vt:lpstr>
      <vt:lpstr>'Max Test'!Pump_delay?</vt:lpstr>
      <vt:lpstr>'Non-Con, Mod Calculations'!Pump_Delay?</vt:lpstr>
      <vt:lpstr>'Con, Mod Calculations'!Q.C</vt:lpstr>
      <vt:lpstr>'Con, Non-Mod Calculations'!Q.C</vt:lpstr>
      <vt:lpstr>'Max Test'!Q.C</vt:lpstr>
      <vt:lpstr>'Reduced Test'!Q.C</vt:lpstr>
      <vt:lpstr>'Con, Non-Mod Calculations'!Q.CSS</vt:lpstr>
      <vt:lpstr>'Max Test'!Q.CSS</vt:lpstr>
      <vt:lpstr>'Reduced Test'!Q.CSS</vt:lpstr>
      <vt:lpstr>'Con, Mod Calculations'!Q.CSS_Max</vt:lpstr>
      <vt:lpstr>'Con, Mod Calculations'!Q.CSS_Reduced</vt:lpstr>
      <vt:lpstr>' Non-Con, Non-Mod Calculations'!Q.IN</vt:lpstr>
      <vt:lpstr>'Con, Non-Mod Calculations'!Q.IN</vt:lpstr>
      <vt:lpstr>'Electric F, B Calculations'!Q.IN</vt:lpstr>
      <vt:lpstr>'Reduced Test'!Q.IN</vt:lpstr>
      <vt:lpstr>'Con, Mod Calculations'!Q.IN_Max</vt:lpstr>
      <vt:lpstr>'Non-Con, Mod Calculations'!Q.IN_Max</vt:lpstr>
      <vt:lpstr>'Con, Mod Calculations'!Q.IN_Reduced</vt:lpstr>
      <vt:lpstr>'Non-Con, Mod Calculations'!Q.IN_Reduced</vt:lpstr>
      <vt:lpstr>' Non-Con, Non-Mod Calculations'!Q.INM</vt:lpstr>
      <vt:lpstr>'Con, Mod Calculations'!Q.INM</vt:lpstr>
      <vt:lpstr>'Non-Con, Mod Calculations'!Q.INM</vt:lpstr>
      <vt:lpstr>' Non-Con, Non-Mod Calculations'!Q.OUT</vt:lpstr>
      <vt:lpstr>'Con, Non-Mod Calculations'!Q.OUT</vt:lpstr>
      <vt:lpstr>'Electric F, B Calculations'!Q.OUT</vt:lpstr>
      <vt:lpstr>'Con, Mod Calculations'!Q.Out_Max</vt:lpstr>
      <vt:lpstr>'Cyclic Timing Calculations'!Q.Out_Max</vt:lpstr>
      <vt:lpstr>'Non-Con, Mod Calculations'!Q.Out_Max</vt:lpstr>
      <vt:lpstr>'Con, Mod Calculations'!Q.Out_Reduced</vt:lpstr>
      <vt:lpstr>'Non-Con, Mod Calculations'!Q.OUT_Reduced</vt:lpstr>
      <vt:lpstr>'Con, Mod Calculations'!Q.OutM</vt:lpstr>
      <vt:lpstr>'Non-Con, Mod Calculations'!Q.OUTM</vt:lpstr>
      <vt:lpstr>'Cyclic Timing Calculations'!Q.OUTR</vt:lpstr>
      <vt:lpstr>' Non-Con, Non-Mod Calculations'!Q.P</vt:lpstr>
      <vt:lpstr>'Con, Non-Mod Calculations'!Q.P</vt:lpstr>
      <vt:lpstr>'Max Test'!Q.P</vt:lpstr>
      <vt:lpstr>'Reduced Test'!Q.P</vt:lpstr>
      <vt:lpstr>'Con, Mod Calculations'!Q.P_Max</vt:lpstr>
      <vt:lpstr>'Non-Con, Mod Calculations'!Q.P_Max</vt:lpstr>
      <vt:lpstr>'Con, Mod Calculations'!Q.P_Reduced</vt:lpstr>
      <vt:lpstr>'Non-Con, Mod Calculations'!Q.P_Reduced</vt:lpstr>
      <vt:lpstr>' Non-Con, Non-Mod Calculations'!Q.SOFF_Closed</vt:lpstr>
      <vt:lpstr>'Con, Non-Mod Calculations'!Q.SOFF_Closed</vt:lpstr>
      <vt:lpstr>'Reduced Test'!Q.SOFF_Closed</vt:lpstr>
      <vt:lpstr>'Con, Mod Calculations'!Q.SOFF_Closed_Max</vt:lpstr>
      <vt:lpstr>'Non-Con, Mod Calculations'!Q.SOFF_Closed_Max</vt:lpstr>
      <vt:lpstr>'Con, Mod Calculations'!Q.SOFF_Closed_Reduced</vt:lpstr>
      <vt:lpstr>'Non-Con, Mod Calculations'!Q.SOFF_Closed_Reduced</vt:lpstr>
      <vt:lpstr>'Max Test'!Q.SOFF_Closed_TG</vt:lpstr>
      <vt:lpstr>'Con, Mod Calculations'!Q.SOFF_Max</vt:lpstr>
      <vt:lpstr>' Non-Con, Non-Mod Calculations'!Q.SOFF_Open</vt:lpstr>
      <vt:lpstr>'Con, Non-Mod Calculations'!Q.SOFF_Open</vt:lpstr>
      <vt:lpstr>'Reduced Test'!Q.SOFF_Open</vt:lpstr>
      <vt:lpstr>'Con, Mod Calculations'!Q.SOFF_Open_Max</vt:lpstr>
      <vt:lpstr>'Non-Con, Mod Calculations'!Q.SOFF_Open_Max</vt:lpstr>
      <vt:lpstr>'Con, Mod Calculations'!Q.SOFF_Open_Reduced</vt:lpstr>
      <vt:lpstr>'Non-Con, Mod Calculations'!Q.SOFF_Open_Reduced</vt:lpstr>
      <vt:lpstr>Q.SOFF_Open_TG</vt:lpstr>
      <vt:lpstr>'Con, Mod Calculations'!Q.SOFF_Reduced</vt:lpstr>
      <vt:lpstr>' Non-Con, Non-Mod Calculations'!R.OFF</vt:lpstr>
      <vt:lpstr>'Con, Non-Mod Calculations'!R.OFF</vt:lpstr>
      <vt:lpstr>'Con, Mod Calculations'!R.OFF_Max</vt:lpstr>
      <vt:lpstr>'Non-Con, Mod Calculations'!R.OFF_Max</vt:lpstr>
      <vt:lpstr>'Con, Mod Calculations'!R.OFF_Reduced</vt:lpstr>
      <vt:lpstr>'Non-Con, Mod Calculations'!R.OFF_Reduced</vt:lpstr>
      <vt:lpstr>' Non-Con, Non-Mod Calculations'!R.ON</vt:lpstr>
      <vt:lpstr>'Con, Non-Mod Calculations'!R.ON</vt:lpstr>
      <vt:lpstr>'Con, Mod Calculations'!R.ON_Max</vt:lpstr>
      <vt:lpstr>'Non-Con, Mod Calculations'!R.ON_Max</vt:lpstr>
      <vt:lpstr>'Con, Mod Calculations'!R.ON_Reduced</vt:lpstr>
      <vt:lpstr>'Non-Con, Mod Calculations'!R.ON_Reduced</vt:lpstr>
      <vt:lpstr>' Non-Con, Non-Mod Calculations'!R.TF</vt:lpstr>
      <vt:lpstr>'Con, Non-Mod Calculations'!R.TF</vt:lpstr>
      <vt:lpstr>'Con, Mod Calculations'!R.TF_Max</vt:lpstr>
      <vt:lpstr>'Non-Con, Mod Calculations'!R.TF_Max</vt:lpstr>
      <vt:lpstr>'Con, Mod Calculations'!R.TF_Reduced</vt:lpstr>
      <vt:lpstr>'Non-Con, Mod Calculations'!R.TF_Reduced</vt:lpstr>
      <vt:lpstr>' Non-Con, Non-Mod Calculations'!R.TS</vt:lpstr>
      <vt:lpstr>'Non-Con, Mod Calculations'!R.TS_Max</vt:lpstr>
      <vt:lpstr>'Non-Con, Mod Calculations'!R.TS_Reduced</vt:lpstr>
      <vt:lpstr>'Sys. # &amp; Product Characteristic'!Reduced_Test?</vt:lpstr>
      <vt:lpstr>Reduced_Test_Required</vt:lpstr>
      <vt:lpstr>'Reduced Test'!RH</vt:lpstr>
      <vt:lpstr>'Max Test'!RH_CYC</vt:lpstr>
      <vt:lpstr>'Max Test'!RH_SS</vt:lpstr>
      <vt:lpstr>' Non-Con, Non-Mod Calculations'!Rho.F</vt:lpstr>
      <vt:lpstr>'Con, Non-Mod Calculations'!Rho.F</vt:lpstr>
      <vt:lpstr>'Max Test'!Rho.F</vt:lpstr>
      <vt:lpstr>'Non-Con, Mod Calculations'!Rho.F</vt:lpstr>
      <vt:lpstr>'Reduced Test'!Rho.F_Closed_KL</vt:lpstr>
      <vt:lpstr>'Max Test'!Rho.F_Closed_TG</vt:lpstr>
      <vt:lpstr>'Con, Mod Calculations'!Rho.F_Max</vt:lpstr>
      <vt:lpstr>'Reduced Test'!Rho.F_Open_KL</vt:lpstr>
      <vt:lpstr>'Max Test'!Rho.F_Open_TG</vt:lpstr>
      <vt:lpstr>'Con, Mod Calculations'!Rho.F_Reduced</vt:lpstr>
      <vt:lpstr>'Non-Con, Mod Calculations'!Rho.F_Reduced</vt:lpstr>
      <vt:lpstr>'Max Test'!Rho.F_TG</vt:lpstr>
      <vt:lpstr>Serial_Number</vt:lpstr>
      <vt:lpstr>' Non-Con, Non-Mod Calculations'!SF</vt:lpstr>
      <vt:lpstr>'Con, Non-Mod Calculations'!SF</vt:lpstr>
      <vt:lpstr>'Con, Mod Calculations'!SF_Max</vt:lpstr>
      <vt:lpstr>'Non-Con, Mod Calculations'!SF_Max</vt:lpstr>
      <vt:lpstr>'Con, Mod Calculations'!SF_Reduced</vt:lpstr>
      <vt:lpstr>'Non-Con, Mod Calculations'!SF_Reduced</vt:lpstr>
      <vt:lpstr>Stack_Area</vt:lpstr>
      <vt:lpstr>'Jacket Loss'!Steady_State_Condensate_End</vt:lpstr>
      <vt:lpstr>'Max Test'!Steady_State_Condensate_End</vt:lpstr>
      <vt:lpstr>'Reduced Test'!Steady_State_Condensate_End</vt:lpstr>
      <vt:lpstr>'Max Test'!Steady_State_Condensate_Start</vt:lpstr>
      <vt:lpstr>'Reduced Test'!Steady_State_Condensate_Start</vt:lpstr>
      <vt:lpstr>'Max Test'!Steady_State_End</vt:lpstr>
      <vt:lpstr>'Reduced Test'!Steady_State_End</vt:lpstr>
      <vt:lpstr>'Max Test'!Steady_State_Start</vt:lpstr>
      <vt:lpstr>'Reduced Test'!Steady_State_Start</vt:lpstr>
      <vt:lpstr>' Non-Con, Non-Mod Calculations'!Sys_Num</vt:lpstr>
      <vt:lpstr>' Non-Con, Non-Mod Calculations'!System_Number</vt:lpstr>
      <vt:lpstr>'Con, Non-Mod Calculations'!System_Number</vt:lpstr>
      <vt:lpstr>'Con, Mod Calculations'!System_Number_Max</vt:lpstr>
      <vt:lpstr>'Non-Con, Mod Calculations'!System_Number_Max</vt:lpstr>
      <vt:lpstr>'Con, Mod Calculations'!System_Number_Reduced</vt:lpstr>
      <vt:lpstr>'Non-Con, Mod Calculations'!System_Number_Reduced</vt:lpstr>
      <vt:lpstr>'Con, Non-Mod Calculations'!t.1</vt:lpstr>
      <vt:lpstr>t.1</vt:lpstr>
      <vt:lpstr>' Non-Con, Non-Mod Calculations'!t.2</vt:lpstr>
      <vt:lpstr>'Con, Non-Mod Calculations'!t.2</vt:lpstr>
      <vt:lpstr>' Non-Con, Non-Mod Calculations'!t.3</vt:lpstr>
      <vt:lpstr>'Con, Non-Mod Calculations'!t.3</vt:lpstr>
      <vt:lpstr>' Non-Con, Non-Mod Calculations'!t.4</vt:lpstr>
      <vt:lpstr>'Con, Non-Mod Calculations'!t.4</vt:lpstr>
      <vt:lpstr>' Non-Con, Non-Mod Calculations'!t.5</vt:lpstr>
      <vt:lpstr>'Con, Non-Mod Calculations'!t.5</vt:lpstr>
      <vt:lpstr>'Con, Mod Calculations'!T.C</vt:lpstr>
      <vt:lpstr>'Non-Con, Mod Calculations'!T.C</vt:lpstr>
      <vt:lpstr>'Cyclic Timing Calculations'!T.C_Max</vt:lpstr>
      <vt:lpstr>'Cyclic Timing Calculations'!T.C_Reduced</vt:lpstr>
      <vt:lpstr>t.d</vt:lpstr>
      <vt:lpstr>' Non-Con, Non-Mod Calculations'!t.e</vt:lpstr>
      <vt:lpstr>t.e</vt:lpstr>
      <vt:lpstr>' Non-Con, Non-Mod Calculations'!T.FOFF</vt:lpstr>
      <vt:lpstr>'Con, Non-Mod Calculations'!T.FOFF</vt:lpstr>
      <vt:lpstr>'Max Test'!T.FOFF</vt:lpstr>
      <vt:lpstr>'Reduced Test'!T.FOFF</vt:lpstr>
      <vt:lpstr>' Non-Con, Non-Mod Calculations'!T.FOFF.t3</vt:lpstr>
      <vt:lpstr>'Con, Non-Mod Calculations'!T.FOFF.t3</vt:lpstr>
      <vt:lpstr>'Max Test'!T.FOFF.t3</vt:lpstr>
      <vt:lpstr>'Reduced Test'!T.FOFF.t3</vt:lpstr>
      <vt:lpstr>'Con, Mod Calculations'!T.FOFF.t3_Max</vt:lpstr>
      <vt:lpstr>'Non-Con, Mod Calculations'!T.FOFF.t3_Max</vt:lpstr>
      <vt:lpstr>'Con, Mod Calculations'!T.FOFF.t3_Reduced</vt:lpstr>
      <vt:lpstr>'Non-Con, Mod Calculations'!T.FOFF.t3_Reduced</vt:lpstr>
      <vt:lpstr>' Non-Con, Non-Mod Calculations'!T.FOFF.t4</vt:lpstr>
      <vt:lpstr>'Con, Non-Mod Calculations'!T.FOFF.t4</vt:lpstr>
      <vt:lpstr>'Max Test'!T.FOFF.t4</vt:lpstr>
      <vt:lpstr>'Reduced Test'!T.FOFF.t4</vt:lpstr>
      <vt:lpstr>'Con, Mod Calculations'!T.FOFF.t4_Max</vt:lpstr>
      <vt:lpstr>'Non-Con, Mod Calculations'!T.FOFF.t4_Max</vt:lpstr>
      <vt:lpstr>'Con, Mod Calculations'!T.FOFF.t4_Reduced</vt:lpstr>
      <vt:lpstr>'Non-Con, Mod Calculations'!T.FOFF.t4_Reduced</vt:lpstr>
      <vt:lpstr>' Non-Con, Non-Mod Calculations'!T.FOFF.t5</vt:lpstr>
      <vt:lpstr>'Con, Non-Mod Calculations'!T.FOFF.t5</vt:lpstr>
      <vt:lpstr>'Max Test'!T.FOFF.t5</vt:lpstr>
      <vt:lpstr>'Reduced Test'!T.FOFF.t5</vt:lpstr>
      <vt:lpstr>'Con, Mod Calculations'!T.FOFF.t5_Max</vt:lpstr>
      <vt:lpstr>'Non-Con, Mod Calculations'!T.FOFF.t5_Max</vt:lpstr>
      <vt:lpstr>'Con, Mod Calculations'!T.FOFF.t5_Reduced</vt:lpstr>
      <vt:lpstr>'Non-Con, Mod Calculations'!T.FOFF.t5_Reduced</vt:lpstr>
      <vt:lpstr>' Non-Con, Non-Mod Calculations'!T.FOFF.tp</vt:lpstr>
      <vt:lpstr>'Con, Non-Mod Calculations'!T.FOFF.tp</vt:lpstr>
      <vt:lpstr>'Max Test'!T.FOFF.tp</vt:lpstr>
      <vt:lpstr>'Reduced Test'!T.FOFF.tp</vt:lpstr>
      <vt:lpstr>'Con, Mod Calculations'!T.FOFF.tp_Max</vt:lpstr>
      <vt:lpstr>'Non-Con, Mod Calculations'!T.FOFF.tp_Max</vt:lpstr>
      <vt:lpstr>'Con, Mod Calculations'!T.FOFF.tp_Reduced</vt:lpstr>
      <vt:lpstr>'Non-Con, Mod Calculations'!T.FOFF.tp_Reduced</vt:lpstr>
      <vt:lpstr>'Con, Mod Calculations'!T.FOFF_Max</vt:lpstr>
      <vt:lpstr>'Non-Con, Mod Calculations'!T.FOFF_Max</vt:lpstr>
      <vt:lpstr>'Con, Mod Calculations'!T.FOFF_Reduced</vt:lpstr>
      <vt:lpstr>'Non-Con, Mod Calculations'!T.FOFF_Reduced</vt:lpstr>
      <vt:lpstr>' Non-Con, Non-Mod Calculations'!T.FON.t1</vt:lpstr>
      <vt:lpstr>'Con, Non-Mod Calculations'!T.FON.t1</vt:lpstr>
      <vt:lpstr>'Max Test'!T.FON.t1</vt:lpstr>
      <vt:lpstr>'Non-Con, Mod Calculations'!T.FON.t1</vt:lpstr>
      <vt:lpstr>'Reduced Test'!T.FON.t1</vt:lpstr>
      <vt:lpstr>'Con, Mod Calculations'!T.FON.t1_Max</vt:lpstr>
      <vt:lpstr>'Con, Mod Calculations'!T.FON.t1_Reduced</vt:lpstr>
      <vt:lpstr>'Non-Con, Mod Calculations'!T.FON.t1_Reduced</vt:lpstr>
      <vt:lpstr>' Non-Con, Non-Mod Calculations'!T.FON.t2</vt:lpstr>
      <vt:lpstr>'Con, Non-Mod Calculations'!T.FON.t2</vt:lpstr>
      <vt:lpstr>'Max Test'!T.FON.t2</vt:lpstr>
      <vt:lpstr>'Reduced Test'!T.FON.t2</vt:lpstr>
      <vt:lpstr>'Con, Mod Calculations'!T.FON.t2_Max</vt:lpstr>
      <vt:lpstr>'Non-Con, Mod Calculations'!T.FON.t2_Max</vt:lpstr>
      <vt:lpstr>'Con, Mod Calculations'!T.FON.t2_Reduced</vt:lpstr>
      <vt:lpstr>'Non-Con, Mod Calculations'!T.FON.t2_Reduced</vt:lpstr>
      <vt:lpstr>' Non-Con, Non-Mod Calculations'!T.FSS</vt:lpstr>
      <vt:lpstr>'Con, Non-Mod Calculations'!T.FSS</vt:lpstr>
      <vt:lpstr>'Reduced Test'!T.FSS</vt:lpstr>
      <vt:lpstr>'Max Test'!T.FSS_CDP</vt:lpstr>
      <vt:lpstr>'Con, Mod Calculations'!T.FSS_Max</vt:lpstr>
      <vt:lpstr>'Non-Con, Mod Calculations'!T.FSS_Max</vt:lpstr>
      <vt:lpstr>'Con, Mod Calculations'!T.FSS_Reduced</vt:lpstr>
      <vt:lpstr>'Non-Con, Mod Calculations'!T.FSS_Reduced</vt:lpstr>
      <vt:lpstr>'Max Test'!T.FSS_SS</vt:lpstr>
      <vt:lpstr>'Reduced Test'!T.FSS_SS</vt:lpstr>
      <vt:lpstr>' Non-Con, Non-Mod Calculations'!t.IG</vt:lpstr>
      <vt:lpstr>'Con, Mod Calculations'!t.IG</vt:lpstr>
      <vt:lpstr>'Con, Non-Mod Calculations'!t.IG</vt:lpstr>
      <vt:lpstr>'Max Test'!t.IG</vt:lpstr>
      <vt:lpstr>'Non-Con, Mod Calculations'!t.IG</vt:lpstr>
      <vt:lpstr>'Reduced Test'!t.IG</vt:lpstr>
      <vt:lpstr>' Non-Con, Non-Mod Calculations'!T.OA</vt:lpstr>
      <vt:lpstr>'Con, Non-Mod Calculations'!T.OA</vt:lpstr>
      <vt:lpstr>'Con, Mod Calculations'!T.OA_Max</vt:lpstr>
      <vt:lpstr>'Non-Con, Mod Calculations'!T.OA_Max</vt:lpstr>
      <vt:lpstr>'Con, Mod Calculations'!T.OA_Reduced</vt:lpstr>
      <vt:lpstr>'Non-Con, Mod Calculations'!T.OA_Reduced</vt:lpstr>
      <vt:lpstr>'Cyclic Timing Calculations'!T.OAH</vt:lpstr>
      <vt:lpstr>'Cyclic Timing Calculations'!T.OAR</vt:lpstr>
      <vt:lpstr>'Cyclic Timing Calculations'!T.OAT</vt:lpstr>
      <vt:lpstr>' Non-Con, Non-Mod Calculations'!t.OFF</vt:lpstr>
      <vt:lpstr>'Con, Non-Mod Calculations'!t.OFF</vt:lpstr>
      <vt:lpstr>'Con, Mod Calculations'!t.OFF_Max</vt:lpstr>
      <vt:lpstr>'Non-Con, Mod Calculations'!t.OFF_Max</vt:lpstr>
      <vt:lpstr>'Con, Mod Calculations'!t.OFF_Reduced</vt:lpstr>
      <vt:lpstr>'Non-Con, Mod Calculations'!t.OFF_Reduced</vt:lpstr>
      <vt:lpstr>'Cyclic Timing Calculations'!t.OFFH</vt:lpstr>
      <vt:lpstr>'Cyclic Timing Calculations'!t.OFFR</vt:lpstr>
      <vt:lpstr>' Non-Con, Non-Mod Calculations'!t.ON</vt:lpstr>
      <vt:lpstr>'Con, Non-Mod Calculations'!t.ON</vt:lpstr>
      <vt:lpstr>'Con, Mod Calculations'!t.ON_Max</vt:lpstr>
      <vt:lpstr>'Non-Con, Mod Calculations'!t.ON_Max</vt:lpstr>
      <vt:lpstr>'Con, Mod Calculations'!t.ON_Reduced</vt:lpstr>
      <vt:lpstr>'Non-Con, Mod Calculations'!t.ON_Reduced</vt:lpstr>
      <vt:lpstr>'Cyclic Timing Calculations'!t.ONH</vt:lpstr>
      <vt:lpstr>'Cyclic Timing Calculations'!t.ONR</vt:lpstr>
      <vt:lpstr>' Non-Con, Non-Mod Calculations'!t.p</vt:lpstr>
      <vt:lpstr>'Con, Non-Mod Calculations'!t.p</vt:lpstr>
      <vt:lpstr>'Reduced Test'!t.p</vt:lpstr>
      <vt:lpstr>' Non-Con, Non-Mod Calculations'!T.RA</vt:lpstr>
      <vt:lpstr>'Con, Non-Mod Calculations'!T.RA</vt:lpstr>
      <vt:lpstr>'Jacket Loss'!T.RA</vt:lpstr>
      <vt:lpstr>'Reduced Test'!T.RA</vt:lpstr>
      <vt:lpstr>'Max Test'!T.RA_CDP</vt:lpstr>
      <vt:lpstr>'Con, Mod Calculations'!T.RA_Max</vt:lpstr>
      <vt:lpstr>'Non-Con, Mod Calculations'!T.RA_Max</vt:lpstr>
      <vt:lpstr>'Con, Mod Calculations'!T.RA_Reduced</vt:lpstr>
      <vt:lpstr>'Non-Con, Mod Calculations'!T.RA_Reduced</vt:lpstr>
      <vt:lpstr>'Max Test'!T.RA_SS</vt:lpstr>
      <vt:lpstr>'Reduced Test'!T.RA_SS</vt:lpstr>
      <vt:lpstr>' Non-Con, Non-Mod Calculations'!t.s</vt:lpstr>
      <vt:lpstr>t.s</vt:lpstr>
      <vt:lpstr>'Cyclic Timing Calculations'!T.SH_Max</vt:lpstr>
      <vt:lpstr>'Cyclic Timing Calculations'!T.SH_Reduced</vt:lpstr>
      <vt:lpstr>'Max Test'!T.SOFF_Closed_TG</vt:lpstr>
      <vt:lpstr>'Reduced Test'!T.SOFF_Clsoed</vt:lpstr>
      <vt:lpstr>'Reduced Test'!T.SOFF_Open</vt:lpstr>
      <vt:lpstr>'Max Test'!T.SOFF_Open_TG</vt:lpstr>
      <vt:lpstr>' Non-Con, Non-Mod Calculations'!T.SSS</vt:lpstr>
      <vt:lpstr>'Con, Non-Mod Calculations'!T.SSS</vt:lpstr>
      <vt:lpstr>'Con, Mod Calculations'!T.SSS_Max</vt:lpstr>
      <vt:lpstr>'Non-Con, Mod Calculations'!T.SSS_Max</vt:lpstr>
      <vt:lpstr>'Con, Mod Calculations'!T.SSS_Reduced</vt:lpstr>
      <vt:lpstr>'Non-Con, Mod Calculations'!T.SSS_Reduced</vt:lpstr>
      <vt:lpstr>' Non-Con, Non-Mod Calculations'!T.SSSX</vt:lpstr>
      <vt:lpstr>'Reduced Test'!T.SSSX</vt:lpstr>
      <vt:lpstr>'Max Test'!T.SSSX_CDP</vt:lpstr>
      <vt:lpstr>'Con, Mod Calculations'!T.SSSX_Max</vt:lpstr>
      <vt:lpstr>'Non-Con, Mod Calculations'!T.SSSX_Max</vt:lpstr>
      <vt:lpstr>'Con, Mod Calculations'!T.SSSX_Reduced</vt:lpstr>
      <vt:lpstr>'Non-Con, Mod Calculations'!T.SSSX_Reduced</vt:lpstr>
      <vt:lpstr>'Max Test'!T.SSSX_SS</vt:lpstr>
      <vt:lpstr>'Reduced Test'!T.SSSX_SS</vt:lpstr>
      <vt:lpstr>'Max Test'!T.T</vt:lpstr>
      <vt:lpstr>'Reduced Test'!T.T_Closed_KL</vt:lpstr>
      <vt:lpstr>'Max Test'!T.T_Closed_TG</vt:lpstr>
      <vt:lpstr>T.T_Open_KL</vt:lpstr>
      <vt:lpstr>'Max Test'!T.T_Open_TG</vt:lpstr>
      <vt:lpstr>'Reduced Test'!T.T_TG</vt:lpstr>
      <vt:lpstr>'Con, Mod Calculations'!t1_Max</vt:lpstr>
      <vt:lpstr>'Non-Con, Mod Calculations'!t1_Max</vt:lpstr>
      <vt:lpstr>'Con, Mod Calculations'!t1_Reduced</vt:lpstr>
      <vt:lpstr>'Non-Con, Mod Calculations'!t1_Reduced</vt:lpstr>
      <vt:lpstr>'Con, Mod Calculations'!t2_Max</vt:lpstr>
      <vt:lpstr>'Non-Con, Mod Calculations'!t2_Max</vt:lpstr>
      <vt:lpstr>'Con, Mod Calculations'!t2_Reduced</vt:lpstr>
      <vt:lpstr>'Non-Con, Mod Calculations'!t2_Reduced</vt:lpstr>
      <vt:lpstr>'Con, Mod Calculations'!t3_Max</vt:lpstr>
      <vt:lpstr>'Non-Con, Mod Calculations'!t3_Max</vt:lpstr>
      <vt:lpstr>'Con, Mod Calculations'!t3_Reduced</vt:lpstr>
      <vt:lpstr>'Non-Con, Mod Calculations'!t3_Reduced</vt:lpstr>
      <vt:lpstr>'Con, Mod Calculations'!t4_Max</vt:lpstr>
      <vt:lpstr>'Non-Con, Mod Calculations'!t4_Max</vt:lpstr>
      <vt:lpstr>'Con, Mod Calculations'!t4_Reduced</vt:lpstr>
      <vt:lpstr>'Non-Con, Mod Calculations'!t4_Reduced</vt:lpstr>
      <vt:lpstr>'Con, Mod Calculations'!t5_Max</vt:lpstr>
      <vt:lpstr>'Non-Con, Mod Calculations'!t5_Max</vt:lpstr>
      <vt:lpstr>'Con, Mod Calculations'!t5_Reduced</vt:lpstr>
      <vt:lpstr>'Non-Con, Mod Calculations'!t5_Reduced</vt:lpstr>
      <vt:lpstr>' Non-Con, Non-Mod Calculations'!Tau.OFF</vt:lpstr>
      <vt:lpstr>'Con, Non-Mod Calculations'!Tau.OFF</vt:lpstr>
      <vt:lpstr>'Con, Mod Calculations'!Tau.OFF_Max</vt:lpstr>
      <vt:lpstr>'Non-Con, Mod Calculations'!Tau.OFF_Max</vt:lpstr>
      <vt:lpstr>'Con, Mod Calculations'!Tau.OFF_reduced</vt:lpstr>
      <vt:lpstr>'Non-Con, Mod Calculations'!Tau.OFF_Reduced</vt:lpstr>
      <vt:lpstr>' Non-Con, Non-Mod Calculations'!Tau.ON</vt:lpstr>
      <vt:lpstr>'Con, Non-Mod Calculations'!Tau.ON</vt:lpstr>
      <vt:lpstr>'Con, Mod Calculations'!Tau.ON_Max</vt:lpstr>
      <vt:lpstr>'Non-Con, Mod Calculations'!Tau.ON_Max</vt:lpstr>
      <vt:lpstr>'Con, Mod Calculations'!Tau.ON_Reduced</vt:lpstr>
      <vt:lpstr>'Non-Con, Mod Calculations'!Tau.ON_Reduced</vt:lpstr>
      <vt:lpstr>' Non-Con, Non-Mod Calculations'!Theta.FO</vt:lpstr>
      <vt:lpstr>'Con, Non-Mod Calculations'!Theta.FO</vt:lpstr>
      <vt:lpstr>'Con, Mod Calculations'!Theta.FO_Max</vt:lpstr>
      <vt:lpstr>'Non-Con, Mod Calculations'!Theta.FO_Max</vt:lpstr>
      <vt:lpstr>'Con, Mod Calculations'!Theta.FO_Reduced</vt:lpstr>
      <vt:lpstr>'Non-Con, Mod Calculations'!Theta.FO_Reduced</vt:lpstr>
      <vt:lpstr>' Non-Con, Non-Mod Calculations'!Theta.FOX</vt:lpstr>
      <vt:lpstr>'Con, Non-Mod Calculations'!Theta.FOX</vt:lpstr>
      <vt:lpstr>'Con, Mod Calculations'!Theta.FOX_Max</vt:lpstr>
      <vt:lpstr>'Non-Con, Mod Calculations'!Theta.FOX_Max</vt:lpstr>
      <vt:lpstr>'Con, Mod Calculations'!Theta.FOX_Reduced</vt:lpstr>
      <vt:lpstr>'Non-Con, Mod Calculations'!Theta.FOX_Reduced</vt:lpstr>
      <vt:lpstr>'Max Test'!thirty_mins</vt:lpstr>
      <vt:lpstr>'Reduced Test'!thirty_mins</vt:lpstr>
      <vt:lpstr>Time_Damper_Closes</vt:lpstr>
      <vt:lpstr>Time_Damper_Closes_End</vt:lpstr>
      <vt:lpstr>Time_Damper_Closes_Start</vt:lpstr>
      <vt:lpstr>Timing_CD_Start</vt:lpstr>
      <vt:lpstr>Timing_HU_Start</vt:lpstr>
      <vt:lpstr>Timing_SS_Cond_Start</vt:lpstr>
      <vt:lpstr>Timing_SS_Start</vt:lpstr>
      <vt:lpstr>'Max Test'!tp</vt:lpstr>
      <vt:lpstr>'Con, Mod Calculations'!tp_Max</vt:lpstr>
      <vt:lpstr>'Non-Con, Mod Calculations'!tp_Max</vt:lpstr>
      <vt:lpstr>'Con, Mod Calculations'!tp_Reduced</vt:lpstr>
      <vt:lpstr>'Non-Con, Mod Calculations'!tp_Reduced</vt:lpstr>
      <vt:lpstr>' Non-Con, Non-Mod Calculations'!tplus</vt:lpstr>
      <vt:lpstr>'Con, Mod Calculations'!tplus</vt:lpstr>
      <vt:lpstr>'Con, Non-Mod Calculations'!tplus</vt:lpstr>
      <vt:lpstr>'Max Test'!tplus</vt:lpstr>
      <vt:lpstr>'Non-Con, Mod Calculations'!tplus</vt:lpstr>
      <vt:lpstr>'Reduced Test'!tplus</vt:lpstr>
      <vt:lpstr>'Reduced Test'!TRAH</vt:lpstr>
      <vt:lpstr>' Non-Con, Non-Mod Calculations'!V.T</vt:lpstr>
      <vt:lpstr>'Con, Non-Mod Calculations'!V.T</vt:lpstr>
      <vt:lpstr>'Max Test'!V.T</vt:lpstr>
      <vt:lpstr>'Reduced Test'!V.T</vt:lpstr>
      <vt:lpstr>'Reduced Test'!V.T_Closed_KL</vt:lpstr>
      <vt:lpstr>'Max Test'!V.T_Closed_TG</vt:lpstr>
      <vt:lpstr>'Con, Mod Calculations'!V.T_Max</vt:lpstr>
      <vt:lpstr>'Non-Con, Mod Calculations'!V.T_Max</vt:lpstr>
      <vt:lpstr>'Reduced Test'!V.T_Open_KL</vt:lpstr>
      <vt:lpstr>'Max Test'!V.T_Open_TG</vt:lpstr>
      <vt:lpstr>'Con, Mod Calculations'!V.T_Reduced</vt:lpstr>
      <vt:lpstr>'Non-Con, Mod Calculations'!V.T_Reduced</vt:lpstr>
      <vt:lpstr>X.CO2_NCNM</vt:lpstr>
      <vt:lpstr>' Non-Con, Non-Mod Calculations'!X.CO2F</vt:lpstr>
      <vt:lpstr>'Con, Non-Mod Calculations'!X.CO2F</vt:lpstr>
      <vt:lpstr>'Reduced Test'!X.CO2F</vt:lpstr>
      <vt:lpstr>'Max Test'!X.CO2F_CDP</vt:lpstr>
      <vt:lpstr>'Con, Mod Calculations'!X.CO2F_Max</vt:lpstr>
      <vt:lpstr>'Non-Con, Mod Calculations'!X.CO2F_Max</vt:lpstr>
      <vt:lpstr>X.CO2F_NCNM</vt:lpstr>
      <vt:lpstr>'Con, Mod Calculations'!X.CO2F_Reduced</vt:lpstr>
      <vt:lpstr>'Non-Con, Mod Calculations'!X.CO2F_Reduced</vt:lpstr>
      <vt:lpstr>'Max Test'!X.CO2F_SS</vt:lpstr>
      <vt:lpstr>'Reduced Test'!X.CO2F_SS</vt:lpstr>
      <vt:lpstr>' Non-Con, Non-Mod Calculations'!X.CO2S</vt:lpstr>
      <vt:lpstr>'Reduced Test'!X.CO2S</vt:lpstr>
      <vt:lpstr>'Max Test'!X.CO2S_CDP</vt:lpstr>
      <vt:lpstr>'Non-Con, Mod Calculations'!X.CO2S_Max</vt:lpstr>
      <vt:lpstr>'Non-Con, Mod Calculations'!X.CO2S_Reduced</vt:lpstr>
      <vt:lpstr>'Max Test'!X.CO2S_SS</vt:lpstr>
      <vt:lpstr>'Reduced Test'!X.CO2S_SS</vt:lpstr>
      <vt:lpstr>'Con, Mod Calculations'!X.H</vt:lpstr>
      <vt:lpstr>'Non-Con, Mod Calculations'!X.H</vt:lpstr>
      <vt:lpstr>'Con, Mod Calculations'!X.R</vt:lpstr>
      <vt:lpstr>'Non-Con, Mod Calculations'!X.R</vt:lpstr>
      <vt:lpstr>' Non-Con, Non-Mod Calculations'!y</vt:lpstr>
      <vt:lpstr>'Con, Mod Calculations'!y</vt:lpstr>
      <vt:lpstr>'Con, Non-Mod Calculations'!y</vt:lpstr>
      <vt:lpstr>'Non-Con, Mod Calculations'!y</vt:lpstr>
      <vt:lpstr>' Non-Con, Non-Mod Calculations'!y.IG</vt:lpstr>
      <vt:lpstr>'Con, Mod Calculations'!y.IG</vt:lpstr>
      <vt:lpstr>'Con, Non-Mod Calculations'!y.IG</vt:lpstr>
      <vt:lpstr>'Non-Con, Mod Calculations'!y.IG</vt:lpstr>
      <vt:lpstr>'Con, Mod Calculations'!y.IG_Reduced</vt:lpstr>
      <vt:lpstr>'Non-Con, Mod Calculations'!y.IG_Reduced</vt:lpstr>
      <vt:lpstr>' Non-Con, Non-Mod Calculations'!y.p</vt:lpstr>
      <vt:lpstr>'Con, Mod Calculations'!y.p</vt:lpstr>
      <vt:lpstr>'Con, Non-Mod Calculations'!y.p</vt:lpstr>
      <vt:lpstr>'Non-Con, Mod Calculations'!y.p</vt:lpstr>
      <vt:lpstr>'Con, Mod Calculations'!y.p_Reduced</vt:lpstr>
      <vt:lpstr>'Non-Con, Mod Calculations'!y.p_Reduced</vt:lpstr>
      <vt:lpstr>'Con, Mod Calculations'!y_Reduced</vt:lpstr>
      <vt:lpstr>'Non-Con, Mod Calculations'!y_Reduced</vt:lpstr>
      <vt:lpstr>'Drop-Downs and Tables'!Yes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Jean-Louis</dc:creator>
  <cp:lastModifiedBy>User 939</cp:lastModifiedBy>
  <dcterms:created xsi:type="dcterms:W3CDTF">2012-12-21T14:34:39Z</dcterms:created>
  <dcterms:modified xsi:type="dcterms:W3CDTF">2025-01-15T22:18:21Z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0x0101007E8A322910C88F41AF3CECC9D84C45A0</vt:lpwstr>
  </property>
</Properties>
</file>