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mcarlisle\Desktop\Templates\2016\resACHP\"/>
    </mc:Choice>
  </mc:AlternateContent>
  <workbookProtection workbookPassword="D93F" lockStructure="1"/>
  <bookViews>
    <workbookView xWindow="13695" yWindow="105" windowWidth="4305" windowHeight="7320" tabRatio="862"/>
  </bookViews>
  <sheets>
    <sheet name="Instructions" sheetId="1" r:id="rId1"/>
    <sheet name="General Info and Test Results" sheetId="2" r:id="rId2"/>
    <sheet name="Instrumentation" sheetId="3" r:id="rId3"/>
    <sheet name="Setup" sheetId="4" r:id="rId4"/>
    <sheet name="Photos" sheetId="5" r:id="rId5"/>
    <sheet name="Test Settings" sheetId="6" r:id="rId6"/>
    <sheet name="A Test Recorded Data" sheetId="8" r:id="rId7"/>
    <sheet name="B Test Recorded Data" sheetId="9" r:id="rId8"/>
    <sheet name="F Test Recorded Data" sheetId="10" r:id="rId9"/>
    <sheet name="Ev Test Recorded Data" sheetId="11" r:id="rId10"/>
    <sheet name="Optional C Test Recorded Data" sheetId="12" r:id="rId11"/>
    <sheet name="Optional D Test Recorded Data" sheetId="13" r:id="rId12"/>
    <sheet name="Optional G Test Recorded Data" sheetId="14" r:id="rId13"/>
    <sheet name="Optional I Test Recorded Data" sheetId="15" r:id="rId14"/>
    <sheet name="H0-1 Test Recorded Data" sheetId="16" r:id="rId15"/>
    <sheet name="H1 Test Recorded Data" sheetId="17" r:id="rId16"/>
    <sheet name="H2 Test Recorded Data" sheetId="18" r:id="rId17"/>
    <sheet name="H3 Test Recorded Data" sheetId="19" r:id="rId18"/>
    <sheet name="Optional H0C Test Recorded Data" sheetId="20" r:id="rId19"/>
    <sheet name="Optional H1C Test Recorded Data" sheetId="27" r:id="rId20"/>
    <sheet name="Off Mode Test Data" sheetId="29" r:id="rId21"/>
    <sheet name="Calculations" sheetId="7" r:id="rId22"/>
    <sheet name="Test Comments" sheetId="24" r:id="rId23"/>
    <sheet name="Test Report Attachments" sheetId="28" r:id="rId24"/>
    <sheet name="Report Sign-off Block" sheetId="25" r:id="rId25"/>
    <sheet name="Tables" sheetId="22" r:id="rId26"/>
    <sheet name="Drop-Downs" sheetId="26" r:id="rId27"/>
    <sheet name="Version Control" sheetId="23" r:id="rId28"/>
  </sheets>
  <definedNames>
    <definedName name="Compressor_Type">'Drop-Downs'!$E$12:$E$14</definedName>
    <definedName name="Controls_Type">'Drop-Downs'!$H$12:$H$13</definedName>
    <definedName name="DD_ExpansionDeviceType">'Drop-Downs'!#REF!</definedName>
    <definedName name="DD_TPused">'Drop-Downs'!$L$12:$L$13</definedName>
    <definedName name="Duration">'Drop-Downs'!$B$12:$B$13</definedName>
    <definedName name="Fan_Type">'Drop-Downs'!$F$12:$F$13</definedName>
    <definedName name="H1_Type">'Drop-Downs'!$K$12:$K$15</definedName>
    <definedName name="Min_Max">'Drop-Downs'!$J$12:$J$13</definedName>
    <definedName name="_xlnm.Print_Area" localSheetId="0">Instructions!$A$1:$F$84</definedName>
    <definedName name="Product_Type">'Drop-Downs'!$D$12:$D$14</definedName>
    <definedName name="Refrigerant_Type">'Drop-Downs'!$G$12:$G$14</definedName>
    <definedName name="Region">'Drop-Downs'!$I$12:$I$17</definedName>
    <definedName name="SHRb1_SS_FS_rounded">'B Test Recorded Data'!$E$161</definedName>
    <definedName name="SHRb1_SS_VS_rounded">'B Test Recorded Data'!$E$162</definedName>
    <definedName name="SHRb1_TS_VS_rounded">'B Test Recorded Data'!$E$163</definedName>
    <definedName name="SHRb1_VS_VS_rounded">'B Test Recorded Data'!$E$164</definedName>
    <definedName name="SHRb2_SS_VS_rounded">'B Test Recorded Data'!$H$162</definedName>
    <definedName name="SHRb2_TS_VS_rounded">'B Test Recorded Data'!$H$163</definedName>
    <definedName name="SHRb2_VS_VS_rounded">'B Test Recorded Data'!$H$164</definedName>
    <definedName name="SS_FS_round">'A Test Recorded Data'!$E$163</definedName>
    <definedName name="SS_VS_round">'A Test Recorded Data'!$E$164</definedName>
    <definedName name="TS_VS_round">'A Test Recorded Data'!$E$165</definedName>
    <definedName name="VS_VS_round">'A Test Recorded Data'!$E$166</definedName>
    <definedName name="Yes_No">'Drop-Downs'!$C$12:$C$13</definedName>
    <definedName name="Z_2A4C6EB9_430A_44F2_86C8_15B50360FC3B_.wvu.PrintArea" localSheetId="0" hidden="1">Instructions!$A$1:$F$84</definedName>
    <definedName name="Z_B3BD5AF3_9A64_4EA7_AE1F_3CC326849B8F_.wvu.PrintArea" localSheetId="0" hidden="1">Instructions!$A$1:$F$84</definedName>
  </definedNames>
  <calcPr calcId="152511" concurrentCalc="0"/>
  <customWorkbookViews>
    <customWorkbookView name="Richard Shandross - Personal View" guid="{2A4C6EB9-430A-44F2-86C8-15B50360FC3B}" mergeInterval="0" personalView="1" maximized="1" xWindow="1" yWindow="1" windowWidth="1362" windowHeight="550" tabRatio="919" activeSheetId="1"/>
    <customWorkbookView name="Justin Schmidt - Personal View" guid="{B3BD5AF3-9A64-4EA7-AE1F-3CC326849B8F}" mergeInterval="0" personalView="1" xWindow="6" yWindow="32" windowWidth="1262" windowHeight="577" tabRatio="919" activeSheetId="8" showComments="commIndAndComment"/>
  </customWorkbookViews>
</workbook>
</file>

<file path=xl/calcChain.xml><?xml version="1.0" encoding="utf-8"?>
<calcChain xmlns="http://schemas.openxmlformats.org/spreadsheetml/2006/main">
  <c r="C7" i="23" l="1"/>
  <c r="D39" i="29"/>
  <c r="D40" i="29"/>
  <c r="I7" i="29"/>
  <c r="C7" i="29"/>
  <c r="I6" i="29"/>
  <c r="C6" i="29"/>
  <c r="I5" i="29"/>
  <c r="C3" i="29"/>
  <c r="G164" i="9"/>
  <c r="H164" i="9"/>
  <c r="G163" i="9"/>
  <c r="H163" i="9"/>
  <c r="G162" i="9"/>
  <c r="H162" i="9"/>
  <c r="D164" i="9"/>
  <c r="E164" i="9"/>
  <c r="D163" i="9"/>
  <c r="E163" i="9"/>
  <c r="D162" i="9"/>
  <c r="E162" i="9"/>
  <c r="D161" i="9"/>
  <c r="E161" i="9"/>
  <c r="D163" i="8"/>
  <c r="C7" i="28"/>
  <c r="C6" i="28"/>
  <c r="C3" i="28"/>
  <c r="I54" i="7"/>
  <c r="K252" i="7"/>
  <c r="I264" i="7"/>
  <c r="I263" i="7"/>
  <c r="I262" i="7"/>
  <c r="I261" i="7"/>
  <c r="I260" i="7"/>
  <c r="I259" i="7"/>
  <c r="I258" i="7"/>
  <c r="I257" i="7"/>
  <c r="I256" i="7"/>
  <c r="I255" i="7"/>
  <c r="I254" i="7"/>
  <c r="I253" i="7"/>
  <c r="I252" i="7"/>
  <c r="I251" i="7"/>
  <c r="I250" i="7"/>
  <c r="I249" i="7"/>
  <c r="I248" i="7"/>
  <c r="I247" i="7"/>
  <c r="I230" i="7"/>
  <c r="H230" i="7"/>
  <c r="I229" i="7"/>
  <c r="H229" i="7"/>
  <c r="I228" i="7"/>
  <c r="H228" i="7"/>
  <c r="I227" i="7"/>
  <c r="H227" i="7"/>
  <c r="I226" i="7"/>
  <c r="H226" i="7"/>
  <c r="I225" i="7"/>
  <c r="H225" i="7"/>
  <c r="I224" i="7"/>
  <c r="H224" i="7"/>
  <c r="I223" i="7"/>
  <c r="H223" i="7"/>
  <c r="I222" i="7"/>
  <c r="H222" i="7"/>
  <c r="I221" i="7"/>
  <c r="H221" i="7"/>
  <c r="I220" i="7"/>
  <c r="H220" i="7"/>
  <c r="I219" i="7"/>
  <c r="H219" i="7"/>
  <c r="I218" i="7"/>
  <c r="H218" i="7"/>
  <c r="I217" i="7"/>
  <c r="H217" i="7"/>
  <c r="I216" i="7"/>
  <c r="H216" i="7"/>
  <c r="I215" i="7"/>
  <c r="H215" i="7"/>
  <c r="I214" i="7"/>
  <c r="H214" i="7"/>
  <c r="I213" i="7"/>
  <c r="H213" i="7"/>
  <c r="D264" i="7"/>
  <c r="D263" i="7"/>
  <c r="D262" i="7"/>
  <c r="D261" i="7"/>
  <c r="D260" i="7"/>
  <c r="D259" i="7"/>
  <c r="D258" i="7"/>
  <c r="D257" i="7"/>
  <c r="D256" i="7"/>
  <c r="D255" i="7"/>
  <c r="D254" i="7"/>
  <c r="D253" i="7"/>
  <c r="D252" i="7"/>
  <c r="D251" i="7"/>
  <c r="D250" i="7"/>
  <c r="D249" i="7"/>
  <c r="D248" i="7"/>
  <c r="D247" i="7"/>
  <c r="D230" i="7"/>
  <c r="D229" i="7"/>
  <c r="D228" i="7"/>
  <c r="D227" i="7"/>
  <c r="D226" i="7"/>
  <c r="D225" i="7"/>
  <c r="D224" i="7"/>
  <c r="D223" i="7"/>
  <c r="D222" i="7"/>
  <c r="D221" i="7"/>
  <c r="D220" i="7"/>
  <c r="D219" i="7"/>
  <c r="D218" i="7"/>
  <c r="D217" i="7"/>
  <c r="D216" i="7"/>
  <c r="D215" i="7"/>
  <c r="D214" i="7"/>
  <c r="D213" i="7"/>
  <c r="D199" i="7"/>
  <c r="D198" i="7"/>
  <c r="D197" i="7"/>
  <c r="D196" i="7"/>
  <c r="D195" i="7"/>
  <c r="D194" i="7"/>
  <c r="D193" i="7"/>
  <c r="D192" i="7"/>
  <c r="D191" i="7"/>
  <c r="D190" i="7"/>
  <c r="D189" i="7"/>
  <c r="D188" i="7"/>
  <c r="D187" i="7"/>
  <c r="D186" i="7"/>
  <c r="D185" i="7"/>
  <c r="D184" i="7"/>
  <c r="D183" i="7"/>
  <c r="D182" i="7"/>
  <c r="C66" i="7"/>
  <c r="D166" i="7"/>
  <c r="D165" i="7"/>
  <c r="D164" i="7"/>
  <c r="D163" i="7"/>
  <c r="D162" i="7"/>
  <c r="D161" i="7"/>
  <c r="D160" i="7"/>
  <c r="D159" i="7"/>
  <c r="D158" i="7"/>
  <c r="D157" i="7"/>
  <c r="D156" i="7"/>
  <c r="D155" i="7"/>
  <c r="D154" i="7"/>
  <c r="D153" i="7"/>
  <c r="D152" i="7"/>
  <c r="D151" i="7"/>
  <c r="D150" i="7"/>
  <c r="C136" i="7"/>
  <c r="G139" i="7"/>
  <c r="O166" i="7"/>
  <c r="O165" i="7"/>
  <c r="O164" i="7"/>
  <c r="O163" i="7"/>
  <c r="O162" i="7"/>
  <c r="O161" i="7"/>
  <c r="O160" i="7"/>
  <c r="O159" i="7"/>
  <c r="O158" i="7"/>
  <c r="O157" i="7"/>
  <c r="O156" i="7"/>
  <c r="O155" i="7"/>
  <c r="O154" i="7"/>
  <c r="O153" i="7"/>
  <c r="O152" i="7"/>
  <c r="O151" i="7"/>
  <c r="O150" i="7"/>
  <c r="C166" i="7"/>
  <c r="C165" i="7"/>
  <c r="C163" i="7"/>
  <c r="C162" i="7"/>
  <c r="C161" i="7"/>
  <c r="B161" i="7"/>
  <c r="C160" i="7"/>
  <c r="C159" i="7"/>
  <c r="B159" i="7"/>
  <c r="C158" i="7"/>
  <c r="B158" i="7"/>
  <c r="C157" i="7"/>
  <c r="B157" i="7"/>
  <c r="C156" i="7"/>
  <c r="B156" i="7"/>
  <c r="C155" i="7"/>
  <c r="B155" i="7"/>
  <c r="C154" i="7"/>
  <c r="B154" i="7"/>
  <c r="C153" i="7"/>
  <c r="B153" i="7"/>
  <c r="C152" i="7"/>
  <c r="B152" i="7"/>
  <c r="C151" i="7"/>
  <c r="B151" i="7"/>
  <c r="C150" i="7"/>
  <c r="B150" i="7"/>
  <c r="B166" i="7"/>
  <c r="B165" i="7"/>
  <c r="B163" i="7"/>
  <c r="B162" i="7"/>
  <c r="B160" i="7"/>
  <c r="I52" i="7"/>
  <c r="I53" i="7"/>
  <c r="L166" i="7"/>
  <c r="M165" i="7"/>
  <c r="C164" i="7"/>
  <c r="B164" i="7"/>
  <c r="C146" i="7"/>
  <c r="G137" i="7"/>
  <c r="G138" i="7"/>
  <c r="E137" i="7"/>
  <c r="F161" i="7"/>
  <c r="F157" i="7"/>
  <c r="N165" i="7"/>
  <c r="F165" i="7"/>
  <c r="G165" i="7"/>
  <c r="J165" i="7"/>
  <c r="F155" i="7"/>
  <c r="F159" i="7"/>
  <c r="K165" i="7"/>
  <c r="E150" i="7"/>
  <c r="N150" i="7"/>
  <c r="C171" i="7"/>
  <c r="F153" i="7"/>
  <c r="E164" i="7"/>
  <c r="F164" i="7"/>
  <c r="K166" i="7"/>
  <c r="G166" i="7"/>
  <c r="M166" i="7"/>
  <c r="I166" i="7"/>
  <c r="E166" i="7"/>
  <c r="N166" i="7"/>
  <c r="J166" i="7"/>
  <c r="F166" i="7"/>
  <c r="F151" i="7"/>
  <c r="H164" i="7"/>
  <c r="H166" i="7"/>
  <c r="F154" i="7"/>
  <c r="H152" i="7"/>
  <c r="H154" i="7"/>
  <c r="H151" i="7"/>
  <c r="H153" i="7"/>
  <c r="H155" i="7"/>
  <c r="H157" i="7"/>
  <c r="H159" i="7"/>
  <c r="H161" i="7"/>
  <c r="H163" i="7"/>
  <c r="H165" i="7"/>
  <c r="L165" i="7"/>
  <c r="E151" i="7"/>
  <c r="E153" i="7"/>
  <c r="E155" i="7"/>
  <c r="E157" i="7"/>
  <c r="E159" i="7"/>
  <c r="E161" i="7"/>
  <c r="E165" i="7"/>
  <c r="I165" i="7"/>
  <c r="C7" i="14"/>
  <c r="C7" i="12"/>
  <c r="I157" i="7"/>
  <c r="J157" i="7"/>
  <c r="I154" i="7"/>
  <c r="J154" i="7"/>
  <c r="I159" i="7"/>
  <c r="J159" i="7"/>
  <c r="I161" i="7"/>
  <c r="J161" i="7"/>
  <c r="I151" i="7"/>
  <c r="J151" i="7"/>
  <c r="I164" i="7"/>
  <c r="J164" i="7"/>
  <c r="I155" i="7"/>
  <c r="J155" i="7"/>
  <c r="E163" i="7"/>
  <c r="F163" i="7"/>
  <c r="I163" i="7"/>
  <c r="J163" i="7"/>
  <c r="H162" i="7"/>
  <c r="G164" i="7"/>
  <c r="K164" i="7"/>
  <c r="L164" i="7"/>
  <c r="F162" i="7"/>
  <c r="I153" i="7"/>
  <c r="J153" i="7"/>
  <c r="F152" i="7"/>
  <c r="I152" i="7"/>
  <c r="J152" i="7"/>
  <c r="E162" i="7"/>
  <c r="N162" i="7"/>
  <c r="H160" i="7"/>
  <c r="E156" i="7"/>
  <c r="N156" i="7"/>
  <c r="E158" i="7"/>
  <c r="N158" i="7"/>
  <c r="M164" i="7"/>
  <c r="G161" i="7"/>
  <c r="N161" i="7"/>
  <c r="G157" i="7"/>
  <c r="M157" i="7"/>
  <c r="N157" i="7"/>
  <c r="F160" i="7"/>
  <c r="H150" i="7"/>
  <c r="G159" i="7"/>
  <c r="N159" i="7"/>
  <c r="G155" i="7"/>
  <c r="N155" i="7"/>
  <c r="G151" i="7"/>
  <c r="N151" i="7"/>
  <c r="H158" i="7"/>
  <c r="H156" i="7"/>
  <c r="N164" i="7"/>
  <c r="E160" i="7"/>
  <c r="F156" i="7"/>
  <c r="F150" i="7"/>
  <c r="F158" i="7"/>
  <c r="G153" i="7"/>
  <c r="N153" i="7"/>
  <c r="E152" i="7"/>
  <c r="E154" i="7"/>
  <c r="E163" i="8"/>
  <c r="D166" i="8"/>
  <c r="E166" i="8"/>
  <c r="D164" i="8"/>
  <c r="E164" i="8"/>
  <c r="G15" i="2"/>
  <c r="C7" i="1"/>
  <c r="C6" i="1"/>
  <c r="C3" i="1"/>
  <c r="C7" i="2"/>
  <c r="C6" i="2"/>
  <c r="C3" i="2"/>
  <c r="C7" i="3"/>
  <c r="C6" i="3"/>
  <c r="C3" i="3"/>
  <c r="C7" i="4"/>
  <c r="C6" i="4"/>
  <c r="C3" i="4"/>
  <c r="C7" i="5"/>
  <c r="C6" i="5"/>
  <c r="C3" i="5"/>
  <c r="C7" i="6"/>
  <c r="C6" i="6"/>
  <c r="C3" i="6"/>
  <c r="C7" i="8"/>
  <c r="C6" i="8"/>
  <c r="C3" i="8"/>
  <c r="C7" i="9"/>
  <c r="C6" i="9"/>
  <c r="C3" i="9"/>
  <c r="C7" i="10"/>
  <c r="C6" i="10"/>
  <c r="C3" i="10"/>
  <c r="C7" i="11"/>
  <c r="C6" i="11"/>
  <c r="C3" i="11"/>
  <c r="C6" i="12"/>
  <c r="C3" i="12"/>
  <c r="C7" i="13"/>
  <c r="C6" i="13"/>
  <c r="C3" i="13"/>
  <c r="C6" i="14"/>
  <c r="C3" i="14"/>
  <c r="C7" i="15"/>
  <c r="C6" i="15"/>
  <c r="C3" i="15"/>
  <c r="C7" i="16"/>
  <c r="C6" i="16"/>
  <c r="C3" i="16"/>
  <c r="C7" i="17"/>
  <c r="C6" i="17"/>
  <c r="C3" i="17"/>
  <c r="C7" i="18"/>
  <c r="C6" i="18"/>
  <c r="C3" i="18"/>
  <c r="C7" i="19"/>
  <c r="C6" i="19"/>
  <c r="C3" i="19"/>
  <c r="C7" i="20"/>
  <c r="C6" i="20"/>
  <c r="C3" i="20"/>
  <c r="C7" i="27"/>
  <c r="C6" i="27"/>
  <c r="C3" i="27"/>
  <c r="C7" i="7"/>
  <c r="C6" i="7"/>
  <c r="C3" i="7"/>
  <c r="C7" i="24"/>
  <c r="C6" i="24"/>
  <c r="C3" i="24"/>
  <c r="C7" i="25"/>
  <c r="C6" i="25"/>
  <c r="C3" i="25"/>
  <c r="K9" i="22"/>
  <c r="K8" i="22"/>
  <c r="K5" i="22"/>
  <c r="C8" i="23"/>
  <c r="C8" i="29"/>
  <c r="C6" i="26"/>
  <c r="C3" i="26"/>
  <c r="C7" i="26"/>
  <c r="C6" i="23"/>
  <c r="C5" i="23"/>
  <c r="C5" i="29"/>
  <c r="C4" i="23"/>
  <c r="C4" i="1"/>
  <c r="C4" i="29"/>
  <c r="C8" i="26"/>
  <c r="C8" i="28"/>
  <c r="C4" i="2"/>
  <c r="C4" i="28"/>
  <c r="C5" i="26"/>
  <c r="C5" i="28"/>
  <c r="I162" i="7"/>
  <c r="J162" i="7"/>
  <c r="G163" i="7"/>
  <c r="N163" i="7"/>
  <c r="I160" i="7"/>
  <c r="J160" i="7"/>
  <c r="G162" i="7"/>
  <c r="M162" i="7"/>
  <c r="I150" i="7"/>
  <c r="J150" i="7"/>
  <c r="I158" i="7"/>
  <c r="J158" i="7"/>
  <c r="G158" i="7"/>
  <c r="N160" i="7"/>
  <c r="G160" i="7"/>
  <c r="K151" i="7"/>
  <c r="L151" i="7"/>
  <c r="M151" i="7"/>
  <c r="M159" i="7"/>
  <c r="K159" i="7"/>
  <c r="L159" i="7"/>
  <c r="K161" i="7"/>
  <c r="L161" i="7"/>
  <c r="M161" i="7"/>
  <c r="N154" i="7"/>
  <c r="G154" i="7"/>
  <c r="M154" i="7"/>
  <c r="I156" i="7"/>
  <c r="J156" i="7"/>
  <c r="G156" i="7"/>
  <c r="M155" i="7"/>
  <c r="K155" i="7"/>
  <c r="L155" i="7"/>
  <c r="M163" i="7"/>
  <c r="K163" i="7"/>
  <c r="L163" i="7"/>
  <c r="K157" i="7"/>
  <c r="L157" i="7"/>
  <c r="G150" i="7"/>
  <c r="N152" i="7"/>
  <c r="G152" i="7"/>
  <c r="K153" i="7"/>
  <c r="L153" i="7"/>
  <c r="M153" i="7"/>
  <c r="C5" i="19"/>
  <c r="C5" i="11"/>
  <c r="C5" i="2"/>
  <c r="C8" i="25"/>
  <c r="C8" i="11"/>
  <c r="C8" i="10"/>
  <c r="C8" i="9"/>
  <c r="C8" i="8"/>
  <c r="C8" i="6"/>
  <c r="C8" i="5"/>
  <c r="C8" i="4"/>
  <c r="C8" i="3"/>
  <c r="C8" i="2"/>
  <c r="K10" i="22"/>
  <c r="C8" i="24"/>
  <c r="C8" i="7"/>
  <c r="C8" i="27"/>
  <c r="C8" i="20"/>
  <c r="C8" i="19"/>
  <c r="C8" i="18"/>
  <c r="C8" i="17"/>
  <c r="C8" i="16"/>
  <c r="C8" i="15"/>
  <c r="C8" i="14"/>
  <c r="C8" i="13"/>
  <c r="C8" i="12"/>
  <c r="C5" i="24"/>
  <c r="C5" i="6"/>
  <c r="C5" i="15"/>
  <c r="C5" i="27"/>
  <c r="C5" i="13"/>
  <c r="C5" i="4"/>
  <c r="K7" i="22"/>
  <c r="C5" i="17"/>
  <c r="C5" i="9"/>
  <c r="C4" i="25"/>
  <c r="C4" i="20"/>
  <c r="C4" i="16"/>
  <c r="C4" i="12"/>
  <c r="C4" i="8"/>
  <c r="C4" i="3"/>
  <c r="C4" i="26"/>
  <c r="C5" i="7"/>
  <c r="C5" i="18"/>
  <c r="C5" i="16"/>
  <c r="C5" i="14"/>
  <c r="C5" i="12"/>
  <c r="C5" i="10"/>
  <c r="C5" i="8"/>
  <c r="C5" i="5"/>
  <c r="C5" i="3"/>
  <c r="C5" i="1"/>
  <c r="C4" i="7"/>
  <c r="C4" i="18"/>
  <c r="C4" i="14"/>
  <c r="C4" i="10"/>
  <c r="C4" i="5"/>
  <c r="C5" i="25"/>
  <c r="C5" i="20"/>
  <c r="K6" i="22"/>
  <c r="C4" i="24"/>
  <c r="C4" i="27"/>
  <c r="C4" i="19"/>
  <c r="C4" i="17"/>
  <c r="C4" i="15"/>
  <c r="C4" i="13"/>
  <c r="C4" i="11"/>
  <c r="C4" i="9"/>
  <c r="C4" i="6"/>
  <c r="C4" i="4"/>
  <c r="M160" i="7"/>
  <c r="K162" i="7"/>
  <c r="L162" i="7"/>
  <c r="K150" i="7"/>
  <c r="L150" i="7"/>
  <c r="C169" i="7"/>
  <c r="M150" i="7"/>
  <c r="C170" i="7"/>
  <c r="K158" i="7"/>
  <c r="L158" i="7"/>
  <c r="M158" i="7"/>
  <c r="K152" i="7"/>
  <c r="L152" i="7"/>
  <c r="K156" i="7"/>
  <c r="L156" i="7"/>
  <c r="M156" i="7"/>
  <c r="K160" i="7"/>
  <c r="L160" i="7"/>
  <c r="M152" i="7"/>
  <c r="K154" i="7"/>
  <c r="L154" i="7"/>
  <c r="D86" i="27"/>
  <c r="C54" i="7"/>
  <c r="D47" i="27"/>
  <c r="I7" i="27"/>
  <c r="I6" i="27"/>
  <c r="I5" i="27"/>
  <c r="C173" i="7"/>
  <c r="D173" i="7"/>
  <c r="C53" i="7"/>
  <c r="C52" i="7"/>
  <c r="B11" i="27"/>
  <c r="V261" i="7"/>
  <c r="V260" i="7"/>
  <c r="V259" i="7"/>
  <c r="V258" i="7"/>
  <c r="V257" i="7"/>
  <c r="V256" i="7"/>
  <c r="V255" i="7"/>
  <c r="V254" i="7"/>
  <c r="V253" i="7"/>
  <c r="V252" i="7"/>
  <c r="V251" i="7"/>
  <c r="V250" i="7"/>
  <c r="V249" i="7"/>
  <c r="V248" i="7"/>
  <c r="V264" i="7"/>
  <c r="V262" i="7"/>
  <c r="V247" i="7"/>
  <c r="V263" i="7"/>
  <c r="T199" i="7"/>
  <c r="T198" i="7"/>
  <c r="T197" i="7"/>
  <c r="T196" i="7"/>
  <c r="T195" i="7"/>
  <c r="T194" i="7"/>
  <c r="T193" i="7"/>
  <c r="T192" i="7"/>
  <c r="T191" i="7"/>
  <c r="T190" i="7"/>
  <c r="T189" i="7"/>
  <c r="T188" i="7"/>
  <c r="T187" i="7"/>
  <c r="T186" i="7"/>
  <c r="T185" i="7"/>
  <c r="T184" i="7"/>
  <c r="T183" i="7"/>
  <c r="T182" i="7"/>
  <c r="D85" i="9"/>
  <c r="D80" i="9"/>
  <c r="D86" i="8"/>
  <c r="D156" i="8"/>
  <c r="D81" i="8"/>
  <c r="D41" i="29"/>
  <c r="F41" i="29"/>
  <c r="G16" i="2"/>
  <c r="D80" i="19"/>
  <c r="E50" i="7"/>
  <c r="I25" i="2"/>
  <c r="I26" i="2"/>
  <c r="I27" i="2"/>
  <c r="I28" i="2"/>
  <c r="C248" i="7"/>
  <c r="B248" i="7"/>
  <c r="C249" i="7"/>
  <c r="B249" i="7"/>
  <c r="C250" i="7"/>
  <c r="C253" i="7"/>
  <c r="C256" i="7"/>
  <c r="B256" i="7"/>
  <c r="C258" i="7"/>
  <c r="B258" i="7"/>
  <c r="C260" i="7"/>
  <c r="B260" i="7"/>
  <c r="C183" i="7"/>
  <c r="B183" i="7"/>
  <c r="C184" i="7"/>
  <c r="B184" i="7"/>
  <c r="C185" i="7"/>
  <c r="B185" i="7"/>
  <c r="C188" i="7"/>
  <c r="B188" i="7"/>
  <c r="C189" i="7"/>
  <c r="B189" i="7"/>
  <c r="C191" i="7"/>
  <c r="B191" i="7"/>
  <c r="C192" i="7"/>
  <c r="B192" i="7"/>
  <c r="C196" i="7"/>
  <c r="B196" i="7"/>
  <c r="C182" i="7"/>
  <c r="B182" i="7"/>
  <c r="D75" i="20"/>
  <c r="D80" i="20"/>
  <c r="E55" i="7"/>
  <c r="D148" i="12"/>
  <c r="E35" i="7"/>
  <c r="D143" i="12"/>
  <c r="C35" i="7"/>
  <c r="D78" i="12"/>
  <c r="D73" i="12"/>
  <c r="D151" i="8"/>
  <c r="I39" i="7"/>
  <c r="D73" i="17"/>
  <c r="C43" i="7"/>
  <c r="D14" i="10"/>
  <c r="D14" i="9"/>
  <c r="D14" i="8"/>
  <c r="D233" i="18"/>
  <c r="D228" i="18"/>
  <c r="D154" i="18"/>
  <c r="D159" i="18"/>
  <c r="E48" i="7"/>
  <c r="D85" i="18"/>
  <c r="D80" i="18"/>
  <c r="C46" i="7"/>
  <c r="I7" i="20"/>
  <c r="I6" i="20"/>
  <c r="I5" i="20"/>
  <c r="I7" i="19"/>
  <c r="I6" i="19"/>
  <c r="I5" i="19"/>
  <c r="I7" i="18"/>
  <c r="I6" i="18"/>
  <c r="I5" i="18"/>
  <c r="I7" i="17"/>
  <c r="I6" i="17"/>
  <c r="I5" i="17"/>
  <c r="I7" i="16"/>
  <c r="I6" i="16"/>
  <c r="I5" i="16"/>
  <c r="I7" i="15"/>
  <c r="I6" i="15"/>
  <c r="I5" i="15"/>
  <c r="I7" i="14"/>
  <c r="I6" i="14"/>
  <c r="I5" i="14"/>
  <c r="I7" i="13"/>
  <c r="I6" i="13"/>
  <c r="I5" i="13"/>
  <c r="I7" i="12"/>
  <c r="I6" i="12"/>
  <c r="I5" i="12"/>
  <c r="I7" i="11"/>
  <c r="I6" i="11"/>
  <c r="I5" i="11"/>
  <c r="I7" i="10"/>
  <c r="I6" i="10"/>
  <c r="I5" i="10"/>
  <c r="I7" i="9"/>
  <c r="I6" i="9"/>
  <c r="I5" i="9"/>
  <c r="C48" i="7"/>
  <c r="D145" i="19"/>
  <c r="C51" i="7"/>
  <c r="I48" i="7"/>
  <c r="I51" i="7"/>
  <c r="I44" i="7"/>
  <c r="I56" i="7"/>
  <c r="C57" i="7"/>
  <c r="D15" i="25"/>
  <c r="H25" i="2"/>
  <c r="H26" i="2"/>
  <c r="H27" i="2"/>
  <c r="H28" i="2"/>
  <c r="D155" i="9"/>
  <c r="E32" i="7"/>
  <c r="D79" i="11"/>
  <c r="D218" i="17"/>
  <c r="D213" i="17"/>
  <c r="C58" i="7"/>
  <c r="D148" i="17"/>
  <c r="E45" i="7"/>
  <c r="D143" i="17"/>
  <c r="C45" i="7"/>
  <c r="D78" i="17"/>
  <c r="E44" i="7"/>
  <c r="D150" i="19"/>
  <c r="E51" i="7"/>
  <c r="D75" i="19"/>
  <c r="C50" i="7"/>
  <c r="D78" i="16"/>
  <c r="E56" i="7"/>
  <c r="D73" i="16"/>
  <c r="C56" i="7"/>
  <c r="D80" i="15"/>
  <c r="E42" i="7"/>
  <c r="D75" i="15"/>
  <c r="C42" i="7"/>
  <c r="D78" i="14"/>
  <c r="E41" i="7"/>
  <c r="D73" i="14"/>
  <c r="C41" i="7"/>
  <c r="C114" i="7"/>
  <c r="D102" i="13"/>
  <c r="E38" i="7"/>
  <c r="D97" i="13"/>
  <c r="D55" i="13"/>
  <c r="E37" i="7"/>
  <c r="D50" i="13"/>
  <c r="C36" i="7"/>
  <c r="D84" i="10"/>
  <c r="D79" i="10"/>
  <c r="E58" i="7"/>
  <c r="I58" i="7"/>
  <c r="I57" i="7"/>
  <c r="E57" i="7"/>
  <c r="H5" i="7"/>
  <c r="D118" i="7"/>
  <c r="D119" i="7"/>
  <c r="D120" i="7"/>
  <c r="D121" i="7"/>
  <c r="D122" i="7"/>
  <c r="D123" i="7"/>
  <c r="D124" i="7"/>
  <c r="D117" i="7"/>
  <c r="C118" i="7"/>
  <c r="C119" i="7"/>
  <c r="C120" i="7"/>
  <c r="C121" i="7"/>
  <c r="C122" i="7"/>
  <c r="C123" i="7"/>
  <c r="C124" i="7"/>
  <c r="C117" i="7"/>
  <c r="B118" i="7"/>
  <c r="B119" i="7"/>
  <c r="B120" i="7"/>
  <c r="B121" i="7"/>
  <c r="B122" i="7"/>
  <c r="B123" i="7"/>
  <c r="B124" i="7"/>
  <c r="B117" i="7"/>
  <c r="C98" i="7"/>
  <c r="C99" i="7"/>
  <c r="C100" i="7"/>
  <c r="C101" i="7"/>
  <c r="C102" i="7"/>
  <c r="C103" i="7"/>
  <c r="C104" i="7"/>
  <c r="D98" i="7"/>
  <c r="D99" i="7"/>
  <c r="D100" i="7"/>
  <c r="D101" i="7"/>
  <c r="D102" i="7"/>
  <c r="D103" i="7"/>
  <c r="D104" i="7"/>
  <c r="D97" i="7"/>
  <c r="C97" i="7"/>
  <c r="B98" i="7"/>
  <c r="B99" i="7"/>
  <c r="B100" i="7"/>
  <c r="B101" i="7"/>
  <c r="B102" i="7"/>
  <c r="B103" i="7"/>
  <c r="B104" i="7"/>
  <c r="B97" i="7"/>
  <c r="B78" i="7"/>
  <c r="B79" i="7"/>
  <c r="B80" i="7"/>
  <c r="B81" i="7"/>
  <c r="B82" i="7"/>
  <c r="B83" i="7"/>
  <c r="B84" i="7"/>
  <c r="B77" i="7"/>
  <c r="C78" i="7"/>
  <c r="C79" i="7"/>
  <c r="C80" i="7"/>
  <c r="C81" i="7"/>
  <c r="C82" i="7"/>
  <c r="C83" i="7"/>
  <c r="C84" i="7"/>
  <c r="C77" i="7"/>
  <c r="D78" i="7"/>
  <c r="D79" i="7"/>
  <c r="D80" i="7"/>
  <c r="D81" i="7"/>
  <c r="D82" i="7"/>
  <c r="D83" i="7"/>
  <c r="D84" i="7"/>
  <c r="D77" i="7"/>
  <c r="I55" i="7"/>
  <c r="I50" i="7"/>
  <c r="I49" i="7"/>
  <c r="I47" i="7"/>
  <c r="I46" i="7"/>
  <c r="I45" i="7"/>
  <c r="I43" i="7"/>
  <c r="I42" i="7"/>
  <c r="I41" i="7"/>
  <c r="I40" i="7"/>
  <c r="I38" i="7"/>
  <c r="I37" i="7"/>
  <c r="I36" i="7"/>
  <c r="I35" i="7"/>
  <c r="I34" i="7"/>
  <c r="I33" i="7"/>
  <c r="I32" i="7"/>
  <c r="I31" i="7"/>
  <c r="I30" i="7"/>
  <c r="I29" i="7"/>
  <c r="I28" i="7"/>
  <c r="I27" i="7"/>
  <c r="C38" i="7"/>
  <c r="E34" i="7"/>
  <c r="D74" i="11"/>
  <c r="C40" i="7"/>
  <c r="E39" i="7"/>
  <c r="C39" i="7"/>
  <c r="C31" i="7"/>
  <c r="D150" i="9"/>
  <c r="C32" i="7"/>
  <c r="E29" i="7"/>
  <c r="E27" i="7"/>
  <c r="I7" i="8"/>
  <c r="I6" i="8"/>
  <c r="I5" i="8"/>
  <c r="H6" i="7"/>
  <c r="H4" i="7"/>
  <c r="C55" i="7"/>
  <c r="C242" i="7"/>
  <c r="E40" i="7"/>
  <c r="C30" i="7"/>
  <c r="C67" i="7"/>
  <c r="E33" i="7"/>
  <c r="C209" i="7"/>
  <c r="C210" i="7"/>
  <c r="E43" i="7"/>
  <c r="D4" i="22"/>
  <c r="E4" i="22"/>
  <c r="F4" i="22"/>
  <c r="G4" i="22"/>
  <c r="H4" i="22"/>
  <c r="C4" i="22"/>
  <c r="E28" i="7"/>
  <c r="C29" i="7"/>
  <c r="Z90" i="7"/>
  <c r="Z95" i="7"/>
  <c r="D165" i="8"/>
  <c r="E165" i="8"/>
  <c r="G17" i="2"/>
  <c r="H42" i="7"/>
  <c r="C37" i="7"/>
  <c r="H37" i="7"/>
  <c r="E36" i="7"/>
  <c r="H36" i="7"/>
  <c r="C47" i="7"/>
  <c r="F188" i="7"/>
  <c r="AA181" i="7"/>
  <c r="G48" i="7"/>
  <c r="AA180" i="7"/>
  <c r="J98" i="7"/>
  <c r="B19" i="8"/>
  <c r="B11" i="13"/>
  <c r="H54" i="7"/>
  <c r="H38" i="7"/>
  <c r="J122" i="7"/>
  <c r="K248" i="7"/>
  <c r="K249" i="7"/>
  <c r="K260" i="7"/>
  <c r="K253" i="7"/>
  <c r="K258" i="7"/>
  <c r="K256" i="7"/>
  <c r="K250" i="7"/>
  <c r="F118" i="7"/>
  <c r="L80" i="7"/>
  <c r="L117" i="7"/>
  <c r="J119" i="7"/>
  <c r="J101" i="7"/>
  <c r="J118" i="7"/>
  <c r="K83" i="7"/>
  <c r="G182" i="7"/>
  <c r="J102" i="7"/>
  <c r="J103" i="7"/>
  <c r="J99" i="7"/>
  <c r="J123" i="7"/>
  <c r="F97" i="7"/>
  <c r="F117" i="7"/>
  <c r="J121" i="7"/>
  <c r="G38" i="7"/>
  <c r="J124" i="7"/>
  <c r="G42" i="7"/>
  <c r="J104" i="7"/>
  <c r="C225" i="7"/>
  <c r="B225" i="7"/>
  <c r="R225" i="7"/>
  <c r="H53" i="7"/>
  <c r="C178" i="7"/>
  <c r="K104" i="7"/>
  <c r="K97" i="7"/>
  <c r="F100" i="7"/>
  <c r="H41" i="7"/>
  <c r="H51" i="7"/>
  <c r="L118" i="7"/>
  <c r="Z91" i="7"/>
  <c r="J100" i="7"/>
  <c r="K183" i="7"/>
  <c r="J97" i="7"/>
  <c r="C224" i="7"/>
  <c r="B224" i="7"/>
  <c r="R224" i="7"/>
  <c r="K103" i="7"/>
  <c r="F104" i="7"/>
  <c r="G55" i="7"/>
  <c r="C222" i="7"/>
  <c r="B222" i="7"/>
  <c r="R222" i="7"/>
  <c r="C218" i="7"/>
  <c r="B218" i="7"/>
  <c r="R218" i="7"/>
  <c r="C214" i="7"/>
  <c r="B214" i="7"/>
  <c r="R214" i="7"/>
  <c r="J182" i="7"/>
  <c r="H48" i="7"/>
  <c r="B11" i="12"/>
  <c r="G52" i="7"/>
  <c r="H52" i="7"/>
  <c r="G53" i="7"/>
  <c r="F101" i="7"/>
  <c r="F119" i="7"/>
  <c r="F122" i="7"/>
  <c r="C262" i="7"/>
  <c r="C226" i="7"/>
  <c r="B226" i="7"/>
  <c r="R226" i="7"/>
  <c r="C213" i="7"/>
  <c r="C254" i="7"/>
  <c r="M254" i="7"/>
  <c r="C195" i="7"/>
  <c r="B195" i="7"/>
  <c r="C221" i="7"/>
  <c r="B221" i="7"/>
  <c r="R221" i="7"/>
  <c r="C252" i="7"/>
  <c r="B252" i="7"/>
  <c r="C230" i="7"/>
  <c r="B230" i="7"/>
  <c r="R230" i="7"/>
  <c r="C187" i="7"/>
  <c r="B187" i="7"/>
  <c r="C199" i="7"/>
  <c r="G185" i="7"/>
  <c r="M249" i="7"/>
  <c r="M260" i="7"/>
  <c r="C193" i="7"/>
  <c r="B193" i="7"/>
  <c r="C229" i="7"/>
  <c r="B229" i="7"/>
  <c r="R229" i="7"/>
  <c r="C264" i="7"/>
  <c r="M256" i="7"/>
  <c r="J188" i="7"/>
  <c r="C197" i="7"/>
  <c r="B197" i="7"/>
  <c r="K196" i="7"/>
  <c r="C257" i="7"/>
  <c r="B257" i="7"/>
  <c r="K189" i="7"/>
  <c r="C217" i="7"/>
  <c r="B217" i="7"/>
  <c r="R217" i="7"/>
  <c r="C247" i="7"/>
  <c r="C261" i="7"/>
  <c r="B261" i="7"/>
  <c r="G196" i="7"/>
  <c r="C216" i="7"/>
  <c r="K216" i="7"/>
  <c r="C220" i="7"/>
  <c r="B220" i="7"/>
  <c r="R220" i="7"/>
  <c r="C228" i="7"/>
  <c r="K228" i="7"/>
  <c r="M258" i="7"/>
  <c r="E264" i="7"/>
  <c r="J196" i="7"/>
  <c r="K184" i="7"/>
  <c r="E49" i="7"/>
  <c r="H50" i="7"/>
  <c r="G192" i="7"/>
  <c r="G189" i="7"/>
  <c r="H248" i="7"/>
  <c r="C49" i="7"/>
  <c r="K188" i="7"/>
  <c r="K185" i="7"/>
  <c r="J189" i="7"/>
  <c r="H260" i="7"/>
  <c r="G45" i="7"/>
  <c r="G191" i="7"/>
  <c r="K192" i="7"/>
  <c r="K191" i="7"/>
  <c r="K182" i="7"/>
  <c r="J184" i="7"/>
  <c r="J192" i="7"/>
  <c r="J185" i="7"/>
  <c r="J191" i="7"/>
  <c r="K102" i="7"/>
  <c r="L123" i="7"/>
  <c r="L81" i="7"/>
  <c r="J120" i="7"/>
  <c r="L84" i="7"/>
  <c r="K99" i="7"/>
  <c r="L120" i="7"/>
  <c r="B18" i="9"/>
  <c r="L77" i="7"/>
  <c r="K98" i="7"/>
  <c r="H32" i="7"/>
  <c r="G121" i="7"/>
  <c r="L78" i="7"/>
  <c r="L79" i="7"/>
  <c r="K100" i="7"/>
  <c r="K101" i="7"/>
  <c r="L124" i="7"/>
  <c r="L119" i="7"/>
  <c r="L82" i="7"/>
  <c r="L83" i="7"/>
  <c r="L122" i="7"/>
  <c r="L121" i="7"/>
  <c r="E78" i="7"/>
  <c r="C28" i="7"/>
  <c r="F80" i="7"/>
  <c r="K79" i="7"/>
  <c r="C27" i="7"/>
  <c r="G27" i="7"/>
  <c r="G101" i="7"/>
  <c r="E103" i="7"/>
  <c r="K78" i="7"/>
  <c r="K82" i="7"/>
  <c r="E46" i="7"/>
  <c r="E47" i="7"/>
  <c r="C194" i="7"/>
  <c r="B194" i="7"/>
  <c r="C215" i="7"/>
  <c r="J215" i="7"/>
  <c r="C190" i="7"/>
  <c r="B190" i="7"/>
  <c r="C223" i="7"/>
  <c r="B223" i="7"/>
  <c r="R223" i="7"/>
  <c r="C259" i="7"/>
  <c r="H259" i="7"/>
  <c r="C251" i="7"/>
  <c r="B251" i="7"/>
  <c r="G39" i="7"/>
  <c r="H39" i="7"/>
  <c r="H57" i="7"/>
  <c r="G57" i="7"/>
  <c r="C44" i="7"/>
  <c r="C34" i="7"/>
  <c r="C33" i="7"/>
  <c r="C198" i="7"/>
  <c r="B198" i="7"/>
  <c r="C186" i="7"/>
  <c r="B186" i="7"/>
  <c r="C227" i="7"/>
  <c r="B227" i="7"/>
  <c r="R227" i="7"/>
  <c r="C219" i="7"/>
  <c r="B219" i="7"/>
  <c r="R219" i="7"/>
  <c r="C255" i="7"/>
  <c r="B255" i="7"/>
  <c r="C263" i="7"/>
  <c r="Z92" i="7"/>
  <c r="E83" i="7"/>
  <c r="E31" i="7"/>
  <c r="H31" i="7"/>
  <c r="E30" i="7"/>
  <c r="H30" i="7"/>
  <c r="G40" i="7"/>
  <c r="H40" i="7"/>
  <c r="K81" i="7"/>
  <c r="K80" i="7"/>
  <c r="K77" i="7"/>
  <c r="K84" i="7"/>
  <c r="H56" i="7"/>
  <c r="G56" i="7"/>
  <c r="F98" i="7"/>
  <c r="F121" i="7"/>
  <c r="F103" i="7"/>
  <c r="F124" i="7"/>
  <c r="F123" i="7"/>
  <c r="F102" i="7"/>
  <c r="F99" i="7"/>
  <c r="F120" i="7"/>
  <c r="G51" i="7"/>
  <c r="H258" i="7"/>
  <c r="H256" i="7"/>
  <c r="H249" i="7"/>
  <c r="G183" i="7"/>
  <c r="H253" i="7"/>
  <c r="G188" i="7"/>
  <c r="H35" i="7"/>
  <c r="G35" i="7"/>
  <c r="G123" i="7"/>
  <c r="G32" i="7"/>
  <c r="G41" i="7"/>
  <c r="H58" i="7"/>
  <c r="H45" i="7"/>
  <c r="B253" i="7"/>
  <c r="M253" i="7"/>
  <c r="B250" i="7"/>
  <c r="H250" i="7"/>
  <c r="M250" i="7"/>
  <c r="G184" i="7"/>
  <c r="G122" i="7"/>
  <c r="G50" i="7"/>
  <c r="H55" i="7"/>
  <c r="J117" i="7"/>
  <c r="G58" i="7"/>
  <c r="G54" i="7"/>
  <c r="AE193" i="7"/>
  <c r="J183" i="7"/>
  <c r="M248" i="7"/>
  <c r="G81" i="7"/>
  <c r="E122" i="7"/>
  <c r="H122" i="7"/>
  <c r="E102" i="7"/>
  <c r="G103" i="7"/>
  <c r="I103" i="7"/>
  <c r="G99" i="7"/>
  <c r="E99" i="7"/>
  <c r="G29" i="7"/>
  <c r="E80" i="7"/>
  <c r="H29" i="7"/>
  <c r="E121" i="7"/>
  <c r="O121" i="7"/>
  <c r="G84" i="7"/>
  <c r="E98" i="7"/>
  <c r="L98" i="7"/>
  <c r="G120" i="7"/>
  <c r="E117" i="7"/>
  <c r="P117" i="7"/>
  <c r="C126" i="7"/>
  <c r="G104" i="7"/>
  <c r="G100" i="7"/>
  <c r="G77" i="7"/>
  <c r="E101" i="7"/>
  <c r="M101" i="7"/>
  <c r="E82" i="7"/>
  <c r="E118" i="7"/>
  <c r="O118" i="7"/>
  <c r="G102" i="7"/>
  <c r="I102" i="7"/>
  <c r="G118" i="7"/>
  <c r="E79" i="7"/>
  <c r="E77" i="7"/>
  <c r="E124" i="7"/>
  <c r="O124" i="7"/>
  <c r="E97" i="7"/>
  <c r="M97" i="7"/>
  <c r="C107" i="7"/>
  <c r="G117" i="7"/>
  <c r="E120" i="7"/>
  <c r="O120" i="7"/>
  <c r="G119" i="7"/>
  <c r="G82" i="7"/>
  <c r="G124" i="7"/>
  <c r="G78" i="7"/>
  <c r="E81" i="7"/>
  <c r="E100" i="7"/>
  <c r="M100" i="7"/>
  <c r="E123" i="7"/>
  <c r="H123" i="7"/>
  <c r="E84" i="7"/>
  <c r="E119" i="7"/>
  <c r="P119" i="7"/>
  <c r="G83" i="7"/>
  <c r="E104" i="7"/>
  <c r="L104" i="7"/>
  <c r="G79" i="7"/>
  <c r="G98" i="7"/>
  <c r="G80" i="7"/>
  <c r="I80" i="7"/>
  <c r="J80" i="7"/>
  <c r="G97" i="7"/>
  <c r="G37" i="7"/>
  <c r="F189" i="7"/>
  <c r="G36" i="7"/>
  <c r="G47" i="7"/>
  <c r="P249" i="7"/>
  <c r="AC195" i="7"/>
  <c r="AC193" i="7"/>
  <c r="C93" i="7"/>
  <c r="C94" i="7"/>
  <c r="N104" i="7"/>
  <c r="M104" i="7"/>
  <c r="H104" i="7"/>
  <c r="N97" i="7"/>
  <c r="C106" i="7"/>
  <c r="N103" i="7"/>
  <c r="M103" i="7"/>
  <c r="L103" i="7"/>
  <c r="H103" i="7"/>
  <c r="H99" i="7"/>
  <c r="H100" i="7"/>
  <c r="N102" i="7"/>
  <c r="M102" i="7"/>
  <c r="L102" i="7"/>
  <c r="H102" i="7"/>
  <c r="L101" i="7"/>
  <c r="P250" i="7"/>
  <c r="J214" i="7"/>
  <c r="B262" i="7"/>
  <c r="F262" i="7"/>
  <c r="K262" i="7"/>
  <c r="B264" i="7"/>
  <c r="F264" i="7"/>
  <c r="K264" i="7"/>
  <c r="E262" i="7"/>
  <c r="L262" i="7"/>
  <c r="B263" i="7"/>
  <c r="F263" i="7"/>
  <c r="K263" i="7"/>
  <c r="K214" i="7"/>
  <c r="E228" i="7"/>
  <c r="Q228" i="7"/>
  <c r="K247" i="7"/>
  <c r="F247" i="7"/>
  <c r="H264" i="7"/>
  <c r="T264" i="7"/>
  <c r="Q264" i="7"/>
  <c r="U264" i="7"/>
  <c r="M264" i="7"/>
  <c r="E216" i="7"/>
  <c r="P258" i="7"/>
  <c r="M80" i="7"/>
  <c r="M83" i="7"/>
  <c r="G214" i="7"/>
  <c r="K255" i="7"/>
  <c r="K251" i="7"/>
  <c r="Y108" i="7"/>
  <c r="Y106" i="7"/>
  <c r="M121" i="7"/>
  <c r="P248" i="7"/>
  <c r="G49" i="7"/>
  <c r="O119" i="7"/>
  <c r="P118" i="7"/>
  <c r="P256" i="7"/>
  <c r="P123" i="7"/>
  <c r="O123" i="7"/>
  <c r="H47" i="7"/>
  <c r="P260" i="7"/>
  <c r="G264" i="7"/>
  <c r="L264" i="7"/>
  <c r="K259" i="7"/>
  <c r="K257" i="7"/>
  <c r="P253" i="7"/>
  <c r="P120" i="7"/>
  <c r="P124" i="7"/>
  <c r="AA178" i="7"/>
  <c r="AA177" i="7"/>
  <c r="F256" i="7"/>
  <c r="F250" i="7"/>
  <c r="F249" i="7"/>
  <c r="F255" i="7"/>
  <c r="F252" i="7"/>
  <c r="F251" i="7"/>
  <c r="F260" i="7"/>
  <c r="F254" i="7"/>
  <c r="F259" i="7"/>
  <c r="F253" i="7"/>
  <c r="F248" i="7"/>
  <c r="F258" i="7"/>
  <c r="F257" i="7"/>
  <c r="F261" i="7"/>
  <c r="K261" i="7"/>
  <c r="M77" i="7"/>
  <c r="B247" i="7"/>
  <c r="M247" i="7"/>
  <c r="H247" i="7"/>
  <c r="K254" i="7"/>
  <c r="M82" i="7"/>
  <c r="G230" i="7"/>
  <c r="F184" i="7"/>
  <c r="H184" i="7"/>
  <c r="H121" i="7"/>
  <c r="M79" i="7"/>
  <c r="M262" i="7"/>
  <c r="B213" i="7"/>
  <c r="R213" i="7"/>
  <c r="K213" i="7"/>
  <c r="F213" i="7"/>
  <c r="J213" i="7"/>
  <c r="G213" i="7"/>
  <c r="F196" i="7"/>
  <c r="H196" i="7"/>
  <c r="Z96" i="7"/>
  <c r="Z97" i="7"/>
  <c r="H124" i="7"/>
  <c r="K224" i="7"/>
  <c r="M81" i="7"/>
  <c r="H119" i="7"/>
  <c r="K230" i="7"/>
  <c r="J230" i="7"/>
  <c r="G222" i="7"/>
  <c r="E230" i="7"/>
  <c r="F230" i="7"/>
  <c r="K222" i="7"/>
  <c r="K218" i="7"/>
  <c r="G218" i="7"/>
  <c r="J225" i="7"/>
  <c r="K225" i="7"/>
  <c r="B199" i="7"/>
  <c r="J199" i="7"/>
  <c r="F199" i="7"/>
  <c r="G225" i="7"/>
  <c r="L225" i="7"/>
  <c r="J222" i="7"/>
  <c r="E199" i="7"/>
  <c r="K199" i="7"/>
  <c r="H262" i="7"/>
  <c r="P262" i="7"/>
  <c r="G199" i="7"/>
  <c r="G224" i="7"/>
  <c r="J218" i="7"/>
  <c r="F218" i="7"/>
  <c r="F222" i="7"/>
  <c r="H27" i="7"/>
  <c r="J224" i="7"/>
  <c r="C74" i="7"/>
  <c r="M84" i="7"/>
  <c r="M78" i="7"/>
  <c r="F191" i="7"/>
  <c r="H191" i="7"/>
  <c r="F182" i="7"/>
  <c r="H182" i="7"/>
  <c r="F83" i="7"/>
  <c r="H49" i="7"/>
  <c r="K187" i="7"/>
  <c r="K226" i="7"/>
  <c r="J226" i="7"/>
  <c r="G226" i="7"/>
  <c r="J195" i="7"/>
  <c r="L188" i="7"/>
  <c r="K195" i="7"/>
  <c r="F227" i="7"/>
  <c r="F195" i="7"/>
  <c r="G195" i="7"/>
  <c r="G193" i="7"/>
  <c r="G187" i="7"/>
  <c r="K193" i="7"/>
  <c r="H252" i="7"/>
  <c r="M252" i="7"/>
  <c r="F187" i="7"/>
  <c r="J187" i="7"/>
  <c r="L196" i="7"/>
  <c r="H261" i="7"/>
  <c r="F221" i="7"/>
  <c r="B254" i="7"/>
  <c r="E263" i="7"/>
  <c r="G227" i="7"/>
  <c r="G190" i="7"/>
  <c r="H254" i="7"/>
  <c r="P254" i="7"/>
  <c r="G197" i="7"/>
  <c r="G217" i="7"/>
  <c r="M263" i="7"/>
  <c r="E197" i="7"/>
  <c r="S197" i="7"/>
  <c r="G221" i="7"/>
  <c r="J216" i="7"/>
  <c r="K221" i="7"/>
  <c r="J221" i="7"/>
  <c r="L191" i="7"/>
  <c r="L184" i="7"/>
  <c r="E229" i="7"/>
  <c r="K229" i="7"/>
  <c r="J229" i="7"/>
  <c r="J227" i="7"/>
  <c r="J186" i="7"/>
  <c r="M261" i="7"/>
  <c r="J219" i="7"/>
  <c r="K227" i="7"/>
  <c r="J194" i="7"/>
  <c r="F229" i="7"/>
  <c r="J197" i="7"/>
  <c r="F198" i="7"/>
  <c r="B228" i="7"/>
  <c r="R228" i="7"/>
  <c r="F228" i="7"/>
  <c r="H263" i="7"/>
  <c r="K198" i="7"/>
  <c r="G198" i="7"/>
  <c r="J193" i="7"/>
  <c r="G228" i="7"/>
  <c r="F197" i="7"/>
  <c r="K197" i="7"/>
  <c r="G229" i="7"/>
  <c r="L189" i="7"/>
  <c r="J228" i="7"/>
  <c r="J198" i="7"/>
  <c r="E198" i="7"/>
  <c r="F190" i="7"/>
  <c r="K190" i="7"/>
  <c r="K217" i="7"/>
  <c r="K220" i="7"/>
  <c r="B216" i="7"/>
  <c r="R216" i="7"/>
  <c r="G216" i="7"/>
  <c r="L216" i="7"/>
  <c r="L183" i="7"/>
  <c r="F223" i="7"/>
  <c r="J190" i="7"/>
  <c r="G215" i="7"/>
  <c r="M257" i="7"/>
  <c r="F220" i="7"/>
  <c r="J217" i="7"/>
  <c r="G220" i="7"/>
  <c r="H257" i="7"/>
  <c r="P257" i="7"/>
  <c r="J220" i="7"/>
  <c r="H188" i="7"/>
  <c r="H189" i="7"/>
  <c r="L185" i="7"/>
  <c r="F215" i="7"/>
  <c r="L182" i="7"/>
  <c r="L192" i="7"/>
  <c r="G31" i="7"/>
  <c r="I124" i="7"/>
  <c r="N124" i="7"/>
  <c r="G30" i="7"/>
  <c r="H28" i="7"/>
  <c r="F84" i="7"/>
  <c r="G28" i="7"/>
  <c r="F78" i="7"/>
  <c r="F77" i="7"/>
  <c r="F79" i="7"/>
  <c r="I119" i="7"/>
  <c r="N119" i="7"/>
  <c r="F82" i="7"/>
  <c r="F81" i="7"/>
  <c r="I117" i="7"/>
  <c r="N117" i="7"/>
  <c r="I123" i="7"/>
  <c r="N123" i="7"/>
  <c r="G43" i="7"/>
  <c r="H43" i="7"/>
  <c r="K219" i="7"/>
  <c r="Y95" i="7"/>
  <c r="X96" i="7"/>
  <c r="X97" i="7"/>
  <c r="X95" i="7"/>
  <c r="Y96" i="7"/>
  <c r="Y97" i="7"/>
  <c r="M255" i="7"/>
  <c r="F219" i="7"/>
  <c r="G186" i="7"/>
  <c r="C65" i="7"/>
  <c r="C69" i="7"/>
  <c r="D69" i="7"/>
  <c r="G33" i="7"/>
  <c r="H33" i="7"/>
  <c r="M259" i="7"/>
  <c r="P259" i="7"/>
  <c r="K215" i="7"/>
  <c r="G194" i="7"/>
  <c r="H46" i="7"/>
  <c r="G46" i="7"/>
  <c r="K186" i="7"/>
  <c r="F186" i="7"/>
  <c r="H34" i="7"/>
  <c r="G34" i="7"/>
  <c r="H251" i="7"/>
  <c r="J223" i="7"/>
  <c r="B215" i="7"/>
  <c r="R215" i="7"/>
  <c r="K194" i="7"/>
  <c r="F194" i="7"/>
  <c r="G219" i="7"/>
  <c r="Y107" i="7"/>
  <c r="Y105" i="7"/>
  <c r="I118" i="7"/>
  <c r="N118" i="7"/>
  <c r="H255" i="7"/>
  <c r="AE192" i="7"/>
  <c r="AC194" i="7"/>
  <c r="AC192" i="7"/>
  <c r="F225" i="7"/>
  <c r="H44" i="7"/>
  <c r="F192" i="7"/>
  <c r="H192" i="7"/>
  <c r="F216" i="7"/>
  <c r="F214" i="7"/>
  <c r="F217" i="7"/>
  <c r="F226" i="7"/>
  <c r="F224" i="7"/>
  <c r="G44" i="7"/>
  <c r="F193" i="7"/>
  <c r="F185" i="7"/>
  <c r="H185" i="7"/>
  <c r="F183" i="7"/>
  <c r="H183" i="7"/>
  <c r="M251" i="7"/>
  <c r="B259" i="7"/>
  <c r="G223" i="7"/>
  <c r="K223" i="7"/>
  <c r="I99" i="7"/>
  <c r="H117" i="7"/>
  <c r="O122" i="7"/>
  <c r="N101" i="7"/>
  <c r="L100" i="7"/>
  <c r="L99" i="7"/>
  <c r="H97" i="7"/>
  <c r="I122" i="7"/>
  <c r="N122" i="7"/>
  <c r="I81" i="7"/>
  <c r="J81" i="7"/>
  <c r="P81" i="7"/>
  <c r="I77" i="7"/>
  <c r="J77" i="7"/>
  <c r="P77" i="7"/>
  <c r="P122" i="7"/>
  <c r="H101" i="7"/>
  <c r="N100" i="7"/>
  <c r="M99" i="7"/>
  <c r="I97" i="7"/>
  <c r="I100" i="7"/>
  <c r="I121" i="7"/>
  <c r="N121" i="7"/>
  <c r="I82" i="7"/>
  <c r="J82" i="7"/>
  <c r="N82" i="7"/>
  <c r="I78" i="7"/>
  <c r="J78" i="7"/>
  <c r="N78" i="7"/>
  <c r="O78" i="7"/>
  <c r="I120" i="7"/>
  <c r="N120" i="7"/>
  <c r="P121" i="7"/>
  <c r="I101" i="7"/>
  <c r="O117" i="7"/>
  <c r="C127" i="7"/>
  <c r="C129" i="7"/>
  <c r="D129" i="7"/>
  <c r="M98" i="7"/>
  <c r="N99" i="7"/>
  <c r="L97" i="7"/>
  <c r="H118" i="7"/>
  <c r="H98" i="7"/>
  <c r="N98" i="7"/>
  <c r="I79" i="7"/>
  <c r="J79" i="7"/>
  <c r="N79" i="7"/>
  <c r="I84" i="7"/>
  <c r="J84" i="7"/>
  <c r="P84" i="7"/>
  <c r="H120" i="7"/>
  <c r="I98" i="7"/>
  <c r="I104" i="7"/>
  <c r="I83" i="7"/>
  <c r="J83" i="7"/>
  <c r="N83" i="7"/>
  <c r="O83" i="7"/>
  <c r="L214" i="7"/>
  <c r="P247" i="7"/>
  <c r="P252" i="7"/>
  <c r="T262" i="7"/>
  <c r="Q262" i="7"/>
  <c r="U262" i="7"/>
  <c r="S262" i="7"/>
  <c r="R262" i="7"/>
  <c r="T263" i="7"/>
  <c r="Q263" i="7"/>
  <c r="U263" i="7"/>
  <c r="J264" i="7"/>
  <c r="P264" i="7"/>
  <c r="G262" i="7"/>
  <c r="S263" i="7"/>
  <c r="R263" i="7"/>
  <c r="R264" i="7"/>
  <c r="S264" i="7"/>
  <c r="AA179" i="7"/>
  <c r="AC180" i="7"/>
  <c r="E196" i="7"/>
  <c r="S196" i="7"/>
  <c r="E186" i="7"/>
  <c r="S186" i="7"/>
  <c r="E254" i="7"/>
  <c r="Q254" i="7"/>
  <c r="E256" i="7"/>
  <c r="Q256" i="7"/>
  <c r="E257" i="7"/>
  <c r="Q257" i="7"/>
  <c r="E183" i="7"/>
  <c r="S183" i="7"/>
  <c r="E249" i="7"/>
  <c r="U249" i="7"/>
  <c r="E187" i="7"/>
  <c r="S187" i="7"/>
  <c r="E248" i="7"/>
  <c r="Q248" i="7"/>
  <c r="E219" i="7"/>
  <c r="O219" i="7"/>
  <c r="E252" i="7"/>
  <c r="G252" i="7"/>
  <c r="E189" i="7"/>
  <c r="I189" i="7"/>
  <c r="E214" i="7"/>
  <c r="Q214" i="7"/>
  <c r="E192" i="7"/>
  <c r="S192" i="7"/>
  <c r="E224" i="7"/>
  <c r="O224" i="7"/>
  <c r="E225" i="7"/>
  <c r="E260" i="7"/>
  <c r="U260" i="7"/>
  <c r="E185" i="7"/>
  <c r="S185" i="7"/>
  <c r="E261" i="7"/>
  <c r="Q261" i="7"/>
  <c r="I196" i="7"/>
  <c r="P196" i="7"/>
  <c r="E227" i="7"/>
  <c r="M227" i="7"/>
  <c r="E247" i="7"/>
  <c r="R247" i="7"/>
  <c r="E217" i="7"/>
  <c r="E182" i="7"/>
  <c r="I182" i="7"/>
  <c r="E188" i="7"/>
  <c r="I188" i="7"/>
  <c r="E191" i="7"/>
  <c r="S191" i="7"/>
  <c r="E221" i="7"/>
  <c r="E250" i="7"/>
  <c r="T250" i="7"/>
  <c r="E195" i="7"/>
  <c r="S195" i="7"/>
  <c r="E259" i="7"/>
  <c r="U259" i="7"/>
  <c r="E251" i="7"/>
  <c r="S251" i="7"/>
  <c r="E215" i="7"/>
  <c r="E222" i="7"/>
  <c r="M222" i="7"/>
  <c r="E258" i="7"/>
  <c r="Q258" i="7"/>
  <c r="E220" i="7"/>
  <c r="O220" i="7"/>
  <c r="E193" i="7"/>
  <c r="S193" i="7"/>
  <c r="E253" i="7"/>
  <c r="L253" i="7"/>
  <c r="E184" i="7"/>
  <c r="I184" i="7"/>
  <c r="P184" i="7"/>
  <c r="E213" i="7"/>
  <c r="O213" i="7"/>
  <c r="C232" i="7"/>
  <c r="E218" i="7"/>
  <c r="P218" i="7"/>
  <c r="E226" i="7"/>
  <c r="P226" i="7"/>
  <c r="E194" i="7"/>
  <c r="S194" i="7"/>
  <c r="E223" i="7"/>
  <c r="P223" i="7"/>
  <c r="E255" i="7"/>
  <c r="T255" i="7"/>
  <c r="E190" i="7"/>
  <c r="S190" i="7"/>
  <c r="C109" i="7"/>
  <c r="M117" i="7"/>
  <c r="M123" i="7"/>
  <c r="M122" i="7"/>
  <c r="P255" i="7"/>
  <c r="M118" i="7"/>
  <c r="M119" i="7"/>
  <c r="M124" i="7"/>
  <c r="M120" i="7"/>
  <c r="P251" i="7"/>
  <c r="P261" i="7"/>
  <c r="L213" i="7"/>
  <c r="U261" i="7"/>
  <c r="L263" i="7"/>
  <c r="G263" i="7"/>
  <c r="L222" i="7"/>
  <c r="L224" i="7"/>
  <c r="Q229" i="7"/>
  <c r="Q230" i="7"/>
  <c r="P229" i="7"/>
  <c r="N229" i="7"/>
  <c r="O229" i="7"/>
  <c r="M229" i="7"/>
  <c r="O228" i="7"/>
  <c r="N228" i="7"/>
  <c r="M228" i="7"/>
  <c r="P228" i="7"/>
  <c r="L218" i="7"/>
  <c r="O216" i="7"/>
  <c r="P216" i="7"/>
  <c r="N216" i="7"/>
  <c r="M216" i="7"/>
  <c r="M230" i="7"/>
  <c r="P230" i="7"/>
  <c r="O230" i="7"/>
  <c r="N230" i="7"/>
  <c r="L230" i="7"/>
  <c r="L227" i="7"/>
  <c r="S199" i="7"/>
  <c r="L199" i="7"/>
  <c r="J262" i="7"/>
  <c r="H199" i="7"/>
  <c r="L220" i="7"/>
  <c r="H190" i="7"/>
  <c r="H187" i="7"/>
  <c r="N196" i="7"/>
  <c r="O196" i="7"/>
  <c r="H195" i="7"/>
  <c r="L226" i="7"/>
  <c r="L195" i="7"/>
  <c r="L198" i="7"/>
  <c r="L187" i="7"/>
  <c r="N188" i="7"/>
  <c r="O188" i="7"/>
  <c r="L217" i="7"/>
  <c r="L221" i="7"/>
  <c r="L194" i="7"/>
  <c r="H193" i="7"/>
  <c r="N191" i="7"/>
  <c r="O191" i="7"/>
  <c r="H197" i="7"/>
  <c r="I197" i="7"/>
  <c r="P197" i="7"/>
  <c r="L197" i="7"/>
  <c r="L193" i="7"/>
  <c r="N193" i="7"/>
  <c r="O193" i="7"/>
  <c r="N184" i="7"/>
  <c r="O184" i="7"/>
  <c r="N189" i="7"/>
  <c r="O189" i="7"/>
  <c r="L186" i="7"/>
  <c r="L228" i="7"/>
  <c r="L229" i="7"/>
  <c r="S198" i="7"/>
  <c r="H198" i="7"/>
  <c r="P263" i="7"/>
  <c r="J263" i="7"/>
  <c r="L190" i="7"/>
  <c r="L215" i="7"/>
  <c r="N183" i="7"/>
  <c r="O183" i="7"/>
  <c r="N182" i="7"/>
  <c r="O182" i="7"/>
  <c r="N185" i="7"/>
  <c r="O185" i="7"/>
  <c r="N192" i="7"/>
  <c r="O192" i="7"/>
  <c r="H194" i="7"/>
  <c r="P80" i="7"/>
  <c r="Y101" i="7"/>
  <c r="L223" i="7"/>
  <c r="N80" i="7"/>
  <c r="O80" i="7"/>
  <c r="Q216" i="7"/>
  <c r="X101" i="7"/>
  <c r="X110" i="7"/>
  <c r="L219" i="7"/>
  <c r="H186" i="7"/>
  <c r="Z101" i="7"/>
  <c r="X111" i="7"/>
  <c r="P78" i="7"/>
  <c r="G14" i="2"/>
  <c r="D109" i="7"/>
  <c r="N81" i="7"/>
  <c r="O81" i="7"/>
  <c r="P82" i="7"/>
  <c r="P83" i="7"/>
  <c r="P79" i="7"/>
  <c r="N84" i="7"/>
  <c r="O84" i="7"/>
  <c r="N77" i="7"/>
  <c r="O77" i="7"/>
  <c r="C87" i="7"/>
  <c r="T256" i="7"/>
  <c r="S189" i="7"/>
  <c r="N224" i="7"/>
  <c r="I194" i="7"/>
  <c r="P194" i="7"/>
  <c r="G247" i="7"/>
  <c r="L248" i="7"/>
  <c r="I195" i="7"/>
  <c r="S261" i="7"/>
  <c r="R261" i="7"/>
  <c r="M224" i="7"/>
  <c r="M220" i="7"/>
  <c r="I183" i="7"/>
  <c r="P183" i="7"/>
  <c r="N225" i="7"/>
  <c r="S188" i="7"/>
  <c r="P214" i="7"/>
  <c r="N213" i="7"/>
  <c r="M217" i="7"/>
  <c r="N219" i="7"/>
  <c r="U254" i="7"/>
  <c r="S254" i="7"/>
  <c r="J250" i="7"/>
  <c r="R250" i="7"/>
  <c r="Q215" i="7"/>
  <c r="S184" i="7"/>
  <c r="N215" i="7"/>
  <c r="R248" i="7"/>
  <c r="L250" i="7"/>
  <c r="Q213" i="7"/>
  <c r="O214" i="7"/>
  <c r="Q217" i="7"/>
  <c r="P220" i="7"/>
  <c r="R254" i="7"/>
  <c r="G261" i="7"/>
  <c r="T254" i="7"/>
  <c r="J247" i="7"/>
  <c r="J261" i="7"/>
  <c r="M215" i="7"/>
  <c r="O215" i="7"/>
  <c r="O225" i="7"/>
  <c r="P225" i="7"/>
  <c r="N217" i="7"/>
  <c r="P213" i="7"/>
  <c r="C233" i="7"/>
  <c r="M219" i="7"/>
  <c r="P224" i="7"/>
  <c r="M223" i="7"/>
  <c r="L261" i="7"/>
  <c r="L254" i="7"/>
  <c r="T248" i="7"/>
  <c r="S247" i="7"/>
  <c r="C266" i="7"/>
  <c r="M225" i="7"/>
  <c r="O217" i="7"/>
  <c r="N220" i="7"/>
  <c r="P219" i="7"/>
  <c r="Q219" i="7"/>
  <c r="N223" i="7"/>
  <c r="O223" i="7"/>
  <c r="G254" i="7"/>
  <c r="T261" i="7"/>
  <c r="Q223" i="7"/>
  <c r="J258" i="7"/>
  <c r="Q220" i="7"/>
  <c r="J248" i="7"/>
  <c r="J254" i="7"/>
  <c r="P215" i="7"/>
  <c r="N214" i="7"/>
  <c r="M214" i="7"/>
  <c r="Q225" i="7"/>
  <c r="P217" i="7"/>
  <c r="Q224" i="7"/>
  <c r="U247" i="7"/>
  <c r="U248" i="7"/>
  <c r="G250" i="7"/>
  <c r="S256" i="7"/>
  <c r="S249" i="7"/>
  <c r="S258" i="7"/>
  <c r="L258" i="7"/>
  <c r="T247" i="7"/>
  <c r="C267" i="7"/>
  <c r="T258" i="7"/>
  <c r="J259" i="7"/>
  <c r="Q260" i="7"/>
  <c r="J255" i="7"/>
  <c r="R258" i="7"/>
  <c r="G248" i="7"/>
  <c r="U258" i="7"/>
  <c r="S248" i="7"/>
  <c r="Q250" i="7"/>
  <c r="R251" i="7"/>
  <c r="Q255" i="7"/>
  <c r="M221" i="7"/>
  <c r="O218" i="7"/>
  <c r="L252" i="7"/>
  <c r="G259" i="7"/>
  <c r="U250" i="7"/>
  <c r="G258" i="7"/>
  <c r="S250" i="7"/>
  <c r="N218" i="7"/>
  <c r="Q226" i="7"/>
  <c r="U256" i="7"/>
  <c r="J253" i="7"/>
  <c r="I193" i="7"/>
  <c r="P193" i="7"/>
  <c r="O226" i="7"/>
  <c r="J260" i="7"/>
  <c r="J252" i="7"/>
  <c r="I191" i="7"/>
  <c r="R191" i="7"/>
  <c r="Q218" i="7"/>
  <c r="P227" i="7"/>
  <c r="Q221" i="7"/>
  <c r="N226" i="7"/>
  <c r="L260" i="7"/>
  <c r="U251" i="7"/>
  <c r="G249" i="7"/>
  <c r="R257" i="7"/>
  <c r="L259" i="7"/>
  <c r="L256" i="7"/>
  <c r="S260" i="7"/>
  <c r="Q253" i="7"/>
  <c r="Q259" i="7"/>
  <c r="S257" i="7"/>
  <c r="R196" i="7"/>
  <c r="O227" i="7"/>
  <c r="M218" i="7"/>
  <c r="R260" i="7"/>
  <c r="G260" i="7"/>
  <c r="R255" i="7"/>
  <c r="L249" i="7"/>
  <c r="L255" i="7"/>
  <c r="S252" i="7"/>
  <c r="Q249" i="7"/>
  <c r="S259" i="7"/>
  <c r="O221" i="7"/>
  <c r="N221" i="7"/>
  <c r="L251" i="7"/>
  <c r="U253" i="7"/>
  <c r="U257" i="7"/>
  <c r="R253" i="7"/>
  <c r="T252" i="7"/>
  <c r="T251" i="7"/>
  <c r="Q222" i="7"/>
  <c r="I192" i="7"/>
  <c r="P192" i="7"/>
  <c r="I190" i="7"/>
  <c r="P190" i="7"/>
  <c r="O222" i="7"/>
  <c r="G251" i="7"/>
  <c r="J249" i="7"/>
  <c r="R252" i="7"/>
  <c r="U255" i="7"/>
  <c r="G253" i="7"/>
  <c r="G257" i="7"/>
  <c r="G256" i="7"/>
  <c r="T260" i="7"/>
  <c r="T249" i="7"/>
  <c r="S255" i="7"/>
  <c r="T253" i="7"/>
  <c r="Q251" i="7"/>
  <c r="T259" i="7"/>
  <c r="M213" i="7"/>
  <c r="S182" i="7"/>
  <c r="C203" i="7"/>
  <c r="I187" i="7"/>
  <c r="P187" i="7"/>
  <c r="N227" i="7"/>
  <c r="M226" i="7"/>
  <c r="N222" i="7"/>
  <c r="T257" i="7"/>
  <c r="S253" i="7"/>
  <c r="I185" i="7"/>
  <c r="P185" i="7"/>
  <c r="J256" i="7"/>
  <c r="J251" i="7"/>
  <c r="J257" i="7"/>
  <c r="Q227" i="7"/>
  <c r="P221" i="7"/>
  <c r="P222" i="7"/>
  <c r="R249" i="7"/>
  <c r="R256" i="7"/>
  <c r="U252" i="7"/>
  <c r="R259" i="7"/>
  <c r="G255" i="7"/>
  <c r="L257" i="7"/>
  <c r="Q252" i="7"/>
  <c r="Q247" i="7"/>
  <c r="L247" i="7"/>
  <c r="AC183" i="7"/>
  <c r="AC182" i="7"/>
  <c r="AD180" i="7"/>
  <c r="AB199" i="7"/>
  <c r="AB197" i="7"/>
  <c r="N195" i="7"/>
  <c r="O195" i="7"/>
  <c r="W105" i="7"/>
  <c r="Q196" i="7"/>
  <c r="N199" i="7"/>
  <c r="O199" i="7"/>
  <c r="I199" i="7"/>
  <c r="N190" i="7"/>
  <c r="O190" i="7"/>
  <c r="R182" i="7"/>
  <c r="C202" i="7"/>
  <c r="N187" i="7"/>
  <c r="O187" i="7"/>
  <c r="N198" i="7"/>
  <c r="O198" i="7"/>
  <c r="R188" i="7"/>
  <c r="N197" i="7"/>
  <c r="O197" i="7"/>
  <c r="Q197" i="7"/>
  <c r="N186" i="7"/>
  <c r="O186" i="7"/>
  <c r="R189" i="7"/>
  <c r="I198" i="7"/>
  <c r="N194" i="7"/>
  <c r="O194" i="7"/>
  <c r="O79" i="7"/>
  <c r="O82" i="7"/>
  <c r="P189" i="7"/>
  <c r="Q189" i="7"/>
  <c r="I186" i="7"/>
  <c r="C86" i="7"/>
  <c r="R184" i="7"/>
  <c r="Q184" i="7"/>
  <c r="P182" i="7"/>
  <c r="AE180" i="7"/>
  <c r="AB198" i="7"/>
  <c r="X112" i="7"/>
  <c r="P188" i="7"/>
  <c r="Q188" i="7"/>
  <c r="R195" i="7"/>
  <c r="P195" i="7"/>
  <c r="Q195" i="7"/>
  <c r="R183" i="7"/>
  <c r="R194" i="7"/>
  <c r="C268" i="7"/>
  <c r="C270" i="7"/>
  <c r="D270" i="7"/>
  <c r="C234" i="7"/>
  <c r="C236" i="7"/>
  <c r="D236" i="7"/>
  <c r="Q183" i="7"/>
  <c r="P191" i="7"/>
  <c r="Q191" i="7"/>
  <c r="Q187" i="7"/>
  <c r="R190" i="7"/>
  <c r="Q193" i="7"/>
  <c r="R193" i="7"/>
  <c r="Q185" i="7"/>
  <c r="R185" i="7"/>
  <c r="R192" i="7"/>
  <c r="Q192" i="7"/>
  <c r="AA192" i="7"/>
  <c r="AA193" i="7"/>
  <c r="W106" i="7"/>
  <c r="W107" i="7"/>
  <c r="P199" i="7"/>
  <c r="Q199" i="7"/>
  <c r="R199" i="7"/>
  <c r="C89" i="7"/>
  <c r="D89" i="7"/>
  <c r="Q190" i="7"/>
  <c r="Q182" i="7"/>
  <c r="C201" i="7"/>
  <c r="C205" i="7"/>
  <c r="D205" i="7"/>
  <c r="R187" i="7"/>
  <c r="R197" i="7"/>
  <c r="Q194" i="7"/>
  <c r="P198" i="7"/>
  <c r="Q198" i="7"/>
  <c r="R198" i="7"/>
  <c r="P186" i="7"/>
  <c r="Q186" i="7"/>
  <c r="R186" i="7"/>
  <c r="W108" i="7"/>
  <c r="Q117" i="7"/>
  <c r="K117" i="7"/>
  <c r="AA194" i="7"/>
  <c r="AA195" i="7"/>
  <c r="Q122" i="7"/>
  <c r="K122" i="7"/>
  <c r="Q121" i="7"/>
  <c r="K121" i="7"/>
  <c r="N262" i="7"/>
  <c r="O262" i="7"/>
  <c r="N263" i="7"/>
  <c r="O263" i="7"/>
  <c r="N264" i="7"/>
  <c r="O264" i="7"/>
  <c r="N259" i="7"/>
  <c r="O259" i="7"/>
  <c r="N255" i="7"/>
  <c r="O255" i="7"/>
  <c r="N251" i="7"/>
  <c r="O251" i="7"/>
  <c r="N247" i="7"/>
  <c r="O247" i="7"/>
  <c r="N249" i="7"/>
  <c r="O249" i="7"/>
  <c r="N256" i="7"/>
  <c r="O256" i="7"/>
  <c r="N248" i="7"/>
  <c r="O248" i="7"/>
  <c r="N258" i="7"/>
  <c r="O258" i="7"/>
  <c r="N254" i="7"/>
  <c r="O254" i="7"/>
  <c r="N250" i="7"/>
  <c r="O250" i="7"/>
  <c r="N261" i="7"/>
  <c r="O261" i="7"/>
  <c r="N257" i="7"/>
  <c r="O257" i="7"/>
  <c r="N253" i="7"/>
  <c r="O253" i="7"/>
  <c r="N260" i="7"/>
  <c r="O260" i="7"/>
  <c r="N252" i="7"/>
  <c r="O252" i="7"/>
  <c r="Q120" i="7"/>
  <c r="K120" i="7"/>
  <c r="Q118" i="7"/>
  <c r="K118" i="7"/>
  <c r="Q124" i="7"/>
  <c r="K124" i="7"/>
  <c r="Q123" i="7"/>
  <c r="K123" i="7"/>
  <c r="Q119" i="7"/>
  <c r="K119" i="7"/>
</calcChain>
</file>

<file path=xl/sharedStrings.xml><?xml version="1.0" encoding="utf-8"?>
<sst xmlns="http://schemas.openxmlformats.org/spreadsheetml/2006/main" count="2872" uniqueCount="694">
  <si>
    <t>Region</t>
  </si>
  <si>
    <t>Table of Contents</t>
  </si>
  <si>
    <t>Instrumentation</t>
  </si>
  <si>
    <t>Photos</t>
  </si>
  <si>
    <t>Setup</t>
  </si>
  <si>
    <t>Specification of settings for each test performed</t>
  </si>
  <si>
    <t>Step 1</t>
  </si>
  <si>
    <t>Step 2</t>
  </si>
  <si>
    <t>Step 3</t>
  </si>
  <si>
    <t>Step 4</t>
  </si>
  <si>
    <t>Step 5</t>
  </si>
  <si>
    <t>Step 6</t>
  </si>
  <si>
    <t>Step 7</t>
  </si>
  <si>
    <t>Step 8</t>
  </si>
  <si>
    <t>Step 9</t>
  </si>
  <si>
    <t>General Information</t>
  </si>
  <si>
    <t>Lab Name:</t>
  </si>
  <si>
    <t>Test Location:</t>
  </si>
  <si>
    <t>Date of DOE Test Setup Approval (if applicable):</t>
  </si>
  <si>
    <t>Date Energy Test Started:</t>
  </si>
  <si>
    <t>Date Energy Test Finished:</t>
  </si>
  <si>
    <t>Product Reported SEER:</t>
  </si>
  <si>
    <t>Product Reported EER:</t>
  </si>
  <si>
    <t xml:space="preserve">Product Reported HSPF (if applicable): </t>
  </si>
  <si>
    <t>Product Input Voltage(s):</t>
  </si>
  <si>
    <t>Date Received:</t>
  </si>
  <si>
    <t>Brand:</t>
  </si>
  <si>
    <t>Manufacturer:</t>
  </si>
  <si>
    <t xml:space="preserve">Manufacturer model number: </t>
  </si>
  <si>
    <t>Serial number:</t>
  </si>
  <si>
    <t>Date of Manufacture (if available):</t>
  </si>
  <si>
    <t>Compressor #1</t>
  </si>
  <si>
    <t>Compressor #2</t>
  </si>
  <si>
    <t>Indoor Fan Motor</t>
  </si>
  <si>
    <t>Outdoor Fan Motor</t>
  </si>
  <si>
    <t>Describe placement of sensors used to measure indoor and outdoor temperatures:</t>
  </si>
  <si>
    <t>If additional sensors were used, describe placement:</t>
  </si>
  <si>
    <t>Include instructions on the use of the installation kit and selection and use of the wall sleeve and louvered grille.  Also include the recommended cabinet dimensions.</t>
  </si>
  <si>
    <t>Please include references, including page numbers.</t>
  </si>
  <si>
    <t>Describe how this unit was installed in the wall sleeve, including whether the "installation kit" was used and how.  How were the manufacturer instructions followed?</t>
  </si>
  <si>
    <t>Please include a description of how the settings were entered, specific to this particular test unit:</t>
  </si>
  <si>
    <t>Electromechanical or Electronic Controls?</t>
  </si>
  <si>
    <t>Other settings (if neccesary)</t>
  </si>
  <si>
    <t>Extra Setting #1</t>
  </si>
  <si>
    <t>Extra Setting #2</t>
  </si>
  <si>
    <t>Extra Setting #3</t>
  </si>
  <si>
    <t>--- Description</t>
  </si>
  <si>
    <t>Additional Description</t>
  </si>
  <si>
    <t>Measurement</t>
  </si>
  <si>
    <t>Btu/h</t>
  </si>
  <si>
    <t>Difference between primary and secondary calculation capacities (%)</t>
  </si>
  <si>
    <t>Electrical Power Input</t>
  </si>
  <si>
    <t>Compliance with Equilibrium Requirements</t>
  </si>
  <si>
    <t>Has chamber been at equilibrium for the minimum 30 minutes?</t>
  </si>
  <si>
    <t>A</t>
  </si>
  <si>
    <t>Electrical Input</t>
  </si>
  <si>
    <t>Avg</t>
  </si>
  <si>
    <t>Min</t>
  </si>
  <si>
    <t>Max</t>
  </si>
  <si>
    <t>Frequency (Hz)</t>
  </si>
  <si>
    <t>Line current (Amps)</t>
  </si>
  <si>
    <t>Pressure Measurements</t>
  </si>
  <si>
    <t xml:space="preserve">Barometric Pressure - (in. Hg) </t>
  </si>
  <si>
    <t>Refrigerant Measurements</t>
  </si>
  <si>
    <t>Refrigerant flow rate (lb/hr)</t>
  </si>
  <si>
    <t>Saturated suction temperature (F)</t>
  </si>
  <si>
    <t>Saturated liquid temperature (F)</t>
  </si>
  <si>
    <t>Suction temperature (F)</t>
  </si>
  <si>
    <t>Liquid line temperature (F)</t>
  </si>
  <si>
    <t>Refrigerant Superheat (F)</t>
  </si>
  <si>
    <t>Refrigerant Subcooling (F)</t>
  </si>
  <si>
    <t xml:space="preserve">Entering indoor coil (F) </t>
  </si>
  <si>
    <t>Leaving indoor coil (F)</t>
  </si>
  <si>
    <t>Entering outdoor coil (F)</t>
  </si>
  <si>
    <t>Leaving outdoor coil (F)</t>
  </si>
  <si>
    <t>Airflow Measurements</t>
  </si>
  <si>
    <t>Actual Airflow (cfm)</t>
  </si>
  <si>
    <t>Standard Airflow (scfm)</t>
  </si>
  <si>
    <t>Entering enthalpy (please specify units)</t>
  </si>
  <si>
    <t>Leaving enthalpy (please specify units)</t>
  </si>
  <si>
    <t>Air Temperatures</t>
  </si>
  <si>
    <t>Indoor air entering dry bulb temperature  (F)</t>
  </si>
  <si>
    <t xml:space="preserve">Indoor air entering wet bulb temperature (F) </t>
  </si>
  <si>
    <t xml:space="preserve">Indoor air leaving dry bulb temperature  (F) </t>
  </si>
  <si>
    <t xml:space="preserve">Indoor air leaving wet bulb temperature (F) </t>
  </si>
  <si>
    <t>Outdoor air entering dry bulb temperature (F)</t>
  </si>
  <si>
    <t xml:space="preserve">Outdoor air entering wet bulb temperature (F) </t>
  </si>
  <si>
    <t>Outdoor air leaving dry bulb temperature (F)</t>
  </si>
  <si>
    <t>Outdoor air leaving wet bulb temperature (F)</t>
  </si>
  <si>
    <t xml:space="preserve">Heating Capacity </t>
  </si>
  <si>
    <t xml:space="preserve">Total heating capacity (Btu/hr) </t>
  </si>
  <si>
    <t xml:space="preserve">Total sensible heating capacity (Btu/hr) </t>
  </si>
  <si>
    <t>Corrected capacity (Btu/hr)</t>
  </si>
  <si>
    <t xml:space="preserve">Specify secondary method for calculating heating capacity </t>
  </si>
  <si>
    <t>Secondary method total heating capacity (Btu/hr)</t>
  </si>
  <si>
    <t>Secondary method sensible heating capacity (Btu/hr)</t>
  </si>
  <si>
    <t>Region Number</t>
  </si>
  <si>
    <t>I</t>
  </si>
  <si>
    <t>II</t>
  </si>
  <si>
    <t>III</t>
  </si>
  <si>
    <t>IV</t>
  </si>
  <si>
    <t>V</t>
  </si>
  <si>
    <t>VI</t>
  </si>
  <si>
    <t>Heating Load Hours, HLH</t>
  </si>
  <si>
    <t>*2750</t>
  </si>
  <si>
    <t>Tj( °F)</t>
  </si>
  <si>
    <t>j   </t>
  </si>
  <si>
    <t>J (# of bins)</t>
  </si>
  <si>
    <t>Qh(Tj)</t>
  </si>
  <si>
    <t>X(Tj)</t>
  </si>
  <si>
    <t>W</t>
  </si>
  <si>
    <t>nj/N</t>
  </si>
  <si>
    <t>σ(Tj)</t>
  </si>
  <si>
    <t>Q/(3.413*E)</t>
  </si>
  <si>
    <t>PLF</t>
  </si>
  <si>
    <t>eh(Tj)/N</t>
  </si>
  <si>
    <t>RH(Tj)/N</t>
  </si>
  <si>
    <t>BL(Tj)*nj/N</t>
  </si>
  <si>
    <t>Fdef</t>
  </si>
  <si>
    <t>HSPF</t>
  </si>
  <si>
    <t>H1 Test</t>
  </si>
  <si>
    <t>H2 Test</t>
  </si>
  <si>
    <t>H3 Test</t>
  </si>
  <si>
    <t>Fractional Bin hours for the heating season</t>
  </si>
  <si>
    <t>Outdoor bin temperature where j is bin number</t>
  </si>
  <si>
    <t>none</t>
  </si>
  <si>
    <t>Number of temperature bins</t>
  </si>
  <si>
    <t>Demand Defrost Control System</t>
  </si>
  <si>
    <t>Time between defrost terminations (hours)</t>
  </si>
  <si>
    <t>Maximum time between defrosts as allowed by the controls (hours)</t>
  </si>
  <si>
    <t>Temperature Bin Number, j</t>
  </si>
  <si>
    <t>Sum(BL(Tj)*nj/N)</t>
  </si>
  <si>
    <t>Sum(eh(Tj)/N)</t>
  </si>
  <si>
    <t>Sum(RH(Tj)/N)</t>
  </si>
  <si>
    <t>Correction Factor, C</t>
  </si>
  <si>
    <t>Variable</t>
  </si>
  <si>
    <t>Units</t>
  </si>
  <si>
    <t>Description</t>
  </si>
  <si>
    <t>File Name:</t>
  </si>
  <si>
    <t>Tab Name:</t>
  </si>
  <si>
    <t>Version Number:</t>
  </si>
  <si>
    <t xml:space="preserve">Test Completion Date: </t>
  </si>
  <si>
    <t>Revisions List</t>
  </si>
  <si>
    <t>Version</t>
  </si>
  <si>
    <t>Date</t>
  </si>
  <si>
    <t>Reference Test Procedure</t>
  </si>
  <si>
    <t>Test Report Sign-Off Block</t>
  </si>
  <si>
    <t>Role</t>
  </si>
  <si>
    <t>Entity</t>
  </si>
  <si>
    <t>Test Completion</t>
  </si>
  <si>
    <t>If Other (please specify)</t>
  </si>
  <si>
    <t>Refrigerant Used (R-22, R-410A, Other)?</t>
  </si>
  <si>
    <t>Condition as Received:</t>
  </si>
  <si>
    <t>Compressor Type</t>
  </si>
  <si>
    <t>Fan Type (If Single Speed Compressor)</t>
  </si>
  <si>
    <t>Accuracy</t>
  </si>
  <si>
    <t>Date of Last Calibration</t>
  </si>
  <si>
    <t>Deadline for Next Calibration</t>
  </si>
  <si>
    <t>Product Type</t>
  </si>
  <si>
    <t>Product Design</t>
  </si>
  <si>
    <t>Multi-Speed Outdoor Fan?</t>
  </si>
  <si>
    <t>Net Total Cooling Effect as Determined by:</t>
  </si>
  <si>
    <t>Indoor Air Enthalpy Method (Btu/h)</t>
  </si>
  <si>
    <t>Secondary Method (Btu/h)</t>
  </si>
  <si>
    <t>Agreement Check</t>
  </si>
  <si>
    <t>A Test</t>
  </si>
  <si>
    <t>A₁ Test</t>
  </si>
  <si>
    <t>A₂ Test</t>
  </si>
  <si>
    <t>Ev Test</t>
  </si>
  <si>
    <t>Optional Test C₁</t>
  </si>
  <si>
    <t>F₁ Test</t>
  </si>
  <si>
    <t>Optional Test C₂</t>
  </si>
  <si>
    <t>Optional Test D₂</t>
  </si>
  <si>
    <t>Optional Test D₁</t>
  </si>
  <si>
    <t>B Test</t>
  </si>
  <si>
    <t>B₁ Test</t>
  </si>
  <si>
    <t>B₂ Test</t>
  </si>
  <si>
    <t>Optional Test G₁</t>
  </si>
  <si>
    <t>Optional Test I₁</t>
  </si>
  <si>
    <t>H1₁ Test</t>
  </si>
  <si>
    <t>H1₂ Test</t>
  </si>
  <si>
    <t>H2₁ Test</t>
  </si>
  <si>
    <t>H2₂ Test</t>
  </si>
  <si>
    <t>H3₁ Test</t>
  </si>
  <si>
    <t>H3₂ Test</t>
  </si>
  <si>
    <t>Optional Test H1C₁</t>
  </si>
  <si>
    <t>Optional Test H1C₂</t>
  </si>
  <si>
    <t>Optional Test H0C₁</t>
  </si>
  <si>
    <t>H0₁ Test</t>
  </si>
  <si>
    <t>Secondary method sensible cooling capacity (Btu/hr)</t>
  </si>
  <si>
    <t>Secondary method total cooling capacity (Btu/hr)</t>
  </si>
  <si>
    <t xml:space="preserve">Specify secondary method for calculating cooling capacity </t>
  </si>
  <si>
    <t xml:space="preserve">Total sensible cooling capacity (Btu/hr) </t>
  </si>
  <si>
    <t xml:space="preserve">Total cooling capacity (Btu/hr) </t>
  </si>
  <si>
    <t xml:space="preserve">Cooling Capacity </t>
  </si>
  <si>
    <t>B</t>
  </si>
  <si>
    <t>D2</t>
  </si>
  <si>
    <t>Optional Test C</t>
  </si>
  <si>
    <t>Optional Test D</t>
  </si>
  <si>
    <t>Fan Type</t>
  </si>
  <si>
    <t>Optional Test H1C</t>
  </si>
  <si>
    <t>Single Speed Compressor, Fixed Fan Speed Calculations</t>
  </si>
  <si>
    <t>SEER</t>
  </si>
  <si>
    <t>Single Speed Compressor, Variable Fan Speed Calculations</t>
  </si>
  <si>
    <t>Bin number, j</t>
  </si>
  <si>
    <t>Bin temperature range °F</t>
  </si>
  <si>
    <t>Representative temperature for bin °F</t>
  </si>
  <si>
    <t>65–69</t>
  </si>
  <si>
    <t>70–74</t>
  </si>
  <si>
    <t>75–79</t>
  </si>
  <si>
    <t>80–84</t>
  </si>
  <si>
    <t>85–89</t>
  </si>
  <si>
    <t>90–94</t>
  </si>
  <si>
    <t>95–99</t>
  </si>
  <si>
    <t>100–104</t>
  </si>
  <si>
    <t>Fan Speed</t>
  </si>
  <si>
    <t>Qc(Tj)</t>
  </si>
  <si>
    <t>Qck=2(Tj)</t>
  </si>
  <si>
    <t>Qck=1(Tj)</t>
  </si>
  <si>
    <t>Eck=1(Tj)</t>
  </si>
  <si>
    <t>Eck=2(Tj)</t>
  </si>
  <si>
    <t>Ec(Tj)</t>
  </si>
  <si>
    <t>ec(Tj)/N</t>
  </si>
  <si>
    <t>qc(Tj)/N</t>
  </si>
  <si>
    <t>Part Load Factor</t>
  </si>
  <si>
    <t>SUM(qc(Tj)/N)</t>
  </si>
  <si>
    <t>SUM(ec(Tj)/N)</t>
  </si>
  <si>
    <t>Two Speed Compressor</t>
  </si>
  <si>
    <t>X(Tj)k=1</t>
  </si>
  <si>
    <t>X(Tj)k=2</t>
  </si>
  <si>
    <t>PLFj</t>
  </si>
  <si>
    <t>Heating Mode</t>
  </si>
  <si>
    <t>Cooling Mode</t>
  </si>
  <si>
    <t>Variable Speed Compressor</t>
  </si>
  <si>
    <t>T1</t>
  </si>
  <si>
    <t>T2</t>
  </si>
  <si>
    <t>Tv</t>
  </si>
  <si>
    <t>(A2/1.1)*(1/(95-65))</t>
  </si>
  <si>
    <t>Theta</t>
  </si>
  <si>
    <t>Sigma</t>
  </si>
  <si>
    <t>phi</t>
  </si>
  <si>
    <t>(B1-F1)/(82-67)</t>
  </si>
  <si>
    <t>(A2-B2)/(95-82)</t>
  </si>
  <si>
    <t>EER(T1)</t>
  </si>
  <si>
    <t>EER(Tv)</t>
  </si>
  <si>
    <t>EER(T2)</t>
  </si>
  <si>
    <t>Qck=v(Tj)</t>
  </si>
  <si>
    <t>Me</t>
  </si>
  <si>
    <t>Mq</t>
  </si>
  <si>
    <t>Eck=2v(Tj)</t>
  </si>
  <si>
    <t>NQ</t>
  </si>
  <si>
    <t>NE</t>
  </si>
  <si>
    <t>EERk=i(Tj)</t>
  </si>
  <si>
    <t>D</t>
  </si>
  <si>
    <t>C</t>
  </si>
  <si>
    <t>Coefficient</t>
  </si>
  <si>
    <t>Eck=I(Tj)</t>
  </si>
  <si>
    <t>X</t>
  </si>
  <si>
    <t>Y</t>
  </si>
  <si>
    <t>Z</t>
  </si>
  <si>
    <t>(X+Y)/Z</t>
  </si>
  <si>
    <t>for T1</t>
  </si>
  <si>
    <t>for Tv</t>
  </si>
  <si>
    <t>for T2</t>
  </si>
  <si>
    <t>Qk=1(Tj)</t>
  </si>
  <si>
    <t>Qk=2(Tj)</t>
  </si>
  <si>
    <t>FPh(Tj)</t>
  </si>
  <si>
    <t>Fan Speed k=2</t>
  </si>
  <si>
    <t>Fan Speed k=1</t>
  </si>
  <si>
    <t>Ek=1(Tj)</t>
  </si>
  <si>
    <t>Ek=2(Tj)</t>
  </si>
  <si>
    <t>X1(Tj)</t>
  </si>
  <si>
    <t>X(2Tj)</t>
  </si>
  <si>
    <t>Power</t>
  </si>
  <si>
    <t>Voltage</t>
  </si>
  <si>
    <t>Qk=v(Tj)</t>
  </si>
  <si>
    <t>Heating Intermediate Compressor Speed Calculations</t>
  </si>
  <si>
    <t>Cooling Intermediate Compressor Speed Calculations</t>
  </si>
  <si>
    <t>H2v Test</t>
  </si>
  <si>
    <t>Qk=1(35)</t>
  </si>
  <si>
    <t>Ek=1(35)</t>
  </si>
  <si>
    <t>Ek=i(Tj)</t>
  </si>
  <si>
    <t>Tvh</t>
  </si>
  <si>
    <t>T4</t>
  </si>
  <si>
    <t>T3</t>
  </si>
  <si>
    <t>(C*DHR)/(65-Tod)</t>
  </si>
  <si>
    <t>(Ho1-H11)/(62-47)</t>
  </si>
  <si>
    <t>H11/Sigma</t>
  </si>
  <si>
    <t>Phi</t>
  </si>
  <si>
    <t>Sigma-4</t>
  </si>
  <si>
    <t>Sigma-3</t>
  </si>
  <si>
    <t>(H22-H32)/(35-17)</t>
  </si>
  <si>
    <t>COP(T3)</t>
  </si>
  <si>
    <t>COP(T4)</t>
  </si>
  <si>
    <t>COP(Tvh)</t>
  </si>
  <si>
    <t>COPk=i</t>
  </si>
  <si>
    <t>Design Heating Requirement (DHR) for HSPF</t>
  </si>
  <si>
    <t>Space Heating Capacity for DHR (Qhk(47))</t>
  </si>
  <si>
    <t>Test for Space Heating Capacity for DHR (Qhk(47))</t>
  </si>
  <si>
    <t>Outdoor temperature when compressor is automatically turned back on, Ton</t>
  </si>
  <si>
    <t>Outdoor temperature when compressor is automatically shut off, Toff</t>
  </si>
  <si>
    <t>Unit locks out low compressor capacity at low outdoor temperatures</t>
  </si>
  <si>
    <t>Qk=2/(3.413*Ek=2)</t>
  </si>
  <si>
    <t>Do room-side and outdoor-side capacity agree within 6%?</t>
  </si>
  <si>
    <t>Indoor Unit Airflow (cfm)</t>
  </si>
  <si>
    <t>Indoor Unit Standard Airflow (scfm)</t>
  </si>
  <si>
    <t>Correction (if applicable)</t>
  </si>
  <si>
    <t>Input cell</t>
  </si>
  <si>
    <t>Step 6-1</t>
  </si>
  <si>
    <t>Step 6-2</t>
  </si>
  <si>
    <t>Step 6-3</t>
  </si>
  <si>
    <t>Step 6-4</t>
  </si>
  <si>
    <t>Step 6-5</t>
  </si>
  <si>
    <t>Step 6-6</t>
  </si>
  <si>
    <t>Step 6-7</t>
  </si>
  <si>
    <t>Step 6-8</t>
  </si>
  <si>
    <t>Step 6-9</t>
  </si>
  <si>
    <t>Step 6-10</t>
  </si>
  <si>
    <t>Step 6-11</t>
  </si>
  <si>
    <t>Step 6-12</t>
  </si>
  <si>
    <t>Step 6-13</t>
  </si>
  <si>
    <t>Step 6-14</t>
  </si>
  <si>
    <t>Instructions</t>
  </si>
  <si>
    <t>General Info and Test Results</t>
  </si>
  <si>
    <t>Test Settings</t>
  </si>
  <si>
    <t>Calculations</t>
  </si>
  <si>
    <t>A Test Recorded Data</t>
  </si>
  <si>
    <t>B Test Recorded Data</t>
  </si>
  <si>
    <t>F Test Recorded Data</t>
  </si>
  <si>
    <t>Ev Test Recorded Data</t>
  </si>
  <si>
    <t>Optional C Test Recorded Data</t>
  </si>
  <si>
    <t>Optional D Test Recorded Data</t>
  </si>
  <si>
    <t>Optional G Test Recorded Data</t>
  </si>
  <si>
    <t>Optional I Test Recorded Data</t>
  </si>
  <si>
    <t>H1 Test Recorded Data</t>
  </si>
  <si>
    <t>H2 Test Recorded Data</t>
  </si>
  <si>
    <t>H3 Test Recorded Data</t>
  </si>
  <si>
    <t>Optional H1C Test Recorded Data</t>
  </si>
  <si>
    <t>Optional H0C Test Recorded Data</t>
  </si>
  <si>
    <t>Tables</t>
  </si>
  <si>
    <t>Version Control</t>
  </si>
  <si>
    <t>Report Sign-off Block</t>
  </si>
  <si>
    <t>Test Comments</t>
  </si>
  <si>
    <t>Result</t>
  </si>
  <si>
    <t>Measured Values</t>
  </si>
  <si>
    <t>[MM/DD/YYYY]</t>
  </si>
  <si>
    <t>(F1/θ)+65</t>
  </si>
  <si>
    <t>67*(σ/θ)</t>
  </si>
  <si>
    <t>(1-(σ/θ))</t>
  </si>
  <si>
    <t>Product Information</t>
  </si>
  <si>
    <t>Cyclic degradation coefficient</t>
  </si>
  <si>
    <t>STEP:</t>
  </si>
  <si>
    <t>FILL IN INPUT CELLS IN THIS TAB:</t>
  </si>
  <si>
    <t>Fill in the Recorded Data tabs for the appropriate completed tests (see table at right):</t>
  </si>
  <si>
    <t>LEGEND</t>
  </si>
  <si>
    <t>Rated Performance (Complete Unit)</t>
  </si>
  <si>
    <t>Instrument Type</t>
  </si>
  <si>
    <t>Brand</t>
  </si>
  <si>
    <t>Model #</t>
  </si>
  <si>
    <t>Sensor Location</t>
  </si>
  <si>
    <t>Sensor Placement</t>
  </si>
  <si>
    <t>Packaged unit (if applicable)</t>
  </si>
  <si>
    <t>Outdoor unit (if applicable)</t>
  </si>
  <si>
    <t>Indoor unit (if applicable)</t>
  </si>
  <si>
    <t>Describe the space-constrained sleeve that was selected for this test, including manufacturer, model number, and dimensions.  Please note if this sleeve was recommended or listed for use with this unit</t>
  </si>
  <si>
    <t>2. Identification sticker showing model number and serial number.</t>
  </si>
  <si>
    <t>3. FTC EnergyGuide label (if present).</t>
  </si>
  <si>
    <t>6. Picture of central air conditioner  or heat pump as installed in final set-up (evaporator side)</t>
  </si>
  <si>
    <t>7. Picture of central air conditioner or heat pump as installed in final set-up (condenser side)</t>
  </si>
  <si>
    <t>8. Central air conditioner and/or heat pump control panel or controls as set during test</t>
  </si>
  <si>
    <t>Product Reported Cooling Capacity:</t>
  </si>
  <si>
    <t>Product Reported Heating Capacity:</t>
  </si>
  <si>
    <t xml:space="preserve"> BTU</t>
  </si>
  <si>
    <t xml:space="preserve"> V</t>
  </si>
  <si>
    <t xml:space="preserve"> W</t>
  </si>
  <si>
    <t>Ducted?</t>
  </si>
  <si>
    <t>Demand Defrost Control System?</t>
  </si>
  <si>
    <t>NOTE: This is a copy; sign-off is done in the Report Sign-Off Block tab</t>
  </si>
  <si>
    <t>Photos 1-4 are to be taken of the unit directly out of the box, before installation.</t>
  </si>
  <si>
    <r>
      <rPr>
        <b/>
        <sz val="11"/>
        <color indexed="8"/>
        <rFont val="Palatino Linotype"/>
        <family val="1"/>
      </rPr>
      <t xml:space="preserve">&gt;&gt;&gt;&gt;&gt;&gt;&gt;&gt;&gt;&gt;  </t>
    </r>
    <r>
      <rPr>
        <sz val="11"/>
        <color indexed="8"/>
        <rFont val="Palatino Linotype"/>
        <family val="1"/>
      </rPr>
      <t>Paste additional pictures describing the sleeve installation to</t>
    </r>
  </si>
  <si>
    <r>
      <t xml:space="preserve">&gt;&gt;&gt;&gt;&gt;&gt;&gt;&gt;&gt;&gt; </t>
    </r>
    <r>
      <rPr>
        <b/>
        <sz val="12"/>
        <color indexed="8"/>
        <rFont val="Palatino Linotype"/>
        <family val="1"/>
      </rPr>
      <t xml:space="preserve"> </t>
    </r>
    <r>
      <rPr>
        <sz val="12"/>
        <color indexed="8"/>
        <rFont val="Palatino Linotype"/>
        <family val="1"/>
      </rPr>
      <t>Paste photo(s) showing exact placement of all sensors on, in, or around the unit to</t>
    </r>
  </si>
  <si>
    <t>Quote the relevant manufacturer instructions for installing this unit, as it pertains to this test.  (May use a focused picture with instructions)</t>
  </si>
  <si>
    <t>1.  Picture of unit (indoor and outdoor) on both sides, once it is out of the package.  (Include as many pictures as neccesary)</t>
  </si>
  <si>
    <r>
      <rPr>
        <b/>
        <sz val="12"/>
        <color indexed="8"/>
        <rFont val="Palatino Linotype"/>
        <family val="1"/>
      </rPr>
      <t>&gt;&gt;&gt;&gt;&gt;&gt;&gt;&gt;&gt;&gt;</t>
    </r>
    <r>
      <rPr>
        <sz val="12"/>
        <color indexed="8"/>
        <rFont val="Palatino Linotype"/>
        <family val="1"/>
      </rPr>
      <t xml:space="preserve">  Paste photo(s) showing exact settings and/or displays for the unit (during test) to</t>
    </r>
  </si>
  <si>
    <t>Cooling Setting *</t>
  </si>
  <si>
    <t>Heating Setting *</t>
  </si>
  <si>
    <t>Temperature Setting *</t>
  </si>
  <si>
    <t xml:space="preserve">          * Include unit of measure if necessary</t>
  </si>
  <si>
    <t>--- Setting *</t>
  </si>
  <si>
    <t>Describe settings used on the central air conditioner or heat pump for test, or reference any picture of controls in the 'Photos' Tab</t>
  </si>
  <si>
    <t>Tj</t>
  </si>
  <si>
    <t>°F</t>
  </si>
  <si>
    <t>BL(Tj)</t>
  </si>
  <si>
    <t>Eh(Tj)</t>
  </si>
  <si>
    <t>H1N Test</t>
  </si>
  <si>
    <t>Cyclic-Degradation Coefficient (CD)</t>
  </si>
  <si>
    <t>EERB</t>
  </si>
  <si>
    <t>Outdoor Design Temperature (TOD)</t>
  </si>
  <si>
    <t>Cyclic degradation coefficient, Cdh</t>
  </si>
  <si>
    <t>Cyclic degradation coefficient, Cd</t>
  </si>
  <si>
    <t>Nomenclature</t>
  </si>
  <si>
    <t>Building space conditioning load corresponding to an outdoor temperature of Tj</t>
  </si>
  <si>
    <t>Space heating capacity when operating at outdoor temperature Tj</t>
  </si>
  <si>
    <t>Heating model load factor for temperature Tj</t>
  </si>
  <si>
    <t>Electrical power consumption when operating at outdoor temperature Tj</t>
  </si>
  <si>
    <t>Heat pump low temperature cut-out factor</t>
  </si>
  <si>
    <t>Part load factor</t>
  </si>
  <si>
    <t>Demand defrost credit</t>
  </si>
  <si>
    <t>'A Test' Conditions Summary - Test Chamber Devices</t>
  </si>
  <si>
    <t>'B Test' Conditions Summary - Test Chamber Devices</t>
  </si>
  <si>
    <t>'B2 Test' Data to be recorded</t>
  </si>
  <si>
    <t>'F1 Test' Data to be recorded</t>
  </si>
  <si>
    <t>'F Test' Conditions Summary - Test Chamber Devices</t>
  </si>
  <si>
    <t>Indoor Nozzle Pressure Delta (in. WC)</t>
  </si>
  <si>
    <t>'C2 Test' Data to be recorded</t>
  </si>
  <si>
    <t>'D2 Test' Data to be recorded</t>
  </si>
  <si>
    <t>'G1 Test' Data to be recorded</t>
  </si>
  <si>
    <t>'H1-1 (H1) Test' Data to be recorded</t>
  </si>
  <si>
    <t>'H1-2 Test' Data to be recorded</t>
  </si>
  <si>
    <t>'H1-N Test' Data (Optional for Variable-Speed Compressor) to be recorded</t>
  </si>
  <si>
    <t>'H2-1 Test' Data to be recorded</t>
  </si>
  <si>
    <t>'H2-2 Test' Data to be recorded</t>
  </si>
  <si>
    <t>'H2-V Test' Data to be recorded</t>
  </si>
  <si>
    <t>'H3-1 Test' Data to be recorded</t>
  </si>
  <si>
    <t>H3-2 Test' Data to be recorded</t>
  </si>
  <si>
    <t>'H0C-1 Test' Data to be recorded</t>
  </si>
  <si>
    <t>Template Completion</t>
  </si>
  <si>
    <t>Indoor external static pressure (in. H2O)</t>
  </si>
  <si>
    <t>Indoor Fan Speed (rpm)</t>
  </si>
  <si>
    <t>Date of Last Calibration for Test Room</t>
  </si>
  <si>
    <t>Total Indoor Unit Energy (Watts)</t>
  </si>
  <si>
    <t>Capacitor (If possible without tampering with unit)</t>
  </si>
  <si>
    <t>Applied voltage to outdoor unit (V)</t>
  </si>
  <si>
    <t>Applied voltage to indoor unit (V)</t>
  </si>
  <si>
    <t>'A2 Test' Data to be recorded</t>
  </si>
  <si>
    <t>Total Indoor Unit Power (Watts)</t>
  </si>
  <si>
    <t>`</t>
  </si>
  <si>
    <t>Total Indoor Unit Energy (Watts-hours)</t>
  </si>
  <si>
    <t>Total Space Cooling Delivered (Qcycdry in Btu, see Appendix M section 3.5.i)</t>
  </si>
  <si>
    <t>Secondary Method Total Space Cooling Delivered (Qcycdry in Btu, 
see Appendix M section 3.5.i)</t>
  </si>
  <si>
    <t>Total System Energy (Ecycdry in watts-hours, 
see Appendix M sections 3.5.h and 3.5.i)</t>
  </si>
  <si>
    <t>Corrected Total Space Cooling Delivered (Qcycdry in Btu, see Appendix M section 3.5.i)</t>
  </si>
  <si>
    <t>Net sensible corrected capacity (Btu/hr)</t>
  </si>
  <si>
    <t>Total System Power (Watts)</t>
  </si>
  <si>
    <t>Total System  Power (Watts)</t>
  </si>
  <si>
    <t>Total Space Heating Delivered (Qcycdry in Btu, see Appendix M section 3.8)</t>
  </si>
  <si>
    <t xml:space="preserve">Total Measurement </t>
  </si>
  <si>
    <t>Average Measurement During On Cycle</t>
  </si>
  <si>
    <t>Total Measurement</t>
  </si>
  <si>
    <t>Tab</t>
  </si>
  <si>
    <t>Contents</t>
  </si>
  <si>
    <t>Automated calculations of results.</t>
  </si>
  <si>
    <t xml:space="preserve">Follow the steps below, filling in all input cells (shaded light blue) in each tab you are instructed to complete. Using TAB to "hop" from input cell to input cell is useful, but does not ensure that all input cells are reached. To guarantee that you enter all required information, you must visually scan for light blue cells in the entire area bounded by yellow-shaded cells. </t>
  </si>
  <si>
    <t xml:space="preserve">Lab Information </t>
  </si>
  <si>
    <t>Test Information</t>
  </si>
  <si>
    <t xml:space="preserve">We certify that the information and data in this report: (1) were obtained from the specific test unit under test; (2) were obtained during the specific test being reported; (3) were not copied from any other source, except where instructed to do so; and (4) were not altered or modified in any way. </t>
  </si>
  <si>
    <t>Report Review by Test Lab</t>
  </si>
  <si>
    <t>[Test Lab Name]</t>
  </si>
  <si>
    <t>Setup (This table should include instrumentation, sensors, and all equipment used during testing)</t>
  </si>
  <si>
    <t xml:space="preserve">Setup of test room </t>
  </si>
  <si>
    <t>Setup of central air conditioner or heat pump</t>
  </si>
  <si>
    <t>Space-constrained air conditioners and heat pumps (formerly through-the-wall central air conditioners and heat pumps- [IF NECCESARY]</t>
  </si>
  <si>
    <t xml:space="preserve">Latest Template Revision: </t>
  </si>
  <si>
    <t xml:space="preserve"> 'I1 Test' Data to be recorded</t>
  </si>
  <si>
    <t>Report Reviewer by Test Lab</t>
  </si>
  <si>
    <t xml:space="preserve">By signing in the space below, we certify that the information and data in this report: (1) were obtained from the specific test unit under test; (2) were obtained during the specific test being reported; (3) were not copied from any other source, except where instructed to do so; and (4) were not altered or modified in any way. </t>
  </si>
  <si>
    <t>Length of Compressor Run-in Time (hours)</t>
  </si>
  <si>
    <t>Two-Speed</t>
  </si>
  <si>
    <t>Variable-Speed</t>
  </si>
  <si>
    <t>Single-Speed</t>
  </si>
  <si>
    <t>Residential Central Air Conditioner or Heat Pump Settings - Controls</t>
  </si>
  <si>
    <t>For DOE Testing: Appendix M to Subpart B of Part 430—Uniform Test Method for Measuring the Energy Consumption of Central Air Conditioners and Heat Pumps</t>
  </si>
  <si>
    <t>Test Results</t>
  </si>
  <si>
    <t>Single-Speed Compressor, Fixed Fan Speed Calculations</t>
  </si>
  <si>
    <t>Time between defrost terminations (in hours)</t>
  </si>
  <si>
    <t>Duration of the OFF/ON intervals</t>
  </si>
  <si>
    <t>EERa</t>
  </si>
  <si>
    <t>Yes</t>
  </si>
  <si>
    <t>Cyclic-Degradation Coefficient [CD(k=2)]</t>
  </si>
  <si>
    <t>X2(Tj)</t>
  </si>
  <si>
    <t>'H0-1 Test' Data to be recorded</t>
  </si>
  <si>
    <t>Maximum</t>
  </si>
  <si>
    <t>H1-2</t>
  </si>
  <si>
    <t>Ek=v(Tj)</t>
  </si>
  <si>
    <t>17&lt;T4&lt;45</t>
  </si>
  <si>
    <t>Sigma-5</t>
  </si>
  <si>
    <t>(H12-H32)/(47-17)</t>
  </si>
  <si>
    <t xml:space="preserve">Split System? </t>
  </si>
  <si>
    <t>Duration</t>
  </si>
  <si>
    <t>Yes_No</t>
  </si>
  <si>
    <t>No</t>
  </si>
  <si>
    <t>Central Heat Pump</t>
  </si>
  <si>
    <t>Heating Only Central Heat Pump</t>
  </si>
  <si>
    <t>Compressor_Type</t>
  </si>
  <si>
    <t>Fan_Type</t>
  </si>
  <si>
    <t>Fixed Speed</t>
  </si>
  <si>
    <t>Variable Speed</t>
  </si>
  <si>
    <t>Refrigerant_Type</t>
  </si>
  <si>
    <t>R-22</t>
  </si>
  <si>
    <t>R-410a</t>
  </si>
  <si>
    <t>Other</t>
  </si>
  <si>
    <t>Controls_Type</t>
  </si>
  <si>
    <t>Electronic</t>
  </si>
  <si>
    <t>Electromechanical</t>
  </si>
  <si>
    <t>Minimum</t>
  </si>
  <si>
    <t>Min_Max</t>
  </si>
  <si>
    <t>H1-1</t>
  </si>
  <si>
    <t>H1-N</t>
  </si>
  <si>
    <t>H1</t>
  </si>
  <si>
    <t>H1_Type</t>
  </si>
  <si>
    <t>Multi-Split System?</t>
  </si>
  <si>
    <t>Drop-Downs</t>
  </si>
  <si>
    <t>Drop-downs used</t>
  </si>
  <si>
    <t>Recorded data for the EV test (steady-state wet coil cooling mode)</t>
  </si>
  <si>
    <t>Recorded data for the Optional C Tests (steady-state dry coil cooling mode)</t>
  </si>
  <si>
    <t>Recorded data for the A Tests (steady-state wet coil cooling mode)</t>
  </si>
  <si>
    <t>Recorded data for the B Tests (steady-state wet coil cooling mode)</t>
  </si>
  <si>
    <t>Recorded data for the F Test (steady-state wet coil cooling mode)</t>
  </si>
  <si>
    <t>Recorded data for the Optional D Tests (cyclic dry coil cooling mode)</t>
  </si>
  <si>
    <t>Recorded data for the Optional G Test (steady-state dry coil cooling mode)</t>
  </si>
  <si>
    <t>Recorded data for the Optional I Test (cyclic dry coil cooling mode)</t>
  </si>
  <si>
    <t>Recorded data for the H0 Test (steady-state maximum temperature and high temperature heating mode)</t>
  </si>
  <si>
    <t>Recorded data for the H1 Tests (steady-state maximum temperature and high temperature heating mode)</t>
  </si>
  <si>
    <t>Recorded data for the H2 Tests (frost accumulation heating mode)</t>
  </si>
  <si>
    <t>Recorded data for the H3 Tests (steady-state low temperature heating mode)</t>
  </si>
  <si>
    <t>Recorded data for the Optional H0C Test (cyclic heating mode)</t>
  </si>
  <si>
    <t>Recorded data for the Optional H1C Tests (cyclic heating mode)</t>
  </si>
  <si>
    <t>Report review history</t>
  </si>
  <si>
    <t>Regional temperature tables</t>
  </si>
  <si>
    <t>Revision history</t>
  </si>
  <si>
    <t>Instructions for Completing this Template</t>
  </si>
  <si>
    <r>
      <t xml:space="preserve">Important: </t>
    </r>
    <r>
      <rPr>
        <sz val="11"/>
        <rFont val="Palatino Linotype"/>
        <family val="1"/>
      </rPr>
      <t>Start with a clean (unused) template copy for each new report. Enter only data and information that are unique to the unit tested and the current test of that unit. All abbreviations and variable names should be consistent with the reference test procedure.</t>
    </r>
  </si>
  <si>
    <t>Instructions and table of contents</t>
  </si>
  <si>
    <t>Lab information, product information and test results</t>
  </si>
  <si>
    <t>Input for list of instruments used and instrument calibration data</t>
  </si>
  <si>
    <t>Input for description of test setup</t>
  </si>
  <si>
    <t>Input for photographs taken of the test setup and device</t>
  </si>
  <si>
    <t>Input for any notable information about the test</t>
  </si>
  <si>
    <t>Provided data</t>
  </si>
  <si>
    <t>NOT USED</t>
  </si>
  <si>
    <t>Back to Instructions tab</t>
  </si>
  <si>
    <t>Setting</t>
  </si>
  <si>
    <t>Comments</t>
  </si>
  <si>
    <t>H0-1 Test Recorded Data</t>
  </si>
  <si>
    <t>δ(Tj)</t>
  </si>
  <si>
    <t>T4≥ 45 or T4≤17</t>
  </si>
  <si>
    <r>
      <t>Outdoor Design Temperature, T</t>
    </r>
    <r>
      <rPr>
        <vertAlign val="subscript"/>
        <sz val="11"/>
        <color indexed="8"/>
        <rFont val="Palatino Linotype"/>
        <family val="1"/>
      </rPr>
      <t>OD</t>
    </r>
  </si>
  <si>
    <r>
      <t>Fractional Bin Hours, n</t>
    </r>
    <r>
      <rPr>
        <vertAlign val="subscript"/>
        <sz val="11"/>
        <color indexed="8"/>
        <rFont val="Palatino Linotype"/>
        <family val="1"/>
      </rPr>
      <t>j</t>
    </r>
    <r>
      <rPr>
        <sz val="11"/>
        <color indexed="8"/>
        <rFont val="Palatino Linotype"/>
        <family val="1"/>
      </rPr>
      <t>/N</t>
    </r>
  </si>
  <si>
    <r>
      <t>Fraction of of total temperature bin hours, n</t>
    </r>
    <r>
      <rPr>
        <b/>
        <vertAlign val="subscript"/>
        <sz val="11"/>
        <color indexed="8"/>
        <rFont val="Palatino Linotype"/>
        <family val="1"/>
      </rPr>
      <t>j</t>
    </r>
    <r>
      <rPr>
        <b/>
        <sz val="11"/>
        <color indexed="8"/>
        <rFont val="Palatino Linotype"/>
        <family val="1"/>
      </rPr>
      <t>/N</t>
    </r>
  </si>
  <si>
    <t>Lock out Temperature (°F):</t>
  </si>
  <si>
    <t>'H1C2 Test' Data to be recorded</t>
  </si>
  <si>
    <t>Total System Energy (Ecycdry in watts-hours, 
see Appendix M sections 3.8)</t>
  </si>
  <si>
    <t>Corrected Total Space Heating Delivered (Qcycdry in Btu, see Appendix M section 3.5.i)</t>
  </si>
  <si>
    <t>Total Space Heating Delivered (Qcycdry in Btu, see Appendix M section 3.5.i)</t>
  </si>
  <si>
    <t>Unit locks out low compressor
capacity operation at higher outdoor temperatures</t>
  </si>
  <si>
    <t>*If no Ton and Toff then enter "N/A" in the applicable cells</t>
  </si>
  <si>
    <t>1.7_draft1</t>
  </si>
  <si>
    <t>1.7_draft2</t>
  </si>
  <si>
    <t>Tabs</t>
  </si>
  <si>
    <t>Tabs with input cells</t>
  </si>
  <si>
    <t>Cells</t>
  </si>
  <si>
    <t>Auto-populated cell</t>
  </si>
  <si>
    <t>Title Block</t>
  </si>
  <si>
    <t>Test Report Template Name:</t>
  </si>
  <si>
    <t>Unrounded result</t>
  </si>
  <si>
    <t>EERa Results</t>
  </si>
  <si>
    <t>Single-Speed Compressor, Fixed-Speed Fan</t>
  </si>
  <si>
    <t>Single-Speed Compressor, Variable-Speed Fan</t>
  </si>
  <si>
    <t>Compressor &amp; Fan Combination</t>
  </si>
  <si>
    <t>Two-Speed Compressor, Variable-Speed Fan</t>
  </si>
  <si>
    <t>Variable-Speed Compressor, Variable-Speed Fan</t>
  </si>
  <si>
    <t>Applied voltage to outdoor unit (V) (Sub-interval H)</t>
  </si>
  <si>
    <t>Applied voltage to outdoor unit (V) (Sub-interval D)</t>
  </si>
  <si>
    <t>Applied voltage to indoor unit (V) (Sub-interval H)</t>
  </si>
  <si>
    <t>Indoor air entering dry bulb temperature  (F) (Sub-interval H)</t>
  </si>
  <si>
    <t>Indoor air entering dry bulb temperature  (F) (Sub-interval D)</t>
  </si>
  <si>
    <t>Indoor air entering wet bulb temperature (F) (Sub-interval H)</t>
  </si>
  <si>
    <t>Outdoor air entering dry bulb temperature (F) (Sub-interval H)</t>
  </si>
  <si>
    <t>Outdoor air entering dry bulb temperature (F) (Sub-interval D)</t>
  </si>
  <si>
    <t>Outdoor air entering wet bulb temperature (F) (Sub-interval H)</t>
  </si>
  <si>
    <t>1.7_draft3</t>
  </si>
  <si>
    <t>'Ev Test' Data to be recorded</t>
  </si>
  <si>
    <t>Tested with a filter?</t>
  </si>
  <si>
    <t>1.7_draft4</t>
  </si>
  <si>
    <t>1.7_draft5</t>
  </si>
  <si>
    <t>Residential Central Air Conditioners and Heat Pumps</t>
  </si>
  <si>
    <t>Central Air Conditioner</t>
  </si>
  <si>
    <t>the Photos tab (Photo Box #5)</t>
  </si>
  <si>
    <t>the 'Photos' tab (Photo Box #9 through #11)</t>
  </si>
  <si>
    <t>the Photos tab (Photo Box #8)</t>
  </si>
  <si>
    <t>1.7_draft6</t>
  </si>
  <si>
    <t>1.7_draft7</t>
  </si>
  <si>
    <t>Calculated Result
(rounded per reference test procedure)</t>
  </si>
  <si>
    <t>Product Reported Cooling Full-load Air Volume Rate:</t>
  </si>
  <si>
    <t>v1.10</t>
  </si>
  <si>
    <t>lbs</t>
  </si>
  <si>
    <t>If tested Air Volume Rate differs from Reported Air Volume Rate, provide reason why and describe the procedure taken to reach tested Air Volume Rate:</t>
  </si>
  <si>
    <t>v1.11</t>
  </si>
  <si>
    <t>v1.12</t>
  </si>
  <si>
    <t>v1.13</t>
  </si>
  <si>
    <t>v1.14</t>
  </si>
  <si>
    <t>v1.15</t>
  </si>
  <si>
    <t>Indoor external static pressure (in. H2O) (Sub-interval H)</t>
  </si>
  <si>
    <t>Indoor air entering wet bulb temperature (F)</t>
  </si>
  <si>
    <t>Min Measurement During On Cycle</t>
  </si>
  <si>
    <t>Max Measurement During On Cycle</t>
  </si>
  <si>
    <t>v1.16</t>
  </si>
  <si>
    <t>Liquid Line Pressure (psig)</t>
  </si>
  <si>
    <t>Suction Pressure (psig)</t>
  </si>
  <si>
    <t>Attachments (specify the file names here)</t>
  </si>
  <si>
    <t>Test Report Attachments</t>
  </si>
  <si>
    <t>Input for list of files provided as attachments to this test report</t>
  </si>
  <si>
    <t>Step 10</t>
  </si>
  <si>
    <t>v1.17</t>
  </si>
  <si>
    <t>Test Procedure Used</t>
  </si>
  <si>
    <t>Appendix M revised as of Jan 1, 2015</t>
  </si>
  <si>
    <t>SHR Results</t>
  </si>
  <si>
    <r>
      <t>Unrounded SHR</t>
    </r>
    <r>
      <rPr>
        <b/>
        <vertAlign val="subscript"/>
        <sz val="12"/>
        <color indexed="8"/>
        <rFont val="Palatino Linotype"/>
        <family val="1"/>
      </rPr>
      <t>b1</t>
    </r>
    <r>
      <rPr>
        <b/>
        <sz val="12"/>
        <color indexed="8"/>
        <rFont val="Palatino Linotype"/>
        <family val="1"/>
      </rPr>
      <t xml:space="preserve"> result</t>
    </r>
  </si>
  <si>
    <r>
      <t>Unrounded SHR</t>
    </r>
    <r>
      <rPr>
        <b/>
        <vertAlign val="subscript"/>
        <sz val="12"/>
        <color indexed="8"/>
        <rFont val="Palatino Linotype"/>
        <family val="1"/>
      </rPr>
      <t>b2</t>
    </r>
    <r>
      <rPr>
        <b/>
        <sz val="12"/>
        <color indexed="8"/>
        <rFont val="Palatino Linotype"/>
        <family val="1"/>
      </rPr>
      <t xml:space="preserve"> result</t>
    </r>
  </si>
  <si>
    <t>Were the test rooms set up according to 10 CFR 430 Subpart B Appendix M section 2.1, which incorporates sections 8.1.2 and 8.1.3 of ASHRAE Standard 37-2009?</t>
  </si>
  <si>
    <t>If No, list and describe all differences between actual setup and 10 CFR 430 Subpart B Appendix M section 2.1 (including incorporated sections 8.1.2 and 8.1.3 of ASHRAE Standard 37-2009)</t>
  </si>
  <si>
    <t>If manufacturer's installation instruction used, quote the manufacturer instructions for installing this unit, and note in detail all differences between the manufacturer instructions and the actual installation.</t>
  </si>
  <si>
    <t>Type of Expansion Device</t>
  </si>
  <si>
    <t>Charging Conditions (i.e. indoor and outdoor air conditions)</t>
  </si>
  <si>
    <t>Refrigerant Charging &amp; Unit Installation</t>
  </si>
  <si>
    <t>(1) Include all instructions, not limited to refrigerant charging. (2) A PDF file containing the instructions (downloaded or scanned) is acceptable.</t>
  </si>
  <si>
    <t>Defrost Time Interval Setting</t>
  </si>
  <si>
    <t>Tested unit has compressor crankcase heaters?</t>
  </si>
  <si>
    <t>If yes, is it self-regulating crankcase heater?</t>
  </si>
  <si>
    <t>Is the tested unit a coil-only unit or blower split system for which a furnace or a modular blower is the designated air mover?</t>
  </si>
  <si>
    <t>Test Conditions</t>
  </si>
  <si>
    <t>Applied Voltages (V)</t>
  </si>
  <si>
    <t>Outdoor Dry-bulb Temperature (F) (P1 test)</t>
  </si>
  <si>
    <t>Outdoor Dry-bulb Temperature (F) (P2 test)</t>
  </si>
  <si>
    <t>Power Measurements</t>
  </si>
  <si>
    <t>P2x (W)</t>
  </si>
  <si>
    <t>P1x (W)</t>
  </si>
  <si>
    <t>Px (W)</t>
  </si>
  <si>
    <t>Off Mode Power Results</t>
  </si>
  <si>
    <t>Unrounded Power Result</t>
  </si>
  <si>
    <t>Shoulder-season per-compressor off mode power, P1 (W)</t>
  </si>
  <si>
    <t>Heating-season per-compressor off mode power, P2 (W)</t>
  </si>
  <si>
    <t>Number of Compressors</t>
  </si>
  <si>
    <t>Number of Single-stage Compressors</t>
  </si>
  <si>
    <t>Off Mode Test Data</t>
  </si>
  <si>
    <t>Step 6-15</t>
  </si>
  <si>
    <t>Recorded data for the off mode test</t>
  </si>
  <si>
    <t>v2.0</t>
  </si>
  <si>
    <t>4. Sticker showing nameplate information, charging table, etc. (if separate from #2)</t>
  </si>
  <si>
    <t>Calculated Result (rounded per reference test procedure)</t>
  </si>
  <si>
    <r>
      <t>Calculated SHR</t>
    </r>
    <r>
      <rPr>
        <b/>
        <vertAlign val="subscript"/>
        <sz val="11"/>
        <color theme="1"/>
        <rFont val="Palatino Linotype"/>
        <family val="1"/>
      </rPr>
      <t>b1</t>
    </r>
    <r>
      <rPr>
        <b/>
        <sz val="11"/>
        <color theme="1"/>
        <rFont val="Palatino Linotype"/>
        <family val="1"/>
      </rPr>
      <t xml:space="preserve"> Result (rounded per reference test procedure)</t>
    </r>
  </si>
  <si>
    <r>
      <t>Calculated SHR</t>
    </r>
    <r>
      <rPr>
        <b/>
        <vertAlign val="subscript"/>
        <sz val="11"/>
        <color theme="1"/>
        <rFont val="Palatino Linotype"/>
        <family val="1"/>
      </rPr>
      <t>b2</t>
    </r>
    <r>
      <rPr>
        <b/>
        <sz val="11"/>
        <color theme="1"/>
        <rFont val="Palatino Linotype"/>
        <family val="1"/>
      </rPr>
      <t xml:space="preserve"> Result (rounded per reference test procedure)</t>
    </r>
  </si>
  <si>
    <t>Calculated Power Result (rounded per reference test procedure)</t>
  </si>
  <si>
    <t>Fan Setting *</t>
  </si>
  <si>
    <t>Charge Adjustment (include "+" or "-" sign)</t>
  </si>
  <si>
    <t>Total Refrigerant charge</t>
  </si>
  <si>
    <t>5. Exact placement of all sensors on, in, or around the device (please label appropriately, take multiple pictures if neccesary). Require photo of refrigerant flow meter if Refrigerant-Enthaopy Method is used; require photo of outdoor air measurement device if Outdoor Enthalpy method is used.</t>
  </si>
  <si>
    <t>Was the test unit set up according to the applicable sections of 10 CFR 430 Subpart B Appendix M 2.2.1-3 , which incorporates sections of ASHRAE Standard 37-2009 and AHRI Standard 210/240-2008?</t>
  </si>
  <si>
    <t>If No, list and describe all differences between actual setup and 10 CFR 430 Subpart B Appendix M 2.2.1-3  (including incorporated sections of ASHRAE Standard 37-2009 and AHRI Standard 210/240-2008)</t>
  </si>
  <si>
    <r>
      <t>P</t>
    </r>
    <r>
      <rPr>
        <vertAlign val="subscript"/>
        <sz val="11"/>
        <color indexed="8"/>
        <rFont val="Palatino Linotype"/>
        <family val="1"/>
      </rPr>
      <t>W,OFF</t>
    </r>
  </si>
  <si>
    <r>
      <t>Off-mode Power Consumption, P</t>
    </r>
    <r>
      <rPr>
        <vertAlign val="subscript"/>
        <sz val="11"/>
        <color indexed="8"/>
        <rFont val="Palatino Linotype"/>
        <family val="1"/>
      </rPr>
      <t>W,OFF</t>
    </r>
    <r>
      <rPr>
        <sz val="11"/>
        <color indexed="8"/>
        <rFont val="Palatino Linotype"/>
        <family val="1"/>
      </rPr>
      <t xml:space="preserve"> (W)</t>
    </r>
  </si>
  <si>
    <t>How long was the break-in operation conducted before any official test?</t>
  </si>
  <si>
    <t>Factory Charge</t>
  </si>
  <si>
    <t>Charging Parameter(s) and the Target(s)</t>
  </si>
  <si>
    <t>Which installation instructions were used for charging (Indoor unit's, outdoor unit's or per Appendix M section 2.2.5)?</t>
  </si>
  <si>
    <t>Appendix M (2016 CAC/HP final rule)</t>
  </si>
  <si>
    <t>v1.18</t>
  </si>
  <si>
    <t>inches</t>
  </si>
  <si>
    <t>Were the air sampler hoses insulated?</t>
  </si>
  <si>
    <t>If the air sampler hoses were insulated, list the nominal thermal resistance of the insulation material</t>
  </si>
  <si>
    <t>Length of the air inlet duct</t>
  </si>
  <si>
    <t>Distance from the inlet air pressure tap to the unit inlet</t>
  </si>
  <si>
    <t>Depth of the air inlet duct</t>
  </si>
  <si>
    <t>Width of the air inlet duct</t>
  </si>
  <si>
    <t>Depth of the air outlet duct</t>
  </si>
  <si>
    <t>Width of the air outlet duct</t>
  </si>
  <si>
    <t>Distance from the outlet air pressure tap to the unit outlet</t>
  </si>
  <si>
    <t>hr*ft2*°F/Btu</t>
  </si>
  <si>
    <t>9. Off mode test set-up (required for units with self-regulating crankcase heaters, please include the thermocouple setup)</t>
  </si>
  <si>
    <t>12. [IF NEEDED] Picture showing how test kit components were applied in test set-up (take multiple if needed, for example: front and back)</t>
  </si>
  <si>
    <t>13. [IF NEEDED] Picture of test kit components (such as foam insulation) used with test set-up</t>
  </si>
  <si>
    <t>14. Additional Photos (if necessary)</t>
  </si>
  <si>
    <t>10. Pictures showing the entire testing chamber for both the indoor section and the outdoor section</t>
  </si>
  <si>
    <t>11. Picture(s) showing the relative location of each outdoor air sampling device to the unit (for each sampling device, please include one picture showing the front view and one picture showing the top view)</t>
  </si>
  <si>
    <t>hours</t>
  </si>
  <si>
    <t>DOE certified crankcase heater turn-on temperature (°F )</t>
  </si>
  <si>
    <t>'Off Mode Test' - Unit Design</t>
  </si>
  <si>
    <t>'Off Mode Test' Data to be recorded</t>
  </si>
  <si>
    <t>Was the unit tested with drain pan installed?</t>
  </si>
  <si>
    <t>The size of installed liquid interconnecting line</t>
  </si>
  <si>
    <t>The size of installed vapor interconnecting line</t>
  </si>
  <si>
    <t>v2.1</t>
  </si>
  <si>
    <t>Length of the air outlet duct</t>
  </si>
  <si>
    <t>If the thermocouple grid is not installed on the air sampling device, record the distance from the thermocouple grid to the outdoor unit.</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</si>
</sst>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0.000"/>
    <numFmt numFmtId="166" formatCode="0.0%"/>
  </numFmts>
  <fonts count="52" x14ac:knownFonts="1">
    <font>
      <sz val="11"/>
      <color theme="1"/>
      <name val="Calibri"/>
      <family val="2"/>
      <scheme val="minor"/>
    </font>
    <font>
      <sz val="10"/>
      <name val="Arial"/>
      <family val="2"/>
    </font>
    <font>
      <b/>
      <sz val="11"/>
      <name val="Palatino Linotype"/>
      <family val="2"/>
    </font>
    <font>
      <sz val="11"/>
      <color indexed="8"/>
      <name val="Palatino Linotype"/>
      <family val="1"/>
    </font>
    <font>
      <b/>
      <sz val="11"/>
      <color indexed="8"/>
      <name val="Palatino Linotype"/>
      <family val="1"/>
    </font>
    <font>
      <sz val="11"/>
      <color indexed="9"/>
      <name val="Palatino Linotype"/>
      <family val="1"/>
    </font>
    <font>
      <sz val="11"/>
      <name val="Palatino Linotype"/>
      <family val="2"/>
    </font>
    <font>
      <i/>
      <sz val="11"/>
      <color indexed="57"/>
      <name val="Palatino Linotype"/>
      <family val="2"/>
    </font>
    <font>
      <sz val="11"/>
      <color indexed="10"/>
      <name val="Palatino Linotype"/>
      <family val="1"/>
    </font>
    <font>
      <sz val="11"/>
      <name val="Palatino Linotype"/>
      <family val="1"/>
    </font>
    <font>
      <b/>
      <sz val="11"/>
      <name val="Palatino Linotype"/>
      <family val="1"/>
    </font>
    <font>
      <b/>
      <sz val="12"/>
      <color indexed="8"/>
      <name val="Palatino Linotype"/>
      <family val="1"/>
    </font>
    <font>
      <b/>
      <i/>
      <sz val="11"/>
      <color indexed="8"/>
      <name val="Palatino Linotype"/>
      <family val="1"/>
    </font>
    <font>
      <sz val="13"/>
      <color indexed="8"/>
      <name val="Palatino Linotype"/>
      <family val="1"/>
    </font>
    <font>
      <i/>
      <sz val="12"/>
      <color indexed="8"/>
      <name val="Palatino Linotype"/>
      <family val="1"/>
    </font>
    <font>
      <sz val="12"/>
      <color indexed="8"/>
      <name val="Palatino Linotype"/>
      <family val="1"/>
    </font>
    <font>
      <u/>
      <sz val="12"/>
      <color indexed="12"/>
      <name val="Palatino Linotype"/>
      <family val="1"/>
    </font>
    <font>
      <i/>
      <sz val="12"/>
      <color indexed="10"/>
      <name val="Palatino Linotype"/>
      <family val="1"/>
    </font>
    <font>
      <b/>
      <sz val="12"/>
      <name val="Palatino Linotype"/>
      <family val="1"/>
    </font>
    <font>
      <sz val="12"/>
      <name val="Palatino Linotype"/>
      <family val="1"/>
    </font>
    <font>
      <sz val="12"/>
      <color indexed="9"/>
      <name val="Palatino Linotype"/>
      <family val="1"/>
    </font>
    <font>
      <b/>
      <sz val="11"/>
      <color indexed="9"/>
      <name val="Palatino Linotype"/>
      <family val="1"/>
    </font>
    <font>
      <b/>
      <sz val="14"/>
      <name val="Palatino Linotype"/>
      <family val="1"/>
    </font>
    <font>
      <sz val="11"/>
      <color indexed="13"/>
      <name val="Palatino Linotype"/>
      <family val="1"/>
    </font>
    <font>
      <u/>
      <sz val="11"/>
      <color indexed="12"/>
      <name val="Palatino Linotype"/>
      <family val="1"/>
    </font>
    <font>
      <sz val="10"/>
      <name val="Palatino Linotype"/>
      <family val="1"/>
    </font>
    <font>
      <i/>
      <sz val="11"/>
      <color indexed="8"/>
      <name val="Palatino Linotype"/>
      <family val="1"/>
    </font>
    <font>
      <sz val="8"/>
      <name val="Calibri"/>
      <family val="2"/>
    </font>
    <font>
      <sz val="11"/>
      <color theme="1"/>
      <name val="Calibri"/>
      <family val="2"/>
      <scheme val="minor"/>
    </font>
    <font>
      <sz val="11"/>
      <color theme="0"/>
      <name val="Calibri"/>
      <family val="2"/>
      <scheme val="minor"/>
    </font>
    <font>
      <sz val="11"/>
      <color theme="0"/>
      <name val="Palatino Linotype"/>
      <family val="1"/>
    </font>
    <font>
      <sz val="11"/>
      <color theme="1"/>
      <name val="Palatino Linotype"/>
      <family val="1"/>
    </font>
    <font>
      <i/>
      <sz val="11"/>
      <color rgb="FF7F7F7F"/>
      <name val="Palatino Linotype"/>
      <family val="2"/>
    </font>
    <font>
      <u/>
      <sz val="11"/>
      <color theme="10"/>
      <name val="Palatino Linotype"/>
      <family val="2"/>
    </font>
    <font>
      <u/>
      <sz val="11"/>
      <color theme="10"/>
      <name val="Calibri"/>
      <family val="2"/>
    </font>
    <font>
      <sz val="11"/>
      <color rgb="FF3F3F76"/>
      <name val="Palatino Linotype"/>
      <family val="2"/>
    </font>
    <font>
      <sz val="11"/>
      <color theme="1"/>
      <name val="Palatino Linotype"/>
      <family val="2"/>
    </font>
    <font>
      <b/>
      <sz val="11"/>
      <color theme="9" tint="-0.499984740745262"/>
      <name val="Palatino Linotype"/>
      <family val="2"/>
    </font>
    <font>
      <sz val="11"/>
      <color rgb="FFFF0000"/>
      <name val="Palatino Linotype"/>
      <family val="1"/>
    </font>
    <font>
      <b/>
      <sz val="11"/>
      <color theme="1"/>
      <name val="Palatino Linotype"/>
      <family val="1"/>
    </font>
    <font>
      <sz val="12"/>
      <color theme="0"/>
      <name val="Palatino Linotype"/>
      <family val="1"/>
    </font>
    <font>
      <b/>
      <sz val="11"/>
      <color theme="0"/>
      <name val="Palatino Linotype"/>
      <family val="1"/>
    </font>
    <font>
      <b/>
      <sz val="14"/>
      <color theme="1"/>
      <name val="Palatino Linotype"/>
      <family val="1"/>
    </font>
    <font>
      <u/>
      <sz val="11"/>
      <color theme="10"/>
      <name val="Palatino Linotype"/>
      <family val="1"/>
    </font>
    <font>
      <b/>
      <i/>
      <sz val="14"/>
      <color indexed="8"/>
      <name val="Palatino Linotype"/>
      <family val="1"/>
    </font>
    <font>
      <vertAlign val="subscript"/>
      <sz val="11"/>
      <color indexed="8"/>
      <name val="Palatino Linotype"/>
      <family val="1"/>
    </font>
    <font>
      <b/>
      <vertAlign val="subscript"/>
      <sz val="11"/>
      <color indexed="8"/>
      <name val="Palatino Linotype"/>
      <family val="1"/>
    </font>
    <font>
      <sz val="11"/>
      <color indexed="8"/>
      <name val="Palatino Linotype"/>
      <family val="2"/>
    </font>
    <font>
      <b/>
      <sz val="11"/>
      <color indexed="8"/>
      <name val="Palatino Linotype"/>
      <family val="2"/>
    </font>
    <font>
      <sz val="11"/>
      <color rgb="FF000000"/>
      <name val="Palatino Linotype"/>
      <family val="2"/>
    </font>
    <font>
      <b/>
      <vertAlign val="subscript"/>
      <sz val="12"/>
      <color indexed="8"/>
      <name val="Palatino Linotype"/>
      <family val="1"/>
    </font>
    <font>
      <b/>
      <vertAlign val="subscript"/>
      <sz val="11"/>
      <color theme="1"/>
      <name val="Palatino Linotype"/>
      <family val="1"/>
    </font>
  </fonts>
  <fills count="26">
    <fill>
      <patternFill patternType="none"/>
    </fill>
    <fill>
      <patternFill patternType="gray125"/>
    </fill>
    <fill>
      <patternFill patternType="solid">
        <fgColor indexed="18"/>
        <bgColor indexed="64"/>
      </patternFill>
    </fill>
    <fill>
      <patternFill patternType="solid">
        <fgColor indexed="11"/>
        <bgColor indexed="64"/>
      </patternFill>
    </fill>
    <fill>
      <patternFill patternType="solid">
        <fgColor indexed="44"/>
        <bgColor indexed="64"/>
      </patternFill>
    </fill>
    <fill>
      <patternFill patternType="solid">
        <fgColor indexed="13"/>
        <bgColor indexed="64"/>
      </patternFill>
    </fill>
    <fill>
      <patternFill patternType="solid">
        <fgColor indexed="9"/>
        <bgColor indexed="64"/>
      </patternFill>
    </fill>
    <fill>
      <patternFill patternType="solid">
        <fgColor indexed="29"/>
        <bgColor indexed="64"/>
      </patternFill>
    </fill>
    <fill>
      <patternFill patternType="solid">
        <fgColor indexed="26"/>
        <bgColor indexed="64"/>
      </patternFill>
    </fill>
    <fill>
      <patternFill patternType="solid">
        <fgColor indexed="16"/>
        <bgColor indexed="64"/>
      </patternFill>
    </fill>
    <fill>
      <patternFill patternType="solid">
        <fgColor indexed="42"/>
        <bgColor indexed="64"/>
      </patternFill>
    </fill>
    <fill>
      <patternFill patternType="solid">
        <fgColor theme="9"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0" tint="-0.14996795556505021"/>
        <bgColor indexed="64"/>
      </patternFill>
    </fill>
    <fill>
      <patternFill patternType="solid">
        <fgColor theme="0" tint="-0.24994659260841701"/>
        <bgColor indexed="64"/>
      </patternFill>
    </fill>
    <fill>
      <patternFill patternType="solid">
        <fgColor theme="4" tint="0.59996337778862885"/>
        <bgColor indexed="64"/>
      </patternFill>
    </fill>
    <fill>
      <patternFill patternType="solid">
        <fgColor rgb="FFFFFF00"/>
        <bgColor indexed="64"/>
      </patternFill>
    </fill>
    <fill>
      <patternFill patternType="solid">
        <fgColor rgb="FF99CCFF"/>
        <bgColor indexed="64"/>
      </patternFill>
    </fill>
    <fill>
      <patternFill patternType="solid">
        <fgColor rgb="FF800000"/>
        <bgColor indexed="64"/>
      </patternFill>
    </fill>
    <fill>
      <patternFill patternType="solid">
        <fgColor theme="0"/>
        <bgColor indexed="64"/>
      </patternFill>
    </fill>
    <fill>
      <patternFill patternType="solid">
        <fgColor rgb="FF0066CC"/>
        <bgColor indexed="64"/>
      </patternFill>
    </fill>
    <fill>
      <patternFill patternType="lightUp">
        <fgColor auto="1"/>
        <bgColor rgb="FFD8D8D8"/>
      </patternFill>
    </fill>
    <fill>
      <patternFill patternType="solid">
        <fgColor theme="0" tint="-0.249977111117893"/>
        <bgColor indexed="64"/>
      </patternFill>
    </fill>
    <fill>
      <patternFill patternType="solid">
        <fgColor theme="0" tint="-0.14999847407452621"/>
        <bgColor indexed="64"/>
      </patternFill>
    </fill>
  </fills>
  <borders count="137">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22"/>
      </bottom>
      <diagonal/>
    </border>
    <border>
      <left style="medium">
        <color indexed="64"/>
      </left>
      <right style="thin">
        <color indexed="64"/>
      </right>
      <top style="thin">
        <color indexed="22"/>
      </top>
      <bottom style="thin">
        <color indexed="64"/>
      </bottom>
      <diagonal/>
    </border>
    <border>
      <left style="medium">
        <color indexed="64"/>
      </left>
      <right style="thin">
        <color indexed="64"/>
      </right>
      <top style="thin">
        <color indexed="22"/>
      </top>
      <bottom style="thin">
        <color indexed="22"/>
      </bottom>
      <diagonal/>
    </border>
    <border>
      <left style="medium">
        <color indexed="64"/>
      </left>
      <right/>
      <top style="thin">
        <color indexed="64"/>
      </top>
      <bottom style="thin">
        <color indexed="64"/>
      </bottom>
      <diagonal/>
    </border>
    <border>
      <left style="thin">
        <color indexed="64"/>
      </left>
      <right/>
      <top/>
      <bottom/>
      <diagonal/>
    </border>
    <border>
      <left style="medium">
        <color indexed="64"/>
      </left>
      <right style="thin">
        <color indexed="64"/>
      </right>
      <top style="thin">
        <color indexed="22"/>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medium">
        <color indexed="64"/>
      </top>
      <bottom style="thin">
        <color indexed="64"/>
      </bottom>
      <diagonal/>
    </border>
    <border>
      <left style="medium">
        <color indexed="64"/>
      </left>
      <right/>
      <top style="thin">
        <color indexed="64"/>
      </top>
      <bottom style="thin">
        <color indexed="22"/>
      </bottom>
      <diagonal/>
    </border>
    <border>
      <left style="medium">
        <color indexed="64"/>
      </left>
      <right/>
      <top style="thin">
        <color indexed="22"/>
      </top>
      <bottom style="thin">
        <color indexed="22"/>
      </bottom>
      <diagonal/>
    </border>
    <border>
      <left style="thin">
        <color indexed="64"/>
      </left>
      <right/>
      <top style="thin">
        <color indexed="64"/>
      </top>
      <bottom style="thin">
        <color indexed="64"/>
      </bottom>
      <diagonal/>
    </border>
    <border>
      <left style="medium">
        <color indexed="64"/>
      </left>
      <right/>
      <top style="medium">
        <color indexed="64"/>
      </top>
      <bottom style="thin">
        <color indexed="23"/>
      </bottom>
      <diagonal/>
    </border>
    <border>
      <left style="medium">
        <color indexed="64"/>
      </left>
      <right/>
      <top style="thin">
        <color indexed="23"/>
      </top>
      <bottom style="thin">
        <color indexed="23"/>
      </bottom>
      <diagonal/>
    </border>
    <border>
      <left style="medium">
        <color indexed="64"/>
      </left>
      <right/>
      <top style="thin">
        <color indexed="23"/>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55"/>
      </bottom>
      <diagonal/>
    </border>
    <border>
      <left style="medium">
        <color indexed="64"/>
      </left>
      <right/>
      <top style="thin">
        <color indexed="55"/>
      </top>
      <bottom style="thin">
        <color indexed="55"/>
      </bottom>
      <diagonal/>
    </border>
    <border>
      <left style="medium">
        <color indexed="64"/>
      </left>
      <right/>
      <top style="thin">
        <color indexed="55"/>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thin">
        <color indexed="64"/>
      </bottom>
      <diagonal/>
    </border>
    <border>
      <left/>
      <right/>
      <top style="medium">
        <color indexed="64"/>
      </top>
      <bottom style="medium">
        <color indexed="64"/>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55"/>
      </bottom>
      <diagonal/>
    </border>
    <border>
      <left style="medium">
        <color indexed="64"/>
      </left>
      <right style="thin">
        <color indexed="64"/>
      </right>
      <top style="thin">
        <color indexed="55"/>
      </top>
      <bottom style="thin">
        <color indexed="55"/>
      </bottom>
      <diagonal/>
    </border>
    <border>
      <left style="medium">
        <color indexed="64"/>
      </left>
      <right style="thin">
        <color indexed="64"/>
      </right>
      <top style="thin">
        <color indexed="55"/>
      </top>
      <bottom style="medium">
        <color indexed="64"/>
      </bottom>
      <diagonal/>
    </border>
    <border>
      <left style="medium">
        <color indexed="64"/>
      </left>
      <right style="thin">
        <color indexed="64"/>
      </right>
      <top style="thin">
        <color indexed="55"/>
      </top>
      <bottom style="thin">
        <color indexed="64"/>
      </bottom>
      <diagonal/>
    </border>
    <border>
      <left/>
      <right/>
      <top/>
      <bottom style="thin">
        <color indexed="64"/>
      </bottom>
      <diagonal/>
    </border>
    <border>
      <left/>
      <right style="medium">
        <color indexed="64"/>
      </right>
      <top style="thin">
        <color indexed="64"/>
      </top>
      <bottom/>
      <diagonal/>
    </border>
    <border>
      <left style="medium">
        <color indexed="64"/>
      </left>
      <right/>
      <top/>
      <bottom style="thin">
        <color indexed="55"/>
      </bottom>
      <diagonal/>
    </border>
    <border>
      <left style="medium">
        <color indexed="64"/>
      </left>
      <right style="thin">
        <color indexed="64"/>
      </right>
      <top style="thin">
        <color indexed="55"/>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55"/>
      </bottom>
      <diagonal/>
    </border>
    <border>
      <left style="thin">
        <color indexed="64"/>
      </left>
      <right style="medium">
        <color indexed="64"/>
      </right>
      <top style="thin">
        <color indexed="55"/>
      </top>
      <bottom style="thin">
        <color indexed="55"/>
      </bottom>
      <diagonal/>
    </border>
    <border>
      <left style="thin">
        <color indexed="64"/>
      </left>
      <right style="medium">
        <color indexed="64"/>
      </right>
      <top/>
      <bottom/>
      <diagonal/>
    </border>
    <border>
      <left style="thin">
        <color indexed="64"/>
      </left>
      <right style="thin">
        <color indexed="64"/>
      </right>
      <top style="thin">
        <color indexed="64"/>
      </top>
      <bottom style="medium">
        <color indexed="64"/>
      </bottom>
      <diagonal/>
    </border>
    <border>
      <left/>
      <right style="medium">
        <color indexed="64"/>
      </right>
      <top style="thin">
        <color indexed="22"/>
      </top>
      <bottom style="thin">
        <color indexed="22"/>
      </bottom>
      <diagonal/>
    </border>
    <border>
      <left/>
      <right style="medium">
        <color indexed="64"/>
      </right>
      <top style="thin">
        <color indexed="22"/>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medium">
        <color indexed="64"/>
      </bottom>
      <diagonal/>
    </border>
    <border>
      <left/>
      <right style="thin">
        <color indexed="64"/>
      </right>
      <top style="thin">
        <color indexed="55"/>
      </top>
      <bottom style="thin">
        <color indexed="55"/>
      </bottom>
      <diagonal/>
    </border>
    <border>
      <left style="thin">
        <color indexed="64"/>
      </left>
      <right/>
      <top style="thin">
        <color indexed="64"/>
      </top>
      <bottom style="thin">
        <color indexed="55"/>
      </bottom>
      <diagonal/>
    </border>
    <border>
      <left style="thin">
        <color indexed="64"/>
      </left>
      <right style="thin">
        <color indexed="64"/>
      </right>
      <top style="thin">
        <color indexed="64"/>
      </top>
      <bottom style="thin">
        <color indexed="55"/>
      </bottom>
      <diagonal/>
    </border>
    <border>
      <left/>
      <right/>
      <top style="thin">
        <color indexed="64"/>
      </top>
      <bottom style="thin">
        <color indexed="55"/>
      </bottom>
      <diagonal/>
    </border>
    <border>
      <left style="thin">
        <color indexed="64"/>
      </left>
      <right/>
      <top style="thin">
        <color indexed="55"/>
      </top>
      <bottom style="thin">
        <color indexed="55"/>
      </bottom>
      <diagonal/>
    </border>
    <border>
      <left style="thin">
        <color indexed="64"/>
      </left>
      <right style="thin">
        <color indexed="64"/>
      </right>
      <top style="thin">
        <color indexed="55"/>
      </top>
      <bottom style="thin">
        <color indexed="55"/>
      </bottom>
      <diagonal/>
    </border>
    <border>
      <left/>
      <right/>
      <top style="thin">
        <color indexed="55"/>
      </top>
      <bottom style="thin">
        <color indexed="55"/>
      </bottom>
      <diagonal/>
    </border>
    <border>
      <left style="thin">
        <color indexed="64"/>
      </left>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22"/>
      </bottom>
      <diagonal/>
    </border>
    <border>
      <left style="thin">
        <color indexed="64"/>
      </left>
      <right style="medium">
        <color indexed="64"/>
      </right>
      <top style="thin">
        <color indexed="22"/>
      </top>
      <bottom style="thin">
        <color indexed="64"/>
      </bottom>
      <diagonal/>
    </border>
    <border>
      <left style="thin">
        <color indexed="64"/>
      </left>
      <right style="medium">
        <color indexed="64"/>
      </right>
      <top style="thin">
        <color indexed="22"/>
      </top>
      <bottom style="thin">
        <color indexed="22"/>
      </bottom>
      <diagonal/>
    </border>
    <border>
      <left style="thin">
        <color indexed="64"/>
      </left>
      <right/>
      <top style="thin">
        <color indexed="64"/>
      </top>
      <bottom style="thin">
        <color indexed="22"/>
      </bottom>
      <diagonal/>
    </border>
    <border>
      <left style="thin">
        <color indexed="64"/>
      </left>
      <right style="thin">
        <color indexed="64"/>
      </right>
      <top/>
      <bottom style="thin">
        <color indexed="22"/>
      </bottom>
      <diagonal/>
    </border>
    <border>
      <left style="thin">
        <color indexed="64"/>
      </left>
      <right style="medium">
        <color indexed="64"/>
      </right>
      <top/>
      <bottom style="thin">
        <color indexed="22"/>
      </bottom>
      <diagonal/>
    </border>
    <border>
      <left style="thin">
        <color indexed="64"/>
      </left>
      <right/>
      <top style="thin">
        <color indexed="22"/>
      </top>
      <bottom style="thin">
        <color indexed="22"/>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medium">
        <color indexed="64"/>
      </bottom>
      <diagonal/>
    </border>
    <border>
      <left style="thin">
        <color indexed="64"/>
      </left>
      <right style="medium">
        <color indexed="64"/>
      </right>
      <top style="thin">
        <color indexed="22"/>
      </top>
      <bottom style="medium">
        <color indexed="64"/>
      </bottom>
      <diagonal/>
    </border>
    <border>
      <left style="medium">
        <color indexed="64"/>
      </left>
      <right style="medium">
        <color indexed="64"/>
      </right>
      <top style="thin">
        <color indexed="55"/>
      </top>
      <bottom style="thin">
        <color indexed="55"/>
      </bottom>
      <diagonal/>
    </border>
    <border>
      <left style="medium">
        <color indexed="64"/>
      </left>
      <right style="thin">
        <color indexed="64"/>
      </right>
      <top style="medium">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diagonal/>
    </border>
    <border>
      <left style="thin">
        <color indexed="64"/>
      </left>
      <right/>
      <top/>
      <bottom style="medium">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diagonal/>
    </border>
    <border>
      <left/>
      <right/>
      <top style="thin">
        <color indexed="64"/>
      </top>
      <bottom style="medium">
        <color indexed="64"/>
      </bottom>
      <diagonal/>
    </border>
    <border>
      <left style="medium">
        <color indexed="64"/>
      </left>
      <right style="thin">
        <color indexed="64"/>
      </right>
      <top/>
      <bottom style="thin">
        <color indexed="64"/>
      </bottom>
      <diagonal/>
    </border>
    <border>
      <left style="thin">
        <color theme="0" tint="-0.24994659260841701"/>
      </left>
      <right style="medium">
        <color indexed="64"/>
      </right>
      <top style="thin">
        <color theme="0" tint="-0.24994659260841701"/>
      </top>
      <bottom style="medium">
        <color indexed="64"/>
      </bottom>
      <diagonal/>
    </border>
    <border>
      <left style="medium">
        <color indexed="64"/>
      </left>
      <right style="thin">
        <color indexed="64"/>
      </right>
      <top style="thin">
        <color indexed="22"/>
      </top>
      <bottom/>
      <diagonal/>
    </border>
    <border>
      <left/>
      <right style="medium">
        <color indexed="64"/>
      </right>
      <top style="thin">
        <color indexed="22"/>
      </top>
      <bottom/>
      <diagonal/>
    </border>
    <border>
      <left style="medium">
        <color indexed="64"/>
      </left>
      <right style="medium">
        <color indexed="64"/>
      </right>
      <top style="thin">
        <color indexed="64"/>
      </top>
      <bottom style="medium">
        <color indexed="64"/>
      </bottom>
      <diagonal/>
    </border>
    <border>
      <left style="medium">
        <color indexed="64"/>
      </left>
      <right/>
      <top/>
      <bottom style="thin">
        <color theme="0" tint="-0.24994659260841701"/>
      </bottom>
      <diagonal/>
    </border>
    <border>
      <left style="thin">
        <color theme="0" tint="-0.24994659260841701"/>
      </left>
      <right style="medium">
        <color indexed="64"/>
      </right>
      <top/>
      <bottom style="thin">
        <color theme="0" tint="-0.24994659260841701"/>
      </bottom>
      <diagonal/>
    </border>
    <border>
      <left style="medium">
        <color indexed="64"/>
      </left>
      <right/>
      <top style="thin">
        <color theme="0" tint="-0.24994659260841701"/>
      </top>
      <bottom style="thin">
        <color theme="0" tint="-0.24994659260841701"/>
      </bottom>
      <diagonal/>
    </border>
    <border>
      <left style="thin">
        <color theme="0" tint="-0.24994659260841701"/>
      </left>
      <right style="medium">
        <color indexed="64"/>
      </right>
      <top style="thin">
        <color theme="0" tint="-0.24994659260841701"/>
      </top>
      <bottom style="thin">
        <color theme="0" tint="-0.24994659260841701"/>
      </bottom>
      <diagonal/>
    </border>
    <border>
      <left style="medium">
        <color indexed="64"/>
      </left>
      <right/>
      <top style="thin">
        <color theme="0" tint="-0.24994659260841701"/>
      </top>
      <bottom/>
      <diagonal/>
    </border>
    <border>
      <left style="thin">
        <color theme="0" tint="-0.24994659260841701"/>
      </left>
      <right style="medium">
        <color indexed="64"/>
      </right>
      <top style="thin">
        <color theme="0" tint="-0.24994659260841701"/>
      </top>
      <bottom/>
      <diagonal/>
    </border>
    <border>
      <left style="medium">
        <color indexed="64"/>
      </left>
      <right/>
      <top style="thin">
        <color theme="0" tint="-0.24994659260841701"/>
      </top>
      <bottom style="medium">
        <color indexed="64"/>
      </bottom>
      <diagonal/>
    </border>
    <border>
      <left style="medium">
        <color indexed="64"/>
      </left>
      <right/>
      <top style="medium">
        <color indexed="64"/>
      </top>
      <bottom style="thin">
        <color theme="0" tint="-0.24994659260841701"/>
      </bottom>
      <diagonal/>
    </border>
    <border>
      <left style="thin">
        <color theme="0" tint="-0.24994659260841701"/>
      </left>
      <right style="medium">
        <color indexed="64"/>
      </right>
      <top style="medium">
        <color indexed="64"/>
      </top>
      <bottom style="thin">
        <color theme="0" tint="-0.24994659260841701"/>
      </bottom>
      <diagonal/>
    </border>
    <border>
      <left style="medium">
        <color indexed="64"/>
      </left>
      <right style="thin">
        <color indexed="64"/>
      </right>
      <top/>
      <bottom style="thin">
        <color indexed="55"/>
      </bottom>
      <diagonal/>
    </border>
    <border>
      <left style="thin">
        <color indexed="64"/>
      </left>
      <right style="medium">
        <color indexed="64"/>
      </right>
      <top style="thin">
        <color indexed="55"/>
      </top>
      <bottom style="medium">
        <color indexed="64"/>
      </bottom>
      <diagonal/>
    </border>
    <border>
      <left style="medium">
        <color indexed="64"/>
      </left>
      <right style="thin">
        <color indexed="64"/>
      </right>
      <top/>
      <bottom style="thin">
        <color indexed="22"/>
      </bottom>
      <diagonal/>
    </border>
    <border>
      <left/>
      <right style="medium">
        <color indexed="64"/>
      </right>
      <top/>
      <bottom style="thin">
        <color indexed="22"/>
      </bottom>
      <diagonal/>
    </border>
    <border>
      <left/>
      <right style="medium">
        <color indexed="64"/>
      </right>
      <top style="thin">
        <color indexed="64"/>
      </top>
      <bottom style="thin">
        <color indexed="55"/>
      </bottom>
      <diagonal/>
    </border>
    <border>
      <left/>
      <right style="medium">
        <color indexed="64"/>
      </right>
      <top style="thin">
        <color indexed="55"/>
      </top>
      <bottom style="thin">
        <color indexed="55"/>
      </bottom>
      <diagonal/>
    </border>
    <border>
      <left style="thin">
        <color indexed="64"/>
      </left>
      <right style="thin">
        <color indexed="64"/>
      </right>
      <top style="thin">
        <color indexed="55"/>
      </top>
      <bottom style="medium">
        <color indexed="64"/>
      </bottom>
      <diagonal/>
    </border>
    <border>
      <left style="thin">
        <color indexed="64"/>
      </left>
      <right/>
      <top style="thin">
        <color indexed="55"/>
      </top>
      <bottom style="medium">
        <color indexed="64"/>
      </bottom>
      <diagonal/>
    </border>
    <border>
      <left/>
      <right/>
      <top style="thin">
        <color indexed="55"/>
      </top>
      <bottom style="medium">
        <color indexed="64"/>
      </bottom>
      <diagonal/>
    </border>
    <border>
      <left/>
      <right style="medium">
        <color indexed="64"/>
      </right>
      <top style="thin">
        <color indexed="55"/>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top style="thin">
        <color indexed="55"/>
      </top>
      <bottom/>
      <diagonal/>
    </border>
    <border>
      <left style="thin">
        <color indexed="64"/>
      </left>
      <right style="medium">
        <color indexed="64"/>
      </right>
      <top style="thin">
        <color indexed="55"/>
      </top>
      <bottom/>
      <diagonal/>
    </border>
    <border>
      <left style="medium">
        <color indexed="64"/>
      </left>
      <right/>
      <top style="thin">
        <color theme="0" tint="-0.34998626667073579"/>
      </top>
      <bottom style="thin">
        <color theme="0" tint="-0.34998626667073579"/>
      </bottom>
      <diagonal/>
    </border>
    <border>
      <left style="thin">
        <color indexed="64"/>
      </left>
      <right style="medium">
        <color indexed="64"/>
      </right>
      <top style="thin">
        <color indexed="22"/>
      </top>
      <bottom/>
      <diagonal/>
    </border>
    <border>
      <left style="thin">
        <color indexed="64"/>
      </left>
      <right style="thin">
        <color indexed="64"/>
      </right>
      <top style="thin">
        <color indexed="22"/>
      </top>
      <bottom/>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diagonal/>
    </border>
  </borders>
  <cellStyleXfs count="25">
    <xf numFmtId="0" fontId="0" fillId="0" borderId="0"/>
    <xf numFmtId="0" fontId="28" fillId="12" borderId="0" applyNumberFormat="0" applyBorder="0" applyAlignment="0" applyProtection="0"/>
    <xf numFmtId="0" fontId="29" fillId="13" borderId="0" applyNumberFormat="0" applyBorder="0" applyAlignment="0" applyProtection="0"/>
    <xf numFmtId="0" fontId="29" fillId="14" borderId="0" applyNumberFormat="0" applyBorder="0" applyAlignment="0" applyProtection="0"/>
    <xf numFmtId="0" fontId="30" fillId="2" borderId="1">
      <alignment horizontal="center" vertical="center"/>
    </xf>
    <xf numFmtId="0" fontId="6" fillId="15" borderId="1" applyNumberFormat="0" applyAlignment="0" applyProtection="0"/>
    <xf numFmtId="0" fontId="31" fillId="0" borderId="1">
      <alignment horizontal="center"/>
    </xf>
    <xf numFmtId="0" fontId="7" fillId="3" borderId="0" applyNumberFormat="0" applyAlignment="0" applyProtection="0"/>
    <xf numFmtId="0" fontId="32" fillId="0" borderId="0" applyNumberFormat="0" applyFill="0" applyBorder="0" applyAlignment="0" applyProtection="0"/>
    <xf numFmtId="0" fontId="31" fillId="0" borderId="1">
      <alignment horizontal="center" vertical="center"/>
    </xf>
    <xf numFmtId="0" fontId="2" fillId="16" borderId="0" applyNumberFormat="0" applyBorder="0" applyProtection="0">
      <alignment horizontal="left" vertical="center"/>
    </xf>
    <xf numFmtId="0" fontId="33" fillId="0" borderId="0" applyNumberFormat="0" applyFill="0" applyBorder="0" applyAlignment="0" applyProtection="0">
      <alignment vertical="top"/>
      <protection locked="0"/>
    </xf>
    <xf numFmtId="0" fontId="34" fillId="0" borderId="0" applyNumberFormat="0" applyFill="0" applyBorder="0" applyAlignment="0" applyProtection="0">
      <alignment vertical="top"/>
      <protection locked="0"/>
    </xf>
    <xf numFmtId="0" fontId="35" fillId="17" borderId="1" applyNumberFormat="0" applyProtection="0">
      <alignment horizontal="center" vertical="center"/>
    </xf>
    <xf numFmtId="0" fontId="6" fillId="17" borderId="1" applyNumberFormat="0" applyProtection="0">
      <alignment horizontal="center" vertical="center"/>
    </xf>
    <xf numFmtId="0" fontId="1" fillId="0" borderId="0"/>
    <xf numFmtId="0" fontId="36" fillId="0" borderId="0"/>
    <xf numFmtId="0" fontId="36" fillId="0" borderId="0"/>
    <xf numFmtId="0" fontId="1" fillId="0" borderId="0"/>
    <xf numFmtId="0" fontId="36" fillId="0" borderId="0"/>
    <xf numFmtId="0" fontId="37" fillId="11" borderId="1" applyNumberFormat="0" applyProtection="0">
      <alignment horizontal="center" vertical="center"/>
    </xf>
    <xf numFmtId="0" fontId="38" fillId="18" borderId="0"/>
    <xf numFmtId="0" fontId="39" fillId="0" borderId="0"/>
    <xf numFmtId="0" fontId="39" fillId="0" borderId="2">
      <alignment horizontal="center" vertical="center" wrapText="1"/>
    </xf>
    <xf numFmtId="9" fontId="28" fillId="0" borderId="0" applyFont="0" applyFill="0" applyBorder="0" applyAlignment="0" applyProtection="0"/>
  </cellStyleXfs>
  <cellXfs count="1047">
    <xf numFmtId="0" fontId="0" fillId="0" borderId="0" xfId="0"/>
    <xf numFmtId="0" fontId="3" fillId="0" borderId="0" xfId="17" applyFont="1"/>
    <xf numFmtId="0" fontId="3" fillId="0" borderId="7" xfId="0" applyFont="1" applyBorder="1"/>
    <xf numFmtId="0" fontId="3" fillId="0" borderId="8" xfId="0" applyFont="1" applyBorder="1"/>
    <xf numFmtId="0" fontId="3" fillId="0" borderId="0" xfId="17" applyFont="1" applyBorder="1"/>
    <xf numFmtId="0" fontId="4" fillId="0" borderId="0" xfId="0" applyFont="1" applyBorder="1"/>
    <xf numFmtId="0" fontId="3" fillId="0" borderId="0" xfId="0" applyFont="1"/>
    <xf numFmtId="0" fontId="4" fillId="0" borderId="0" xfId="0" applyFont="1"/>
    <xf numFmtId="0" fontId="3" fillId="0" borderId="0" xfId="0" applyFont="1" applyBorder="1"/>
    <xf numFmtId="0" fontId="3" fillId="0" borderId="0" xfId="0" applyFont="1" applyFill="1" applyBorder="1"/>
    <xf numFmtId="0" fontId="9" fillId="0" borderId="7" xfId="0" applyFont="1" applyBorder="1" applyAlignment="1">
      <alignment wrapText="1"/>
    </xf>
    <xf numFmtId="0" fontId="3" fillId="0" borderId="8" xfId="0" applyFont="1" applyFill="1" applyBorder="1"/>
    <xf numFmtId="0" fontId="4" fillId="0" borderId="7" xfId="0" applyFont="1" applyBorder="1"/>
    <xf numFmtId="0" fontId="3" fillId="0" borderId="0" xfId="0" quotePrefix="1" applyFont="1"/>
    <xf numFmtId="0" fontId="9" fillId="0" borderId="0" xfId="0" applyFont="1" applyBorder="1" applyAlignment="1">
      <alignment wrapText="1"/>
    </xf>
    <xf numFmtId="0" fontId="4" fillId="0" borderId="12" xfId="23" applyFont="1" applyBorder="1">
      <alignment horizontal="center" vertical="center" wrapText="1"/>
    </xf>
    <xf numFmtId="0" fontId="3" fillId="0" borderId="12" xfId="19" applyFont="1" applyBorder="1"/>
    <xf numFmtId="0" fontId="3" fillId="0" borderId="0" xfId="0" applyFont="1" applyAlignment="1">
      <alignment wrapText="1"/>
    </xf>
    <xf numFmtId="0" fontId="3" fillId="6" borderId="0" xfId="0" applyFont="1" applyFill="1"/>
    <xf numFmtId="0" fontId="3" fillId="5" borderId="0" xfId="0" applyFont="1" applyFill="1"/>
    <xf numFmtId="0" fontId="4" fillId="5" borderId="0" xfId="0" applyFont="1" applyFill="1"/>
    <xf numFmtId="0" fontId="3" fillId="4" borderId="1" xfId="0" applyFont="1" applyFill="1" applyBorder="1" applyProtection="1">
      <protection locked="0"/>
    </xf>
    <xf numFmtId="0" fontId="9" fillId="0" borderId="0" xfId="0" applyFont="1" applyBorder="1" applyAlignment="1">
      <alignment vertical="center"/>
    </xf>
    <xf numFmtId="0" fontId="3" fillId="0" borderId="0" xfId="19" applyFont="1" applyBorder="1" applyAlignment="1">
      <alignment vertical="center" wrapText="1"/>
    </xf>
    <xf numFmtId="0" fontId="3" fillId="0" borderId="0" xfId="0" applyFont="1" applyAlignment="1">
      <alignment vertical="center"/>
    </xf>
    <xf numFmtId="0" fontId="3" fillId="0" borderId="17" xfId="0" applyFont="1" applyBorder="1" applyAlignment="1">
      <alignment vertical="center"/>
    </xf>
    <xf numFmtId="0" fontId="9" fillId="0" borderId="17" xfId="0" applyFont="1" applyBorder="1" applyAlignment="1">
      <alignment vertical="center"/>
    </xf>
    <xf numFmtId="0" fontId="3" fillId="0" borderId="19" xfId="0" applyFont="1" applyBorder="1" applyAlignment="1">
      <alignment vertical="center"/>
    </xf>
    <xf numFmtId="0" fontId="9" fillId="0" borderId="18" xfId="0" applyFont="1" applyBorder="1" applyAlignment="1">
      <alignment vertical="center"/>
    </xf>
    <xf numFmtId="0" fontId="9" fillId="0" borderId="7" xfId="0" applyFont="1" applyBorder="1" applyAlignment="1">
      <alignment vertical="center"/>
    </xf>
    <xf numFmtId="0" fontId="9" fillId="0" borderId="21" xfId="0" applyFont="1" applyBorder="1" applyAlignment="1">
      <alignment horizontal="left" vertical="center"/>
    </xf>
    <xf numFmtId="0" fontId="9" fillId="0" borderId="19" xfId="0" applyFont="1" applyBorder="1" applyAlignment="1">
      <alignment vertical="center"/>
    </xf>
    <xf numFmtId="0" fontId="9" fillId="0" borderId="22" xfId="0" applyFont="1" applyBorder="1" applyAlignment="1">
      <alignment vertical="center"/>
    </xf>
    <xf numFmtId="0" fontId="4" fillId="0" borderId="0" xfId="0" applyFont="1" applyAlignment="1">
      <alignment vertical="center"/>
    </xf>
    <xf numFmtId="0" fontId="4" fillId="5" borderId="0" xfId="0" applyFont="1" applyFill="1" applyAlignment="1">
      <alignment vertical="center"/>
    </xf>
    <xf numFmtId="0" fontId="9" fillId="0" borderId="26" xfId="0" applyFont="1" applyBorder="1" applyAlignment="1">
      <alignment horizontal="left" vertical="center"/>
    </xf>
    <xf numFmtId="0" fontId="9" fillId="0" borderId="27" xfId="0" applyFont="1" applyBorder="1" applyAlignment="1">
      <alignment horizontal="left" vertical="center"/>
    </xf>
    <xf numFmtId="0" fontId="4" fillId="0" borderId="1" xfId="19" applyFont="1" applyBorder="1" applyAlignment="1">
      <alignment horizontal="center"/>
    </xf>
    <xf numFmtId="0" fontId="4" fillId="0" borderId="28" xfId="23" applyFont="1" applyBorder="1">
      <alignment horizontal="center" vertical="center" wrapText="1"/>
    </xf>
    <xf numFmtId="0" fontId="4" fillId="6" borderId="7" xfId="23" applyFont="1" applyFill="1" applyBorder="1">
      <alignment horizontal="center" vertical="center" wrapText="1"/>
    </xf>
    <xf numFmtId="0" fontId="3" fillId="6" borderId="7" xfId="0" applyFont="1" applyFill="1" applyBorder="1"/>
    <xf numFmtId="0" fontId="3" fillId="6" borderId="7" xfId="0" applyFont="1" applyFill="1" applyBorder="1" applyAlignment="1">
      <alignment horizontal="center"/>
    </xf>
    <xf numFmtId="0" fontId="10" fillId="6" borderId="0" xfId="10" applyFont="1" applyFill="1" applyBorder="1">
      <alignment horizontal="left" vertical="center"/>
    </xf>
    <xf numFmtId="0" fontId="3" fillId="6" borderId="0" xfId="0" applyFont="1" applyFill="1" applyBorder="1" applyAlignment="1">
      <alignment horizontal="center"/>
    </xf>
    <xf numFmtId="0" fontId="4" fillId="0" borderId="14" xfId="19" applyFont="1" applyBorder="1" applyAlignment="1">
      <alignment horizontal="center"/>
    </xf>
    <xf numFmtId="0" fontId="3" fillId="0" borderId="0" xfId="0" applyFont="1" applyBorder="1" applyAlignment="1">
      <alignment vertical="center"/>
    </xf>
    <xf numFmtId="0" fontId="3" fillId="5" borderId="0" xfId="0" applyFont="1" applyFill="1" applyAlignment="1">
      <alignment vertical="center"/>
    </xf>
    <xf numFmtId="0" fontId="3" fillId="0" borderId="0" xfId="17" applyFont="1" applyAlignment="1">
      <alignment horizontal="left" vertical="center"/>
    </xf>
    <xf numFmtId="0" fontId="4" fillId="0" borderId="0" xfId="0" applyFont="1" applyAlignment="1">
      <alignment vertical="top"/>
    </xf>
    <xf numFmtId="0" fontId="17" fillId="0" borderId="0" xfId="19" applyFont="1" applyBorder="1"/>
    <xf numFmtId="0" fontId="3" fillId="0" borderId="29" xfId="0" applyFont="1" applyBorder="1"/>
    <xf numFmtId="0" fontId="3" fillId="0" borderId="30" xfId="0" applyFont="1" applyBorder="1"/>
    <xf numFmtId="0" fontId="19" fillId="0" borderId="31" xfId="0" applyFont="1" applyBorder="1" applyAlignment="1">
      <alignment wrapText="1"/>
    </xf>
    <xf numFmtId="0" fontId="15" fillId="0" borderId="29" xfId="0" applyFont="1" applyBorder="1" applyAlignment="1">
      <alignment wrapText="1"/>
    </xf>
    <xf numFmtId="0" fontId="15" fillId="0" borderId="30" xfId="0" applyFont="1" applyBorder="1" applyAlignment="1">
      <alignment wrapText="1"/>
    </xf>
    <xf numFmtId="0" fontId="3" fillId="0" borderId="35" xfId="0" applyFont="1" applyBorder="1"/>
    <xf numFmtId="0" fontId="3" fillId="0" borderId="36" xfId="0" applyFont="1" applyBorder="1"/>
    <xf numFmtId="0" fontId="9" fillId="0" borderId="37" xfId="0" applyFont="1" applyBorder="1" applyAlignment="1">
      <alignment wrapText="1"/>
    </xf>
    <xf numFmtId="0" fontId="3" fillId="6" borderId="0" xfId="0" applyFont="1" applyFill="1" applyAlignment="1">
      <alignment vertical="center"/>
    </xf>
    <xf numFmtId="0" fontId="3" fillId="0" borderId="35" xfId="0" applyFont="1" applyBorder="1" applyAlignment="1">
      <alignment wrapText="1"/>
    </xf>
    <xf numFmtId="0" fontId="3" fillId="0" borderId="36" xfId="0" applyFont="1" applyBorder="1" applyAlignment="1">
      <alignment wrapText="1"/>
    </xf>
    <xf numFmtId="0" fontId="3" fillId="0" borderId="0" xfId="17" applyFont="1" applyBorder="1" applyAlignment="1">
      <alignment wrapText="1"/>
    </xf>
    <xf numFmtId="0" fontId="4" fillId="0" borderId="39" xfId="0" applyFont="1" applyBorder="1" applyAlignment="1">
      <alignment horizontal="center"/>
    </xf>
    <xf numFmtId="0" fontId="4" fillId="0" borderId="1" xfId="0" applyFont="1" applyBorder="1" applyAlignment="1">
      <alignment horizontal="center"/>
    </xf>
    <xf numFmtId="0" fontId="3" fillId="0" borderId="7" xfId="0" applyFont="1" applyBorder="1" applyAlignment="1">
      <alignment vertical="center"/>
    </xf>
    <xf numFmtId="0" fontId="3" fillId="0" borderId="8" xfId="0" applyFont="1" applyBorder="1" applyAlignment="1">
      <alignment vertical="center"/>
    </xf>
    <xf numFmtId="0" fontId="15" fillId="0" borderId="7" xfId="0" applyFont="1" applyBorder="1" applyAlignment="1">
      <alignment vertical="center"/>
    </xf>
    <xf numFmtId="0" fontId="14" fillId="0" borderId="7" xfId="0" applyFont="1" applyBorder="1" applyAlignment="1">
      <alignment horizontal="left" vertical="center" indent="2"/>
    </xf>
    <xf numFmtId="0" fontId="3" fillId="8" borderId="7" xfId="0" applyFont="1" applyFill="1" applyBorder="1" applyAlignment="1">
      <alignment vertical="center"/>
    </xf>
    <xf numFmtId="0" fontId="3" fillId="8" borderId="0" xfId="0" applyFont="1" applyFill="1" applyBorder="1" applyAlignment="1">
      <alignment horizontal="right" vertical="center"/>
    </xf>
    <xf numFmtId="0" fontId="3" fillId="8" borderId="0" xfId="0" applyFont="1" applyFill="1" applyBorder="1" applyAlignment="1">
      <alignment vertical="center"/>
    </xf>
    <xf numFmtId="0" fontId="15" fillId="8" borderId="0" xfId="0" applyFont="1" applyFill="1" applyBorder="1" applyAlignment="1">
      <alignment vertical="center"/>
    </xf>
    <xf numFmtId="0" fontId="13" fillId="8" borderId="0" xfId="0" applyFont="1" applyFill="1" applyBorder="1"/>
    <xf numFmtId="0" fontId="14" fillId="0" borderId="7" xfId="0" applyFont="1" applyBorder="1"/>
    <xf numFmtId="0" fontId="12" fillId="0" borderId="7" xfId="0" applyFont="1" applyBorder="1" applyAlignment="1"/>
    <xf numFmtId="0" fontId="3" fillId="0" borderId="0" xfId="0" applyFont="1" applyBorder="1" applyAlignment="1"/>
    <xf numFmtId="0" fontId="11" fillId="0" borderId="0" xfId="0" applyFont="1" applyBorder="1" applyAlignment="1">
      <alignment horizontal="centerContinuous" wrapText="1"/>
    </xf>
    <xf numFmtId="0" fontId="3" fillId="6" borderId="0" xfId="0" applyFont="1" applyFill="1" applyBorder="1" applyAlignment="1" applyProtection="1">
      <alignment horizontal="center" vertical="center"/>
    </xf>
    <xf numFmtId="0" fontId="3" fillId="0" borderId="0" xfId="0" applyFont="1" applyBorder="1" applyAlignment="1" applyProtection="1">
      <alignment vertical="center"/>
    </xf>
    <xf numFmtId="0" fontId="3" fillId="6" borderId="0" xfId="0" applyFont="1" applyFill="1" applyBorder="1" applyProtection="1"/>
    <xf numFmtId="0" fontId="3" fillId="0" borderId="43" xfId="17" applyNumberFormat="1" applyFont="1" applyBorder="1"/>
    <xf numFmtId="0" fontId="3" fillId="0" borderId="44" xfId="17" applyNumberFormat="1" applyFont="1" applyBorder="1"/>
    <xf numFmtId="0" fontId="3" fillId="0" borderId="42" xfId="0" applyFont="1" applyBorder="1"/>
    <xf numFmtId="0" fontId="3" fillId="0" borderId="43" xfId="0" applyFont="1" applyBorder="1"/>
    <xf numFmtId="0" fontId="3" fillId="0" borderId="44" xfId="0" applyFont="1" applyBorder="1"/>
    <xf numFmtId="0" fontId="3" fillId="0" borderId="45" xfId="0" applyFont="1" applyBorder="1"/>
    <xf numFmtId="0" fontId="3" fillId="4" borderId="28" xfId="0" applyFont="1" applyFill="1" applyBorder="1" applyProtection="1">
      <protection locked="0"/>
    </xf>
    <xf numFmtId="0" fontId="3" fillId="0" borderId="0" xfId="0" applyFont="1" applyFill="1" applyBorder="1" applyProtection="1"/>
    <xf numFmtId="0" fontId="3" fillId="0" borderId="46" xfId="0" applyFont="1" applyBorder="1"/>
    <xf numFmtId="0" fontId="3" fillId="6" borderId="47" xfId="0" applyFont="1" applyFill="1" applyBorder="1" applyProtection="1"/>
    <xf numFmtId="0" fontId="4" fillId="0" borderId="16" xfId="0" applyFont="1" applyFill="1" applyBorder="1"/>
    <xf numFmtId="0" fontId="3" fillId="8" borderId="0" xfId="0" applyFont="1" applyFill="1" applyBorder="1" applyAlignment="1" applyProtection="1">
      <alignment vertical="center"/>
      <protection locked="0"/>
    </xf>
    <xf numFmtId="0" fontId="4" fillId="0" borderId="0" xfId="0" applyFont="1" applyBorder="1" applyAlignment="1">
      <alignment horizontal="center"/>
    </xf>
    <xf numFmtId="0" fontId="9" fillId="0" borderId="49" xfId="0" applyFont="1" applyBorder="1" applyAlignment="1">
      <alignment vertical="center" wrapText="1"/>
    </xf>
    <xf numFmtId="0" fontId="9" fillId="0" borderId="43" xfId="0" applyFont="1" applyBorder="1" applyAlignment="1">
      <alignment vertical="center" wrapText="1"/>
    </xf>
    <xf numFmtId="0" fontId="3" fillId="4" borderId="50" xfId="0" applyFont="1" applyFill="1" applyBorder="1" applyProtection="1">
      <protection locked="0"/>
    </xf>
    <xf numFmtId="0" fontId="3" fillId="0" borderId="43" xfId="0" applyFont="1" applyBorder="1" applyAlignment="1">
      <alignment wrapText="1"/>
    </xf>
    <xf numFmtId="0" fontId="3" fillId="0" borderId="43" xfId="0" quotePrefix="1" applyFont="1" applyBorder="1"/>
    <xf numFmtId="0" fontId="4" fillId="0" borderId="51" xfId="0" applyFont="1" applyBorder="1" applyAlignment="1">
      <alignment horizontal="center"/>
    </xf>
    <xf numFmtId="0" fontId="3" fillId="0" borderId="20" xfId="0" applyFont="1" applyBorder="1" applyAlignment="1"/>
    <xf numFmtId="0" fontId="3" fillId="0" borderId="52" xfId="0" applyFont="1" applyBorder="1" applyAlignment="1"/>
    <xf numFmtId="0" fontId="3" fillId="0" borderId="39" xfId="0" applyFont="1" applyBorder="1" applyAlignment="1"/>
    <xf numFmtId="0" fontId="6" fillId="0" borderId="36" xfId="17" applyNumberFormat="1" applyFont="1" applyBorder="1" applyAlignment="1">
      <alignment horizontal="center" wrapText="1"/>
    </xf>
    <xf numFmtId="164" fontId="6" fillId="0" borderId="36" xfId="17" applyNumberFormat="1" applyFont="1" applyBorder="1" applyAlignment="1">
      <alignment horizontal="center" wrapText="1"/>
    </xf>
    <xf numFmtId="0" fontId="3" fillId="0" borderId="0" xfId="17" applyFont="1" applyBorder="1" applyAlignment="1">
      <alignment vertical="center"/>
    </xf>
    <xf numFmtId="0" fontId="9" fillId="0" borderId="0" xfId="19" applyFont="1" applyAlignment="1">
      <alignment vertical="center"/>
    </xf>
    <xf numFmtId="0" fontId="9" fillId="5" borderId="0" xfId="19" applyFont="1" applyFill="1" applyAlignment="1">
      <alignment vertical="center"/>
    </xf>
    <xf numFmtId="0" fontId="9" fillId="0" borderId="0" xfId="19" applyFont="1" applyFill="1" applyAlignment="1">
      <alignment vertical="center"/>
    </xf>
    <xf numFmtId="0" fontId="3" fillId="0" borderId="57" xfId="0" applyFont="1" applyBorder="1" applyAlignment="1">
      <alignment vertical="center"/>
    </xf>
    <xf numFmtId="0" fontId="9" fillId="0" borderId="57" xfId="0" applyFont="1" applyBorder="1" applyAlignment="1">
      <alignment vertical="center"/>
    </xf>
    <xf numFmtId="0" fontId="9" fillId="6" borderId="57" xfId="0" applyFont="1" applyFill="1" applyBorder="1" applyAlignment="1">
      <alignment vertical="center" wrapText="1"/>
    </xf>
    <xf numFmtId="0" fontId="9" fillId="0" borderId="57" xfId="0" applyFont="1" applyBorder="1" applyAlignment="1">
      <alignment vertical="center" wrapText="1"/>
    </xf>
    <xf numFmtId="0" fontId="9" fillId="0" borderId="58" xfId="0" applyFont="1" applyBorder="1" applyAlignment="1">
      <alignment vertical="center" wrapText="1"/>
    </xf>
    <xf numFmtId="0" fontId="3" fillId="0" borderId="19" xfId="0" applyFont="1" applyBorder="1" applyAlignment="1">
      <alignment vertical="center" wrapText="1"/>
    </xf>
    <xf numFmtId="0" fontId="3" fillId="0" borderId="0" xfId="0" applyFont="1" applyFill="1"/>
    <xf numFmtId="0" fontId="4" fillId="0" borderId="0" xfId="0" applyFont="1" applyFill="1"/>
    <xf numFmtId="0" fontId="3" fillId="0" borderId="0" xfId="17" applyNumberFormat="1" applyFont="1" applyBorder="1"/>
    <xf numFmtId="0" fontId="3" fillId="0" borderId="44" xfId="17" applyFont="1" applyBorder="1"/>
    <xf numFmtId="0" fontId="19" fillId="4" borderId="59" xfId="14" applyFont="1" applyFill="1" applyBorder="1" applyAlignment="1" applyProtection="1">
      <alignment horizontal="left" vertical="center"/>
      <protection locked="0"/>
    </xf>
    <xf numFmtId="0" fontId="9" fillId="4" borderId="14" xfId="14" applyFont="1" applyFill="1" applyBorder="1" applyAlignment="1" applyProtection="1">
      <alignment horizontal="left" vertical="center"/>
      <protection locked="0"/>
    </xf>
    <xf numFmtId="14" fontId="5" fillId="9" borderId="1" xfId="14" applyNumberFormat="1" applyFont="1" applyFill="1" applyBorder="1" applyProtection="1">
      <alignment horizontal="center" vertical="center"/>
    </xf>
    <xf numFmtId="14" fontId="5" fillId="9" borderId="14" xfId="14" applyNumberFormat="1" applyFont="1" applyFill="1" applyBorder="1" applyAlignment="1" applyProtection="1">
      <alignment horizontal="left" vertical="center"/>
    </xf>
    <xf numFmtId="14" fontId="5" fillId="9" borderId="56" xfId="14" applyNumberFormat="1" applyFont="1" applyFill="1" applyBorder="1" applyProtection="1">
      <alignment horizontal="center" vertical="center"/>
    </xf>
    <xf numFmtId="14" fontId="5" fillId="9" borderId="15" xfId="14" applyNumberFormat="1" applyFont="1" applyFill="1" applyBorder="1" applyAlignment="1" applyProtection="1">
      <alignment horizontal="left" vertical="center"/>
    </xf>
    <xf numFmtId="0" fontId="3" fillId="0" borderId="0" xfId="17" applyFont="1" applyAlignment="1">
      <alignment wrapText="1"/>
    </xf>
    <xf numFmtId="0" fontId="3" fillId="0" borderId="0" xfId="17" applyFont="1" applyAlignment="1"/>
    <xf numFmtId="0" fontId="3" fillId="5" borderId="0" xfId="0" applyFont="1" applyFill="1" applyAlignment="1">
      <alignment wrapText="1"/>
    </xf>
    <xf numFmtId="0" fontId="23" fillId="0" borderId="0" xfId="0" applyFont="1" applyFill="1" applyAlignment="1">
      <alignment vertical="center"/>
    </xf>
    <xf numFmtId="0" fontId="3" fillId="0" borderId="0" xfId="17" applyFont="1" applyFill="1"/>
    <xf numFmtId="0" fontId="3" fillId="5" borderId="0" xfId="17" applyFont="1" applyFill="1"/>
    <xf numFmtId="0" fontId="4" fillId="0" borderId="9" xfId="0" applyFont="1" applyBorder="1"/>
    <xf numFmtId="0" fontId="3" fillId="0" borderId="11" xfId="0" applyFont="1" applyBorder="1"/>
    <xf numFmtId="0" fontId="3" fillId="0" borderId="43" xfId="0" applyFont="1" applyBorder="1" applyAlignment="1">
      <alignment horizontal="left"/>
    </xf>
    <xf numFmtId="0" fontId="3" fillId="0" borderId="44" xfId="0" applyFont="1" applyBorder="1" applyAlignment="1">
      <alignment horizontal="left"/>
    </xf>
    <xf numFmtId="0" fontId="4" fillId="0" borderId="33" xfId="0" applyFont="1" applyBorder="1"/>
    <xf numFmtId="0" fontId="4" fillId="0" borderId="40" xfId="0" applyFont="1" applyBorder="1"/>
    <xf numFmtId="0" fontId="3" fillId="0" borderId="23" xfId="0" applyFont="1" applyBorder="1"/>
    <xf numFmtId="0" fontId="3" fillId="0" borderId="9" xfId="0" applyFont="1" applyBorder="1"/>
    <xf numFmtId="2" fontId="25" fillId="0" borderId="0" xfId="15" applyNumberFormat="1" applyFont="1" applyAlignment="1">
      <alignment horizontal="center"/>
    </xf>
    <xf numFmtId="0" fontId="4" fillId="0" borderId="61" xfId="0" applyFont="1" applyBorder="1" applyAlignment="1">
      <alignment horizontal="center"/>
    </xf>
    <xf numFmtId="2" fontId="25" fillId="0" borderId="0" xfId="15" applyNumberFormat="1" applyFont="1"/>
    <xf numFmtId="0" fontId="3" fillId="0" borderId="33" xfId="0" applyFont="1" applyBorder="1"/>
    <xf numFmtId="0" fontId="3" fillId="0" borderId="34" xfId="0" applyFont="1" applyBorder="1"/>
    <xf numFmtId="0" fontId="3" fillId="0" borderId="0" xfId="0" applyFont="1" applyBorder="1" applyAlignment="1">
      <alignment horizontal="left"/>
    </xf>
    <xf numFmtId="0" fontId="3" fillId="0" borderId="7" xfId="0" applyFont="1" applyBorder="1" applyAlignment="1">
      <alignment horizontal="left"/>
    </xf>
    <xf numFmtId="0" fontId="4" fillId="0" borderId="14" xfId="0" applyFont="1" applyBorder="1" applyAlignment="1">
      <alignment horizontal="center"/>
    </xf>
    <xf numFmtId="2" fontId="25" fillId="0" borderId="0" xfId="15" applyNumberFormat="1" applyFont="1" applyAlignment="1">
      <alignment horizontal="right"/>
    </xf>
    <xf numFmtId="0" fontId="25" fillId="0" borderId="0" xfId="15" applyFont="1"/>
    <xf numFmtId="0" fontId="3" fillId="0" borderId="32" xfId="0" applyFont="1" applyBorder="1"/>
    <xf numFmtId="0" fontId="25" fillId="0" borderId="0" xfId="15" applyFont="1" applyAlignment="1">
      <alignment horizontal="center"/>
    </xf>
    <xf numFmtId="0" fontId="25" fillId="0" borderId="0" xfId="15" applyFont="1" applyBorder="1"/>
    <xf numFmtId="0" fontId="3" fillId="0" borderId="34" xfId="0" applyFont="1" applyFill="1" applyBorder="1"/>
    <xf numFmtId="0" fontId="5" fillId="0" borderId="0" xfId="0" applyFont="1"/>
    <xf numFmtId="0" fontId="25" fillId="0" borderId="0" xfId="15" applyFont="1" applyFill="1" applyBorder="1"/>
    <xf numFmtId="0" fontId="25" fillId="0" borderId="0" xfId="15" applyFont="1" applyFill="1" applyAlignment="1">
      <alignment horizontal="center"/>
    </xf>
    <xf numFmtId="0" fontId="25" fillId="0" borderId="0" xfId="15" applyFont="1" applyFill="1"/>
    <xf numFmtId="2" fontId="25" fillId="0" borderId="0" xfId="15" applyNumberFormat="1" applyFont="1" applyFill="1" applyAlignment="1">
      <alignment horizontal="right"/>
    </xf>
    <xf numFmtId="2" fontId="25" fillId="0" borderId="0" xfId="15" applyNumberFormat="1" applyFont="1" applyFill="1"/>
    <xf numFmtId="0" fontId="4" fillId="0" borderId="0" xfId="0" applyFont="1" applyAlignment="1">
      <alignment wrapText="1"/>
    </xf>
    <xf numFmtId="0" fontId="5" fillId="0" borderId="0" xfId="0" applyFont="1" applyAlignment="1">
      <alignment wrapText="1"/>
    </xf>
    <xf numFmtId="0" fontId="3" fillId="0" borderId="0" xfId="0" applyFont="1" applyFill="1" applyAlignment="1">
      <alignment wrapText="1"/>
    </xf>
    <xf numFmtId="0" fontId="3" fillId="5" borderId="0" xfId="0" applyFont="1" applyFill="1" applyBorder="1"/>
    <xf numFmtId="0" fontId="4" fillId="0" borderId="0" xfId="0" applyFont="1" applyFill="1" applyBorder="1"/>
    <xf numFmtId="0" fontId="3" fillId="0" borderId="0" xfId="0" applyFont="1" applyFill="1" applyBorder="1" applyAlignment="1">
      <alignment wrapText="1"/>
    </xf>
    <xf numFmtId="0" fontId="4" fillId="5" borderId="0" xfId="0" applyFont="1" applyFill="1" applyBorder="1"/>
    <xf numFmtId="0" fontId="3" fillId="0" borderId="0" xfId="17" applyFont="1" applyFill="1" applyAlignment="1">
      <alignment wrapText="1"/>
    </xf>
    <xf numFmtId="0" fontId="3" fillId="5" borderId="0" xfId="17" applyFont="1" applyFill="1" applyAlignment="1">
      <alignment wrapText="1"/>
    </xf>
    <xf numFmtId="0" fontId="4" fillId="0" borderId="0" xfId="0" applyFont="1" applyFill="1" applyAlignment="1">
      <alignment wrapText="1"/>
    </xf>
    <xf numFmtId="0" fontId="4" fillId="5" borderId="0" xfId="0" applyFont="1" applyFill="1" applyAlignment="1">
      <alignment wrapText="1"/>
    </xf>
    <xf numFmtId="2" fontId="25" fillId="0" borderId="0" xfId="15" applyNumberFormat="1" applyFont="1" applyAlignment="1">
      <alignment horizontal="center" wrapText="1"/>
    </xf>
    <xf numFmtId="0" fontId="25" fillId="0" borderId="0" xfId="15" applyFont="1" applyFill="1" applyAlignment="1">
      <alignment horizontal="center" wrapText="1"/>
    </xf>
    <xf numFmtId="2" fontId="25" fillId="0" borderId="0" xfId="15" applyNumberFormat="1" applyFont="1" applyAlignment="1">
      <alignment wrapText="1"/>
    </xf>
    <xf numFmtId="0" fontId="25" fillId="0" borderId="0" xfId="15" applyFont="1" applyFill="1" applyAlignment="1">
      <alignment wrapText="1"/>
    </xf>
    <xf numFmtId="2" fontId="25" fillId="0" borderId="0" xfId="15" applyNumberFormat="1" applyFont="1" applyAlignment="1">
      <alignment horizontal="right" wrapText="1"/>
    </xf>
    <xf numFmtId="2" fontId="25" fillId="0" borderId="0" xfId="15" applyNumberFormat="1" applyFont="1" applyFill="1" applyAlignment="1">
      <alignment horizontal="right" wrapText="1"/>
    </xf>
    <xf numFmtId="0" fontId="25" fillId="0" borderId="0" xfId="15" applyFont="1" applyAlignment="1">
      <alignment wrapText="1"/>
    </xf>
    <xf numFmtId="0" fontId="3" fillId="6" borderId="0" xfId="0" applyFont="1" applyFill="1" applyAlignment="1">
      <alignment wrapText="1"/>
    </xf>
    <xf numFmtId="0" fontId="3" fillId="0" borderId="0" xfId="0" applyFont="1" applyAlignment="1"/>
    <xf numFmtId="0" fontId="3" fillId="0" borderId="0" xfId="0" applyFont="1" applyFill="1" applyAlignment="1"/>
    <xf numFmtId="0" fontId="3" fillId="5" borderId="0" xfId="0" applyFont="1" applyFill="1" applyAlignment="1"/>
    <xf numFmtId="0" fontId="3" fillId="0" borderId="0" xfId="0" applyFont="1" applyProtection="1"/>
    <xf numFmtId="0" fontId="23" fillId="5" borderId="0" xfId="0" applyFont="1" applyFill="1" applyAlignment="1">
      <alignment vertical="center"/>
    </xf>
    <xf numFmtId="0" fontId="11" fillId="6" borderId="0" xfId="0" applyFont="1" applyFill="1" applyAlignment="1">
      <alignment wrapText="1"/>
    </xf>
    <xf numFmtId="0" fontId="15" fillId="6" borderId="0" xfId="0" applyFont="1" applyFill="1" applyAlignment="1">
      <alignment wrapText="1"/>
    </xf>
    <xf numFmtId="0" fontId="15" fillId="0" borderId="0" xfId="0" applyFont="1" applyAlignment="1">
      <alignment wrapText="1"/>
    </xf>
    <xf numFmtId="0" fontId="18" fillId="6" borderId="0" xfId="10" applyFont="1" applyFill="1" applyBorder="1" applyAlignment="1">
      <alignment horizontal="left" vertical="center" wrapText="1"/>
    </xf>
    <xf numFmtId="0" fontId="15" fillId="5" borderId="0" xfId="0" applyFont="1" applyFill="1" applyAlignment="1">
      <alignment wrapText="1"/>
    </xf>
    <xf numFmtId="0" fontId="15" fillId="6" borderId="0" xfId="0" applyFont="1" applyFill="1" applyAlignment="1"/>
    <xf numFmtId="0" fontId="15" fillId="5" borderId="0" xfId="0" applyFont="1" applyFill="1" applyAlignment="1"/>
    <xf numFmtId="0" fontId="15" fillId="0" borderId="0" xfId="0" applyFont="1" applyAlignment="1"/>
    <xf numFmtId="0" fontId="15" fillId="6" borderId="0" xfId="0" applyFont="1" applyFill="1" applyBorder="1" applyAlignment="1">
      <alignment wrapText="1"/>
    </xf>
    <xf numFmtId="0" fontId="15" fillId="6" borderId="66" xfId="0" applyFont="1" applyFill="1" applyBorder="1" applyAlignment="1">
      <alignment horizontal="center" wrapText="1"/>
    </xf>
    <xf numFmtId="0" fontId="15" fillId="6" borderId="65" xfId="0" applyFont="1" applyFill="1" applyBorder="1" applyAlignment="1"/>
    <xf numFmtId="0" fontId="15" fillId="6" borderId="67" xfId="0" applyFont="1" applyFill="1" applyBorder="1" applyAlignment="1">
      <alignment wrapText="1"/>
    </xf>
    <xf numFmtId="0" fontId="15" fillId="6" borderId="69" xfId="0" applyFont="1" applyFill="1" applyBorder="1" applyAlignment="1">
      <alignment horizontal="center" wrapText="1"/>
    </xf>
    <xf numFmtId="0" fontId="15" fillId="6" borderId="68" xfId="0" applyFont="1" applyFill="1" applyBorder="1" applyAlignment="1"/>
    <xf numFmtId="0" fontId="15" fillId="6" borderId="70" xfId="0" applyFont="1" applyFill="1" applyBorder="1" applyAlignment="1">
      <alignment wrapText="1"/>
    </xf>
    <xf numFmtId="0" fontId="15" fillId="0" borderId="0" xfId="0" applyFont="1" applyBorder="1" applyAlignment="1">
      <alignment horizontal="centerContinuous" wrapText="1"/>
    </xf>
    <xf numFmtId="0" fontId="15" fillId="6" borderId="0" xfId="0" applyFont="1" applyFill="1" applyBorder="1" applyAlignment="1">
      <alignment horizontal="centerContinuous" wrapText="1"/>
    </xf>
    <xf numFmtId="0" fontId="15" fillId="0" borderId="0" xfId="0" applyFont="1" applyAlignment="1">
      <alignment vertical="center" wrapText="1"/>
    </xf>
    <xf numFmtId="0" fontId="26" fillId="0" borderId="0" xfId="0" applyFont="1" applyAlignment="1">
      <alignment vertical="center"/>
    </xf>
    <xf numFmtId="0" fontId="3" fillId="0" borderId="0" xfId="0" applyFont="1" applyFill="1" applyBorder="1" applyAlignment="1">
      <alignment vertical="center"/>
    </xf>
    <xf numFmtId="0" fontId="26" fillId="0" borderId="0" xfId="0" applyFont="1" applyBorder="1" applyAlignment="1">
      <alignment vertical="center"/>
    </xf>
    <xf numFmtId="0" fontId="3" fillId="0" borderId="0" xfId="0" applyFont="1" applyBorder="1" applyAlignment="1">
      <alignment vertical="center" wrapText="1"/>
    </xf>
    <xf numFmtId="164" fontId="3" fillId="0" borderId="0" xfId="0" applyNumberFormat="1" applyFont="1" applyFill="1" applyBorder="1" applyAlignment="1">
      <alignment vertical="center"/>
    </xf>
    <xf numFmtId="164" fontId="4" fillId="0" borderId="0" xfId="0" applyNumberFormat="1" applyFont="1" applyFill="1" applyBorder="1" applyAlignment="1">
      <alignment vertical="center"/>
    </xf>
    <xf numFmtId="0" fontId="3" fillId="5" borderId="0" xfId="0" applyFont="1" applyFill="1" applyBorder="1" applyAlignment="1">
      <alignment vertical="center"/>
    </xf>
    <xf numFmtId="0" fontId="10" fillId="6" borderId="7" xfId="10" applyFont="1" applyFill="1" applyBorder="1" applyAlignment="1">
      <alignment horizontal="left" vertical="center"/>
    </xf>
    <xf numFmtId="0" fontId="10" fillId="6" borderId="55" xfId="10" applyFont="1" applyFill="1" applyBorder="1" applyAlignment="1">
      <alignment horizontal="left" vertical="center"/>
    </xf>
    <xf numFmtId="0" fontId="22" fillId="6" borderId="7" xfId="10" applyFont="1" applyFill="1" applyBorder="1" applyAlignment="1">
      <alignment horizontal="center" vertical="center"/>
    </xf>
    <xf numFmtId="0" fontId="22" fillId="6" borderId="55" xfId="10" applyFont="1" applyFill="1" applyBorder="1" applyAlignment="1">
      <alignment horizontal="center" vertical="center"/>
    </xf>
    <xf numFmtId="0" fontId="10" fillId="6" borderId="41" xfId="10" applyFont="1" applyFill="1" applyBorder="1" applyAlignment="1">
      <alignment horizontal="left" vertical="center"/>
    </xf>
    <xf numFmtId="0" fontId="10" fillId="6" borderId="61" xfId="10" applyFont="1" applyFill="1" applyBorder="1" applyAlignment="1">
      <alignment horizontal="left" vertical="center"/>
    </xf>
    <xf numFmtId="0" fontId="24" fillId="0" borderId="81" xfId="11" applyFont="1" applyBorder="1" applyAlignment="1" applyProtection="1">
      <alignment vertical="center"/>
      <protection locked="0"/>
    </xf>
    <xf numFmtId="0" fontId="24" fillId="0" borderId="83" xfId="11" applyFont="1" applyBorder="1" applyAlignment="1" applyProtection="1">
      <alignment vertical="center"/>
      <protection locked="0"/>
    </xf>
    <xf numFmtId="0" fontId="24" fillId="0" borderId="82" xfId="11" applyFont="1" applyBorder="1" applyAlignment="1" applyProtection="1">
      <alignment vertical="center"/>
      <protection locked="0"/>
    </xf>
    <xf numFmtId="0" fontId="24" fillId="0" borderId="84" xfId="11" applyFont="1" applyBorder="1" applyAlignment="1" applyProtection="1">
      <alignment vertical="center"/>
      <protection locked="0"/>
    </xf>
    <xf numFmtId="0" fontId="3" fillId="0" borderId="85" xfId="0" applyFont="1" applyBorder="1" applyAlignment="1">
      <alignment horizontal="center" vertical="center"/>
    </xf>
    <xf numFmtId="0" fontId="3" fillId="0" borderId="86" xfId="0" applyFont="1" applyBorder="1" applyAlignment="1">
      <alignment horizontal="center" vertical="center"/>
    </xf>
    <xf numFmtId="0" fontId="24" fillId="0" borderId="87" xfId="11" applyFont="1" applyBorder="1" applyAlignment="1" applyProtection="1">
      <alignment vertical="center"/>
      <protection locked="0"/>
    </xf>
    <xf numFmtId="0" fontId="3" fillId="0" borderId="88" xfId="0" applyFont="1" applyBorder="1" applyAlignment="1">
      <alignment horizontal="center" vertical="center"/>
    </xf>
    <xf numFmtId="0" fontId="3" fillId="0" borderId="83" xfId="0" applyFont="1" applyBorder="1" applyAlignment="1">
      <alignment horizontal="center" vertical="center"/>
    </xf>
    <xf numFmtId="0" fontId="3" fillId="0" borderId="89" xfId="0" applyFont="1" applyBorder="1" applyAlignment="1">
      <alignment horizontal="center" vertical="center"/>
    </xf>
    <xf numFmtId="0" fontId="24" fillId="0" borderId="90" xfId="11" applyFont="1" applyBorder="1" applyAlignment="1" applyProtection="1">
      <alignment vertical="center"/>
      <protection locked="0"/>
    </xf>
    <xf numFmtId="0" fontId="11" fillId="6" borderId="46" xfId="0" applyFont="1" applyFill="1" applyBorder="1" applyAlignment="1">
      <alignment horizontal="center" wrapText="1"/>
    </xf>
    <xf numFmtId="0" fontId="3" fillId="0" borderId="0" xfId="0" applyFont="1" applyAlignment="1" applyProtection="1">
      <alignment vertical="center"/>
    </xf>
    <xf numFmtId="0" fontId="3" fillId="6" borderId="14" xfId="0" applyFont="1" applyFill="1" applyBorder="1" applyProtection="1"/>
    <xf numFmtId="0" fontId="3" fillId="6" borderId="16" xfId="0" applyFont="1" applyFill="1" applyBorder="1" applyProtection="1"/>
    <xf numFmtId="0" fontId="3" fillId="6" borderId="15" xfId="0" applyFont="1" applyFill="1" applyBorder="1" applyProtection="1"/>
    <xf numFmtId="0" fontId="3" fillId="0" borderId="7" xfId="0" applyFont="1" applyFill="1" applyBorder="1" applyProtection="1"/>
    <xf numFmtId="14" fontId="5" fillId="9" borderId="28" xfId="14" applyNumberFormat="1" applyFont="1" applyFill="1" applyBorder="1" applyProtection="1">
      <alignment horizontal="center" vertical="center"/>
    </xf>
    <xf numFmtId="0" fontId="3" fillId="5" borderId="0" xfId="17" applyFont="1" applyFill="1" applyBorder="1"/>
    <xf numFmtId="14" fontId="3" fillId="4" borderId="28" xfId="0" applyNumberFormat="1" applyFont="1" applyFill="1" applyBorder="1" applyProtection="1">
      <protection locked="0"/>
    </xf>
    <xf numFmtId="0" fontId="4" fillId="0" borderId="2" xfId="0" applyFont="1" applyBorder="1" applyAlignment="1">
      <alignment horizontal="center" vertical="center"/>
    </xf>
    <xf numFmtId="0" fontId="4" fillId="0" borderId="92" xfId="0" applyFont="1" applyBorder="1" applyAlignment="1">
      <alignment horizontal="center" vertical="center"/>
    </xf>
    <xf numFmtId="14" fontId="3" fillId="4" borderId="14" xfId="0" applyNumberFormat="1" applyFont="1" applyFill="1" applyBorder="1" applyProtection="1">
      <protection locked="0"/>
    </xf>
    <xf numFmtId="3" fontId="3" fillId="4" borderId="28" xfId="0" applyNumberFormat="1" applyFont="1" applyFill="1" applyBorder="1" applyProtection="1">
      <protection locked="0"/>
    </xf>
    <xf numFmtId="14" fontId="3" fillId="4" borderId="15" xfId="0" applyNumberFormat="1" applyFont="1" applyFill="1" applyBorder="1" applyProtection="1">
      <protection locked="0"/>
    </xf>
    <xf numFmtId="0" fontId="31" fillId="0" borderId="13" xfId="19" applyFont="1" applyBorder="1"/>
    <xf numFmtId="0" fontId="3" fillId="0" borderId="49" xfId="0" applyFont="1" applyBorder="1"/>
    <xf numFmtId="0" fontId="15" fillId="8" borderId="0" xfId="0" applyFont="1" applyFill="1" applyBorder="1" applyAlignment="1">
      <alignment horizontal="right" vertical="center"/>
    </xf>
    <xf numFmtId="0" fontId="9" fillId="0" borderId="107" xfId="0" applyFont="1" applyBorder="1" applyAlignment="1">
      <alignment vertical="center"/>
    </xf>
    <xf numFmtId="0" fontId="9" fillId="0" borderId="108" xfId="0" applyFont="1" applyBorder="1" applyAlignment="1">
      <alignment vertical="center" wrapText="1"/>
    </xf>
    <xf numFmtId="0" fontId="31" fillId="0" borderId="0" xfId="0" applyFont="1"/>
    <xf numFmtId="0" fontId="31" fillId="0" borderId="0" xfId="0" applyFont="1" applyAlignment="1"/>
    <xf numFmtId="0" fontId="31" fillId="0" borderId="23" xfId="0" applyFont="1" applyBorder="1" applyAlignment="1"/>
    <xf numFmtId="0" fontId="31" fillId="0" borderId="7" xfId="0" applyFont="1" applyBorder="1" applyAlignment="1"/>
    <xf numFmtId="0" fontId="31" fillId="0" borderId="23" xfId="0" applyFont="1" applyBorder="1"/>
    <xf numFmtId="0" fontId="31" fillId="0" borderId="23" xfId="0" applyFont="1" applyFill="1" applyBorder="1"/>
    <xf numFmtId="0" fontId="31" fillId="0" borderId="24" xfId="0" applyFont="1" applyBorder="1" applyAlignment="1"/>
    <xf numFmtId="0" fontId="31" fillId="0" borderId="32" xfId="0" applyFont="1" applyBorder="1" applyAlignment="1"/>
    <xf numFmtId="0" fontId="31" fillId="0" borderId="24" xfId="0" applyFont="1" applyBorder="1"/>
    <xf numFmtId="0" fontId="31" fillId="0" borderId="7" xfId="0" applyFont="1" applyFill="1" applyBorder="1"/>
    <xf numFmtId="0" fontId="31" fillId="0" borderId="24" xfId="0" applyFont="1" applyFill="1" applyBorder="1"/>
    <xf numFmtId="0" fontId="4" fillId="18" borderId="0" xfId="0" applyFont="1" applyFill="1" applyAlignment="1">
      <alignment vertical="center"/>
    </xf>
    <xf numFmtId="0" fontId="4" fillId="18" borderId="0" xfId="0" applyFont="1" applyFill="1" applyAlignment="1">
      <alignment vertical="top"/>
    </xf>
    <xf numFmtId="0" fontId="31" fillId="0" borderId="0" xfId="0" applyFont="1" applyBorder="1"/>
    <xf numFmtId="0" fontId="31" fillId="0" borderId="33" xfId="0" applyFont="1" applyBorder="1"/>
    <xf numFmtId="0" fontId="31" fillId="0" borderId="32" xfId="0" applyFont="1" applyFill="1" applyBorder="1"/>
    <xf numFmtId="0" fontId="3" fillId="18" borderId="0" xfId="0" applyFont="1" applyFill="1"/>
    <xf numFmtId="14" fontId="3" fillId="0" borderId="0" xfId="17" applyNumberFormat="1" applyFont="1" applyBorder="1" applyAlignment="1">
      <alignment horizontal="left" vertical="center" wrapText="1"/>
    </xf>
    <xf numFmtId="0" fontId="43" fillId="0" borderId="87" xfId="11" applyFont="1" applyBorder="1" applyAlignment="1" applyProtection="1">
      <alignment vertical="center"/>
      <protection locked="0"/>
    </xf>
    <xf numFmtId="14" fontId="3" fillId="0" borderId="0" xfId="17" applyNumberFormat="1" applyFont="1" applyBorder="1" applyAlignment="1">
      <alignment horizontal="left" wrapText="1"/>
    </xf>
    <xf numFmtId="0" fontId="3" fillId="0" borderId="0" xfId="17" applyFont="1" applyBorder="1" applyAlignment="1">
      <alignment horizontal="left" wrapText="1"/>
    </xf>
    <xf numFmtId="0" fontId="31" fillId="0" borderId="0" xfId="17" applyFont="1" applyAlignment="1">
      <alignment vertical="center"/>
    </xf>
    <xf numFmtId="0" fontId="31" fillId="5" borderId="0" xfId="17" applyFont="1" applyFill="1" applyAlignment="1">
      <alignment vertical="center"/>
    </xf>
    <xf numFmtId="0" fontId="31" fillId="0" borderId="0" xfId="17" applyFont="1" applyAlignment="1">
      <alignment vertical="center" wrapText="1"/>
    </xf>
    <xf numFmtId="0" fontId="31" fillId="5" borderId="0" xfId="17" applyFont="1" applyFill="1" applyAlignment="1">
      <alignment vertical="center" wrapText="1"/>
    </xf>
    <xf numFmtId="0" fontId="31" fillId="6" borderId="0" xfId="17" applyFont="1" applyFill="1" applyAlignment="1">
      <alignment vertical="center"/>
    </xf>
    <xf numFmtId="0" fontId="31" fillId="0" borderId="0" xfId="0" applyFont="1" applyAlignment="1">
      <alignment vertical="center"/>
    </xf>
    <xf numFmtId="0" fontId="31" fillId="5" borderId="0" xfId="0" applyFont="1" applyFill="1" applyAlignment="1">
      <alignment vertical="center"/>
    </xf>
    <xf numFmtId="0" fontId="8" fillId="0" borderId="0" xfId="0" applyFont="1" applyAlignment="1">
      <alignment vertical="center"/>
    </xf>
    <xf numFmtId="0" fontId="31" fillId="18" borderId="0" xfId="0" applyFont="1" applyFill="1" applyAlignment="1">
      <alignment vertical="center"/>
    </xf>
    <xf numFmtId="0" fontId="31" fillId="0" borderId="0" xfId="0" applyFont="1" applyFill="1" applyAlignment="1">
      <alignment vertical="center"/>
    </xf>
    <xf numFmtId="0" fontId="44" fillId="8" borderId="0" xfId="0" applyFont="1" applyFill="1" applyAlignment="1">
      <alignment vertical="center"/>
    </xf>
    <xf numFmtId="0" fontId="31" fillId="8" borderId="0" xfId="0" applyFont="1" applyFill="1" applyAlignment="1">
      <alignment vertical="center"/>
    </xf>
    <xf numFmtId="0" fontId="31" fillId="0" borderId="0" xfId="0" applyFont="1" applyFill="1" applyBorder="1" applyAlignment="1">
      <alignment vertical="center"/>
    </xf>
    <xf numFmtId="0" fontId="31" fillId="0" borderId="0" xfId="0" applyFont="1" applyBorder="1" applyAlignment="1">
      <alignment vertical="center"/>
    </xf>
    <xf numFmtId="0" fontId="15" fillId="0" borderId="0" xfId="17" applyFont="1" applyBorder="1" applyAlignment="1">
      <alignment horizontal="left"/>
    </xf>
    <xf numFmtId="0" fontId="15" fillId="0" borderId="0" xfId="17" applyFont="1" applyBorder="1" applyAlignment="1">
      <alignment horizontal="left" wrapText="1"/>
    </xf>
    <xf numFmtId="0" fontId="31" fillId="0" borderId="0" xfId="0" applyFont="1" applyAlignment="1">
      <alignment vertical="center" wrapText="1"/>
    </xf>
    <xf numFmtId="0" fontId="31" fillId="0" borderId="0" xfId="0" applyFont="1" applyAlignment="1">
      <alignment horizontal="center" vertical="center" wrapText="1"/>
    </xf>
    <xf numFmtId="14" fontId="36" fillId="0" borderId="0" xfId="17" applyNumberFormat="1" applyFont="1"/>
    <xf numFmtId="0" fontId="36" fillId="0" borderId="0" xfId="17" applyFont="1"/>
    <xf numFmtId="0" fontId="47" fillId="0" borderId="0" xfId="17" applyFont="1" applyAlignment="1"/>
    <xf numFmtId="0" fontId="36" fillId="0" borderId="0" xfId="17" applyFont="1" applyAlignment="1"/>
    <xf numFmtId="0" fontId="47" fillId="0" borderId="0" xfId="17" applyFont="1"/>
    <xf numFmtId="0" fontId="48" fillId="0" borderId="41" xfId="17" applyFont="1" applyBorder="1" applyAlignment="1">
      <alignment horizontal="center"/>
    </xf>
    <xf numFmtId="0" fontId="48" fillId="0" borderId="61" xfId="17" applyFont="1" applyBorder="1" applyAlignment="1">
      <alignment horizontal="center"/>
    </xf>
    <xf numFmtId="14" fontId="36" fillId="0" borderId="54" xfId="17" applyNumberFormat="1" applyFont="1" applyBorder="1" applyAlignment="1">
      <alignment horizontal="center" wrapText="1"/>
    </xf>
    <xf numFmtId="0" fontId="36" fillId="0" borderId="0" xfId="17" applyNumberFormat="1" applyFont="1"/>
    <xf numFmtId="0" fontId="3" fillId="19" borderId="1" xfId="0" applyFont="1" applyFill="1" applyBorder="1" applyProtection="1">
      <protection locked="0"/>
    </xf>
    <xf numFmtId="165" fontId="31" fillId="19" borderId="8" xfId="1" applyNumberFormat="1" applyFont="1" applyFill="1" applyBorder="1" applyAlignment="1" applyProtection="1">
      <alignment horizontal="center" vertical="center"/>
    </xf>
    <xf numFmtId="0" fontId="30" fillId="20" borderId="8" xfId="3" applyFont="1" applyFill="1" applyBorder="1" applyAlignment="1" applyProtection="1">
      <alignment horizontal="center" vertical="center"/>
    </xf>
    <xf numFmtId="0" fontId="9" fillId="0" borderId="8" xfId="19" applyFont="1" applyFill="1" applyBorder="1" applyAlignment="1" applyProtection="1">
      <alignment horizontal="center" vertical="center"/>
    </xf>
    <xf numFmtId="0" fontId="42" fillId="23" borderId="34" xfId="0" applyFont="1" applyFill="1" applyBorder="1" applyAlignment="1" applyProtection="1">
      <alignment horizontal="center" vertical="center"/>
    </xf>
    <xf numFmtId="0" fontId="39" fillId="24" borderId="73" xfId="0" applyFont="1" applyFill="1" applyBorder="1" applyAlignment="1">
      <alignment horizontal="center" vertical="center"/>
    </xf>
    <xf numFmtId="0" fontId="36" fillId="0" borderId="110" xfId="19" applyFont="1" applyBorder="1"/>
    <xf numFmtId="0" fontId="49" fillId="0" borderId="111" xfId="19" applyFont="1" applyBorder="1" applyAlignment="1">
      <alignment horizontal="left"/>
    </xf>
    <xf numFmtId="0" fontId="36" fillId="0" borderId="112" xfId="19" applyFont="1" applyBorder="1"/>
    <xf numFmtId="0" fontId="36" fillId="0" borderId="113" xfId="19" applyNumberFormat="1" applyFont="1" applyBorder="1" applyAlignment="1">
      <alignment horizontal="left"/>
    </xf>
    <xf numFmtId="14" fontId="36" fillId="0" borderId="113" xfId="19" applyNumberFormat="1" applyFont="1" applyBorder="1" applyAlignment="1">
      <alignment horizontal="left"/>
    </xf>
    <xf numFmtId="0" fontId="36" fillId="0" borderId="112" xfId="19" applyNumberFormat="1" applyFont="1" applyBorder="1"/>
    <xf numFmtId="0" fontId="49" fillId="0" borderId="113" xfId="19" applyFont="1" applyBorder="1" applyAlignment="1">
      <alignment horizontal="left"/>
    </xf>
    <xf numFmtId="0" fontId="36" fillId="0" borderId="114" xfId="19" applyFont="1" applyBorder="1" applyAlignment="1">
      <alignment horizontal="left" vertical="center"/>
    </xf>
    <xf numFmtId="0" fontId="36" fillId="0" borderId="115" xfId="19" applyNumberFormat="1" applyFont="1" applyBorder="1" applyAlignment="1">
      <alignment horizontal="left" vertical="center" wrapText="1"/>
    </xf>
    <xf numFmtId="0" fontId="36" fillId="0" borderId="116" xfId="19" applyFont="1" applyBorder="1"/>
    <xf numFmtId="14" fontId="36" fillId="0" borderId="106" xfId="19" applyNumberFormat="1" applyFont="1" applyBorder="1" applyAlignment="1">
      <alignment horizontal="left"/>
    </xf>
    <xf numFmtId="0" fontId="36" fillId="0" borderId="117" xfId="19" applyFont="1" applyBorder="1"/>
    <xf numFmtId="0" fontId="49" fillId="0" borderId="118" xfId="19" applyFont="1" applyBorder="1" applyAlignment="1">
      <alignment horizontal="left"/>
    </xf>
    <xf numFmtId="0" fontId="36" fillId="0" borderId="116" xfId="19" applyFont="1" applyBorder="1" applyAlignment="1">
      <alignment horizontal="left" vertical="center"/>
    </xf>
    <xf numFmtId="0" fontId="36" fillId="0" borderId="106" xfId="19" applyNumberFormat="1" applyFont="1" applyBorder="1" applyAlignment="1">
      <alignment horizontal="left" vertical="center" wrapText="1"/>
    </xf>
    <xf numFmtId="0" fontId="9" fillId="4" borderId="60" xfId="0" applyNumberFormat="1" applyFont="1" applyFill="1" applyBorder="1" applyAlignment="1" applyProtection="1">
      <alignment horizontal="center"/>
      <protection locked="0"/>
    </xf>
    <xf numFmtId="0" fontId="3" fillId="4" borderId="14" xfId="0" applyNumberFormat="1" applyFont="1" applyFill="1" applyBorder="1" applyProtection="1">
      <protection locked="0"/>
    </xf>
    <xf numFmtId="0" fontId="3" fillId="4" borderId="15" xfId="0" applyNumberFormat="1" applyFont="1" applyFill="1" applyBorder="1" applyProtection="1">
      <protection locked="0"/>
    </xf>
    <xf numFmtId="0" fontId="3" fillId="4" borderId="1" xfId="0" applyNumberFormat="1" applyFont="1" applyFill="1" applyBorder="1" applyProtection="1">
      <protection locked="0"/>
    </xf>
    <xf numFmtId="0" fontId="3" fillId="0" borderId="0" xfId="0" applyNumberFormat="1" applyFont="1" applyBorder="1"/>
    <xf numFmtId="0" fontId="3" fillId="0" borderId="8" xfId="0" applyNumberFormat="1" applyFont="1" applyBorder="1"/>
    <xf numFmtId="0" fontId="3" fillId="4" borderId="56" xfId="0" applyNumberFormat="1" applyFont="1" applyFill="1" applyBorder="1" applyProtection="1">
      <protection locked="0"/>
    </xf>
    <xf numFmtId="0" fontId="3" fillId="0" borderId="33" xfId="0" applyNumberFormat="1" applyFont="1" applyBorder="1"/>
    <xf numFmtId="0" fontId="3" fillId="0" borderId="34" xfId="0" applyNumberFormat="1" applyFont="1" applyBorder="1"/>
    <xf numFmtId="0" fontId="3" fillId="0" borderId="7" xfId="0" applyNumberFormat="1" applyFont="1" applyBorder="1"/>
    <xf numFmtId="0" fontId="3" fillId="0" borderId="43" xfId="0" applyNumberFormat="1" applyFont="1" applyBorder="1" applyAlignment="1">
      <alignment horizontal="left"/>
    </xf>
    <xf numFmtId="0" fontId="3" fillId="0" borderId="23" xfId="0" applyNumberFormat="1" applyFont="1" applyBorder="1"/>
    <xf numFmtId="0" fontId="3" fillId="0" borderId="44" xfId="0" applyNumberFormat="1" applyFont="1" applyBorder="1" applyAlignment="1">
      <alignment horizontal="left"/>
    </xf>
    <xf numFmtId="0" fontId="3" fillId="0" borderId="9" xfId="0" applyNumberFormat="1" applyFont="1" applyBorder="1"/>
    <xf numFmtId="0" fontId="4" fillId="0" borderId="7" xfId="0" applyNumberFormat="1" applyFont="1" applyBorder="1"/>
    <xf numFmtId="0" fontId="4" fillId="0" borderId="1" xfId="0" applyNumberFormat="1" applyFont="1" applyBorder="1" applyAlignment="1">
      <alignment horizontal="center"/>
    </xf>
    <xf numFmtId="0" fontId="4" fillId="0" borderId="14" xfId="0" applyNumberFormat="1" applyFont="1" applyBorder="1" applyAlignment="1">
      <alignment horizontal="center"/>
    </xf>
    <xf numFmtId="0" fontId="3" fillId="0" borderId="43" xfId="0" applyNumberFormat="1" applyFont="1" applyBorder="1" applyAlignment="1">
      <alignment wrapText="1"/>
    </xf>
    <xf numFmtId="0" fontId="3" fillId="0" borderId="44" xfId="0" applyNumberFormat="1" applyFont="1" applyBorder="1" applyAlignment="1">
      <alignment wrapText="1"/>
    </xf>
    <xf numFmtId="0" fontId="26" fillId="0" borderId="7" xfId="0" applyNumberFormat="1" applyFont="1" applyBorder="1"/>
    <xf numFmtId="0" fontId="3" fillId="0" borderId="43" xfId="0" applyNumberFormat="1" applyFont="1" applyBorder="1"/>
    <xf numFmtId="0" fontId="3" fillId="0" borderId="44" xfId="0" applyNumberFormat="1" applyFont="1" applyBorder="1"/>
    <xf numFmtId="0" fontId="3" fillId="0" borderId="32" xfId="0" applyNumberFormat="1" applyFont="1" applyBorder="1"/>
    <xf numFmtId="0" fontId="4" fillId="0" borderId="40" xfId="0" applyNumberFormat="1" applyFont="1" applyBorder="1"/>
    <xf numFmtId="0" fontId="3" fillId="0" borderId="11" xfId="0" applyNumberFormat="1" applyFont="1" applyBorder="1"/>
    <xf numFmtId="0" fontId="3" fillId="0" borderId="0" xfId="0" applyNumberFormat="1" applyFont="1" applyBorder="1" applyAlignment="1">
      <alignment horizontal="left"/>
    </xf>
    <xf numFmtId="0" fontId="3" fillId="0" borderId="7" xfId="0" applyNumberFormat="1" applyFont="1" applyBorder="1" applyAlignment="1">
      <alignment horizontal="left"/>
    </xf>
    <xf numFmtId="0" fontId="3" fillId="0" borderId="40" xfId="0" applyNumberFormat="1" applyFont="1" applyBorder="1"/>
    <xf numFmtId="0" fontId="3" fillId="0" borderId="0" xfId="0" applyNumberFormat="1" applyFont="1"/>
    <xf numFmtId="0" fontId="3" fillId="0" borderId="7" xfId="0" applyNumberFormat="1" applyFont="1" applyFill="1" applyBorder="1"/>
    <xf numFmtId="0" fontId="4" fillId="0" borderId="8" xfId="0" applyNumberFormat="1" applyFont="1" applyBorder="1"/>
    <xf numFmtId="0" fontId="3" fillId="6" borderId="0" xfId="0" applyNumberFormat="1" applyFont="1" applyFill="1" applyBorder="1" applyProtection="1"/>
    <xf numFmtId="0" fontId="3" fillId="0" borderId="10" xfId="0" applyNumberFormat="1" applyFont="1" applyBorder="1"/>
    <xf numFmtId="0" fontId="3" fillId="0" borderId="11" xfId="0" applyNumberFormat="1" applyFont="1" applyFill="1" applyBorder="1"/>
    <xf numFmtId="0" fontId="3" fillId="0" borderId="23" xfId="0" applyNumberFormat="1" applyFont="1" applyFill="1" applyBorder="1"/>
    <xf numFmtId="0" fontId="9" fillId="4" borderId="1" xfId="0" applyNumberFormat="1" applyFont="1" applyFill="1" applyBorder="1" applyAlignment="1" applyProtection="1">
      <alignment horizontal="center"/>
      <protection locked="0"/>
    </xf>
    <xf numFmtId="0" fontId="9" fillId="4" borderId="14" xfId="0" applyNumberFormat="1" applyFont="1" applyFill="1" applyBorder="1" applyAlignment="1" applyProtection="1">
      <alignment horizontal="center"/>
      <protection locked="0"/>
    </xf>
    <xf numFmtId="0" fontId="9" fillId="4" borderId="51" xfId="0" applyNumberFormat="1" applyFont="1" applyFill="1" applyBorder="1" applyProtection="1">
      <protection locked="0"/>
    </xf>
    <xf numFmtId="0" fontId="9" fillId="4" borderId="56" xfId="0" applyNumberFormat="1" applyFont="1" applyFill="1" applyBorder="1" applyProtection="1">
      <protection locked="0"/>
    </xf>
    <xf numFmtId="0" fontId="3" fillId="0" borderId="8" xfId="0" applyNumberFormat="1" applyFont="1" applyFill="1" applyBorder="1"/>
    <xf numFmtId="0" fontId="3" fillId="0" borderId="9" xfId="0" applyNumberFormat="1" applyFont="1" applyBorder="1" applyAlignment="1">
      <alignment horizontal="left"/>
    </xf>
    <xf numFmtId="0" fontId="9" fillId="4" borderId="1" xfId="0" applyNumberFormat="1" applyFont="1" applyFill="1" applyBorder="1" applyProtection="1">
      <protection locked="0"/>
    </xf>
    <xf numFmtId="0" fontId="9" fillId="4" borderId="14" xfId="0" applyNumberFormat="1" applyFont="1" applyFill="1" applyBorder="1" applyProtection="1">
      <protection locked="0"/>
    </xf>
    <xf numFmtId="0" fontId="9" fillId="4" borderId="15" xfId="0" applyNumberFormat="1" applyFont="1" applyFill="1" applyBorder="1" applyProtection="1">
      <protection locked="0"/>
    </xf>
    <xf numFmtId="0" fontId="3" fillId="0" borderId="34" xfId="0" applyNumberFormat="1" applyFont="1" applyFill="1" applyBorder="1"/>
    <xf numFmtId="0" fontId="4" fillId="0" borderId="9" xfId="0" applyNumberFormat="1" applyFont="1" applyBorder="1"/>
    <xf numFmtId="0" fontId="4" fillId="0" borderId="0" xfId="0" applyNumberFormat="1" applyFont="1" applyBorder="1"/>
    <xf numFmtId="0" fontId="3" fillId="0" borderId="0" xfId="0" applyNumberFormat="1" applyFont="1" applyFill="1" applyBorder="1"/>
    <xf numFmtId="0" fontId="4" fillId="0" borderId="23" xfId="0" applyNumberFormat="1" applyFont="1" applyFill="1" applyBorder="1"/>
    <xf numFmtId="0" fontId="9" fillId="4" borderId="1" xfId="2" applyNumberFormat="1" applyFont="1" applyFill="1" applyBorder="1" applyAlignment="1" applyProtection="1">
      <alignment horizontal="center"/>
      <protection locked="0"/>
    </xf>
    <xf numFmtId="0" fontId="9" fillId="4" borderId="50" xfId="0" applyNumberFormat="1" applyFont="1" applyFill="1" applyBorder="1" applyProtection="1">
      <protection locked="0"/>
    </xf>
    <xf numFmtId="0" fontId="9" fillId="0" borderId="23" xfId="0" applyNumberFormat="1" applyFont="1" applyFill="1" applyBorder="1" applyProtection="1"/>
    <xf numFmtId="0" fontId="3" fillId="0" borderId="23" xfId="0" applyNumberFormat="1" applyFont="1" applyFill="1" applyBorder="1" applyProtection="1"/>
    <xf numFmtId="0" fontId="3" fillId="0" borderId="8" xfId="0" applyNumberFormat="1" applyFont="1" applyFill="1" applyBorder="1" applyProtection="1"/>
    <xf numFmtId="0" fontId="4" fillId="0" borderId="23" xfId="0" applyNumberFormat="1" applyFont="1" applyFill="1" applyBorder="1" applyProtection="1"/>
    <xf numFmtId="0" fontId="3" fillId="0" borderId="0" xfId="0" applyNumberFormat="1" applyFont="1" applyBorder="1" applyAlignment="1">
      <alignment wrapText="1"/>
    </xf>
    <xf numFmtId="0" fontId="4" fillId="0" borderId="23" xfId="0" applyNumberFormat="1" applyFont="1" applyFill="1" applyBorder="1" applyAlignment="1" applyProtection="1">
      <alignment horizontal="center"/>
    </xf>
    <xf numFmtId="0" fontId="4" fillId="0" borderId="8" xfId="0" applyNumberFormat="1" applyFont="1" applyFill="1" applyBorder="1" applyProtection="1"/>
    <xf numFmtId="0" fontId="9" fillId="0" borderId="8" xfId="0" applyNumberFormat="1" applyFont="1" applyFill="1" applyBorder="1" applyAlignment="1" applyProtection="1">
      <alignment horizontal="center"/>
    </xf>
    <xf numFmtId="0" fontId="3" fillId="0" borderId="34" xfId="0" applyNumberFormat="1" applyFont="1" applyFill="1" applyBorder="1" applyProtection="1"/>
    <xf numFmtId="0" fontId="3" fillId="0" borderId="0" xfId="17" applyNumberFormat="1" applyFont="1" applyBorder="1" applyAlignment="1">
      <alignment horizontal="left" wrapText="1"/>
    </xf>
    <xf numFmtId="0" fontId="3" fillId="0" borderId="0" xfId="17" applyNumberFormat="1" applyFont="1"/>
    <xf numFmtId="0" fontId="3" fillId="0" borderId="64" xfId="0" applyNumberFormat="1" applyFont="1" applyBorder="1" applyAlignment="1">
      <alignment wrapText="1"/>
    </xf>
    <xf numFmtId="0" fontId="3" fillId="4" borderId="50" xfId="0" applyNumberFormat="1" applyFont="1" applyFill="1" applyBorder="1" applyAlignment="1" applyProtection="1">
      <alignment vertical="center"/>
      <protection locked="0"/>
    </xf>
    <xf numFmtId="0" fontId="26" fillId="0" borderId="0" xfId="0" applyNumberFormat="1" applyFont="1"/>
    <xf numFmtId="0" fontId="4" fillId="0" borderId="0" xfId="0" applyNumberFormat="1" applyFont="1"/>
    <xf numFmtId="0" fontId="3" fillId="0" borderId="48" xfId="0" applyNumberFormat="1" applyFont="1" applyBorder="1" applyAlignment="1">
      <alignment horizontal="left"/>
    </xf>
    <xf numFmtId="0" fontId="3" fillId="4" borderId="50" xfId="0" applyNumberFormat="1" applyFont="1" applyFill="1" applyBorder="1" applyProtection="1">
      <protection locked="0"/>
    </xf>
    <xf numFmtId="0" fontId="3" fillId="0" borderId="10" xfId="0" applyNumberFormat="1" applyFont="1" applyBorder="1" applyProtection="1"/>
    <xf numFmtId="0" fontId="3" fillId="0" borderId="11" xfId="0" applyNumberFormat="1" applyFont="1" applyBorder="1" applyProtection="1"/>
    <xf numFmtId="0" fontId="3" fillId="0" borderId="64" xfId="0" applyNumberFormat="1" applyFont="1" applyBorder="1"/>
    <xf numFmtId="0" fontId="3" fillId="0" borderId="0" xfId="0" applyNumberFormat="1" applyFont="1" applyBorder="1" applyProtection="1"/>
    <xf numFmtId="0" fontId="3" fillId="0" borderId="8" xfId="0" applyNumberFormat="1" applyFont="1" applyBorder="1" applyProtection="1"/>
    <xf numFmtId="0" fontId="4" fillId="0" borderId="4" xfId="0" applyNumberFormat="1" applyFont="1" applyBorder="1" applyAlignment="1">
      <alignment horizontal="center"/>
    </xf>
    <xf numFmtId="0" fontId="4" fillId="0" borderId="0" xfId="0" applyNumberFormat="1" applyFont="1" applyBorder="1" applyAlignment="1" applyProtection="1"/>
    <xf numFmtId="0" fontId="3" fillId="4" borderId="61" xfId="0" applyNumberFormat="1" applyFont="1" applyFill="1" applyBorder="1" applyProtection="1">
      <protection locked="0"/>
    </xf>
    <xf numFmtId="0" fontId="3" fillId="0" borderId="44" xfId="0" applyNumberFormat="1" applyFont="1" applyBorder="1" applyAlignment="1">
      <alignment horizontal="left" wrapText="1"/>
    </xf>
    <xf numFmtId="0" fontId="4" fillId="0" borderId="4" xfId="0" applyNumberFormat="1" applyFont="1" applyBorder="1" applyAlignment="1">
      <alignment horizontal="center" wrapText="1"/>
    </xf>
    <xf numFmtId="0" fontId="4" fillId="0" borderId="8" xfId="0" applyNumberFormat="1" applyFont="1" applyBorder="1" applyAlignment="1" applyProtection="1"/>
    <xf numFmtId="0" fontId="3" fillId="6" borderId="8" xfId="0" applyNumberFormat="1" applyFont="1" applyFill="1" applyBorder="1" applyProtection="1"/>
    <xf numFmtId="0" fontId="4" fillId="6" borderId="0" xfId="0" applyNumberFormat="1" applyFont="1" applyFill="1" applyBorder="1" applyAlignment="1" applyProtection="1"/>
    <xf numFmtId="0" fontId="4" fillId="6" borderId="8" xfId="0" applyNumberFormat="1" applyFont="1" applyFill="1" applyBorder="1" applyAlignment="1" applyProtection="1"/>
    <xf numFmtId="0" fontId="3" fillId="6" borderId="0" xfId="0" applyNumberFormat="1" applyFont="1" applyFill="1" applyBorder="1"/>
    <xf numFmtId="0" fontId="3" fillId="6" borderId="8" xfId="0" applyNumberFormat="1" applyFont="1" applyFill="1" applyBorder="1"/>
    <xf numFmtId="0" fontId="4" fillId="6" borderId="8" xfId="0" applyNumberFormat="1" applyFont="1" applyFill="1" applyBorder="1" applyAlignment="1"/>
    <xf numFmtId="0" fontId="4" fillId="6" borderId="0" xfId="0" applyNumberFormat="1" applyFont="1" applyFill="1" applyBorder="1" applyAlignment="1"/>
    <xf numFmtId="0" fontId="4" fillId="0" borderId="8" xfId="0" applyNumberFormat="1" applyFont="1" applyBorder="1" applyAlignment="1"/>
    <xf numFmtId="0" fontId="4" fillId="0" borderId="0" xfId="0" applyNumberFormat="1" applyFont="1" applyAlignment="1">
      <alignment wrapText="1"/>
    </xf>
    <xf numFmtId="0" fontId="3" fillId="0" borderId="0" xfId="0" applyNumberFormat="1" applyFont="1" applyAlignment="1">
      <alignment wrapText="1"/>
    </xf>
    <xf numFmtId="0" fontId="3" fillId="5" borderId="0" xfId="0" applyNumberFormat="1" applyFont="1" applyFill="1"/>
    <xf numFmtId="0" fontId="3" fillId="5" borderId="0" xfId="0" applyNumberFormat="1" applyFont="1" applyFill="1" applyBorder="1"/>
    <xf numFmtId="0" fontId="9" fillId="0" borderId="0" xfId="0" applyNumberFormat="1" applyFont="1" applyBorder="1" applyAlignment="1">
      <alignment wrapText="1"/>
    </xf>
    <xf numFmtId="0" fontId="4" fillId="0" borderId="9" xfId="0" applyNumberFormat="1" applyFont="1" applyBorder="1" applyAlignment="1">
      <alignment wrapText="1"/>
    </xf>
    <xf numFmtId="0" fontId="3" fillId="0" borderId="10" xfId="0" applyNumberFormat="1" applyFont="1" applyBorder="1" applyAlignment="1">
      <alignment wrapText="1"/>
    </xf>
    <xf numFmtId="0" fontId="3" fillId="0" borderId="11" xfId="0" applyNumberFormat="1" applyFont="1" applyFill="1" applyBorder="1" applyAlignment="1">
      <alignment wrapText="1"/>
    </xf>
    <xf numFmtId="0" fontId="4" fillId="0" borderId="7" xfId="0" applyNumberFormat="1" applyFont="1" applyBorder="1" applyAlignment="1">
      <alignment wrapText="1"/>
    </xf>
    <xf numFmtId="0" fontId="3" fillId="0" borderId="23" xfId="0" applyNumberFormat="1" applyFont="1" applyFill="1" applyBorder="1" applyAlignment="1">
      <alignment wrapText="1"/>
    </xf>
    <xf numFmtId="0" fontId="3" fillId="0" borderId="7" xfId="0" applyNumberFormat="1" applyFont="1" applyBorder="1" applyAlignment="1">
      <alignment wrapText="1"/>
    </xf>
    <xf numFmtId="0" fontId="3" fillId="0" borderId="9" xfId="0" applyNumberFormat="1" applyFont="1" applyBorder="1" applyAlignment="1">
      <alignment wrapText="1"/>
    </xf>
    <xf numFmtId="0" fontId="9" fillId="4" borderId="1" xfId="0" applyNumberFormat="1" applyFont="1" applyFill="1" applyBorder="1" applyAlignment="1" applyProtection="1">
      <alignment wrapText="1"/>
      <protection locked="0"/>
    </xf>
    <xf numFmtId="0" fontId="9" fillId="4" borderId="14" xfId="0" applyNumberFormat="1" applyFont="1" applyFill="1" applyBorder="1" applyAlignment="1" applyProtection="1">
      <alignment wrapText="1"/>
      <protection locked="0"/>
    </xf>
    <xf numFmtId="0" fontId="3" fillId="0" borderId="8" xfId="0" applyNumberFormat="1" applyFont="1" applyBorder="1" applyAlignment="1">
      <alignment wrapText="1"/>
    </xf>
    <xf numFmtId="0" fontId="9" fillId="4" borderId="56" xfId="0" applyNumberFormat="1" applyFont="1" applyFill="1" applyBorder="1" applyAlignment="1" applyProtection="1">
      <alignment wrapText="1"/>
      <protection locked="0"/>
    </xf>
    <xf numFmtId="0" fontId="3" fillId="0" borderId="33" xfId="0" applyNumberFormat="1" applyFont="1" applyBorder="1" applyAlignment="1">
      <alignment wrapText="1"/>
    </xf>
    <xf numFmtId="0" fontId="3" fillId="0" borderId="34" xfId="0" applyNumberFormat="1" applyFont="1" applyBorder="1" applyAlignment="1">
      <alignment wrapText="1"/>
    </xf>
    <xf numFmtId="0" fontId="3" fillId="0" borderId="0" xfId="0" applyNumberFormat="1" applyFont="1" applyBorder="1" applyAlignment="1">
      <alignment horizontal="left" wrapText="1"/>
    </xf>
    <xf numFmtId="0" fontId="3" fillId="0" borderId="8" xfId="0" applyNumberFormat="1" applyFont="1" applyFill="1" applyBorder="1" applyAlignment="1">
      <alignment wrapText="1"/>
    </xf>
    <xf numFmtId="0" fontId="3" fillId="0" borderId="9" xfId="0" applyNumberFormat="1" applyFont="1" applyBorder="1" applyAlignment="1">
      <alignment horizontal="left" wrapText="1"/>
    </xf>
    <xf numFmtId="0" fontId="3" fillId="0" borderId="7" xfId="0" applyNumberFormat="1" applyFont="1" applyBorder="1" applyAlignment="1">
      <alignment horizontal="left" wrapText="1"/>
    </xf>
    <xf numFmtId="0" fontId="9" fillId="4" borderId="15" xfId="0" applyNumberFormat="1" applyFont="1" applyFill="1" applyBorder="1" applyAlignment="1" applyProtection="1">
      <alignment wrapText="1"/>
      <protection locked="0"/>
    </xf>
    <xf numFmtId="0" fontId="26" fillId="0" borderId="7" xfId="0" applyNumberFormat="1" applyFont="1" applyBorder="1" applyAlignment="1">
      <alignment wrapText="1"/>
    </xf>
    <xf numFmtId="0" fontId="3" fillId="0" borderId="32" xfId="0" applyNumberFormat="1" applyFont="1" applyBorder="1" applyAlignment="1">
      <alignment wrapText="1"/>
    </xf>
    <xf numFmtId="0" fontId="3" fillId="0" borderId="34" xfId="0" applyNumberFormat="1" applyFont="1" applyFill="1" applyBorder="1" applyAlignment="1">
      <alignment wrapText="1"/>
    </xf>
    <xf numFmtId="0" fontId="9" fillId="0" borderId="33" xfId="0" applyNumberFormat="1" applyFont="1" applyFill="1" applyBorder="1"/>
    <xf numFmtId="0" fontId="9" fillId="4" borderId="50" xfId="0" applyNumberFormat="1" applyFont="1" applyFill="1" applyBorder="1" applyAlignment="1" applyProtection="1">
      <alignment wrapText="1"/>
      <protection locked="0"/>
    </xf>
    <xf numFmtId="0" fontId="3" fillId="0" borderId="0" xfId="0" applyNumberFormat="1" applyFont="1" applyAlignment="1"/>
    <xf numFmtId="0" fontId="3" fillId="0" borderId="64" xfId="0" applyNumberFormat="1" applyFont="1" applyBorder="1" applyAlignment="1"/>
    <xf numFmtId="0" fontId="3" fillId="4" borderId="50" xfId="0" applyNumberFormat="1" applyFont="1" applyFill="1" applyBorder="1" applyAlignment="1" applyProtection="1">
      <protection locked="0"/>
    </xf>
    <xf numFmtId="0" fontId="5" fillId="4" borderId="50" xfId="2" applyNumberFormat="1" applyFont="1" applyFill="1" applyBorder="1" applyAlignment="1" applyProtection="1">
      <alignment horizontal="center"/>
      <protection locked="0"/>
    </xf>
    <xf numFmtId="0" fontId="5" fillId="4" borderId="1" xfId="2" applyNumberFormat="1" applyFont="1" applyFill="1" applyBorder="1" applyAlignment="1" applyProtection="1">
      <alignment horizontal="center"/>
      <protection locked="0"/>
    </xf>
    <xf numFmtId="0" fontId="5" fillId="4" borderId="14" xfId="2" applyNumberFormat="1" applyFont="1" applyFill="1" applyBorder="1" applyAlignment="1" applyProtection="1">
      <alignment horizontal="center"/>
      <protection locked="0"/>
    </xf>
    <xf numFmtId="0" fontId="5" fillId="4" borderId="56" xfId="2" applyNumberFormat="1" applyFont="1" applyFill="1" applyBorder="1" applyAlignment="1" applyProtection="1">
      <alignment horizontal="center"/>
      <protection locked="0"/>
    </xf>
    <xf numFmtId="0" fontId="5" fillId="4" borderId="15" xfId="2" applyNumberFormat="1" applyFont="1" applyFill="1" applyBorder="1" applyAlignment="1" applyProtection="1">
      <alignment horizontal="center"/>
      <protection locked="0"/>
    </xf>
    <xf numFmtId="0" fontId="11" fillId="0" borderId="9" xfId="0" quotePrefix="1" applyNumberFormat="1" applyFont="1" applyBorder="1"/>
    <xf numFmtId="0" fontId="3" fillId="0" borderId="36" xfId="0" applyNumberFormat="1" applyFont="1" applyBorder="1" applyAlignment="1">
      <alignment horizontal="left"/>
    </xf>
    <xf numFmtId="0" fontId="3" fillId="0" borderId="33" xfId="0" applyNumberFormat="1" applyFont="1" applyFill="1" applyBorder="1"/>
    <xf numFmtId="0" fontId="4" fillId="0" borderId="4" xfId="0" applyNumberFormat="1" applyFont="1" applyBorder="1" applyAlignment="1"/>
    <xf numFmtId="0" fontId="3" fillId="0" borderId="43" xfId="0" applyNumberFormat="1" applyFont="1" applyBorder="1" applyAlignment="1"/>
    <xf numFmtId="0" fontId="3" fillId="4" borderId="14" xfId="0" applyNumberFormat="1" applyFont="1" applyFill="1" applyBorder="1" applyAlignment="1" applyProtection="1">
      <protection locked="0"/>
    </xf>
    <xf numFmtId="0" fontId="5" fillId="9" borderId="15" xfId="0" applyNumberFormat="1" applyFont="1" applyFill="1" applyBorder="1" applyAlignment="1" applyProtection="1"/>
    <xf numFmtId="0" fontId="15" fillId="6" borderId="9" xfId="0" applyNumberFormat="1" applyFont="1" applyFill="1" applyBorder="1" applyAlignment="1">
      <alignment wrapText="1"/>
    </xf>
    <xf numFmtId="0" fontId="15" fillId="6" borderId="0" xfId="0" applyNumberFormat="1" applyFont="1" applyFill="1" applyAlignment="1">
      <alignment wrapText="1"/>
    </xf>
    <xf numFmtId="0" fontId="15" fillId="5" borderId="0" xfId="0" applyNumberFormat="1" applyFont="1" applyFill="1" applyAlignment="1">
      <alignment wrapText="1"/>
    </xf>
    <xf numFmtId="0" fontId="15" fillId="6" borderId="7" xfId="0" applyNumberFormat="1" applyFont="1" applyFill="1" applyBorder="1" applyAlignment="1">
      <alignment wrapText="1"/>
    </xf>
    <xf numFmtId="0" fontId="11" fillId="6" borderId="71" xfId="0" applyNumberFormat="1" applyFont="1" applyFill="1" applyBorder="1" applyAlignment="1">
      <alignment horizontal="center" wrapText="1"/>
    </xf>
    <xf numFmtId="0" fontId="11" fillId="6" borderId="51" xfId="0" applyNumberFormat="1" applyFont="1" applyFill="1" applyBorder="1" applyAlignment="1">
      <alignment horizontal="center" wrapText="1"/>
    </xf>
    <xf numFmtId="0" fontId="15" fillId="6" borderId="72" xfId="0" applyNumberFormat="1" applyFont="1" applyFill="1" applyBorder="1" applyAlignment="1">
      <alignment wrapText="1"/>
    </xf>
    <xf numFmtId="0" fontId="19" fillId="7" borderId="73" xfId="2" applyNumberFormat="1" applyFont="1" applyFill="1" applyBorder="1" applyAlignment="1">
      <alignment horizontal="center" wrapText="1"/>
    </xf>
    <xf numFmtId="0" fontId="15" fillId="0" borderId="36" xfId="0" applyNumberFormat="1" applyFont="1" applyBorder="1" applyAlignment="1">
      <alignment wrapText="1"/>
    </xf>
    <xf numFmtId="0" fontId="20" fillId="9" borderId="1" xfId="2" applyNumberFormat="1" applyFont="1" applyFill="1" applyBorder="1" applyAlignment="1">
      <alignment horizontal="center" wrapText="1"/>
    </xf>
    <xf numFmtId="0" fontId="20" fillId="9" borderId="28" xfId="2" applyNumberFormat="1" applyFont="1" applyFill="1" applyBorder="1" applyAlignment="1">
      <alignment horizontal="center" wrapText="1"/>
    </xf>
    <xf numFmtId="0" fontId="15" fillId="6" borderId="91" xfId="0" applyNumberFormat="1" applyFont="1" applyFill="1" applyBorder="1" applyAlignment="1">
      <alignment horizontal="left" wrapText="1"/>
    </xf>
    <xf numFmtId="0" fontId="15" fillId="6" borderId="0" xfId="0" applyNumberFormat="1" applyFont="1" applyFill="1" applyBorder="1" applyAlignment="1">
      <alignment wrapText="1"/>
    </xf>
    <xf numFmtId="0" fontId="15" fillId="0" borderId="0" xfId="0" applyNumberFormat="1" applyFont="1" applyAlignment="1">
      <alignment wrapText="1"/>
    </xf>
    <xf numFmtId="0" fontId="15" fillId="0" borderId="0" xfId="0" applyNumberFormat="1" applyFont="1" applyBorder="1" applyAlignment="1">
      <alignment wrapText="1"/>
    </xf>
    <xf numFmtId="0" fontId="15" fillId="6" borderId="74" xfId="0" applyNumberFormat="1" applyFont="1" applyFill="1" applyBorder="1" applyAlignment="1">
      <alignment wrapText="1"/>
    </xf>
    <xf numFmtId="0" fontId="15" fillId="0" borderId="74" xfId="0" applyNumberFormat="1" applyFont="1" applyBorder="1" applyAlignment="1">
      <alignment wrapText="1"/>
    </xf>
    <xf numFmtId="0" fontId="20" fillId="9" borderId="1" xfId="2" applyNumberFormat="1" applyFont="1" applyFill="1" applyBorder="1" applyAlignment="1" applyProtection="1">
      <alignment horizontal="center" wrapText="1"/>
    </xf>
    <xf numFmtId="0" fontId="15" fillId="0" borderId="74" xfId="0" applyNumberFormat="1" applyFont="1" applyFill="1" applyBorder="1" applyAlignment="1">
      <alignment wrapText="1"/>
    </xf>
    <xf numFmtId="0" fontId="15" fillId="6" borderId="32" xfId="0" applyNumberFormat="1" applyFont="1" applyFill="1" applyBorder="1" applyAlignment="1">
      <alignment wrapText="1"/>
    </xf>
    <xf numFmtId="0" fontId="15" fillId="0" borderId="33" xfId="0" applyNumberFormat="1" applyFont="1" applyBorder="1" applyAlignment="1">
      <alignment wrapText="1"/>
    </xf>
    <xf numFmtId="0" fontId="15" fillId="0" borderId="34" xfId="0" applyNumberFormat="1" applyFont="1" applyBorder="1" applyAlignment="1">
      <alignment wrapText="1"/>
    </xf>
    <xf numFmtId="0" fontId="15" fillId="0" borderId="7" xfId="0" applyNumberFormat="1" applyFont="1" applyBorder="1" applyAlignment="1">
      <alignment wrapText="1"/>
    </xf>
    <xf numFmtId="0" fontId="15" fillId="6" borderId="8" xfId="0" applyNumberFormat="1" applyFont="1" applyFill="1" applyBorder="1" applyAlignment="1">
      <alignment wrapText="1"/>
    </xf>
    <xf numFmtId="0" fontId="11" fillId="0" borderId="41" xfId="0" applyNumberFormat="1" applyFont="1" applyBorder="1" applyAlignment="1">
      <alignment horizontal="centerContinuous" wrapText="1"/>
    </xf>
    <xf numFmtId="0" fontId="15" fillId="0" borderId="46" xfId="0" applyNumberFormat="1" applyFont="1" applyBorder="1" applyAlignment="1">
      <alignment horizontal="centerContinuous" wrapText="1"/>
    </xf>
    <xf numFmtId="0" fontId="15" fillId="6" borderId="46" xfId="0" applyNumberFormat="1" applyFont="1" applyFill="1" applyBorder="1" applyAlignment="1">
      <alignment horizontal="centerContinuous" wrapText="1"/>
    </xf>
    <xf numFmtId="0" fontId="15" fillId="0" borderId="43" xfId="0" applyNumberFormat="1" applyFont="1" applyBorder="1" applyAlignment="1">
      <alignment wrapText="1"/>
    </xf>
    <xf numFmtId="0" fontId="20" fillId="9" borderId="1" xfId="2" applyNumberFormat="1" applyFont="1" applyFill="1" applyBorder="1" applyAlignment="1">
      <alignment horizontal="center" vertical="center" wrapText="1"/>
    </xf>
    <xf numFmtId="0" fontId="11" fillId="0" borderId="7" xfId="0" applyNumberFormat="1" applyFont="1" applyBorder="1" applyAlignment="1">
      <alignment wrapText="1"/>
    </xf>
    <xf numFmtId="0" fontId="20" fillId="9" borderId="2" xfId="2" applyNumberFormat="1" applyFont="1" applyFill="1" applyBorder="1" applyAlignment="1">
      <alignment horizontal="center" wrapText="1"/>
    </xf>
    <xf numFmtId="0" fontId="15" fillId="6" borderId="12" xfId="0" applyNumberFormat="1" applyFont="1" applyFill="1" applyBorder="1" applyAlignment="1">
      <alignment horizontal="center" wrapText="1"/>
    </xf>
    <xf numFmtId="0" fontId="15" fillId="6" borderId="1" xfId="0" applyNumberFormat="1" applyFont="1" applyFill="1" applyBorder="1" applyAlignment="1">
      <alignment horizontal="center" wrapText="1"/>
    </xf>
    <xf numFmtId="0" fontId="19" fillId="7" borderId="12" xfId="2" applyNumberFormat="1" applyFont="1" applyFill="1" applyBorder="1" applyAlignment="1">
      <alignment horizontal="center" wrapText="1"/>
    </xf>
    <xf numFmtId="0" fontId="19" fillId="7" borderId="1" xfId="2" applyNumberFormat="1" applyFont="1" applyFill="1" applyBorder="1" applyAlignment="1">
      <alignment horizontal="center" wrapText="1"/>
    </xf>
    <xf numFmtId="0" fontId="20" fillId="9" borderId="50" xfId="2" applyNumberFormat="1" applyFont="1" applyFill="1" applyBorder="1" applyAlignment="1">
      <alignment horizontal="center" wrapText="1"/>
    </xf>
    <xf numFmtId="0" fontId="20" fillId="4" borderId="1" xfId="2" applyNumberFormat="1" applyFont="1" applyFill="1" applyBorder="1" applyAlignment="1" applyProtection="1">
      <alignment horizontal="center" wrapText="1"/>
      <protection locked="0"/>
    </xf>
    <xf numFmtId="0" fontId="15" fillId="0" borderId="9" xfId="2" applyNumberFormat="1" applyFont="1" applyFill="1" applyBorder="1" applyAlignment="1">
      <alignment horizontal="left" wrapText="1"/>
    </xf>
    <xf numFmtId="0" fontId="15" fillId="0" borderId="10" xfId="2" applyNumberFormat="1" applyFont="1" applyFill="1" applyBorder="1" applyAlignment="1">
      <alignment horizontal="left" wrapText="1"/>
    </xf>
    <xf numFmtId="0" fontId="15" fillId="0" borderId="11" xfId="2" applyNumberFormat="1" applyFont="1" applyFill="1" applyBorder="1" applyAlignment="1">
      <alignment horizontal="left" wrapText="1"/>
    </xf>
    <xf numFmtId="0" fontId="15" fillId="0" borderId="7" xfId="2" applyNumberFormat="1" applyFont="1" applyFill="1" applyBorder="1" applyAlignment="1">
      <alignment horizontal="center" wrapText="1"/>
    </xf>
    <xf numFmtId="0" fontId="15" fillId="0" borderId="0" xfId="2" applyNumberFormat="1" applyFont="1" applyFill="1" applyBorder="1" applyAlignment="1">
      <alignment horizontal="left" wrapText="1"/>
    </xf>
    <xf numFmtId="0" fontId="15" fillId="0" borderId="1" xfId="2" applyNumberFormat="1" applyFont="1" applyFill="1" applyBorder="1" applyAlignment="1">
      <alignment horizontal="left" wrapText="1"/>
    </xf>
    <xf numFmtId="0" fontId="20" fillId="9" borderId="1" xfId="2" applyNumberFormat="1" applyFont="1" applyFill="1" applyBorder="1" applyAlignment="1">
      <alignment horizontal="left" wrapText="1"/>
    </xf>
    <xf numFmtId="0" fontId="15" fillId="0" borderId="8" xfId="2" applyNumberFormat="1" applyFont="1" applyFill="1" applyBorder="1" applyAlignment="1">
      <alignment horizontal="center" wrapText="1"/>
    </xf>
    <xf numFmtId="0" fontId="20" fillId="9" borderId="50" xfId="2" applyNumberFormat="1" applyFont="1" applyFill="1" applyBorder="1" applyAlignment="1">
      <alignment horizontal="center" vertical="center" wrapText="1"/>
    </xf>
    <xf numFmtId="0" fontId="15" fillId="0" borderId="80" xfId="0" applyNumberFormat="1" applyFont="1" applyBorder="1" applyAlignment="1">
      <alignment wrapText="1"/>
    </xf>
    <xf numFmtId="0" fontId="15" fillId="4" borderId="80" xfId="2" applyNumberFormat="1" applyFont="1" applyFill="1" applyBorder="1" applyAlignment="1" applyProtection="1">
      <alignment horizontal="center" vertical="center" wrapText="1"/>
      <protection locked="0"/>
    </xf>
    <xf numFmtId="0" fontId="15" fillId="0" borderId="1" xfId="0" applyNumberFormat="1" applyFont="1" applyBorder="1" applyAlignment="1">
      <alignment wrapText="1"/>
    </xf>
    <xf numFmtId="0" fontId="15" fillId="19" borderId="1" xfId="0" applyNumberFormat="1" applyFont="1" applyFill="1" applyBorder="1" applyAlignment="1" applyProtection="1">
      <alignment horizontal="center" vertical="center" wrapText="1"/>
      <protection locked="0"/>
    </xf>
    <xf numFmtId="0" fontId="15" fillId="0" borderId="0" xfId="0" applyNumberFormat="1" applyFont="1" applyFill="1" applyBorder="1" applyAlignment="1">
      <alignment wrapText="1"/>
    </xf>
    <xf numFmtId="0" fontId="15" fillId="0" borderId="32" xfId="2" applyNumberFormat="1" applyFont="1" applyFill="1" applyBorder="1" applyAlignment="1">
      <alignment horizontal="center" wrapText="1"/>
    </xf>
    <xf numFmtId="0" fontId="15" fillId="0" borderId="33" xfId="2" applyNumberFormat="1" applyFont="1" applyFill="1" applyBorder="1" applyAlignment="1">
      <alignment horizontal="left" wrapText="1"/>
    </xf>
    <xf numFmtId="0" fontId="15" fillId="0" borderId="34" xfId="2" applyNumberFormat="1" applyFont="1" applyFill="1" applyBorder="1" applyAlignment="1">
      <alignment horizontal="center" wrapText="1"/>
    </xf>
    <xf numFmtId="0" fontId="15" fillId="0" borderId="43" xfId="0" applyNumberFormat="1" applyFont="1" applyBorder="1" applyAlignment="1">
      <alignment vertical="top" wrapText="1"/>
    </xf>
    <xf numFmtId="0" fontId="20" fillId="9" borderId="2" xfId="2" applyNumberFormat="1" applyFont="1" applyFill="1" applyBorder="1" applyAlignment="1">
      <alignment horizontal="center" vertical="center" wrapText="1"/>
    </xf>
    <xf numFmtId="0" fontId="15" fillId="0" borderId="32" xfId="0" applyNumberFormat="1" applyFont="1" applyBorder="1" applyAlignment="1">
      <alignment wrapText="1"/>
    </xf>
    <xf numFmtId="0" fontId="15" fillId="6" borderId="33" xfId="0" applyNumberFormat="1" applyFont="1" applyFill="1" applyBorder="1" applyAlignment="1">
      <alignment wrapText="1"/>
    </xf>
    <xf numFmtId="0" fontId="15" fillId="6" borderId="34" xfId="0" applyNumberFormat="1" applyFont="1" applyFill="1" applyBorder="1" applyAlignment="1">
      <alignment wrapText="1"/>
    </xf>
    <xf numFmtId="0" fontId="15" fillId="0" borderId="8" xfId="0" applyNumberFormat="1" applyFont="1" applyBorder="1" applyAlignment="1">
      <alignment wrapText="1"/>
    </xf>
    <xf numFmtId="0" fontId="15" fillId="6" borderId="20" xfId="0" applyNumberFormat="1" applyFont="1" applyFill="1" applyBorder="1" applyAlignment="1">
      <alignment vertical="center" wrapText="1"/>
    </xf>
    <xf numFmtId="0" fontId="15" fillId="4" borderId="2" xfId="0" applyNumberFormat="1" applyFont="1" applyFill="1" applyBorder="1" applyAlignment="1" applyProtection="1">
      <alignment horizontal="center" vertical="center" wrapText="1"/>
      <protection locked="0"/>
    </xf>
    <xf numFmtId="0" fontId="15" fillId="0" borderId="0" xfId="0" applyNumberFormat="1" applyFont="1" applyBorder="1" applyAlignment="1">
      <alignment vertical="center" wrapText="1"/>
    </xf>
    <xf numFmtId="0" fontId="15" fillId="6" borderId="0" xfId="0" applyNumberFormat="1" applyFont="1" applyFill="1" applyBorder="1" applyAlignment="1">
      <alignment vertical="center" wrapText="1"/>
    </xf>
    <xf numFmtId="0" fontId="15" fillId="0" borderId="7" xfId="0" applyNumberFormat="1" applyFont="1" applyBorder="1" applyAlignment="1">
      <alignment vertical="center" wrapText="1"/>
    </xf>
    <xf numFmtId="0" fontId="15" fillId="6" borderId="75" xfId="0" applyNumberFormat="1" applyFont="1" applyFill="1" applyBorder="1" applyAlignment="1"/>
    <xf numFmtId="0" fontId="15" fillId="6" borderId="10" xfId="0" applyNumberFormat="1" applyFont="1" applyFill="1" applyBorder="1" applyAlignment="1">
      <alignment wrapText="1"/>
    </xf>
    <xf numFmtId="0" fontId="15" fillId="6" borderId="20" xfId="0" applyNumberFormat="1" applyFont="1" applyFill="1" applyBorder="1" applyAlignment="1">
      <alignment wrapText="1"/>
    </xf>
    <xf numFmtId="0" fontId="20" fillId="9" borderId="1" xfId="2" applyNumberFormat="1" applyFont="1" applyFill="1" applyBorder="1" applyAlignment="1">
      <alignment vertical="center" wrapText="1"/>
    </xf>
    <xf numFmtId="0" fontId="40" fillId="9" borderId="1" xfId="2" applyNumberFormat="1" applyFont="1" applyFill="1" applyBorder="1" applyAlignment="1">
      <alignment horizontal="center" wrapText="1"/>
    </xf>
    <xf numFmtId="0" fontId="15" fillId="6" borderId="43" xfId="0" applyNumberFormat="1" applyFont="1" applyFill="1" applyBorder="1" applyAlignment="1">
      <alignment wrapText="1"/>
    </xf>
    <xf numFmtId="0" fontId="11" fillId="6" borderId="10" xfId="0" applyNumberFormat="1" applyFont="1" applyFill="1" applyBorder="1" applyAlignment="1">
      <alignment horizontal="centerContinuous" wrapText="1"/>
    </xf>
    <xf numFmtId="0" fontId="15" fillId="6" borderId="10" xfId="0" applyNumberFormat="1" applyFont="1" applyFill="1" applyBorder="1" applyAlignment="1">
      <alignment horizontal="centerContinuous" wrapText="1"/>
    </xf>
    <xf numFmtId="0" fontId="15" fillId="6" borderId="11" xfId="0" applyNumberFormat="1" applyFont="1" applyFill="1" applyBorder="1" applyAlignment="1">
      <alignment wrapText="1"/>
    </xf>
    <xf numFmtId="0" fontId="11" fillId="0" borderId="41" xfId="0" applyNumberFormat="1" applyFont="1" applyBorder="1" applyAlignment="1">
      <alignment horizontal="center" wrapText="1"/>
    </xf>
    <xf numFmtId="0" fontId="15" fillId="0" borderId="9" xfId="2" applyNumberFormat="1" applyFont="1" applyFill="1" applyBorder="1" applyAlignment="1" applyProtection="1">
      <alignment horizontal="left" wrapText="1"/>
    </xf>
    <xf numFmtId="0" fontId="15" fillId="0" borderId="10" xfId="2" applyNumberFormat="1" applyFont="1" applyFill="1" applyBorder="1" applyAlignment="1" applyProtection="1">
      <alignment horizontal="left" wrapText="1"/>
    </xf>
    <xf numFmtId="0" fontId="15" fillId="0" borderId="10" xfId="2" applyNumberFormat="1" applyFont="1" applyFill="1" applyBorder="1" applyAlignment="1" applyProtection="1">
      <alignment horizontal="center" wrapText="1"/>
    </xf>
    <xf numFmtId="0" fontId="15" fillId="0" borderId="11" xfId="2" applyNumberFormat="1" applyFont="1" applyFill="1" applyBorder="1" applyAlignment="1" applyProtection="1">
      <alignment horizontal="center" wrapText="1"/>
    </xf>
    <xf numFmtId="0" fontId="15" fillId="0" borderId="75" xfId="2" applyNumberFormat="1" applyFont="1" applyFill="1" applyBorder="1" applyAlignment="1" applyProtection="1">
      <alignment horizontal="left" wrapText="1"/>
    </xf>
    <xf numFmtId="0" fontId="15" fillId="0" borderId="76" xfId="2" applyNumberFormat="1" applyFont="1" applyFill="1" applyBorder="1" applyAlignment="1" applyProtection="1">
      <alignment horizontal="left" wrapText="1"/>
    </xf>
    <xf numFmtId="0" fontId="20" fillId="9" borderId="77" xfId="2" applyNumberFormat="1" applyFont="1" applyFill="1" applyBorder="1" applyAlignment="1" applyProtection="1">
      <alignment horizontal="left" wrapText="1"/>
    </xf>
    <xf numFmtId="0" fontId="15" fillId="0" borderId="0" xfId="2" applyNumberFormat="1" applyFont="1" applyFill="1" applyBorder="1" applyAlignment="1" applyProtection="1">
      <alignment horizontal="left" wrapText="1"/>
    </xf>
    <xf numFmtId="0" fontId="15" fillId="0" borderId="8" xfId="2" applyNumberFormat="1" applyFont="1" applyFill="1" applyBorder="1" applyAlignment="1" applyProtection="1">
      <alignment horizontal="center" wrapText="1"/>
    </xf>
    <xf numFmtId="0" fontId="15" fillId="6" borderId="1" xfId="0" applyNumberFormat="1" applyFont="1" applyFill="1" applyBorder="1" applyAlignment="1">
      <alignment vertical="center" wrapText="1"/>
    </xf>
    <xf numFmtId="0" fontId="15" fillId="4" borderId="1" xfId="2" applyNumberFormat="1" applyFont="1" applyFill="1" applyBorder="1" applyAlignment="1" applyProtection="1">
      <alignment horizontal="center" vertical="center" wrapText="1"/>
      <protection locked="0"/>
    </xf>
    <xf numFmtId="0" fontId="15" fillId="6" borderId="8" xfId="0" applyNumberFormat="1" applyFont="1" applyFill="1" applyBorder="1" applyAlignment="1">
      <alignment vertical="center" wrapText="1"/>
    </xf>
    <xf numFmtId="0" fontId="15" fillId="6" borderId="0" xfId="0" applyNumberFormat="1" applyFont="1" applyFill="1" applyAlignment="1">
      <alignment vertical="center" wrapText="1"/>
    </xf>
    <xf numFmtId="0" fontId="15" fillId="0" borderId="7" xfId="2" applyNumberFormat="1" applyFont="1" applyFill="1" applyBorder="1" applyAlignment="1" applyProtection="1">
      <alignment horizontal="left" wrapText="1"/>
    </xf>
    <xf numFmtId="0" fontId="20" fillId="9" borderId="78" xfId="2" applyNumberFormat="1" applyFont="1" applyFill="1" applyBorder="1" applyAlignment="1" applyProtection="1">
      <alignment horizontal="left" wrapText="1"/>
    </xf>
    <xf numFmtId="0" fontId="15" fillId="5" borderId="0" xfId="0" applyNumberFormat="1" applyFont="1" applyFill="1" applyAlignment="1">
      <alignment vertical="center" wrapText="1"/>
    </xf>
    <xf numFmtId="0" fontId="15" fillId="6" borderId="7" xfId="0" applyNumberFormat="1" applyFont="1" applyFill="1" applyBorder="1" applyAlignment="1">
      <alignment vertical="center" wrapText="1"/>
    </xf>
    <xf numFmtId="0" fontId="15" fillId="0" borderId="1" xfId="0" applyNumberFormat="1" applyFont="1" applyBorder="1" applyAlignment="1">
      <alignment vertical="center" wrapText="1"/>
    </xf>
    <xf numFmtId="0" fontId="15" fillId="0" borderId="50" xfId="2" applyNumberFormat="1" applyFont="1" applyFill="1" applyBorder="1" applyAlignment="1" applyProtection="1">
      <alignment horizontal="left" wrapText="1"/>
    </xf>
    <xf numFmtId="0" fontId="11" fillId="0" borderId="1" xfId="2" applyNumberFormat="1" applyFont="1" applyFill="1" applyBorder="1" applyAlignment="1" applyProtection="1">
      <alignment horizontal="left" wrapText="1"/>
    </xf>
    <xf numFmtId="0" fontId="11" fillId="0" borderId="14" xfId="2" applyNumberFormat="1" applyFont="1" applyFill="1" applyBorder="1" applyAlignment="1" applyProtection="1">
      <alignment horizontal="left" wrapText="1"/>
    </xf>
    <xf numFmtId="0" fontId="20" fillId="9" borderId="0" xfId="2" applyNumberFormat="1" applyFont="1" applyFill="1" applyBorder="1" applyAlignment="1" applyProtection="1">
      <alignment horizontal="left" wrapText="1"/>
    </xf>
    <xf numFmtId="0" fontId="20" fillId="9" borderId="1" xfId="2" applyNumberFormat="1" applyFont="1" applyFill="1" applyBorder="1" applyAlignment="1" applyProtection="1">
      <alignment horizontal="left" wrapText="1"/>
    </xf>
    <xf numFmtId="0" fontId="20" fillId="9" borderId="14" xfId="2" applyNumberFormat="1" applyFont="1" applyFill="1" applyBorder="1" applyAlignment="1" applyProtection="1">
      <alignment horizontal="left" wrapText="1"/>
    </xf>
    <xf numFmtId="0" fontId="15" fillId="0" borderId="41" xfId="2" applyNumberFormat="1" applyFont="1" applyFill="1" applyBorder="1" applyAlignment="1" applyProtection="1">
      <alignment horizontal="left" wrapText="1"/>
    </xf>
    <xf numFmtId="0" fontId="15" fillId="0" borderId="46" xfId="2" applyNumberFormat="1" applyFont="1" applyFill="1" applyBorder="1" applyAlignment="1" applyProtection="1">
      <alignment horizontal="left" wrapText="1"/>
    </xf>
    <xf numFmtId="0" fontId="20" fillId="9" borderId="79" xfId="2" applyNumberFormat="1" applyFont="1" applyFill="1" applyBorder="1" applyAlignment="1" applyProtection="1">
      <alignment horizontal="left" wrapText="1"/>
    </xf>
    <xf numFmtId="0" fontId="15" fillId="4" borderId="1" xfId="2" applyNumberFormat="1" applyFont="1" applyFill="1" applyBorder="1" applyAlignment="1" applyProtection="1">
      <alignment horizontal="center" wrapText="1"/>
      <protection locked="0"/>
    </xf>
    <xf numFmtId="0" fontId="15" fillId="0" borderId="7" xfId="2" applyNumberFormat="1" applyFont="1" applyFill="1" applyBorder="1" applyAlignment="1" applyProtection="1">
      <alignment horizontal="center" wrapText="1"/>
    </xf>
    <xf numFmtId="0" fontId="15" fillId="0" borderId="1" xfId="2" applyNumberFormat="1" applyFont="1" applyFill="1" applyBorder="1" applyAlignment="1" applyProtection="1">
      <alignment horizontal="left" wrapText="1"/>
    </xf>
    <xf numFmtId="0" fontId="20" fillId="9" borderId="14" xfId="2" applyNumberFormat="1" applyFont="1" applyFill="1" applyBorder="1" applyAlignment="1" applyProtection="1">
      <alignment horizontal="center" wrapText="1"/>
    </xf>
    <xf numFmtId="0" fontId="15" fillId="0" borderId="32" xfId="2" applyNumberFormat="1" applyFont="1" applyFill="1" applyBorder="1" applyAlignment="1" applyProtection="1">
      <alignment horizontal="center" wrapText="1"/>
    </xf>
    <xf numFmtId="0" fontId="15" fillId="0" borderId="33" xfId="2" applyNumberFormat="1" applyFont="1" applyFill="1" applyBorder="1" applyAlignment="1" applyProtection="1">
      <alignment horizontal="left" wrapText="1"/>
    </xf>
    <xf numFmtId="0" fontId="15" fillId="0" borderId="34" xfId="2" applyNumberFormat="1" applyFont="1" applyFill="1" applyBorder="1" applyAlignment="1" applyProtection="1">
      <alignment horizontal="center" wrapText="1"/>
    </xf>
    <xf numFmtId="0" fontId="20" fillId="9" borderId="80" xfId="2" applyNumberFormat="1" applyFont="1" applyFill="1" applyBorder="1" applyAlignment="1">
      <alignment horizontal="center" wrapText="1"/>
    </xf>
    <xf numFmtId="0" fontId="15" fillId="19" borderId="1" xfId="0" applyNumberFormat="1" applyFont="1" applyFill="1" applyBorder="1" applyAlignment="1" applyProtection="1">
      <alignment wrapText="1"/>
      <protection locked="0"/>
    </xf>
    <xf numFmtId="0" fontId="15" fillId="0" borderId="1" xfId="0" applyNumberFormat="1" applyFont="1" applyFill="1" applyBorder="1" applyAlignment="1">
      <alignment horizontal="center" wrapText="1"/>
    </xf>
    <xf numFmtId="0" fontId="11" fillId="0" borderId="1" xfId="0" applyNumberFormat="1" applyFont="1" applyBorder="1" applyAlignment="1">
      <alignment horizontal="center" vertical="center" wrapText="1"/>
    </xf>
    <xf numFmtId="0" fontId="20" fillId="9" borderId="32" xfId="2" applyNumberFormat="1" applyFont="1" applyFill="1" applyBorder="1" applyAlignment="1">
      <alignment horizontal="center" wrapText="1"/>
    </xf>
    <xf numFmtId="0" fontId="3" fillId="0" borderId="119" xfId="0" applyNumberFormat="1" applyFont="1" applyBorder="1"/>
    <xf numFmtId="0" fontId="30" fillId="20" borderId="1" xfId="0" applyNumberFormat="1" applyFont="1" applyFill="1" applyBorder="1" applyProtection="1"/>
    <xf numFmtId="0" fontId="30" fillId="20" borderId="56" xfId="0" applyNumberFormat="1" applyFont="1" applyFill="1" applyBorder="1" applyProtection="1"/>
    <xf numFmtId="0" fontId="4" fillId="0" borderId="12" xfId="0" applyNumberFormat="1" applyFont="1" applyBorder="1" applyAlignment="1">
      <alignment horizontal="center" vertical="center"/>
    </xf>
    <xf numFmtId="0" fontId="3" fillId="0" borderId="20" xfId="16" applyFont="1" applyBorder="1" applyAlignment="1" applyProtection="1">
      <alignment horizontal="left"/>
    </xf>
    <xf numFmtId="0" fontId="3" fillId="0" borderId="50" xfId="16" applyFont="1" applyBorder="1" applyAlignment="1" applyProtection="1">
      <alignment horizontal="left"/>
    </xf>
    <xf numFmtId="0" fontId="33" fillId="0" borderId="0" xfId="11" applyFont="1" applyAlignment="1" applyProtection="1">
      <alignment horizontal="left" vertical="center"/>
      <protection locked="0"/>
    </xf>
    <xf numFmtId="0" fontId="3" fillId="0" borderId="42" xfId="0" applyFont="1" applyBorder="1" applyAlignment="1">
      <alignment vertical="center"/>
    </xf>
    <xf numFmtId="0" fontId="3" fillId="0" borderId="43" xfId="0" applyFont="1" applyBorder="1" applyAlignment="1">
      <alignment vertical="center"/>
    </xf>
    <xf numFmtId="0" fontId="9" fillId="0" borderId="45" xfId="0" applyFont="1" applyBorder="1" applyAlignment="1">
      <alignment vertical="center" wrapText="1"/>
    </xf>
    <xf numFmtId="0" fontId="36" fillId="18" borderId="0" xfId="17" applyFont="1" applyFill="1"/>
    <xf numFmtId="0" fontId="36" fillId="18" borderId="0" xfId="17" applyFont="1" applyFill="1" applyAlignment="1"/>
    <xf numFmtId="0" fontId="36" fillId="18" borderId="0" xfId="17" applyNumberFormat="1" applyFont="1" applyFill="1"/>
    <xf numFmtId="14" fontId="36" fillId="18" borderId="0" xfId="17" applyNumberFormat="1" applyFont="1" applyFill="1"/>
    <xf numFmtId="0" fontId="6" fillId="0" borderId="44" xfId="17" applyNumberFormat="1" applyFont="1" applyBorder="1" applyAlignment="1">
      <alignment horizontal="center" wrapText="1"/>
    </xf>
    <xf numFmtId="14" fontId="36" fillId="0" borderId="120" xfId="17" applyNumberFormat="1" applyFont="1" applyBorder="1" applyAlignment="1">
      <alignment horizontal="center" wrapText="1"/>
    </xf>
    <xf numFmtId="0" fontId="3" fillId="0" borderId="121" xfId="0" applyFont="1" applyBorder="1" applyAlignment="1">
      <alignment horizontal="left" vertical="center"/>
    </xf>
    <xf numFmtId="0" fontId="3" fillId="0" borderId="122" xfId="0" applyFont="1" applyBorder="1" applyAlignment="1">
      <alignment vertical="center"/>
    </xf>
    <xf numFmtId="0" fontId="4" fillId="0" borderId="105" xfId="19" applyFont="1" applyBorder="1" applyAlignment="1">
      <alignment horizontal="center" vertical="center"/>
    </xf>
    <xf numFmtId="0" fontId="4" fillId="0" borderId="61" xfId="19" applyFont="1" applyBorder="1" applyAlignment="1">
      <alignment horizontal="center" vertical="center"/>
    </xf>
    <xf numFmtId="0" fontId="30" fillId="22" borderId="16" xfId="19" applyFont="1" applyFill="1" applyBorder="1" applyAlignment="1" applyProtection="1">
      <alignment horizontal="center" vertical="center"/>
    </xf>
    <xf numFmtId="0" fontId="3" fillId="0" borderId="119" xfId="17" applyFont="1" applyBorder="1"/>
    <xf numFmtId="0" fontId="19" fillId="19" borderId="16" xfId="14" applyFont="1" applyFill="1" applyBorder="1" applyAlignment="1" applyProtection="1">
      <alignment horizontal="left" vertical="center"/>
      <protection locked="0"/>
    </xf>
    <xf numFmtId="14" fontId="9" fillId="4" borderId="14" xfId="0" applyNumberFormat="1" applyFont="1" applyFill="1" applyBorder="1" applyProtection="1">
      <protection locked="0"/>
    </xf>
    <xf numFmtId="0" fontId="31" fillId="0" borderId="33" xfId="0" applyFont="1" applyBorder="1" applyAlignment="1"/>
    <xf numFmtId="0" fontId="31" fillId="18" borderId="0" xfId="0" applyFont="1" applyFill="1"/>
    <xf numFmtId="0" fontId="31" fillId="18" borderId="0" xfId="0" applyFont="1" applyFill="1" applyAlignment="1"/>
    <xf numFmtId="0" fontId="4" fillId="0" borderId="105" xfId="17" applyFont="1" applyFill="1" applyBorder="1" applyAlignment="1">
      <alignment horizontal="center" vertical="center"/>
    </xf>
    <xf numFmtId="0" fontId="4" fillId="0" borderId="51" xfId="17" applyFont="1" applyFill="1" applyBorder="1" applyAlignment="1">
      <alignment horizontal="center" vertical="center"/>
    </xf>
    <xf numFmtId="0" fontId="4" fillId="0" borderId="51" xfId="17" applyFont="1" applyBorder="1" applyAlignment="1">
      <alignment horizontal="center" vertical="center"/>
    </xf>
    <xf numFmtId="0" fontId="4" fillId="0" borderId="61" xfId="17" applyFont="1" applyFill="1" applyBorder="1" applyAlignment="1">
      <alignment horizontal="center" vertical="center"/>
    </xf>
    <xf numFmtId="0" fontId="36" fillId="0" borderId="110" xfId="19" applyFont="1" applyBorder="1" applyAlignment="1">
      <alignment vertical="center"/>
    </xf>
    <xf numFmtId="0" fontId="49" fillId="0" borderId="111" xfId="19" applyFont="1" applyBorder="1" applyAlignment="1">
      <alignment horizontal="left" vertical="center" wrapText="1"/>
    </xf>
    <xf numFmtId="0" fontId="9" fillId="4" borderId="12" xfId="14" applyFont="1" applyFill="1" applyBorder="1" applyAlignment="1" applyProtection="1">
      <alignment horizontal="left" vertical="top"/>
      <protection locked="0"/>
    </xf>
    <xf numFmtId="0" fontId="9" fillId="4" borderId="1" xfId="14" applyFont="1" applyFill="1" applyBorder="1" applyAlignment="1" applyProtection="1">
      <alignment horizontal="left" vertical="top"/>
      <protection locked="0"/>
    </xf>
    <xf numFmtId="14" fontId="9" fillId="4" borderId="1" xfId="14" applyNumberFormat="1" applyFont="1" applyFill="1" applyBorder="1" applyAlignment="1" applyProtection="1">
      <alignment horizontal="left" vertical="top"/>
      <protection locked="0"/>
    </xf>
    <xf numFmtId="14" fontId="9" fillId="4" borderId="14" xfId="14" applyNumberFormat="1" applyFont="1" applyFill="1" applyBorder="1" applyAlignment="1" applyProtection="1">
      <alignment horizontal="left" vertical="top"/>
      <protection locked="0"/>
    </xf>
    <xf numFmtId="10" fontId="9" fillId="4" borderId="1" xfId="14" applyNumberFormat="1" applyFont="1" applyFill="1" applyBorder="1" applyAlignment="1" applyProtection="1">
      <alignment horizontal="left" vertical="top"/>
      <protection locked="0"/>
    </xf>
    <xf numFmtId="0" fontId="9" fillId="4" borderId="56" xfId="14" applyFont="1" applyFill="1" applyBorder="1" applyAlignment="1" applyProtection="1">
      <alignment horizontal="left" vertical="top"/>
      <protection locked="0"/>
    </xf>
    <xf numFmtId="0" fontId="9" fillId="4" borderId="13" xfId="14" applyFont="1" applyFill="1" applyBorder="1" applyAlignment="1" applyProtection="1">
      <alignment horizontal="left" vertical="top"/>
      <protection locked="0"/>
    </xf>
    <xf numFmtId="0" fontId="33" fillId="8" borderId="0" xfId="11" applyFill="1" applyBorder="1" applyAlignment="1" applyProtection="1">
      <alignment vertical="center"/>
      <protection locked="0"/>
    </xf>
    <xf numFmtId="0" fontId="30" fillId="20" borderId="14" xfId="2" applyNumberFormat="1" applyFont="1" applyFill="1" applyBorder="1" applyAlignment="1">
      <alignment horizontal="center"/>
    </xf>
    <xf numFmtId="0" fontId="30" fillId="20" borderId="62" xfId="0" applyFont="1" applyFill="1" applyBorder="1"/>
    <xf numFmtId="0" fontId="30" fillId="20" borderId="14" xfId="0" applyFont="1" applyFill="1" applyBorder="1"/>
    <xf numFmtId="0" fontId="30" fillId="20" borderId="63" xfId="0" applyFont="1" applyFill="1" applyBorder="1"/>
    <xf numFmtId="0" fontId="9" fillId="0" borderId="31" xfId="0" applyFont="1" applyBorder="1" applyAlignment="1">
      <alignment vertical="center" wrapText="1"/>
    </xf>
    <xf numFmtId="0" fontId="30" fillId="20" borderId="62" xfId="0" applyFont="1" applyFill="1" applyBorder="1" applyAlignment="1">
      <alignment wrapText="1"/>
    </xf>
    <xf numFmtId="0" fontId="30" fillId="20" borderId="14" xfId="0" applyFont="1" applyFill="1" applyBorder="1" applyAlignment="1">
      <alignment wrapText="1"/>
    </xf>
    <xf numFmtId="0" fontId="30" fillId="20" borderId="63" xfId="0" applyFont="1" applyFill="1" applyBorder="1" applyAlignment="1">
      <alignment wrapText="1"/>
    </xf>
    <xf numFmtId="0" fontId="40" fillId="20" borderId="62" xfId="0" applyFont="1" applyFill="1" applyBorder="1" applyAlignment="1">
      <alignment wrapText="1"/>
    </xf>
    <xf numFmtId="0" fontId="40" fillId="20" borderId="14" xfId="0" applyFont="1" applyFill="1" applyBorder="1" applyAlignment="1">
      <alignment wrapText="1"/>
    </xf>
    <xf numFmtId="0" fontId="40" fillId="20" borderId="63" xfId="0" applyFont="1" applyFill="1" applyBorder="1" applyAlignment="1">
      <alignment wrapText="1"/>
    </xf>
    <xf numFmtId="0" fontId="11" fillId="6" borderId="105" xfId="0" applyFont="1" applyFill="1" applyBorder="1" applyAlignment="1">
      <alignment horizontal="center" wrapText="1"/>
    </xf>
    <xf numFmtId="0" fontId="11" fillId="6" borderId="53" xfId="0" applyFont="1" applyFill="1" applyBorder="1" applyAlignment="1">
      <alignment horizontal="center" wrapText="1"/>
    </xf>
    <xf numFmtId="0" fontId="15" fillId="6" borderId="123" xfId="0" applyFont="1" applyFill="1" applyBorder="1" applyAlignment="1">
      <alignment wrapText="1"/>
    </xf>
    <xf numFmtId="0" fontId="11" fillId="6" borderId="36" xfId="0" applyFont="1" applyFill="1" applyBorder="1" applyAlignment="1">
      <alignment horizontal="center" wrapText="1"/>
    </xf>
    <xf numFmtId="0" fontId="15" fillId="6" borderId="124" xfId="0" applyFont="1" applyFill="1" applyBorder="1" applyAlignment="1">
      <alignment wrapText="1"/>
    </xf>
    <xf numFmtId="0" fontId="11" fillId="6" borderId="37" xfId="0" applyFont="1" applyFill="1" applyBorder="1" applyAlignment="1">
      <alignment horizontal="center" wrapText="1"/>
    </xf>
    <xf numFmtId="0" fontId="15" fillId="6" borderId="125" xfId="0" applyFont="1" applyFill="1" applyBorder="1" applyAlignment="1">
      <alignment horizontal="center" wrapText="1"/>
    </xf>
    <xf numFmtId="0" fontId="15" fillId="6" borderId="126" xfId="0" applyFont="1" applyFill="1" applyBorder="1" applyAlignment="1"/>
    <xf numFmtId="0" fontId="15" fillId="6" borderId="127" xfId="0" applyFont="1" applyFill="1" applyBorder="1" applyAlignment="1">
      <alignment wrapText="1"/>
    </xf>
    <xf numFmtId="0" fontId="15" fillId="6" borderId="128" xfId="0" applyFont="1" applyFill="1" applyBorder="1" applyAlignment="1">
      <alignment wrapText="1"/>
    </xf>
    <xf numFmtId="0" fontId="40" fillId="20" borderId="73" xfId="2" applyNumberFormat="1" applyFont="1" applyFill="1" applyBorder="1" applyAlignment="1">
      <alignment horizontal="center" wrapText="1"/>
    </xf>
    <xf numFmtId="0" fontId="40" fillId="20" borderId="2" xfId="2" applyNumberFormat="1" applyFont="1" applyFill="1" applyBorder="1" applyAlignment="1">
      <alignment horizontal="center" wrapText="1"/>
    </xf>
    <xf numFmtId="0" fontId="40" fillId="20" borderId="2" xfId="2" applyNumberFormat="1" applyFont="1" applyFill="1" applyBorder="1" applyAlignment="1">
      <alignment horizontal="center" vertical="center" wrapText="1"/>
    </xf>
    <xf numFmtId="14" fontId="3" fillId="4" borderId="28" xfId="0" applyNumberFormat="1" applyFont="1" applyFill="1" applyBorder="1" applyAlignment="1" applyProtection="1">
      <alignment horizontal="center"/>
      <protection locked="0"/>
    </xf>
    <xf numFmtId="14" fontId="3" fillId="4" borderId="38" xfId="0" applyNumberFormat="1" applyFont="1" applyFill="1" applyBorder="1" applyAlignment="1" applyProtection="1">
      <alignment horizontal="center"/>
      <protection locked="0"/>
    </xf>
    <xf numFmtId="0" fontId="3" fillId="0" borderId="1" xfId="0" applyFont="1" applyBorder="1" applyAlignment="1">
      <alignment horizontal="center" vertical="center" wrapText="1"/>
    </xf>
    <xf numFmtId="0" fontId="3" fillId="24" borderId="1" xfId="0" applyFont="1" applyFill="1" applyBorder="1" applyAlignment="1">
      <alignment horizontal="center" vertical="center" wrapText="1"/>
    </xf>
    <xf numFmtId="0" fontId="3" fillId="24" borderId="97" xfId="0" applyFont="1" applyFill="1" applyBorder="1" applyAlignment="1">
      <alignment horizontal="center" vertical="center" wrapText="1"/>
    </xf>
    <xf numFmtId="0" fontId="3" fillId="24" borderId="62" xfId="0" applyFont="1" applyFill="1" applyBorder="1" applyAlignment="1">
      <alignment horizontal="center" vertical="center" wrapText="1"/>
    </xf>
    <xf numFmtId="0" fontId="3" fillId="0" borderId="14" xfId="0" applyFont="1" applyBorder="1" applyAlignment="1">
      <alignment horizontal="center" vertical="center" wrapText="1"/>
    </xf>
    <xf numFmtId="0" fontId="3" fillId="24" borderId="12" xfId="0" applyFont="1" applyFill="1" applyBorder="1" applyAlignment="1">
      <alignment horizontal="center" vertical="center" wrapText="1"/>
    </xf>
    <xf numFmtId="0" fontId="3" fillId="0" borderId="12"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56" xfId="0" applyFont="1" applyBorder="1" applyAlignment="1">
      <alignment horizontal="center" vertical="center" wrapText="1"/>
    </xf>
    <xf numFmtId="0" fontId="3" fillId="0" borderId="15" xfId="0" applyFont="1" applyBorder="1" applyAlignment="1">
      <alignment horizontal="center" vertical="center" wrapText="1"/>
    </xf>
    <xf numFmtId="0" fontId="4" fillId="24" borderId="129" xfId="0" applyFont="1" applyFill="1" applyBorder="1" applyAlignment="1">
      <alignment horizontal="center" vertical="center" wrapText="1"/>
    </xf>
    <xf numFmtId="0" fontId="4" fillId="24" borderId="97" xfId="0" applyFont="1" applyFill="1" applyBorder="1" applyAlignment="1">
      <alignment horizontal="center" vertical="center" wrapText="1"/>
    </xf>
    <xf numFmtId="0" fontId="4" fillId="24" borderId="62" xfId="0" applyFont="1" applyFill="1" applyBorder="1" applyAlignment="1">
      <alignment horizontal="center" vertical="center" wrapText="1"/>
    </xf>
    <xf numFmtId="0" fontId="31" fillId="18" borderId="0" xfId="0" applyFont="1" applyFill="1" applyAlignment="1">
      <alignment horizontal="center" vertical="center" wrapText="1"/>
    </xf>
    <xf numFmtId="0" fontId="31" fillId="18" borderId="0" xfId="0" applyFont="1" applyFill="1" applyAlignment="1">
      <alignment vertical="center" wrapText="1"/>
    </xf>
    <xf numFmtId="0" fontId="43" fillId="0" borderId="0" xfId="11" applyFont="1" applyAlignment="1" applyProtection="1">
      <alignment vertical="center"/>
    </xf>
    <xf numFmtId="0" fontId="16" fillId="0" borderId="0" xfId="11" applyFont="1" applyAlignment="1" applyProtection="1"/>
    <xf numFmtId="0" fontId="3" fillId="21" borderId="0" xfId="0" applyNumberFormat="1" applyFont="1" applyFill="1" applyBorder="1" applyAlignment="1" applyProtection="1">
      <alignment wrapText="1"/>
    </xf>
    <xf numFmtId="0" fontId="3" fillId="4" borderId="63" xfId="0" applyNumberFormat="1" applyFont="1" applyFill="1" applyBorder="1" applyProtection="1">
      <protection locked="0"/>
    </xf>
    <xf numFmtId="0" fontId="0" fillId="0" borderId="0" xfId="0" applyProtection="1"/>
    <xf numFmtId="0" fontId="33" fillId="0" borderId="0" xfId="11" applyAlignment="1" applyProtection="1">
      <protection locked="0"/>
    </xf>
    <xf numFmtId="0" fontId="20" fillId="9" borderId="2" xfId="2" applyFont="1" applyFill="1" applyBorder="1" applyAlignment="1">
      <alignment horizontal="center" vertical="center" wrapText="1"/>
    </xf>
    <xf numFmtId="0" fontId="3" fillId="0" borderId="93" xfId="16" applyFont="1" applyBorder="1" applyAlignment="1" applyProtection="1">
      <alignment horizontal="left"/>
    </xf>
    <xf numFmtId="0" fontId="3" fillId="0" borderId="94" xfId="16" applyFont="1" applyBorder="1" applyAlignment="1" applyProtection="1">
      <alignment horizontal="left"/>
    </xf>
    <xf numFmtId="0" fontId="6" fillId="0" borderId="130" xfId="17" applyNumberFormat="1" applyFont="1" applyBorder="1" applyAlignment="1">
      <alignment horizontal="center" wrapText="1"/>
    </xf>
    <xf numFmtId="14" fontId="36" fillId="0" borderId="131" xfId="17" applyNumberFormat="1" applyFont="1" applyBorder="1" applyAlignment="1">
      <alignment horizontal="center" wrapText="1"/>
    </xf>
    <xf numFmtId="14" fontId="5" fillId="0" borderId="0" xfId="14" applyNumberFormat="1" applyFont="1" applyFill="1" applyBorder="1" applyProtection="1">
      <alignment horizontal="center" vertical="center"/>
    </xf>
    <xf numFmtId="14" fontId="5" fillId="0" borderId="0" xfId="14" applyNumberFormat="1" applyFont="1" applyFill="1" applyBorder="1" applyAlignment="1" applyProtection="1">
      <alignment horizontal="left" vertical="center"/>
    </xf>
    <xf numFmtId="0" fontId="9" fillId="4" borderId="15" xfId="14" applyFont="1" applyFill="1" applyBorder="1" applyAlignment="1" applyProtection="1">
      <alignment horizontal="left" vertical="center"/>
      <protection locked="0"/>
    </xf>
    <xf numFmtId="49" fontId="3" fillId="4" borderId="28" xfId="0" applyNumberFormat="1" applyFont="1" applyFill="1" applyBorder="1" applyProtection="1">
      <protection locked="0"/>
    </xf>
    <xf numFmtId="49" fontId="3" fillId="4" borderId="38" xfId="0" applyNumberFormat="1" applyFont="1" applyFill="1" applyBorder="1" applyProtection="1">
      <protection locked="0"/>
    </xf>
    <xf numFmtId="0" fontId="3" fillId="4" borderId="28" xfId="0" applyFont="1" applyFill="1" applyBorder="1" applyAlignment="1" applyProtection="1">
      <alignment horizontal="left" vertical="top" wrapText="1"/>
      <protection locked="0"/>
    </xf>
    <xf numFmtId="0" fontId="3" fillId="0" borderId="43" xfId="0" applyFont="1" applyBorder="1" applyAlignment="1">
      <alignment vertical="center" wrapText="1"/>
    </xf>
    <xf numFmtId="0" fontId="3" fillId="4" borderId="38" xfId="0" applyNumberFormat="1" applyFont="1" applyFill="1" applyBorder="1" applyProtection="1">
      <protection locked="0"/>
    </xf>
    <xf numFmtId="0" fontId="3" fillId="4" borderId="28" xfId="0" applyNumberFormat="1" applyFont="1" applyFill="1" applyBorder="1" applyProtection="1">
      <protection locked="0"/>
    </xf>
    <xf numFmtId="0" fontId="3" fillId="0" borderId="48" xfId="0" applyNumberFormat="1" applyFont="1" applyBorder="1" applyAlignment="1">
      <alignment horizontal="left" wrapText="1"/>
    </xf>
    <xf numFmtId="0" fontId="4" fillId="0" borderId="1" xfId="0" applyNumberFormat="1" applyFont="1" applyBorder="1" applyAlignment="1">
      <alignment horizontal="center" wrapText="1"/>
    </xf>
    <xf numFmtId="0" fontId="3" fillId="0" borderId="130" xfId="0" applyNumberFormat="1" applyFont="1" applyBorder="1" applyAlignment="1">
      <alignment horizontal="left"/>
    </xf>
    <xf numFmtId="0" fontId="4" fillId="0" borderId="51" xfId="0" applyNumberFormat="1" applyFont="1" applyBorder="1" applyAlignment="1">
      <alignment horizontal="center"/>
    </xf>
    <xf numFmtId="0" fontId="3" fillId="0" borderId="132" xfId="0" applyNumberFormat="1" applyFont="1" applyBorder="1" applyAlignment="1">
      <alignment horizontal="left" wrapText="1"/>
    </xf>
    <xf numFmtId="0" fontId="4" fillId="0" borderId="14" xfId="0" applyNumberFormat="1" applyFont="1" applyBorder="1" applyAlignment="1">
      <alignment horizontal="center" wrapText="1"/>
    </xf>
    <xf numFmtId="0" fontId="3" fillId="4" borderId="71" xfId="0" applyNumberFormat="1" applyFont="1" applyFill="1" applyBorder="1" applyProtection="1">
      <protection locked="0"/>
    </xf>
    <xf numFmtId="0" fontId="4" fillId="0" borderId="46" xfId="0" applyNumberFormat="1" applyFont="1" applyBorder="1" applyAlignment="1">
      <alignment horizontal="center" wrapText="1"/>
    </xf>
    <xf numFmtId="0" fontId="4" fillId="0" borderId="51" xfId="0" applyNumberFormat="1" applyFont="1" applyBorder="1" applyAlignment="1">
      <alignment horizontal="center" wrapText="1"/>
    </xf>
    <xf numFmtId="0" fontId="4" fillId="0" borderId="61" xfId="0" applyNumberFormat="1" applyFont="1" applyBorder="1" applyAlignment="1">
      <alignment horizontal="center" wrapText="1"/>
    </xf>
    <xf numFmtId="0" fontId="4" fillId="6" borderId="33" xfId="0" applyNumberFormat="1" applyFont="1" applyFill="1" applyBorder="1" applyAlignment="1"/>
    <xf numFmtId="0" fontId="4" fillId="6" borderId="34" xfId="0" applyNumberFormat="1" applyFont="1" applyFill="1" applyBorder="1" applyAlignment="1"/>
    <xf numFmtId="0" fontId="3" fillId="6" borderId="33" xfId="0" applyNumberFormat="1" applyFont="1" applyFill="1" applyBorder="1" applyProtection="1"/>
    <xf numFmtId="0" fontId="3" fillId="6" borderId="34" xfId="0" applyNumberFormat="1" applyFont="1" applyFill="1" applyBorder="1" applyProtection="1"/>
    <xf numFmtId="0" fontId="4" fillId="0" borderId="50" xfId="0" applyNumberFormat="1" applyFont="1" applyBorder="1" applyAlignment="1">
      <alignment horizontal="center" wrapText="1"/>
    </xf>
    <xf numFmtId="0" fontId="33" fillId="0" borderId="133" xfId="11" applyBorder="1" applyAlignment="1" applyProtection="1">
      <alignment vertical="center"/>
      <protection locked="0"/>
    </xf>
    <xf numFmtId="14" fontId="9" fillId="4" borderId="56" xfId="14" applyNumberFormat="1" applyFont="1" applyFill="1" applyBorder="1" applyAlignment="1" applyProtection="1">
      <alignment horizontal="left" vertical="top"/>
      <protection locked="0"/>
    </xf>
    <xf numFmtId="14" fontId="9" fillId="4" borderId="15" xfId="14" applyNumberFormat="1" applyFont="1" applyFill="1" applyBorder="1" applyAlignment="1" applyProtection="1">
      <alignment horizontal="left" vertical="top"/>
      <protection locked="0"/>
    </xf>
    <xf numFmtId="0" fontId="4" fillId="0" borderId="3" xfId="0" applyFont="1" applyBorder="1" applyAlignment="1">
      <alignment horizontal="center"/>
    </xf>
    <xf numFmtId="0" fontId="4" fillId="0" borderId="4" xfId="0" applyFont="1" applyBorder="1" applyAlignment="1">
      <alignment horizontal="center"/>
    </xf>
    <xf numFmtId="0" fontId="31" fillId="0" borderId="0" xfId="0" applyFont="1" applyFill="1" applyBorder="1"/>
    <xf numFmtId="10" fontId="30" fillId="20" borderId="1" xfId="0" applyNumberFormat="1" applyFont="1" applyFill="1" applyBorder="1" applyProtection="1"/>
    <xf numFmtId="10" fontId="30" fillId="20" borderId="56" xfId="0" applyNumberFormat="1" applyFont="1" applyFill="1" applyBorder="1" applyProtection="1"/>
    <xf numFmtId="0" fontId="3" fillId="0" borderId="0" xfId="0" applyFont="1" applyFill="1" applyBorder="1" applyAlignment="1">
      <alignment horizontal="left" vertical="center" wrapText="1"/>
    </xf>
    <xf numFmtId="0" fontId="3" fillId="4" borderId="1" xfId="0" applyFont="1" applyFill="1" applyBorder="1" applyAlignment="1" applyProtection="1">
      <alignment horizontal="left" vertical="center" wrapText="1"/>
      <protection locked="0"/>
    </xf>
    <xf numFmtId="0" fontId="3" fillId="0" borderId="12" xfId="0" applyFont="1" applyBorder="1" applyAlignment="1">
      <alignment horizontal="left" vertical="center" wrapText="1"/>
    </xf>
    <xf numFmtId="0" fontId="3" fillId="4" borderId="80" xfId="0" applyFont="1" applyFill="1" applyBorder="1" applyAlignment="1" applyProtection="1">
      <alignment horizontal="left" vertical="center" wrapText="1"/>
      <protection locked="0"/>
    </xf>
    <xf numFmtId="0" fontId="3" fillId="0" borderId="129" xfId="0" applyFont="1" applyFill="1" applyBorder="1" applyAlignment="1">
      <alignment horizontal="left" vertical="center" wrapText="1"/>
    </xf>
    <xf numFmtId="0" fontId="3" fillId="4" borderId="97" xfId="0" applyFont="1" applyFill="1" applyBorder="1" applyAlignment="1" applyProtection="1">
      <alignment horizontal="left" vertical="center" wrapText="1"/>
      <protection locked="0"/>
    </xf>
    <xf numFmtId="0" fontId="3" fillId="0" borderId="13" xfId="0" applyFont="1" applyBorder="1" applyAlignment="1">
      <alignment horizontal="left" vertical="center" wrapText="1"/>
    </xf>
    <xf numFmtId="0" fontId="3" fillId="4" borderId="56" xfId="0" applyFont="1" applyFill="1" applyBorder="1" applyAlignment="1" applyProtection="1">
      <alignment horizontal="left" vertical="top" wrapText="1"/>
      <protection locked="0"/>
    </xf>
    <xf numFmtId="0" fontId="3" fillId="4" borderId="77" xfId="0" applyFont="1" applyFill="1" applyBorder="1" applyAlignment="1" applyProtection="1">
      <alignment horizontal="left" vertical="center" wrapText="1"/>
      <protection locked="0"/>
    </xf>
    <xf numFmtId="0" fontId="3" fillId="0" borderId="43" xfId="17" applyNumberFormat="1" applyFont="1" applyFill="1" applyBorder="1"/>
    <xf numFmtId="0" fontId="31" fillId="0" borderId="103" xfId="0" applyFont="1" applyFill="1" applyBorder="1"/>
    <xf numFmtId="0" fontId="3" fillId="0" borderId="1" xfId="0" applyFont="1" applyBorder="1"/>
    <xf numFmtId="0" fontId="5" fillId="9" borderId="15" xfId="0" applyNumberFormat="1" applyFont="1" applyFill="1" applyBorder="1" applyAlignment="1" applyProtection="1">
      <alignment horizontal="center"/>
    </xf>
    <xf numFmtId="0" fontId="0" fillId="0" borderId="0" xfId="0" applyAlignment="1"/>
    <xf numFmtId="0" fontId="3" fillId="0" borderId="43" xfId="0" applyFont="1" applyBorder="1" applyAlignment="1">
      <alignment horizontal="left" wrapText="1"/>
    </xf>
    <xf numFmtId="0" fontId="3" fillId="4" borderId="14" xfId="0" applyNumberFormat="1" applyFont="1" applyFill="1" applyBorder="1" applyAlignment="1" applyProtection="1">
      <alignment vertical="center"/>
      <protection locked="0"/>
    </xf>
    <xf numFmtId="0" fontId="0" fillId="0" borderId="0" xfId="0" applyAlignment="1">
      <alignment vertical="center" wrapText="1"/>
    </xf>
    <xf numFmtId="0" fontId="3" fillId="0" borderId="44" xfId="0" applyFont="1" applyBorder="1" applyAlignment="1">
      <alignment horizontal="left" wrapText="1"/>
    </xf>
    <xf numFmtId="0" fontId="0" fillId="0" borderId="0" xfId="0" applyAlignment="1">
      <alignment horizontal="center"/>
    </xf>
    <xf numFmtId="0" fontId="0" fillId="0" borderId="0" xfId="0" applyFill="1" applyAlignment="1">
      <alignment vertical="center"/>
    </xf>
    <xf numFmtId="0" fontId="11" fillId="0" borderId="8" xfId="0" applyFont="1" applyFill="1" applyBorder="1" applyAlignment="1">
      <alignment horizontal="left"/>
    </xf>
    <xf numFmtId="0" fontId="11" fillId="0" borderId="7" xfId="0" applyFont="1" applyFill="1" applyBorder="1" applyAlignment="1">
      <alignment horizontal="left"/>
    </xf>
    <xf numFmtId="0" fontId="0" fillId="0" borderId="7" xfId="0" applyBorder="1"/>
    <xf numFmtId="0" fontId="0" fillId="0" borderId="8" xfId="0" applyBorder="1"/>
    <xf numFmtId="0" fontId="3" fillId="0" borderId="12" xfId="0" applyFont="1" applyBorder="1" applyAlignment="1">
      <alignment horizontal="left" wrapText="1"/>
    </xf>
    <xf numFmtId="0" fontId="3" fillId="4" borderId="1" xfId="0" applyNumberFormat="1" applyFont="1" applyFill="1" applyBorder="1" applyAlignment="1" applyProtection="1">
      <alignment vertical="center"/>
      <protection locked="0"/>
    </xf>
    <xf numFmtId="0" fontId="3" fillId="0" borderId="13" xfId="0" applyFont="1" applyBorder="1" applyAlignment="1">
      <alignment horizontal="left" wrapText="1"/>
    </xf>
    <xf numFmtId="0" fontId="0" fillId="0" borderId="0" xfId="0" applyBorder="1"/>
    <xf numFmtId="0" fontId="4" fillId="0" borderId="7" xfId="0" applyFont="1" applyFill="1" applyBorder="1" applyAlignment="1">
      <alignment horizontal="left"/>
    </xf>
    <xf numFmtId="0" fontId="0" fillId="0" borderId="32" xfId="0" applyBorder="1"/>
    <xf numFmtId="0" fontId="0" fillId="0" borderId="33" xfId="0" applyBorder="1"/>
    <xf numFmtId="0" fontId="0" fillId="0" borderId="33" xfId="0" applyBorder="1" applyAlignment="1"/>
    <xf numFmtId="0" fontId="0" fillId="0" borderId="33" xfId="0" applyFill="1" applyBorder="1"/>
    <xf numFmtId="0" fontId="0" fillId="0" borderId="34" xfId="0" applyBorder="1"/>
    <xf numFmtId="0" fontId="0" fillId="0" borderId="0" xfId="0" applyFill="1"/>
    <xf numFmtId="0" fontId="11" fillId="0" borderId="0" xfId="0" applyFont="1" applyFill="1" applyBorder="1" applyAlignment="1">
      <alignment horizontal="left"/>
    </xf>
    <xf numFmtId="0" fontId="0" fillId="0" borderId="9" xfId="0" applyBorder="1"/>
    <xf numFmtId="0" fontId="11" fillId="0" borderId="62" xfId="0" applyNumberFormat="1" applyFont="1" applyBorder="1" applyAlignment="1">
      <alignment horizontal="center" vertical="center" wrapText="1"/>
    </xf>
    <xf numFmtId="0" fontId="3" fillId="0" borderId="12" xfId="0" applyNumberFormat="1" applyFont="1" applyBorder="1"/>
    <xf numFmtId="0" fontId="3" fillId="0" borderId="13" xfId="0" applyNumberFormat="1" applyFont="1" applyBorder="1"/>
    <xf numFmtId="0" fontId="5" fillId="0" borderId="8" xfId="0" applyNumberFormat="1" applyFont="1" applyFill="1" applyBorder="1" applyAlignment="1" applyProtection="1"/>
    <xf numFmtId="0" fontId="0" fillId="0" borderId="32" xfId="0" applyBorder="1" applyAlignment="1">
      <alignment horizontal="center"/>
    </xf>
    <xf numFmtId="0" fontId="0" fillId="0" borderId="33" xfId="0" applyBorder="1" applyAlignment="1">
      <alignment horizontal="center"/>
    </xf>
    <xf numFmtId="0" fontId="3" fillId="0" borderId="134" xfId="0" applyFont="1" applyBorder="1" applyAlignment="1">
      <alignment horizontal="center" vertical="center"/>
    </xf>
    <xf numFmtId="0" fontId="3" fillId="0" borderId="133" xfId="0" applyFont="1" applyBorder="1" applyAlignment="1">
      <alignment horizontal="center" vertical="center"/>
    </xf>
    <xf numFmtId="0" fontId="3" fillId="0" borderId="10" xfId="0" applyFont="1" applyBorder="1" applyAlignment="1">
      <alignment vertical="center"/>
    </xf>
    <xf numFmtId="0" fontId="3" fillId="4" borderId="1" xfId="0" applyNumberFormat="1" applyFont="1" applyFill="1" applyBorder="1" applyAlignment="1" applyProtection="1">
      <alignment vertical="center" wrapText="1"/>
      <protection locked="0"/>
    </xf>
    <xf numFmtId="0" fontId="3" fillId="4" borderId="14" xfId="0" applyNumberFormat="1" applyFont="1" applyFill="1" applyBorder="1" applyAlignment="1" applyProtection="1">
      <alignment vertical="center" wrapText="1"/>
      <protection locked="0"/>
    </xf>
    <xf numFmtId="0" fontId="3" fillId="4" borderId="56" xfId="0" applyNumberFormat="1" applyFont="1" applyFill="1" applyBorder="1" applyAlignment="1" applyProtection="1">
      <alignment vertical="center" wrapText="1"/>
      <protection locked="0"/>
    </xf>
    <xf numFmtId="0" fontId="3" fillId="4" borderId="15" xfId="0" applyNumberFormat="1" applyFont="1" applyFill="1" applyBorder="1" applyAlignment="1" applyProtection="1">
      <alignment vertical="center" wrapText="1"/>
      <protection locked="0"/>
    </xf>
    <xf numFmtId="0" fontId="3" fillId="4" borderId="15" xfId="0" applyNumberFormat="1" applyFont="1" applyFill="1" applyBorder="1" applyAlignment="1" applyProtection="1">
      <alignment horizontal="left" vertical="center"/>
      <protection locked="0"/>
    </xf>
    <xf numFmtId="0" fontId="3" fillId="4" borderId="14" xfId="0" applyNumberFormat="1" applyFont="1" applyFill="1" applyBorder="1" applyAlignment="1" applyProtection="1">
      <alignment horizontal="left" vertical="center"/>
      <protection locked="0"/>
    </xf>
    <xf numFmtId="0" fontId="5" fillId="25" borderId="28" xfId="0" applyNumberFormat="1" applyFont="1" applyFill="1" applyBorder="1" applyAlignment="1"/>
    <xf numFmtId="0" fontId="31" fillId="18" borderId="0" xfId="17" applyFont="1" applyFill="1" applyAlignment="1">
      <alignment vertical="center"/>
    </xf>
    <xf numFmtId="0" fontId="3" fillId="4" borderId="51" xfId="0" applyFont="1" applyFill="1" applyBorder="1" applyAlignment="1" applyProtection="1">
      <alignment horizontal="left" vertical="top" wrapText="1"/>
      <protection locked="0"/>
    </xf>
    <xf numFmtId="0" fontId="3" fillId="0" borderId="119" xfId="0" applyFont="1" applyBorder="1" applyAlignment="1">
      <alignment horizontal="left"/>
    </xf>
    <xf numFmtId="0" fontId="33" fillId="0" borderId="87" xfId="11" applyBorder="1" applyAlignment="1" applyProtection="1">
      <alignment vertical="center"/>
      <protection locked="0"/>
    </xf>
    <xf numFmtId="165" fontId="21" fillId="9" borderId="28" xfId="20" quotePrefix="1" applyNumberFormat="1" applyFont="1" applyFill="1" applyBorder="1" applyAlignment="1">
      <alignment horizontal="center"/>
    </xf>
    <xf numFmtId="165" fontId="21" fillId="9" borderId="14" xfId="20" quotePrefix="1" applyNumberFormat="1" applyFont="1" applyFill="1" applyBorder="1" applyAlignment="1">
      <alignment horizontal="center"/>
    </xf>
    <xf numFmtId="165" fontId="41" fillId="20" borderId="34" xfId="20" quotePrefix="1" applyNumberFormat="1" applyFont="1" applyFill="1" applyBorder="1" applyAlignment="1">
      <alignment horizontal="center"/>
    </xf>
    <xf numFmtId="164" fontId="21" fillId="9" borderId="14" xfId="20" quotePrefix="1" applyNumberFormat="1" applyFont="1" applyFill="1" applyBorder="1" applyAlignment="1">
      <alignment horizontal="center"/>
    </xf>
    <xf numFmtId="0" fontId="3" fillId="0" borderId="12" xfId="0" applyFont="1" applyBorder="1" applyAlignment="1">
      <alignment horizontal="left" vertical="center" wrapText="1"/>
    </xf>
    <xf numFmtId="0" fontId="3" fillId="0" borderId="33" xfId="0" applyFont="1" applyFill="1" applyBorder="1" applyAlignment="1" applyProtection="1">
      <alignment horizontal="left" vertical="top" wrapText="1"/>
    </xf>
    <xf numFmtId="0" fontId="3" fillId="0" borderId="34" xfId="0" applyFont="1" applyFill="1" applyBorder="1" applyAlignment="1" applyProtection="1">
      <alignment horizontal="left" vertical="top" wrapText="1"/>
    </xf>
    <xf numFmtId="0" fontId="3" fillId="0" borderId="0" xfId="0" applyFont="1" applyFill="1" applyBorder="1" applyAlignment="1" applyProtection="1">
      <alignment horizontal="left" vertical="top" wrapText="1"/>
    </xf>
    <xf numFmtId="0" fontId="3" fillId="0" borderId="10" xfId="0" applyFont="1" applyFill="1" applyBorder="1" applyAlignment="1" applyProtection="1">
      <alignment horizontal="left" vertical="top" wrapText="1"/>
    </xf>
    <xf numFmtId="0" fontId="3" fillId="0" borderId="11" xfId="0" applyFont="1" applyFill="1" applyBorder="1" applyAlignment="1" applyProtection="1">
      <alignment horizontal="left" vertical="top" wrapText="1"/>
    </xf>
    <xf numFmtId="0" fontId="3" fillId="0" borderId="8" xfId="0" applyFont="1" applyFill="1" applyBorder="1" applyAlignment="1" applyProtection="1">
      <alignment horizontal="left" vertical="top" wrapText="1"/>
    </xf>
    <xf numFmtId="0" fontId="3" fillId="0" borderId="1" xfId="0" applyFont="1" applyBorder="1" applyAlignment="1">
      <alignment horizontal="left" vertical="center" wrapText="1"/>
    </xf>
    <xf numFmtId="0" fontId="3" fillId="4" borderId="1" xfId="0" applyFont="1" applyFill="1" applyBorder="1" applyAlignment="1" applyProtection="1">
      <alignment horizontal="left" vertical="top" wrapText="1"/>
      <protection locked="0"/>
    </xf>
    <xf numFmtId="0" fontId="3" fillId="0" borderId="12" xfId="0" applyFont="1" applyBorder="1" applyAlignment="1">
      <alignment horizontal="left" vertical="center" wrapText="1"/>
    </xf>
    <xf numFmtId="0" fontId="9" fillId="0" borderId="135" xfId="0" applyFont="1" applyBorder="1" applyAlignment="1">
      <alignment vertical="center" wrapText="1"/>
    </xf>
    <xf numFmtId="0" fontId="3" fillId="4" borderId="100" xfId="0" applyFont="1" applyFill="1" applyBorder="1" applyAlignment="1" applyProtection="1">
      <alignment horizontal="left" vertical="center" wrapText="1"/>
      <protection locked="0"/>
    </xf>
    <xf numFmtId="0" fontId="3" fillId="0" borderId="11" xfId="0" applyFont="1" applyBorder="1" applyAlignment="1">
      <alignment vertical="center"/>
    </xf>
    <xf numFmtId="0" fontId="3" fillId="0" borderId="33" xfId="0" applyFont="1" applyBorder="1" applyAlignment="1">
      <alignment vertical="center"/>
    </xf>
    <xf numFmtId="0" fontId="3" fillId="0" borderId="34" xfId="0" applyFont="1" applyBorder="1" applyAlignment="1">
      <alignment vertical="center"/>
    </xf>
    <xf numFmtId="0" fontId="3" fillId="0" borderId="33" xfId="0" applyFont="1" applyFill="1" applyBorder="1" applyAlignment="1" applyProtection="1">
      <alignment horizontal="left" vertical="center" wrapText="1"/>
    </xf>
    <xf numFmtId="0" fontId="0" fillId="0" borderId="0" xfId="0" quotePrefix="1"/>
    <xf numFmtId="0" fontId="3" fillId="0" borderId="136" xfId="0" applyFont="1" applyBorder="1" applyAlignment="1">
      <alignment horizontal="left" vertical="center" wrapText="1"/>
    </xf>
    <xf numFmtId="0" fontId="3" fillId="4" borderId="15" xfId="0" applyNumberFormat="1" applyFont="1" applyFill="1" applyBorder="1" applyAlignment="1" applyProtection="1">
      <alignment vertical="center" wrapText="1"/>
    </xf>
    <xf numFmtId="0" fontId="10" fillId="16" borderId="5" xfId="10" applyFont="1" applyBorder="1" applyAlignment="1">
      <alignment horizontal="left" vertical="center"/>
    </xf>
    <xf numFmtId="0" fontId="10" fillId="16" borderId="40" xfId="10" applyFont="1" applyBorder="1" applyAlignment="1">
      <alignment horizontal="left" vertical="center"/>
    </xf>
    <xf numFmtId="0" fontId="10" fillId="16" borderId="6" xfId="10" applyFont="1" applyBorder="1" applyAlignment="1">
      <alignment horizontal="left" vertical="center"/>
    </xf>
    <xf numFmtId="0" fontId="2" fillId="16" borderId="5" xfId="10" applyFont="1" applyBorder="1" applyAlignment="1">
      <alignment horizontal="left" vertical="center"/>
    </xf>
    <xf numFmtId="0" fontId="2" fillId="16" borderId="6" xfId="10" applyFont="1" applyBorder="1" applyAlignment="1">
      <alignment horizontal="left" vertical="center"/>
    </xf>
    <xf numFmtId="0" fontId="18" fillId="16" borderId="5" xfId="10" applyFont="1" applyBorder="1" applyAlignment="1">
      <alignment horizontal="left" vertical="center"/>
    </xf>
    <xf numFmtId="0" fontId="18" fillId="16" borderId="6" xfId="10" applyFont="1" applyBorder="1" applyAlignment="1">
      <alignment horizontal="left" vertical="center"/>
    </xf>
    <xf numFmtId="0" fontId="10" fillId="10" borderId="9" xfId="10" applyFont="1" applyFill="1" applyBorder="1" applyAlignment="1" applyProtection="1">
      <alignment horizontal="left" vertical="center" wrapText="1"/>
    </xf>
    <xf numFmtId="0" fontId="9" fillId="10" borderId="11" xfId="10" applyFont="1" applyFill="1" applyBorder="1" applyAlignment="1" applyProtection="1">
      <alignment horizontal="left" vertical="center" wrapText="1"/>
    </xf>
    <xf numFmtId="0" fontId="9" fillId="10" borderId="32" xfId="10" applyFont="1" applyFill="1" applyBorder="1" applyAlignment="1" applyProtection="1">
      <alignment horizontal="left" vertical="center" wrapText="1"/>
    </xf>
    <xf numFmtId="0" fontId="9" fillId="10" borderId="34" xfId="10" applyFont="1" applyFill="1" applyBorder="1" applyAlignment="1" applyProtection="1">
      <alignment horizontal="left" vertical="center" wrapText="1"/>
    </xf>
    <xf numFmtId="0" fontId="9" fillId="10" borderId="9" xfId="10" applyFont="1" applyFill="1" applyBorder="1" applyAlignment="1">
      <alignment horizontal="left" vertical="center" wrapText="1"/>
    </xf>
    <xf numFmtId="0" fontId="9" fillId="10" borderId="11" xfId="10" applyFont="1" applyFill="1" applyBorder="1" applyAlignment="1">
      <alignment horizontal="left" vertical="center" wrapText="1"/>
    </xf>
    <xf numFmtId="0" fontId="9" fillId="10" borderId="7" xfId="10" applyFont="1" applyFill="1" applyBorder="1" applyAlignment="1">
      <alignment horizontal="left" vertical="center" wrapText="1"/>
    </xf>
    <xf numFmtId="0" fontId="9" fillId="10" borderId="8" xfId="10" applyFont="1" applyFill="1" applyBorder="1" applyAlignment="1">
      <alignment horizontal="left" vertical="center" wrapText="1"/>
    </xf>
    <xf numFmtId="0" fontId="9" fillId="10" borderId="32" xfId="10" applyFont="1" applyFill="1" applyBorder="1" applyAlignment="1">
      <alignment horizontal="left" vertical="center" wrapText="1"/>
    </xf>
    <xf numFmtId="0" fontId="9" fillId="10" borderId="34" xfId="10" applyFont="1" applyFill="1" applyBorder="1" applyAlignment="1">
      <alignment horizontal="left" vertical="center" wrapText="1"/>
    </xf>
    <xf numFmtId="0" fontId="33" fillId="0" borderId="5" xfId="11" applyBorder="1" applyAlignment="1" applyProtection="1">
      <alignment horizontal="left" vertical="center"/>
      <protection locked="0"/>
    </xf>
    <xf numFmtId="0" fontId="33" fillId="0" borderId="40" xfId="11" applyBorder="1" applyAlignment="1" applyProtection="1">
      <alignment horizontal="left" vertical="center"/>
      <protection locked="0"/>
    </xf>
    <xf numFmtId="0" fontId="33" fillId="0" borderId="6" xfId="11" applyBorder="1" applyAlignment="1" applyProtection="1">
      <alignment horizontal="left" vertical="center"/>
      <protection locked="0"/>
    </xf>
    <xf numFmtId="0" fontId="39" fillId="24" borderId="5" xfId="0" applyFont="1" applyFill="1" applyBorder="1" applyAlignment="1">
      <alignment horizontal="center"/>
    </xf>
    <xf numFmtId="0" fontId="39" fillId="24" borderId="6" xfId="0" applyFont="1" applyFill="1" applyBorder="1" applyAlignment="1">
      <alignment horizontal="center"/>
    </xf>
    <xf numFmtId="0" fontId="39" fillId="24" borderId="74" xfId="0" applyFont="1" applyFill="1" applyBorder="1" applyAlignment="1">
      <alignment horizontal="center" vertical="center"/>
    </xf>
    <xf numFmtId="0" fontId="39" fillId="24" borderId="109" xfId="0" applyFont="1" applyFill="1" applyBorder="1" applyAlignment="1">
      <alignment horizontal="center" vertical="center"/>
    </xf>
    <xf numFmtId="0" fontId="3" fillId="0" borderId="0" xfId="16" applyFont="1" applyFill="1" applyBorder="1" applyAlignment="1" applyProtection="1">
      <alignment horizontal="left"/>
    </xf>
    <xf numFmtId="0" fontId="10" fillId="8" borderId="9" xfId="10" applyFont="1" applyFill="1" applyBorder="1" applyAlignment="1" applyProtection="1">
      <alignment horizontal="left" vertical="center" wrapText="1"/>
    </xf>
    <xf numFmtId="0" fontId="10" fillId="8" borderId="10" xfId="10" applyFont="1" applyFill="1" applyBorder="1" applyAlignment="1" applyProtection="1">
      <alignment horizontal="left" vertical="center" wrapText="1"/>
    </xf>
    <xf numFmtId="0" fontId="10" fillId="8" borderId="11" xfId="10" applyFont="1" applyFill="1" applyBorder="1" applyAlignment="1" applyProtection="1">
      <alignment horizontal="left" vertical="center" wrapText="1"/>
    </xf>
    <xf numFmtId="0" fontId="10" fillId="8" borderId="7" xfId="10" applyFont="1" applyFill="1" applyBorder="1" applyAlignment="1" applyProtection="1">
      <alignment horizontal="left" vertical="center" wrapText="1"/>
    </xf>
    <xf numFmtId="0" fontId="10" fillId="8" borderId="0" xfId="10" applyFont="1" applyFill="1" applyBorder="1" applyAlignment="1" applyProtection="1">
      <alignment horizontal="left" vertical="center" wrapText="1"/>
    </xf>
    <xf numFmtId="0" fontId="10" fillId="8" borderId="8" xfId="10" applyFont="1" applyFill="1" applyBorder="1" applyAlignment="1" applyProtection="1">
      <alignment horizontal="left" vertical="center" wrapText="1"/>
    </xf>
    <xf numFmtId="0" fontId="3" fillId="0" borderId="20" xfId="19" applyFont="1" applyBorder="1" applyAlignment="1">
      <alignment horizontal="left"/>
    </xf>
    <xf numFmtId="0" fontId="3" fillId="0" borderId="50" xfId="19" applyFont="1" applyBorder="1" applyAlignment="1">
      <alignment horizontal="left"/>
    </xf>
    <xf numFmtId="0" fontId="4" fillId="0" borderId="20" xfId="19" applyFont="1" applyBorder="1" applyAlignment="1">
      <alignment horizontal="center"/>
    </xf>
    <xf numFmtId="0" fontId="4" fillId="0" borderId="50" xfId="19" applyFont="1" applyBorder="1" applyAlignment="1">
      <alignment horizontal="center"/>
    </xf>
    <xf numFmtId="0" fontId="3" fillId="4" borderId="75" xfId="0" applyFont="1" applyFill="1" applyBorder="1" applyAlignment="1" applyProtection="1">
      <alignment horizontal="left" vertical="center" wrapText="1"/>
      <protection locked="0"/>
    </xf>
    <xf numFmtId="0" fontId="3" fillId="4" borderId="76" xfId="0" applyFont="1" applyFill="1" applyBorder="1" applyAlignment="1" applyProtection="1">
      <alignment horizontal="left" vertical="center" wrapText="1"/>
      <protection locked="0"/>
    </xf>
    <xf numFmtId="0" fontId="3" fillId="4" borderId="47" xfId="0" applyFont="1" applyFill="1" applyBorder="1" applyAlignment="1" applyProtection="1">
      <alignment horizontal="left" vertical="center" wrapText="1"/>
      <protection locked="0"/>
    </xf>
    <xf numFmtId="0" fontId="3" fillId="4" borderId="7" xfId="0" applyFont="1" applyFill="1" applyBorder="1" applyAlignment="1" applyProtection="1">
      <alignment horizontal="left" vertical="center" wrapText="1"/>
      <protection locked="0"/>
    </xf>
    <xf numFmtId="0" fontId="3" fillId="4" borderId="0" xfId="0" applyFont="1" applyFill="1" applyBorder="1" applyAlignment="1" applyProtection="1">
      <alignment horizontal="left" vertical="center" wrapText="1"/>
      <protection locked="0"/>
    </xf>
    <xf numFmtId="0" fontId="3" fillId="4" borderId="8" xfId="0" applyFont="1" applyFill="1" applyBorder="1" applyAlignment="1" applyProtection="1">
      <alignment horizontal="left" vertical="center" wrapText="1"/>
      <protection locked="0"/>
    </xf>
    <xf numFmtId="0" fontId="3" fillId="4" borderId="41" xfId="0" applyFont="1" applyFill="1" applyBorder="1" applyAlignment="1" applyProtection="1">
      <alignment horizontal="left" vertical="center" wrapText="1"/>
      <protection locked="0"/>
    </xf>
    <xf numFmtId="0" fontId="3" fillId="4" borderId="46" xfId="0" applyFont="1" applyFill="1" applyBorder="1" applyAlignment="1" applyProtection="1">
      <alignment horizontal="left" vertical="center" wrapText="1"/>
      <protection locked="0"/>
    </xf>
    <xf numFmtId="0" fontId="3" fillId="4" borderId="16" xfId="0" applyFont="1" applyFill="1" applyBorder="1" applyAlignment="1" applyProtection="1">
      <alignment horizontal="left" vertical="center" wrapText="1"/>
      <protection locked="0"/>
    </xf>
    <xf numFmtId="0" fontId="3" fillId="4" borderId="32" xfId="0" applyFont="1" applyFill="1" applyBorder="1" applyAlignment="1" applyProtection="1">
      <alignment horizontal="left" vertical="center" wrapText="1"/>
      <protection locked="0"/>
    </xf>
    <xf numFmtId="0" fontId="3" fillId="4" borderId="33" xfId="0" applyFont="1" applyFill="1" applyBorder="1" applyAlignment="1" applyProtection="1">
      <alignment horizontal="left" vertical="center" wrapText="1"/>
      <protection locked="0"/>
    </xf>
    <xf numFmtId="0" fontId="3" fillId="4" borderId="34" xfId="0" applyFont="1" applyFill="1" applyBorder="1" applyAlignment="1" applyProtection="1">
      <alignment horizontal="left" vertical="center" wrapText="1"/>
      <protection locked="0"/>
    </xf>
    <xf numFmtId="0" fontId="4" fillId="24" borderId="5" xfId="0" applyFont="1" applyFill="1" applyBorder="1" applyAlignment="1">
      <alignment horizontal="left" vertical="center"/>
    </xf>
    <xf numFmtId="0" fontId="4" fillId="24" borderId="40" xfId="0" applyFont="1" applyFill="1" applyBorder="1" applyAlignment="1">
      <alignment horizontal="left" vertical="center"/>
    </xf>
    <xf numFmtId="0" fontId="4" fillId="24" borderId="6" xfId="0" applyFont="1" applyFill="1" applyBorder="1" applyAlignment="1">
      <alignment horizontal="left" vertical="center"/>
    </xf>
    <xf numFmtId="0" fontId="3" fillId="4" borderId="75" xfId="0" applyFont="1" applyFill="1" applyBorder="1" applyAlignment="1" applyProtection="1">
      <alignment horizontal="left" vertical="top" wrapText="1"/>
      <protection locked="0"/>
    </xf>
    <xf numFmtId="0" fontId="3" fillId="4" borderId="76" xfId="0" applyFont="1" applyFill="1" applyBorder="1" applyAlignment="1" applyProtection="1">
      <alignment horizontal="left" vertical="top" wrapText="1"/>
      <protection locked="0"/>
    </xf>
    <xf numFmtId="0" fontId="3" fillId="4" borderId="47" xfId="0" applyFont="1" applyFill="1" applyBorder="1" applyAlignment="1" applyProtection="1">
      <alignment horizontal="left" vertical="top" wrapText="1"/>
      <protection locked="0"/>
    </xf>
    <xf numFmtId="0" fontId="3" fillId="4" borderId="7" xfId="0" applyFont="1" applyFill="1" applyBorder="1" applyAlignment="1" applyProtection="1">
      <alignment horizontal="left" vertical="top" wrapText="1"/>
      <protection locked="0"/>
    </xf>
    <xf numFmtId="0" fontId="3" fillId="4" borderId="0" xfId="0" applyFont="1" applyFill="1" applyBorder="1" applyAlignment="1" applyProtection="1">
      <alignment horizontal="left" vertical="top" wrapText="1"/>
      <protection locked="0"/>
    </xf>
    <xf numFmtId="0" fontId="3" fillId="4" borderId="8" xfId="0" applyFont="1" applyFill="1" applyBorder="1" applyAlignment="1" applyProtection="1">
      <alignment horizontal="left" vertical="top" wrapText="1"/>
      <protection locked="0"/>
    </xf>
    <xf numFmtId="0" fontId="3" fillId="4" borderId="41" xfId="0" applyFont="1" applyFill="1" applyBorder="1" applyAlignment="1" applyProtection="1">
      <alignment horizontal="left" vertical="top" wrapText="1"/>
      <protection locked="0"/>
    </xf>
    <xf numFmtId="0" fontId="3" fillId="4" borderId="46" xfId="0" applyFont="1" applyFill="1" applyBorder="1" applyAlignment="1" applyProtection="1">
      <alignment horizontal="left" vertical="top" wrapText="1"/>
      <protection locked="0"/>
    </xf>
    <xf numFmtId="0" fontId="3" fillId="4" borderId="16" xfId="0" applyFont="1" applyFill="1" applyBorder="1" applyAlignment="1" applyProtection="1">
      <alignment horizontal="left" vertical="top" wrapText="1"/>
      <protection locked="0"/>
    </xf>
    <xf numFmtId="0" fontId="3" fillId="4" borderId="32" xfId="0" applyFont="1" applyFill="1" applyBorder="1" applyAlignment="1" applyProtection="1">
      <alignment horizontal="left" vertical="top" wrapText="1"/>
      <protection locked="0"/>
    </xf>
    <xf numFmtId="0" fontId="3" fillId="4" borderId="33" xfId="0" applyFont="1" applyFill="1" applyBorder="1" applyAlignment="1" applyProtection="1">
      <alignment horizontal="left" vertical="top" wrapText="1"/>
      <protection locked="0"/>
    </xf>
    <xf numFmtId="0" fontId="3" fillId="4" borderId="34" xfId="0" applyFont="1" applyFill="1" applyBorder="1" applyAlignment="1" applyProtection="1">
      <alignment horizontal="left" vertical="top" wrapText="1"/>
      <protection locked="0"/>
    </xf>
    <xf numFmtId="0" fontId="3" fillId="4" borderId="1" xfId="0" applyFont="1" applyFill="1" applyBorder="1" applyAlignment="1" applyProtection="1">
      <alignment horizontal="left" vertical="top" wrapText="1"/>
      <protection locked="0"/>
    </xf>
    <xf numFmtId="0" fontId="3" fillId="4" borderId="14" xfId="0" applyFont="1" applyFill="1" applyBorder="1" applyAlignment="1" applyProtection="1">
      <alignment horizontal="left" vertical="top" wrapText="1"/>
      <protection locked="0"/>
    </xf>
    <xf numFmtId="0" fontId="3" fillId="0" borderId="12" xfId="0" applyFont="1" applyBorder="1" applyAlignment="1">
      <alignment horizontal="left" vertical="center" wrapText="1"/>
    </xf>
    <xf numFmtId="0" fontId="33" fillId="8" borderId="0" xfId="11" applyFill="1" applyBorder="1" applyAlignment="1" applyProtection="1">
      <alignment horizontal="left" vertical="center"/>
      <protection locked="0"/>
    </xf>
    <xf numFmtId="0" fontId="43" fillId="0" borderId="0" xfId="11" applyFont="1" applyAlignment="1" applyProtection="1">
      <alignment horizontal="left" vertical="center"/>
      <protection locked="0"/>
    </xf>
    <xf numFmtId="0" fontId="4" fillId="24" borderId="9" xfId="0" applyFont="1" applyFill="1" applyBorder="1" applyAlignment="1">
      <alignment horizontal="left" vertical="center"/>
    </xf>
    <xf numFmtId="0" fontId="4" fillId="24" borderId="10" xfId="0" applyFont="1" applyFill="1" applyBorder="1" applyAlignment="1">
      <alignment horizontal="left" vertical="center"/>
    </xf>
    <xf numFmtId="0" fontId="4" fillId="24" borderId="11" xfId="0" applyFont="1" applyFill="1" applyBorder="1" applyAlignment="1">
      <alignment horizontal="left" vertical="center"/>
    </xf>
    <xf numFmtId="0" fontId="3" fillId="4" borderId="28" xfId="0" applyFont="1" applyFill="1" applyBorder="1" applyAlignment="1" applyProtection="1">
      <alignment horizontal="left" vertical="top" wrapText="1"/>
      <protection locked="0"/>
    </xf>
    <xf numFmtId="0" fontId="3" fillId="4" borderId="52" xfId="0" applyFont="1" applyFill="1" applyBorder="1" applyAlignment="1" applyProtection="1">
      <alignment horizontal="left" vertical="top" wrapText="1"/>
      <protection locked="0"/>
    </xf>
    <xf numFmtId="0" fontId="3" fillId="4" borderId="39" xfId="0" applyFont="1" applyFill="1" applyBorder="1" applyAlignment="1" applyProtection="1">
      <alignment horizontal="left" vertical="top" wrapText="1"/>
      <protection locked="0"/>
    </xf>
    <xf numFmtId="0" fontId="4" fillId="24" borderId="5" xfId="0" applyFont="1" applyFill="1" applyBorder="1" applyAlignment="1">
      <alignment horizontal="left" vertical="center" wrapText="1"/>
    </xf>
    <xf numFmtId="0" fontId="4" fillId="24" borderId="40" xfId="0" applyFont="1" applyFill="1" applyBorder="1" applyAlignment="1">
      <alignment horizontal="left" vertical="center" wrapText="1"/>
    </xf>
    <xf numFmtId="0" fontId="4" fillId="24" borderId="6" xfId="0" applyFont="1" applyFill="1" applyBorder="1" applyAlignment="1">
      <alignment horizontal="left" vertical="center" wrapText="1"/>
    </xf>
    <xf numFmtId="0" fontId="31" fillId="4" borderId="7" xfId="0" applyFont="1" applyFill="1" applyBorder="1" applyAlignment="1" applyProtection="1">
      <alignment horizontal="center" vertical="center" wrapText="1"/>
      <protection locked="0"/>
    </xf>
    <xf numFmtId="0" fontId="31" fillId="4" borderId="0" xfId="0" applyFont="1" applyFill="1" applyBorder="1" applyAlignment="1" applyProtection="1">
      <alignment horizontal="center" vertical="center" wrapText="1"/>
      <protection locked="0"/>
    </xf>
    <xf numFmtId="0" fontId="31" fillId="4" borderId="8" xfId="0" applyFont="1" applyFill="1" applyBorder="1" applyAlignment="1" applyProtection="1">
      <alignment horizontal="center" vertical="center" wrapText="1"/>
      <protection locked="0"/>
    </xf>
    <xf numFmtId="0" fontId="31" fillId="4" borderId="32" xfId="0" applyFont="1" applyFill="1" applyBorder="1" applyAlignment="1" applyProtection="1">
      <alignment horizontal="center" vertical="center" wrapText="1"/>
      <protection locked="0"/>
    </xf>
    <xf numFmtId="0" fontId="31" fillId="4" borderId="33" xfId="0" applyFont="1" applyFill="1" applyBorder="1" applyAlignment="1" applyProtection="1">
      <alignment horizontal="center" vertical="center" wrapText="1"/>
      <protection locked="0"/>
    </xf>
    <xf numFmtId="0" fontId="31" fillId="4" borderId="34" xfId="0" applyFont="1" applyFill="1" applyBorder="1" applyAlignment="1" applyProtection="1">
      <alignment horizontal="center" vertical="center" wrapText="1"/>
      <protection locked="0"/>
    </xf>
    <xf numFmtId="0" fontId="31" fillId="4" borderId="9" xfId="0" applyFont="1" applyFill="1" applyBorder="1" applyAlignment="1" applyProtection="1">
      <alignment horizontal="center" vertical="center"/>
      <protection locked="0"/>
    </xf>
    <xf numFmtId="0" fontId="31" fillId="4" borderId="10" xfId="0" applyFont="1" applyFill="1" applyBorder="1" applyAlignment="1" applyProtection="1">
      <alignment horizontal="center" vertical="center"/>
      <protection locked="0"/>
    </xf>
    <xf numFmtId="0" fontId="31" fillId="4" borderId="11" xfId="0" applyFont="1" applyFill="1" applyBorder="1" applyAlignment="1" applyProtection="1">
      <alignment horizontal="center" vertical="center"/>
      <protection locked="0"/>
    </xf>
    <xf numFmtId="0" fontId="31" fillId="4" borderId="7" xfId="0" applyFont="1" applyFill="1" applyBorder="1" applyAlignment="1" applyProtection="1">
      <alignment horizontal="center" vertical="center"/>
      <protection locked="0"/>
    </xf>
    <xf numFmtId="0" fontId="31" fillId="4" borderId="0" xfId="0" applyFont="1" applyFill="1" applyBorder="1" applyAlignment="1" applyProtection="1">
      <alignment horizontal="center" vertical="center"/>
      <protection locked="0"/>
    </xf>
    <xf numFmtId="0" fontId="31" fillId="4" borderId="8" xfId="0" applyFont="1" applyFill="1" applyBorder="1" applyAlignment="1" applyProtection="1">
      <alignment horizontal="center" vertical="center"/>
      <protection locked="0"/>
    </xf>
    <xf numFmtId="0" fontId="31" fillId="4" borderId="32" xfId="0" applyFont="1" applyFill="1" applyBorder="1" applyAlignment="1" applyProtection="1">
      <alignment horizontal="center" vertical="center"/>
      <protection locked="0"/>
    </xf>
    <xf numFmtId="0" fontId="31" fillId="4" borderId="33" xfId="0" applyFont="1" applyFill="1" applyBorder="1" applyAlignment="1" applyProtection="1">
      <alignment horizontal="center" vertical="center"/>
      <protection locked="0"/>
    </xf>
    <xf numFmtId="0" fontId="31" fillId="4" borderId="34" xfId="0" applyFont="1" applyFill="1" applyBorder="1" applyAlignment="1" applyProtection="1">
      <alignment horizontal="center" vertical="center"/>
      <protection locked="0"/>
    </xf>
    <xf numFmtId="0" fontId="31" fillId="4" borderId="9" xfId="0" applyFont="1" applyFill="1" applyBorder="1" applyAlignment="1" applyProtection="1">
      <alignment horizontal="center" vertical="center" wrapText="1"/>
      <protection locked="0"/>
    </xf>
    <xf numFmtId="0" fontId="31" fillId="4" borderId="10" xfId="0" applyFont="1" applyFill="1" applyBorder="1" applyAlignment="1" applyProtection="1">
      <alignment horizontal="center" vertical="center" wrapText="1"/>
      <protection locked="0"/>
    </xf>
    <xf numFmtId="0" fontId="31" fillId="4" borderId="11" xfId="0" applyFont="1" applyFill="1" applyBorder="1" applyAlignment="1" applyProtection="1">
      <alignment horizontal="center" vertical="center" wrapText="1"/>
      <protection locked="0"/>
    </xf>
    <xf numFmtId="0" fontId="31" fillId="4" borderId="9" xfId="0" applyFont="1" applyFill="1" applyBorder="1" applyAlignment="1" applyProtection="1">
      <alignment horizontal="left" vertical="center" wrapText="1"/>
      <protection locked="0"/>
    </xf>
    <xf numFmtId="0" fontId="31" fillId="4" borderId="10" xfId="0" applyFont="1" applyFill="1" applyBorder="1" applyAlignment="1" applyProtection="1">
      <alignment horizontal="left" vertical="center" wrapText="1"/>
      <protection locked="0"/>
    </xf>
    <xf numFmtId="0" fontId="31" fillId="4" borderId="11" xfId="0" applyFont="1" applyFill="1" applyBorder="1" applyAlignment="1" applyProtection="1">
      <alignment horizontal="left" vertical="center" wrapText="1"/>
      <protection locked="0"/>
    </xf>
    <xf numFmtId="0" fontId="31" fillId="4" borderId="7" xfId="0" applyFont="1" applyFill="1" applyBorder="1" applyAlignment="1" applyProtection="1">
      <alignment horizontal="left" vertical="center" wrapText="1"/>
      <protection locked="0"/>
    </xf>
    <xf numFmtId="0" fontId="31" fillId="4" borderId="0" xfId="0" applyFont="1" applyFill="1" applyBorder="1" applyAlignment="1" applyProtection="1">
      <alignment horizontal="left" vertical="center" wrapText="1"/>
      <protection locked="0"/>
    </xf>
    <xf numFmtId="0" fontId="31" fillId="4" borderId="8" xfId="0" applyFont="1" applyFill="1" applyBorder="1" applyAlignment="1" applyProtection="1">
      <alignment horizontal="left" vertical="center" wrapText="1"/>
      <protection locked="0"/>
    </xf>
    <xf numFmtId="0" fontId="31" fillId="4" borderId="32" xfId="0" applyFont="1" applyFill="1" applyBorder="1" applyAlignment="1" applyProtection="1">
      <alignment horizontal="left" vertical="center" wrapText="1"/>
      <protection locked="0"/>
    </xf>
    <xf numFmtId="0" fontId="31" fillId="4" borderId="33" xfId="0" applyFont="1" applyFill="1" applyBorder="1" applyAlignment="1" applyProtection="1">
      <alignment horizontal="left" vertical="center" wrapText="1"/>
      <protection locked="0"/>
    </xf>
    <xf numFmtId="0" fontId="31" fillId="4" borderId="34" xfId="0" applyFont="1" applyFill="1" applyBorder="1" applyAlignment="1" applyProtection="1">
      <alignment horizontal="left" vertical="center" wrapText="1"/>
      <protection locked="0"/>
    </xf>
    <xf numFmtId="0" fontId="4" fillId="24" borderId="5" xfId="0" applyFont="1" applyFill="1" applyBorder="1" applyAlignment="1">
      <alignment horizontal="left" vertical="top" wrapText="1"/>
    </xf>
    <xf numFmtId="0" fontId="4" fillId="24" borderId="40" xfId="0" applyFont="1" applyFill="1" applyBorder="1" applyAlignment="1">
      <alignment horizontal="left" vertical="top" wrapText="1"/>
    </xf>
    <xf numFmtId="0" fontId="4" fillId="24" borderId="6" xfId="0" applyFont="1" applyFill="1" applyBorder="1" applyAlignment="1">
      <alignment horizontal="left" vertical="top" wrapText="1"/>
    </xf>
    <xf numFmtId="0" fontId="15" fillId="8" borderId="7" xfId="0" applyFont="1" applyFill="1" applyBorder="1" applyAlignment="1">
      <alignment horizontal="right" vertical="center"/>
    </xf>
    <xf numFmtId="0" fontId="15" fillId="8" borderId="0" xfId="0" applyFont="1" applyFill="1" applyBorder="1" applyAlignment="1">
      <alignment horizontal="right" vertical="center"/>
    </xf>
    <xf numFmtId="0" fontId="4" fillId="24" borderId="5" xfId="0" applyFont="1" applyFill="1" applyBorder="1" applyAlignment="1">
      <alignment horizontal="left"/>
    </xf>
    <xf numFmtId="0" fontId="4" fillId="24" borderId="40" xfId="0" applyFont="1" applyFill="1" applyBorder="1" applyAlignment="1">
      <alignment horizontal="left"/>
    </xf>
    <xf numFmtId="0" fontId="4" fillId="24" borderId="6" xfId="0" applyFont="1" applyFill="1" applyBorder="1" applyAlignment="1">
      <alignment horizontal="left"/>
    </xf>
    <xf numFmtId="165" fontId="30" fillId="20" borderId="28" xfId="0" applyNumberFormat="1" applyFont="1" applyFill="1" applyBorder="1" applyProtection="1"/>
    <xf numFmtId="165" fontId="30" fillId="20" borderId="50" xfId="0" applyNumberFormat="1" applyFont="1" applyFill="1" applyBorder="1" applyProtection="1"/>
    <xf numFmtId="0" fontId="4" fillId="24" borderId="5" xfId="0" applyNumberFormat="1" applyFont="1" applyFill="1" applyBorder="1" applyAlignment="1">
      <alignment horizontal="left"/>
    </xf>
    <xf numFmtId="0" fontId="4" fillId="24" borderId="40" xfId="0" applyNumberFormat="1" applyFont="1" applyFill="1" applyBorder="1" applyAlignment="1">
      <alignment horizontal="left"/>
    </xf>
    <xf numFmtId="0" fontId="4" fillId="24" borderId="6" xfId="0" applyNumberFormat="1" applyFont="1" applyFill="1" applyBorder="1" applyAlignment="1">
      <alignment horizontal="left"/>
    </xf>
    <xf numFmtId="0" fontId="4" fillId="0" borderId="25" xfId="0" applyNumberFormat="1" applyFont="1" applyBorder="1" applyAlignment="1">
      <alignment horizontal="center"/>
    </xf>
    <xf numFmtId="0" fontId="4" fillId="0" borderId="4" xfId="0" applyNumberFormat="1" applyFont="1" applyBorder="1" applyAlignment="1">
      <alignment horizontal="center"/>
    </xf>
    <xf numFmtId="0" fontId="39" fillId="0" borderId="1" xfId="0" applyFont="1" applyFill="1" applyBorder="1" applyAlignment="1" applyProtection="1">
      <alignment horizontal="center" vertical="center" wrapText="1"/>
    </xf>
    <xf numFmtId="0" fontId="39" fillId="0" borderId="14" xfId="0" applyFont="1" applyFill="1" applyBorder="1" applyAlignment="1" applyProtection="1">
      <alignment horizontal="center" vertical="center" wrapText="1"/>
    </xf>
    <xf numFmtId="0" fontId="24" fillId="0" borderId="0" xfId="11" applyFont="1" applyAlignment="1" applyProtection="1">
      <alignment horizontal="center"/>
    </xf>
    <xf numFmtId="0" fontId="3" fillId="4" borderId="1" xfId="0" applyNumberFormat="1" applyFont="1" applyFill="1" applyBorder="1" applyAlignment="1" applyProtection="1">
      <alignment horizontal="center"/>
      <protection locked="0"/>
    </xf>
    <xf numFmtId="0" fontId="3" fillId="4" borderId="14" xfId="0" applyNumberFormat="1" applyFont="1" applyFill="1" applyBorder="1" applyAlignment="1" applyProtection="1">
      <alignment horizontal="center"/>
      <protection locked="0"/>
    </xf>
    <xf numFmtId="0" fontId="5" fillId="9" borderId="28" xfId="0" applyNumberFormat="1" applyFont="1" applyFill="1" applyBorder="1" applyAlignment="1">
      <alignment horizontal="center"/>
    </xf>
    <xf numFmtId="0" fontId="5" fillId="9" borderId="52" xfId="0" applyNumberFormat="1" applyFont="1" applyFill="1" applyBorder="1" applyAlignment="1">
      <alignment horizontal="center"/>
    </xf>
    <xf numFmtId="0" fontId="5" fillId="9" borderId="39" xfId="0" applyNumberFormat="1" applyFont="1" applyFill="1" applyBorder="1" applyAlignment="1">
      <alignment horizontal="center"/>
    </xf>
    <xf numFmtId="0" fontId="11" fillId="24" borderId="5" xfId="0" applyFont="1" applyFill="1" applyBorder="1" applyAlignment="1">
      <alignment horizontal="left"/>
    </xf>
    <xf numFmtId="0" fontId="11" fillId="24" borderId="40" xfId="0" applyFont="1" applyFill="1" applyBorder="1" applyAlignment="1">
      <alignment horizontal="left"/>
    </xf>
    <xf numFmtId="0" fontId="11" fillId="24" borderId="6" xfId="0" applyFont="1" applyFill="1" applyBorder="1" applyAlignment="1">
      <alignment horizontal="left"/>
    </xf>
    <xf numFmtId="0" fontId="3" fillId="4" borderId="28" xfId="0" applyNumberFormat="1" applyFont="1" applyFill="1" applyBorder="1" applyAlignment="1" applyProtection="1">
      <alignment horizontal="center"/>
      <protection locked="0"/>
    </xf>
    <xf numFmtId="0" fontId="3" fillId="4" borderId="52" xfId="0" applyNumberFormat="1" applyFont="1" applyFill="1" applyBorder="1" applyAlignment="1" applyProtection="1">
      <alignment horizontal="center"/>
      <protection locked="0"/>
    </xf>
    <xf numFmtId="0" fontId="3" fillId="4" borderId="39" xfId="0" applyNumberFormat="1" applyFont="1" applyFill="1" applyBorder="1" applyAlignment="1" applyProtection="1">
      <alignment horizontal="center"/>
      <protection locked="0"/>
    </xf>
    <xf numFmtId="0" fontId="4" fillId="0" borderId="25" xfId="0" applyFont="1" applyBorder="1" applyAlignment="1">
      <alignment horizontal="center"/>
    </xf>
    <xf numFmtId="0" fontId="4" fillId="0" borderId="4" xfId="0" applyFont="1" applyBorder="1" applyAlignment="1">
      <alignment horizontal="center"/>
    </xf>
    <xf numFmtId="0" fontId="5" fillId="9" borderId="1" xfId="0" applyNumberFormat="1" applyFont="1" applyFill="1" applyBorder="1" applyAlignment="1" applyProtection="1">
      <alignment horizontal="center"/>
    </xf>
    <xf numFmtId="0" fontId="5" fillId="9" borderId="14" xfId="0" applyNumberFormat="1" applyFont="1" applyFill="1" applyBorder="1" applyAlignment="1" applyProtection="1">
      <alignment horizontal="center"/>
    </xf>
    <xf numFmtId="0" fontId="5" fillId="20" borderId="56" xfId="0" applyNumberFormat="1" applyFont="1" applyFill="1" applyBorder="1" applyAlignment="1" applyProtection="1">
      <alignment horizontal="center"/>
    </xf>
    <xf numFmtId="0" fontId="5" fillId="20" borderId="15" xfId="0" applyNumberFormat="1" applyFont="1" applyFill="1" applyBorder="1" applyAlignment="1" applyProtection="1">
      <alignment horizontal="center"/>
    </xf>
    <xf numFmtId="0" fontId="5" fillId="9" borderId="38" xfId="0" applyNumberFormat="1" applyFont="1" applyFill="1" applyBorder="1" applyAlignment="1">
      <alignment horizontal="center"/>
    </xf>
    <xf numFmtId="0" fontId="5" fillId="9" borderId="104" xfId="0" applyNumberFormat="1" applyFont="1" applyFill="1" applyBorder="1" applyAlignment="1">
      <alignment horizontal="center"/>
    </xf>
    <xf numFmtId="0" fontId="5" fillId="9" borderId="59" xfId="0" applyNumberFormat="1" applyFont="1" applyFill="1" applyBorder="1" applyAlignment="1">
      <alignment horizontal="center"/>
    </xf>
    <xf numFmtId="0" fontId="11" fillId="24" borderId="5" xfId="0" quotePrefix="1" applyNumberFormat="1" applyFont="1" applyFill="1" applyBorder="1" applyAlignment="1">
      <alignment horizontal="left"/>
    </xf>
    <xf numFmtId="0" fontId="11" fillId="24" borderId="40" xfId="0" quotePrefix="1" applyNumberFormat="1" applyFont="1" applyFill="1" applyBorder="1" applyAlignment="1">
      <alignment horizontal="left"/>
    </xf>
    <xf numFmtId="0" fontId="11" fillId="24" borderId="6" xfId="0" quotePrefix="1" applyNumberFormat="1" applyFont="1" applyFill="1" applyBorder="1" applyAlignment="1">
      <alignment horizontal="left"/>
    </xf>
    <xf numFmtId="0" fontId="11" fillId="24" borderId="5" xfId="0" quotePrefix="1" applyFont="1" applyFill="1" applyBorder="1" applyAlignment="1">
      <alignment horizontal="left"/>
    </xf>
    <xf numFmtId="0" fontId="11" fillId="24" borderId="6" xfId="0" quotePrefix="1" applyFont="1" applyFill="1" applyBorder="1" applyAlignment="1">
      <alignment horizontal="left"/>
    </xf>
    <xf numFmtId="0" fontId="9" fillId="4" borderId="1" xfId="0" applyNumberFormat="1" applyFont="1" applyFill="1" applyBorder="1" applyAlignment="1" applyProtection="1">
      <alignment horizontal="center"/>
      <protection locked="0"/>
    </xf>
    <xf numFmtId="0" fontId="9" fillId="4" borderId="14" xfId="0" applyNumberFormat="1" applyFont="1" applyFill="1" applyBorder="1" applyAlignment="1" applyProtection="1">
      <alignment horizontal="center"/>
      <protection locked="0"/>
    </xf>
    <xf numFmtId="0" fontId="4" fillId="0" borderId="46" xfId="0" applyNumberFormat="1" applyFont="1" applyBorder="1" applyAlignment="1">
      <alignment horizontal="center"/>
    </xf>
    <xf numFmtId="0" fontId="4" fillId="0" borderId="16" xfId="0" applyNumberFormat="1" applyFont="1" applyBorder="1" applyAlignment="1">
      <alignment horizontal="center"/>
    </xf>
    <xf numFmtId="0" fontId="5" fillId="9" borderId="56" xfId="0" applyNumberFormat="1" applyFont="1" applyFill="1" applyBorder="1" applyAlignment="1" applyProtection="1">
      <alignment horizontal="center"/>
    </xf>
    <xf numFmtId="0" fontId="5" fillId="9" borderId="15" xfId="0" applyNumberFormat="1" applyFont="1" applyFill="1" applyBorder="1" applyAlignment="1" applyProtection="1">
      <alignment horizontal="center"/>
    </xf>
    <xf numFmtId="0" fontId="24" fillId="0" borderId="0" xfId="11" applyNumberFormat="1" applyFont="1" applyAlignment="1" applyProtection="1">
      <alignment horizontal="center"/>
    </xf>
    <xf numFmtId="0" fontId="11" fillId="24" borderId="9" xfId="0" applyNumberFormat="1" applyFont="1" applyFill="1" applyBorder="1" applyAlignment="1">
      <alignment horizontal="left"/>
    </xf>
    <xf numFmtId="0" fontId="11" fillId="24" borderId="10" xfId="0" applyNumberFormat="1" applyFont="1" applyFill="1" applyBorder="1" applyAlignment="1">
      <alignment horizontal="left"/>
    </xf>
    <xf numFmtId="0" fontId="11" fillId="24" borderId="11" xfId="0" applyNumberFormat="1" applyFont="1" applyFill="1" applyBorder="1" applyAlignment="1">
      <alignment horizontal="left"/>
    </xf>
    <xf numFmtId="0" fontId="4" fillId="24" borderId="9" xfId="0" applyNumberFormat="1" applyFont="1" applyFill="1" applyBorder="1" applyAlignment="1">
      <alignment horizontal="left"/>
    </xf>
    <xf numFmtId="0" fontId="4" fillId="24" borderId="10" xfId="0" applyNumberFormat="1" applyFont="1" applyFill="1" applyBorder="1" applyAlignment="1">
      <alignment horizontal="left"/>
    </xf>
    <xf numFmtId="0" fontId="4" fillId="24" borderId="11" xfId="0" applyNumberFormat="1" applyFont="1" applyFill="1" applyBorder="1" applyAlignment="1">
      <alignment horizontal="left"/>
    </xf>
    <xf numFmtId="0" fontId="3" fillId="0" borderId="20" xfId="0" applyNumberFormat="1" applyFont="1" applyBorder="1" applyAlignment="1">
      <alignment horizontal="center"/>
    </xf>
    <xf numFmtId="0" fontId="3" fillId="0" borderId="52" xfId="0" applyNumberFormat="1" applyFont="1" applyBorder="1" applyAlignment="1">
      <alignment horizontal="center"/>
    </xf>
    <xf numFmtId="0" fontId="3" fillId="0" borderId="39" xfId="0" applyNumberFormat="1" applyFont="1" applyBorder="1" applyAlignment="1">
      <alignment horizontal="center"/>
    </xf>
    <xf numFmtId="166" fontId="30" fillId="20" borderId="28" xfId="24" applyNumberFormat="1" applyFont="1" applyFill="1" applyBorder="1" applyAlignment="1" applyProtection="1">
      <alignment horizontal="center"/>
    </xf>
    <xf numFmtId="166" fontId="30" fillId="20" borderId="39" xfId="24" applyNumberFormat="1" applyFont="1" applyFill="1" applyBorder="1" applyAlignment="1" applyProtection="1">
      <alignment horizontal="center"/>
    </xf>
    <xf numFmtId="0" fontId="5" fillId="25" borderId="28" xfId="0" applyNumberFormat="1" applyFont="1" applyFill="1" applyBorder="1" applyAlignment="1">
      <alignment horizontal="center"/>
    </xf>
    <xf numFmtId="0" fontId="5" fillId="25" borderId="39" xfId="0" applyNumberFormat="1" applyFont="1" applyFill="1" applyBorder="1" applyAlignment="1">
      <alignment horizontal="center"/>
    </xf>
    <xf numFmtId="0" fontId="4" fillId="0" borderId="97" xfId="0" applyNumberFormat="1" applyFont="1" applyBorder="1" applyAlignment="1">
      <alignment horizontal="center"/>
    </xf>
    <xf numFmtId="0" fontId="4" fillId="0" borderId="62" xfId="0" applyNumberFormat="1" applyFont="1" applyBorder="1" applyAlignment="1">
      <alignment horizontal="center"/>
    </xf>
    <xf numFmtId="0" fontId="4" fillId="0" borderId="98" xfId="0" applyNumberFormat="1" applyFont="1" applyBorder="1" applyAlignment="1">
      <alignment horizontal="center"/>
    </xf>
    <xf numFmtId="0" fontId="5" fillId="9" borderId="96" xfId="0" applyNumberFormat="1" applyFont="1" applyFill="1" applyBorder="1" applyAlignment="1" applyProtection="1">
      <alignment horizontal="center"/>
    </xf>
    <xf numFmtId="0" fontId="5" fillId="9" borderId="33" xfId="0" applyNumberFormat="1" applyFont="1" applyFill="1" applyBorder="1" applyAlignment="1" applyProtection="1">
      <alignment horizontal="center"/>
    </xf>
    <xf numFmtId="0" fontId="5" fillId="9" borderId="34" xfId="0" applyNumberFormat="1" applyFont="1" applyFill="1" applyBorder="1" applyAlignment="1" applyProtection="1">
      <alignment horizontal="center"/>
    </xf>
    <xf numFmtId="0" fontId="3" fillId="4" borderId="71" xfId="0" applyNumberFormat="1" applyFont="1" applyFill="1" applyBorder="1" applyAlignment="1" applyProtection="1">
      <alignment horizontal="center"/>
      <protection locked="0"/>
    </xf>
    <xf numFmtId="0" fontId="3" fillId="4" borderId="46" xfId="0" applyNumberFormat="1" applyFont="1" applyFill="1" applyBorder="1" applyAlignment="1" applyProtection="1">
      <alignment horizontal="center"/>
      <protection locked="0"/>
    </xf>
    <xf numFmtId="0" fontId="3" fillId="4" borderId="16" xfId="0" applyNumberFormat="1" applyFont="1" applyFill="1" applyBorder="1" applyAlignment="1" applyProtection="1">
      <alignment horizontal="center"/>
      <protection locked="0"/>
    </xf>
    <xf numFmtId="0" fontId="5" fillId="9" borderId="71" xfId="0" applyNumberFormat="1" applyFont="1" applyFill="1" applyBorder="1" applyAlignment="1" applyProtection="1">
      <alignment horizontal="center"/>
    </xf>
    <xf numFmtId="0" fontId="5" fillId="9" borderId="46" xfId="0" applyNumberFormat="1" applyFont="1" applyFill="1" applyBorder="1" applyAlignment="1" applyProtection="1">
      <alignment horizontal="center"/>
    </xf>
    <xf numFmtId="0" fontId="5" fillId="9" borderId="16" xfId="0" applyNumberFormat="1" applyFont="1" applyFill="1" applyBorder="1" applyAlignment="1" applyProtection="1">
      <alignment horizontal="center"/>
    </xf>
    <xf numFmtId="0" fontId="3" fillId="4" borderId="21" xfId="0" applyNumberFormat="1" applyFont="1" applyFill="1" applyBorder="1" applyAlignment="1" applyProtection="1">
      <alignment horizontal="center"/>
      <protection locked="0"/>
    </xf>
    <xf numFmtId="0" fontId="3" fillId="4" borderId="0" xfId="0" applyNumberFormat="1" applyFont="1" applyFill="1" applyBorder="1" applyAlignment="1" applyProtection="1">
      <alignment horizontal="center"/>
      <protection locked="0"/>
    </xf>
    <xf numFmtId="0" fontId="3" fillId="4" borderId="8" xfId="0" applyNumberFormat="1" applyFont="1" applyFill="1" applyBorder="1" applyAlignment="1" applyProtection="1">
      <alignment horizontal="center"/>
      <protection locked="0"/>
    </xf>
    <xf numFmtId="0" fontId="11" fillId="24" borderId="5" xfId="0" applyNumberFormat="1" applyFont="1" applyFill="1" applyBorder="1" applyAlignment="1">
      <alignment horizontal="left"/>
    </xf>
    <xf numFmtId="0" fontId="11" fillId="24" borderId="40" xfId="0" applyNumberFormat="1" applyFont="1" applyFill="1" applyBorder="1" applyAlignment="1">
      <alignment horizontal="left"/>
    </xf>
    <xf numFmtId="0" fontId="11" fillId="24" borderId="6" xfId="0" applyNumberFormat="1" applyFont="1" applyFill="1" applyBorder="1" applyAlignment="1">
      <alignment horizontal="left"/>
    </xf>
    <xf numFmtId="0" fontId="3" fillId="4" borderId="51" xfId="0" applyNumberFormat="1" applyFont="1" applyFill="1" applyBorder="1" applyAlignment="1" applyProtection="1">
      <alignment horizontal="center"/>
      <protection locked="0"/>
    </xf>
    <xf numFmtId="0" fontId="3" fillId="4" borderId="61" xfId="0" applyNumberFormat="1" applyFont="1" applyFill="1" applyBorder="1" applyAlignment="1" applyProtection="1">
      <alignment horizontal="center"/>
      <protection locked="0"/>
    </xf>
    <xf numFmtId="0" fontId="3" fillId="6" borderId="28" xfId="0" applyNumberFormat="1" applyFont="1" applyFill="1" applyBorder="1" applyAlignment="1" applyProtection="1">
      <alignment horizontal="center"/>
    </xf>
    <xf numFmtId="0" fontId="3" fillId="6" borderId="39" xfId="0" applyNumberFormat="1" applyFont="1" applyFill="1" applyBorder="1" applyAlignment="1" applyProtection="1">
      <alignment horizontal="center"/>
    </xf>
    <xf numFmtId="0" fontId="4" fillId="6" borderId="28" xfId="0" applyNumberFormat="1" applyFont="1" applyFill="1" applyBorder="1" applyAlignment="1">
      <alignment horizontal="center"/>
    </xf>
    <xf numFmtId="0" fontId="4" fillId="6" borderId="39" xfId="0" applyNumberFormat="1" applyFont="1" applyFill="1" applyBorder="1" applyAlignment="1">
      <alignment horizontal="center"/>
    </xf>
    <xf numFmtId="0" fontId="24" fillId="0" borderId="0" xfId="11" applyNumberFormat="1" applyFont="1" applyAlignment="1" applyProtection="1">
      <alignment horizontal="center" wrapText="1"/>
    </xf>
    <xf numFmtId="0" fontId="5" fillId="9" borderId="56" xfId="0" applyNumberFormat="1" applyFont="1" applyFill="1" applyBorder="1" applyAlignment="1" applyProtection="1">
      <alignment horizontal="center" wrapText="1"/>
    </xf>
    <xf numFmtId="0" fontId="5" fillId="9" borderId="15" xfId="0" applyNumberFormat="1" applyFont="1" applyFill="1" applyBorder="1" applyAlignment="1" applyProtection="1">
      <alignment horizontal="center" wrapText="1"/>
    </xf>
    <xf numFmtId="0" fontId="9" fillId="4" borderId="1" xfId="0" applyNumberFormat="1" applyFont="1" applyFill="1" applyBorder="1" applyAlignment="1" applyProtection="1">
      <alignment horizontal="center" wrapText="1"/>
      <protection locked="0"/>
    </xf>
    <xf numFmtId="0" fontId="9" fillId="4" borderId="14" xfId="0" applyNumberFormat="1" applyFont="1" applyFill="1" applyBorder="1" applyAlignment="1" applyProtection="1">
      <alignment horizontal="center" wrapText="1"/>
      <protection locked="0"/>
    </xf>
    <xf numFmtId="0" fontId="5" fillId="9" borderId="1" xfId="0" applyNumberFormat="1" applyFont="1" applyFill="1" applyBorder="1" applyAlignment="1" applyProtection="1">
      <alignment horizontal="center" wrapText="1"/>
    </xf>
    <xf numFmtId="0" fontId="5" fillId="9" borderId="14" xfId="0" applyNumberFormat="1" applyFont="1" applyFill="1" applyBorder="1" applyAlignment="1" applyProtection="1">
      <alignment horizontal="center" wrapText="1"/>
    </xf>
    <xf numFmtId="0" fontId="4" fillId="24" borderId="5" xfId="0" applyNumberFormat="1" applyFont="1" applyFill="1" applyBorder="1" applyAlignment="1">
      <alignment horizontal="left" wrapText="1"/>
    </xf>
    <xf numFmtId="0" fontId="4" fillId="24" borderId="40" xfId="0" applyNumberFormat="1" applyFont="1" applyFill="1" applyBorder="1" applyAlignment="1">
      <alignment horizontal="left" wrapText="1"/>
    </xf>
    <xf numFmtId="0" fontId="4" fillId="24" borderId="6" xfId="0" applyNumberFormat="1" applyFont="1" applyFill="1" applyBorder="1" applyAlignment="1">
      <alignment horizontal="left" wrapText="1"/>
    </xf>
    <xf numFmtId="0" fontId="10" fillId="16" borderId="5" xfId="10" applyFont="1" applyBorder="1" applyAlignment="1">
      <alignment horizontal="left" vertical="center" wrapText="1"/>
    </xf>
    <xf numFmtId="0" fontId="10" fillId="16" borderId="6" xfId="10" applyFont="1" applyBorder="1" applyAlignment="1">
      <alignment horizontal="left" vertical="center" wrapText="1"/>
    </xf>
    <xf numFmtId="0" fontId="5" fillId="4" borderId="1" xfId="2" applyNumberFormat="1" applyFont="1" applyFill="1" applyBorder="1" applyAlignment="1" applyProtection="1">
      <alignment horizontal="center"/>
      <protection locked="0"/>
    </xf>
    <xf numFmtId="0" fontId="5" fillId="4" borderId="14" xfId="2" applyNumberFormat="1" applyFont="1" applyFill="1" applyBorder="1" applyAlignment="1" applyProtection="1">
      <alignment horizontal="center"/>
      <protection locked="0"/>
    </xf>
    <xf numFmtId="0" fontId="5" fillId="9" borderId="1" xfId="2" applyNumberFormat="1" applyFont="1" applyFill="1" applyBorder="1" applyAlignment="1" applyProtection="1">
      <alignment horizontal="center"/>
    </xf>
    <xf numFmtId="0" fontId="5" fillId="9" borderId="14" xfId="2" applyNumberFormat="1" applyFont="1" applyFill="1" applyBorder="1" applyAlignment="1" applyProtection="1">
      <alignment horizontal="center"/>
    </xf>
    <xf numFmtId="0" fontId="5" fillId="9" borderId="56" xfId="2" applyNumberFormat="1" applyFont="1" applyFill="1" applyBorder="1" applyAlignment="1" applyProtection="1">
      <alignment horizontal="center"/>
    </xf>
    <xf numFmtId="0" fontId="5" fillId="9" borderId="15" xfId="2" applyNumberFormat="1" applyFont="1" applyFill="1" applyBorder="1" applyAlignment="1" applyProtection="1">
      <alignment horizontal="center"/>
    </xf>
    <xf numFmtId="0" fontId="3" fillId="4" borderId="28" xfId="0" applyNumberFormat="1" applyFont="1" applyFill="1" applyBorder="1" applyAlignment="1" applyProtection="1">
      <alignment horizontal="center" vertical="center"/>
      <protection locked="0"/>
    </xf>
    <xf numFmtId="0" fontId="3" fillId="4" borderId="52" xfId="0" applyNumberFormat="1" applyFont="1" applyFill="1" applyBorder="1" applyAlignment="1" applyProtection="1">
      <alignment horizontal="center" vertical="center"/>
      <protection locked="0"/>
    </xf>
    <xf numFmtId="0" fontId="3" fillId="4" borderId="39" xfId="0" applyNumberFormat="1" applyFont="1" applyFill="1" applyBorder="1" applyAlignment="1" applyProtection="1">
      <alignment horizontal="center" vertical="center"/>
      <protection locked="0"/>
    </xf>
    <xf numFmtId="0" fontId="3" fillId="4" borderId="38" xfId="0" applyNumberFormat="1" applyFont="1" applyFill="1" applyBorder="1" applyAlignment="1" applyProtection="1">
      <alignment horizontal="center" vertical="center"/>
      <protection locked="0"/>
    </xf>
    <xf numFmtId="0" fontId="3" fillId="4" borderId="104" xfId="0" applyNumberFormat="1" applyFont="1" applyFill="1" applyBorder="1" applyAlignment="1" applyProtection="1">
      <alignment horizontal="center" vertical="center"/>
      <protection locked="0"/>
    </xf>
    <xf numFmtId="0" fontId="3" fillId="4" borderId="59" xfId="0" applyNumberFormat="1" applyFont="1" applyFill="1" applyBorder="1" applyAlignment="1" applyProtection="1">
      <alignment horizontal="center" vertical="center"/>
      <protection locked="0"/>
    </xf>
    <xf numFmtId="0" fontId="11" fillId="0" borderId="101" xfId="0" applyNumberFormat="1" applyFont="1" applyBorder="1" applyAlignment="1">
      <alignment horizontal="center" vertical="center" wrapText="1"/>
    </xf>
    <xf numFmtId="0" fontId="11" fillId="0" borderId="98" xfId="0" applyNumberFormat="1" applyFont="1" applyBorder="1" applyAlignment="1">
      <alignment horizontal="center" vertical="center" wrapText="1"/>
    </xf>
    <xf numFmtId="165" fontId="40" fillId="20" borderId="1" xfId="0" applyNumberFormat="1" applyFont="1" applyFill="1" applyBorder="1" applyAlignment="1" applyProtection="1">
      <alignment horizontal="center" wrapText="1"/>
    </xf>
    <xf numFmtId="165" fontId="40" fillId="20" borderId="5" xfId="2" applyNumberFormat="1" applyFont="1" applyFill="1" applyBorder="1" applyAlignment="1">
      <alignment horizontal="center" vertical="center" wrapText="1"/>
    </xf>
    <xf numFmtId="165" fontId="40" fillId="20" borderId="6" xfId="2" applyNumberFormat="1" applyFont="1" applyFill="1" applyBorder="1" applyAlignment="1">
      <alignment horizontal="center" vertical="center" wrapText="1"/>
    </xf>
    <xf numFmtId="0" fontId="11" fillId="6" borderId="101" xfId="0" applyFont="1" applyFill="1" applyBorder="1" applyAlignment="1">
      <alignment horizontal="center"/>
    </xf>
    <xf numFmtId="0" fontId="11" fillId="6" borderId="25" xfId="0" applyFont="1" applyFill="1" applyBorder="1" applyAlignment="1">
      <alignment horizontal="center"/>
    </xf>
    <xf numFmtId="0" fontId="11" fillId="6" borderId="4" xfId="0" applyFont="1" applyFill="1" applyBorder="1" applyAlignment="1">
      <alignment horizontal="center"/>
    </xf>
    <xf numFmtId="0" fontId="18" fillId="24" borderId="5" xfId="0" applyFont="1" applyFill="1" applyBorder="1" applyAlignment="1">
      <alignment horizontal="left" wrapText="1"/>
    </xf>
    <xf numFmtId="0" fontId="18" fillId="24" borderId="40" xfId="0" applyFont="1" applyFill="1" applyBorder="1" applyAlignment="1">
      <alignment horizontal="left" wrapText="1"/>
    </xf>
    <xf numFmtId="0" fontId="18" fillId="24" borderId="6" xfId="0" applyFont="1" applyFill="1" applyBorder="1" applyAlignment="1">
      <alignment horizontal="left" wrapText="1"/>
    </xf>
    <xf numFmtId="0" fontId="15" fillId="0" borderId="80" xfId="0" applyNumberFormat="1" applyFont="1" applyBorder="1" applyAlignment="1">
      <alignment horizontal="left" wrapText="1"/>
    </xf>
    <xf numFmtId="0" fontId="15" fillId="0" borderId="51" xfId="0" applyNumberFormat="1" applyFont="1" applyBorder="1" applyAlignment="1">
      <alignment horizontal="left" wrapText="1"/>
    </xf>
    <xf numFmtId="0" fontId="15" fillId="4" borderId="80" xfId="2" applyNumberFormat="1" applyFont="1" applyFill="1" applyBorder="1" applyAlignment="1" applyProtection="1">
      <alignment horizontal="center" vertical="center" wrapText="1"/>
      <protection locked="0"/>
    </xf>
    <xf numFmtId="0" fontId="15" fillId="4" borderId="51" xfId="2" applyNumberFormat="1" applyFont="1" applyFill="1" applyBorder="1" applyAlignment="1" applyProtection="1">
      <alignment horizontal="center" vertical="center" wrapText="1"/>
      <protection locked="0"/>
    </xf>
    <xf numFmtId="0" fontId="15" fillId="0" borderId="1" xfId="0" applyNumberFormat="1" applyFont="1" applyBorder="1" applyAlignment="1">
      <alignment horizontal="left" vertical="center" wrapText="1"/>
    </xf>
    <xf numFmtId="0" fontId="15" fillId="0" borderId="28" xfId="0" applyNumberFormat="1" applyFont="1" applyBorder="1" applyAlignment="1">
      <alignment horizontal="left" vertical="center" wrapText="1"/>
    </xf>
    <xf numFmtId="0" fontId="15" fillId="6" borderId="72" xfId="0" applyNumberFormat="1" applyFont="1" applyFill="1" applyBorder="1" applyAlignment="1">
      <alignment horizontal="left" vertical="center" wrapText="1"/>
    </xf>
    <xf numFmtId="0" fontId="15" fillId="6" borderId="102" xfId="0" applyNumberFormat="1" applyFont="1" applyFill="1" applyBorder="1" applyAlignment="1">
      <alignment horizontal="left" vertical="center" wrapText="1"/>
    </xf>
    <xf numFmtId="0" fontId="15" fillId="6" borderId="75" xfId="0" applyNumberFormat="1" applyFont="1" applyFill="1" applyBorder="1" applyAlignment="1">
      <alignment horizontal="left" vertical="center" wrapText="1"/>
    </xf>
    <xf numFmtId="0" fontId="15" fillId="6" borderId="41" xfId="0" applyNumberFormat="1" applyFont="1" applyFill="1" applyBorder="1" applyAlignment="1">
      <alignment horizontal="left" vertical="center" wrapText="1"/>
    </xf>
    <xf numFmtId="0" fontId="15" fillId="4" borderId="103" xfId="2" applyFont="1" applyFill="1" applyBorder="1" applyAlignment="1" applyProtection="1">
      <alignment horizontal="center" vertical="center" wrapText="1"/>
      <protection locked="0"/>
    </xf>
    <xf numFmtId="0" fontId="15" fillId="4" borderId="24" xfId="2" applyFont="1" applyFill="1" applyBorder="1" applyAlignment="1" applyProtection="1">
      <alignment horizontal="center" vertical="center" wrapText="1"/>
      <protection locked="0"/>
    </xf>
    <xf numFmtId="0" fontId="18" fillId="16" borderId="40" xfId="10" applyFont="1" applyBorder="1" applyAlignment="1">
      <alignment horizontal="left" vertical="center"/>
    </xf>
    <xf numFmtId="0" fontId="11" fillId="24" borderId="5" xfId="0" applyNumberFormat="1" applyFont="1" applyFill="1" applyBorder="1" applyAlignment="1">
      <alignment horizontal="left" wrapText="1"/>
    </xf>
    <xf numFmtId="0" fontId="11" fillId="24" borderId="40" xfId="0" applyNumberFormat="1" applyFont="1" applyFill="1" applyBorder="1" applyAlignment="1">
      <alignment horizontal="left" wrapText="1"/>
    </xf>
    <xf numFmtId="0" fontId="11" fillId="24" borderId="6" xfId="0" applyNumberFormat="1" applyFont="1" applyFill="1" applyBorder="1" applyAlignment="1">
      <alignment horizontal="left" wrapText="1"/>
    </xf>
    <xf numFmtId="0" fontId="11" fillId="6" borderId="5" xfId="0" applyNumberFormat="1" applyFont="1" applyFill="1" applyBorder="1" applyAlignment="1">
      <alignment horizontal="center" wrapText="1"/>
    </xf>
    <xf numFmtId="0" fontId="11" fillId="6" borderId="40" xfId="0" applyNumberFormat="1" applyFont="1" applyFill="1" applyBorder="1" applyAlignment="1">
      <alignment horizontal="center" wrapText="1"/>
    </xf>
    <xf numFmtId="0" fontId="11" fillId="6" borderId="6" xfId="0" applyNumberFormat="1" applyFont="1" applyFill="1" applyBorder="1" applyAlignment="1">
      <alignment horizontal="center" wrapText="1"/>
    </xf>
    <xf numFmtId="0" fontId="11" fillId="6" borderId="99" xfId="0" applyNumberFormat="1" applyFont="1" applyFill="1" applyBorder="1" applyAlignment="1">
      <alignment horizontal="center" vertical="center" wrapText="1"/>
    </xf>
    <xf numFmtId="0" fontId="11" fillId="6" borderId="10" xfId="0" applyNumberFormat="1" applyFont="1" applyFill="1" applyBorder="1" applyAlignment="1">
      <alignment horizontal="center" vertical="center" wrapText="1"/>
    </xf>
    <xf numFmtId="0" fontId="11" fillId="6" borderId="100" xfId="0" applyNumberFormat="1" applyFont="1" applyFill="1" applyBorder="1" applyAlignment="1">
      <alignment horizontal="center" vertical="center" wrapText="1"/>
    </xf>
    <xf numFmtId="0" fontId="11" fillId="6" borderId="71" xfId="0" applyNumberFormat="1" applyFont="1" applyFill="1" applyBorder="1" applyAlignment="1">
      <alignment horizontal="center" vertical="center" wrapText="1"/>
    </xf>
    <xf numFmtId="0" fontId="11" fillId="6" borderId="46" xfId="0" applyNumberFormat="1" applyFont="1" applyFill="1" applyBorder="1" applyAlignment="1">
      <alignment horizontal="center" vertical="center" wrapText="1"/>
    </xf>
    <xf numFmtId="0" fontId="11" fillId="6" borderId="79" xfId="0" applyNumberFormat="1" applyFont="1" applyFill="1" applyBorder="1" applyAlignment="1">
      <alignment horizontal="center" vertical="center" wrapText="1"/>
    </xf>
    <xf numFmtId="0" fontId="11" fillId="6" borderId="95" xfId="0" applyNumberFormat="1" applyFont="1" applyFill="1" applyBorder="1" applyAlignment="1">
      <alignment horizontal="center" vertical="center" wrapText="1"/>
    </xf>
    <xf numFmtId="0" fontId="11" fillId="6" borderId="77" xfId="0" applyNumberFormat="1" applyFont="1" applyFill="1" applyBorder="1" applyAlignment="1">
      <alignment horizontal="center" vertical="center" wrapText="1"/>
    </xf>
    <xf numFmtId="0" fontId="11" fillId="6" borderId="11" xfId="0" applyNumberFormat="1" applyFont="1" applyFill="1" applyBorder="1" applyAlignment="1">
      <alignment horizontal="center" vertical="center" wrapText="1"/>
    </xf>
    <xf numFmtId="0" fontId="11" fillId="6" borderId="21" xfId="0" applyNumberFormat="1" applyFont="1" applyFill="1" applyBorder="1" applyAlignment="1">
      <alignment horizontal="center" vertical="center" wrapText="1"/>
    </xf>
    <xf numFmtId="0" fontId="11" fillId="6" borderId="8" xfId="0" applyNumberFormat="1" applyFont="1" applyFill="1" applyBorder="1" applyAlignment="1">
      <alignment horizontal="center" vertical="center" wrapText="1"/>
    </xf>
    <xf numFmtId="0" fontId="10" fillId="16" borderId="5" xfId="10" applyFont="1" applyBorder="1" applyAlignment="1">
      <alignment horizontal="left" vertical="top"/>
    </xf>
    <xf numFmtId="0" fontId="10" fillId="16" borderId="40" xfId="10" applyFont="1" applyBorder="1" applyAlignment="1">
      <alignment horizontal="left" vertical="top"/>
    </xf>
    <xf numFmtId="0" fontId="10" fillId="16" borderId="6" xfId="10" applyFont="1" applyBorder="1" applyAlignment="1">
      <alignment horizontal="left" vertical="top"/>
    </xf>
    <xf numFmtId="0" fontId="3" fillId="4" borderId="12" xfId="0" applyFont="1" applyFill="1" applyBorder="1" applyAlignment="1" applyProtection="1">
      <alignment horizontal="left" vertical="top"/>
      <protection locked="0"/>
    </xf>
    <xf numFmtId="0" fontId="3" fillId="4" borderId="1" xfId="0" applyFont="1" applyFill="1" applyBorder="1" applyAlignment="1" applyProtection="1">
      <alignment horizontal="left" vertical="top"/>
      <protection locked="0"/>
    </xf>
    <xf numFmtId="0" fontId="3" fillId="4" borderId="14" xfId="0" applyFont="1" applyFill="1" applyBorder="1" applyAlignment="1" applyProtection="1">
      <alignment horizontal="left" vertical="top"/>
      <protection locked="0"/>
    </xf>
    <xf numFmtId="0" fontId="3" fillId="4" borderId="105" xfId="0" applyFont="1" applyFill="1" applyBorder="1" applyAlignment="1" applyProtection="1">
      <alignment horizontal="left" vertical="top"/>
      <protection locked="0"/>
    </xf>
    <xf numFmtId="0" fontId="3" fillId="4" borderId="51" xfId="0" applyFont="1" applyFill="1" applyBorder="1" applyAlignment="1" applyProtection="1">
      <alignment horizontal="left" vertical="top"/>
      <protection locked="0"/>
    </xf>
    <xf numFmtId="0" fontId="3" fillId="4" borderId="61" xfId="0" applyFont="1" applyFill="1" applyBorder="1" applyAlignment="1" applyProtection="1">
      <alignment horizontal="left" vertical="top"/>
      <protection locked="0"/>
    </xf>
    <xf numFmtId="0" fontId="3" fillId="4" borderId="13" xfId="0" applyFont="1" applyFill="1" applyBorder="1" applyAlignment="1" applyProtection="1">
      <alignment horizontal="left" vertical="top"/>
      <protection locked="0"/>
    </xf>
    <xf numFmtId="0" fontId="3" fillId="4" borderId="56" xfId="0" applyFont="1" applyFill="1" applyBorder="1" applyAlignment="1" applyProtection="1">
      <alignment horizontal="left" vertical="top"/>
      <protection locked="0"/>
    </xf>
    <xf numFmtId="0" fontId="3" fillId="4" borderId="15" xfId="0" applyFont="1" applyFill="1" applyBorder="1" applyAlignment="1" applyProtection="1">
      <alignment horizontal="left" vertical="top"/>
      <protection locked="0"/>
    </xf>
    <xf numFmtId="0" fontId="3" fillId="0" borderId="20" xfId="0" applyFont="1" applyBorder="1" applyAlignment="1">
      <alignment horizontal="left"/>
    </xf>
    <xf numFmtId="0" fontId="3" fillId="0" borderId="52" xfId="0" applyFont="1" applyBorder="1" applyAlignment="1">
      <alignment horizontal="left"/>
    </xf>
    <xf numFmtId="0" fontId="3" fillId="0" borderId="93" xfId="0" applyFont="1" applyBorder="1" applyAlignment="1">
      <alignment horizontal="left"/>
    </xf>
    <xf numFmtId="0" fontId="3" fillId="0" borderId="104" xfId="0" applyFont="1" applyBorder="1" applyAlignment="1">
      <alignment horizontal="left"/>
    </xf>
    <xf numFmtId="0" fontId="9" fillId="8" borderId="105" xfId="10" applyFont="1" applyFill="1" applyBorder="1" applyAlignment="1" applyProtection="1">
      <alignment horizontal="left" vertical="center" wrapText="1"/>
    </xf>
    <xf numFmtId="0" fontId="9" fillId="8" borderId="51" xfId="10" applyFont="1" applyFill="1" applyBorder="1" applyAlignment="1" applyProtection="1">
      <alignment horizontal="left" vertical="center" wrapText="1"/>
    </xf>
    <xf numFmtId="0" fontId="9" fillId="8" borderId="61" xfId="10" applyFont="1" applyFill="1" applyBorder="1" applyAlignment="1" applyProtection="1">
      <alignment horizontal="left" vertical="center" wrapText="1"/>
    </xf>
    <xf numFmtId="0" fontId="9" fillId="8" borderId="12" xfId="10" applyFont="1" applyFill="1" applyBorder="1" applyAlignment="1" applyProtection="1">
      <alignment horizontal="left" vertical="center" wrapText="1"/>
    </xf>
    <xf numFmtId="0" fontId="9" fillId="8" borderId="1" xfId="10" applyFont="1" applyFill="1" applyBorder="1" applyAlignment="1" applyProtection="1">
      <alignment horizontal="left" vertical="center" wrapText="1"/>
    </xf>
    <xf numFmtId="0" fontId="9" fillId="8" borderId="14" xfId="10" applyFont="1" applyFill="1" applyBorder="1" applyAlignment="1" applyProtection="1">
      <alignment horizontal="left" vertical="center" wrapText="1"/>
    </xf>
    <xf numFmtId="0" fontId="4" fillId="0" borderId="20" xfId="0" applyFont="1" applyBorder="1" applyAlignment="1">
      <alignment horizontal="center"/>
    </xf>
    <xf numFmtId="0" fontId="4" fillId="0" borderId="52" xfId="0" applyFont="1" applyBorder="1" applyAlignment="1">
      <alignment horizontal="center"/>
    </xf>
    <xf numFmtId="0" fontId="3" fillId="24" borderId="1" xfId="0" applyFont="1" applyFill="1" applyBorder="1" applyAlignment="1">
      <alignment horizontal="center" vertical="center" wrapText="1"/>
    </xf>
    <xf numFmtId="0" fontId="31" fillId="24" borderId="1" xfId="0" applyFont="1" applyFill="1" applyBorder="1" applyAlignment="1">
      <alignment horizontal="center" vertical="center" wrapText="1"/>
    </xf>
    <xf numFmtId="0" fontId="31" fillId="24" borderId="14" xfId="0" applyFont="1" applyFill="1" applyBorder="1" applyAlignment="1">
      <alignment horizontal="center" vertical="center" wrapText="1"/>
    </xf>
    <xf numFmtId="0" fontId="3" fillId="24" borderId="3" xfId="0" applyFont="1" applyFill="1" applyBorder="1" applyAlignment="1">
      <alignment horizontal="center" vertical="center" wrapText="1"/>
    </xf>
    <xf numFmtId="0" fontId="3" fillId="24" borderId="98" xfId="0" applyFont="1" applyFill="1" applyBorder="1" applyAlignment="1">
      <alignment horizontal="center" vertical="center" wrapText="1"/>
    </xf>
    <xf numFmtId="0" fontId="3" fillId="24" borderId="20" xfId="0" applyFont="1" applyFill="1" applyBorder="1" applyAlignment="1">
      <alignment horizontal="center" vertical="center" wrapText="1"/>
    </xf>
    <xf numFmtId="0" fontId="3" fillId="24" borderId="50" xfId="0" applyFont="1" applyFill="1" applyBorder="1" applyAlignment="1">
      <alignment horizontal="center" vertical="center" wrapText="1"/>
    </xf>
  </cellXfs>
  <cellStyles count="25">
    <cellStyle name="40% - Accent1" xfId="1" builtinId="31"/>
    <cellStyle name="60% - Accent1" xfId="2" builtinId="32"/>
    <cellStyle name="60% - Accent2" xfId="3" builtinId="36"/>
    <cellStyle name="Auto Populated Cells" xfId="4"/>
    <cellStyle name="Calculation 2" xfId="5"/>
    <cellStyle name="Conditional Cell" xfId="6"/>
    <cellStyle name="Explanatory Text 2" xfId="7"/>
    <cellStyle name="Explanatory Text 3" xfId="8"/>
    <cellStyle name="Fixed Values" xfId="9"/>
    <cellStyle name="Heading 4 2" xfId="10"/>
    <cellStyle name="Hyperlink" xfId="11" builtinId="8"/>
    <cellStyle name="Hyperlink 2" xfId="12"/>
    <cellStyle name="Input 2" xfId="13"/>
    <cellStyle name="Input 3" xfId="14"/>
    <cellStyle name="Normal" xfId="0" builtinId="0"/>
    <cellStyle name="Normal 2" xfId="15"/>
    <cellStyle name="Normal 2 2" xfId="16"/>
    <cellStyle name="Normal 3" xfId="17"/>
    <cellStyle name="Normal 3 2" xfId="18"/>
    <cellStyle name="Normal 4" xfId="19"/>
    <cellStyle name="Output 2" xfId="20"/>
    <cellStyle name="Percent" xfId="24" builtinId="5"/>
    <cellStyle name="Revision Needed" xfId="21"/>
    <cellStyle name="Tab Header" xfId="22"/>
    <cellStyle name="Table Header" xfId="23"/>
  </cellStyles>
  <dxfs count="78">
    <dxf>
      <fill>
        <patternFill patternType="darkUp">
          <bgColor theme="0" tint="-0.14996795556505021"/>
        </patternFill>
      </fill>
    </dxf>
    <dxf>
      <fill>
        <patternFill patternType="darkUp">
          <bgColor theme="0" tint="-0.14996795556505021"/>
        </patternFill>
      </fill>
    </dxf>
    <dxf>
      <fill>
        <patternFill patternType="darkUp">
          <bgColor theme="0" tint="-0.14996795556505021"/>
        </patternFill>
      </fill>
    </dxf>
    <dxf>
      <fill>
        <patternFill patternType="darkUp">
          <bgColor theme="0" tint="-0.14996795556505021"/>
        </patternFill>
      </fill>
    </dxf>
    <dxf>
      <fill>
        <patternFill patternType="darkUp">
          <bgColor theme="0" tint="-0.14996795556505021"/>
        </patternFill>
      </fill>
    </dxf>
    <dxf>
      <fill>
        <patternFill patternType="darkUp">
          <fgColor indexed="64"/>
          <bgColor theme="0" tint="-0.14996795556505021"/>
        </patternFill>
      </fill>
    </dxf>
    <dxf>
      <fill>
        <patternFill patternType="darkUp">
          <bgColor theme="0" tint="-0.14996795556505021"/>
        </patternFill>
      </fill>
    </dxf>
    <dxf>
      <fill>
        <patternFill patternType="darkUp">
          <bgColor theme="0" tint="-0.14996795556505021"/>
        </patternFill>
      </fill>
    </dxf>
    <dxf>
      <fill>
        <patternFill patternType="darkUp">
          <bgColor theme="0" tint="-0.14996795556505021"/>
        </patternFill>
      </fill>
    </dxf>
    <dxf>
      <fill>
        <patternFill patternType="darkUp">
          <bgColor theme="0" tint="-0.14993743705557422"/>
        </patternFill>
      </fill>
    </dxf>
    <dxf>
      <fill>
        <patternFill patternType="darkUp">
          <bgColor theme="0" tint="-0.14996795556505021"/>
        </patternFill>
      </fill>
    </dxf>
    <dxf>
      <fill>
        <patternFill patternType="darkUp">
          <bgColor theme="0" tint="-0.14996795556505021"/>
        </patternFill>
      </fill>
    </dxf>
    <dxf>
      <fill>
        <patternFill patternType="darkUp">
          <bgColor theme="0" tint="-0.14996795556505021"/>
        </patternFill>
      </fill>
    </dxf>
    <dxf>
      <fill>
        <patternFill patternType="darkUp">
          <bgColor theme="0" tint="-0.14996795556505021"/>
        </patternFill>
      </fill>
    </dxf>
    <dxf>
      <fill>
        <patternFill patternType="darkUp">
          <bgColor theme="0" tint="-0.14996795556505021"/>
        </patternFill>
      </fill>
    </dxf>
    <dxf>
      <fill>
        <patternFill patternType="darkUp">
          <fgColor indexed="64"/>
          <bgColor theme="0" tint="-0.14996795556505021"/>
        </patternFill>
      </fill>
    </dxf>
    <dxf>
      <fill>
        <patternFill patternType="darkUp">
          <bgColor theme="0" tint="-0.14996795556505021"/>
        </patternFill>
      </fill>
    </dxf>
    <dxf>
      <fill>
        <patternFill patternType="darkUp">
          <bgColor theme="0" tint="-0.14996795556505021"/>
        </patternFill>
      </fill>
    </dxf>
    <dxf>
      <fill>
        <patternFill patternType="darkUp">
          <bgColor theme="0" tint="-0.14996795556505021"/>
        </patternFill>
      </fill>
    </dxf>
    <dxf>
      <fill>
        <patternFill patternType="darkUp">
          <bgColor theme="0" tint="-0.24994659260841701"/>
        </patternFill>
      </fill>
    </dxf>
    <dxf>
      <fill>
        <patternFill patternType="darkUp">
          <bgColor theme="0" tint="-0.14993743705557422"/>
        </patternFill>
      </fill>
    </dxf>
    <dxf>
      <fill>
        <patternFill patternType="darkUp">
          <bgColor theme="0" tint="-0.14993743705557422"/>
        </patternFill>
      </fill>
    </dxf>
    <dxf>
      <fill>
        <patternFill patternType="darkUp">
          <bgColor theme="0" tint="-0.14996795556505021"/>
        </patternFill>
      </fill>
    </dxf>
    <dxf>
      <fill>
        <patternFill patternType="darkUp">
          <bgColor theme="0" tint="-0.14996795556505021"/>
        </patternFill>
      </fill>
    </dxf>
    <dxf>
      <fill>
        <patternFill patternType="darkUp">
          <bgColor theme="0" tint="-0.14996795556505021"/>
        </patternFill>
      </fill>
    </dxf>
    <dxf>
      <fill>
        <patternFill patternType="darkUp">
          <fgColor theme="1"/>
          <bgColor theme="0" tint="-0.14996795556505021"/>
        </patternFill>
      </fill>
    </dxf>
    <dxf>
      <fill>
        <patternFill patternType="darkUp">
          <fgColor theme="1"/>
          <bgColor theme="0" tint="-0.14996795556505021"/>
        </patternFill>
      </fill>
    </dxf>
    <dxf>
      <fill>
        <patternFill patternType="darkUp">
          <fgColor theme="1"/>
          <bgColor theme="0" tint="-0.14996795556505021"/>
        </patternFill>
      </fill>
    </dxf>
    <dxf>
      <fill>
        <patternFill patternType="darkUp">
          <fgColor theme="1"/>
          <bgColor theme="0" tint="-0.14996795556505021"/>
        </patternFill>
      </fill>
    </dxf>
    <dxf>
      <fill>
        <patternFill patternType="darkUp">
          <fgColor theme="1"/>
          <bgColor theme="0" tint="-0.14996795556505021"/>
        </patternFill>
      </fill>
    </dxf>
    <dxf>
      <fill>
        <patternFill patternType="darkUp">
          <bgColor theme="0" tint="-0.14996795556505021"/>
        </patternFill>
      </fill>
    </dxf>
    <dxf>
      <fill>
        <patternFill patternType="darkUp">
          <bgColor theme="0" tint="-0.14993743705557422"/>
        </patternFill>
      </fill>
    </dxf>
    <dxf>
      <fill>
        <patternFill patternType="darkUp">
          <bgColor theme="0" tint="-0.14996795556505021"/>
        </patternFill>
      </fill>
    </dxf>
    <dxf>
      <fill>
        <patternFill patternType="darkUp">
          <bgColor theme="0" tint="-0.14996795556505021"/>
        </patternFill>
      </fill>
    </dxf>
    <dxf>
      <fill>
        <patternFill patternType="darkUp">
          <bgColor theme="0" tint="-0.14996795556505021"/>
        </patternFill>
      </fill>
    </dxf>
    <dxf>
      <fill>
        <patternFill patternType="darkUp">
          <bgColor theme="0" tint="-0.14996795556505021"/>
        </patternFill>
      </fill>
    </dxf>
    <dxf>
      <fill>
        <patternFill patternType="darkUp">
          <bgColor theme="0" tint="-0.14996795556505021"/>
        </patternFill>
      </fill>
    </dxf>
    <dxf>
      <fill>
        <patternFill patternType="darkUp">
          <bgColor theme="0" tint="-0.14996795556505021"/>
        </patternFill>
      </fill>
    </dxf>
    <dxf>
      <fill>
        <patternFill patternType="darkUp">
          <bgColor theme="0" tint="-0.14996795556505021"/>
        </patternFill>
      </fill>
    </dxf>
    <dxf>
      <fill>
        <patternFill patternType="darkUp">
          <bgColor theme="0" tint="-0.14996795556505021"/>
        </patternFill>
      </fill>
    </dxf>
    <dxf>
      <fill>
        <patternFill patternType="darkUp">
          <bgColor theme="0" tint="-0.14996795556505021"/>
        </patternFill>
      </fill>
    </dxf>
    <dxf>
      <fill>
        <patternFill patternType="darkUp">
          <bgColor theme="0" tint="-0.14996795556505021"/>
        </patternFill>
      </fill>
    </dxf>
    <dxf>
      <fill>
        <patternFill patternType="darkUp">
          <bgColor theme="0" tint="-0.14996795556505021"/>
        </patternFill>
      </fill>
    </dxf>
    <dxf>
      <fill>
        <patternFill patternType="darkUp">
          <bgColor theme="0" tint="-0.14996795556505021"/>
        </patternFill>
      </fill>
    </dxf>
    <dxf>
      <fill>
        <patternFill patternType="darkUp">
          <bgColor theme="0" tint="-0.14996795556505021"/>
        </patternFill>
      </fill>
    </dxf>
    <dxf>
      <fill>
        <patternFill patternType="darkUp">
          <bgColor theme="0" tint="-0.14996795556505021"/>
        </patternFill>
      </fill>
    </dxf>
    <dxf>
      <fill>
        <patternFill patternType="darkUp">
          <bgColor theme="0" tint="-0.14996795556505021"/>
        </patternFill>
      </fill>
    </dxf>
    <dxf>
      <fill>
        <patternFill patternType="darkUp">
          <bgColor theme="0" tint="-0.14996795556505021"/>
        </patternFill>
      </fill>
    </dxf>
    <dxf>
      <fill>
        <patternFill patternType="darkUp">
          <bgColor theme="0" tint="-0.14993743705557422"/>
        </patternFill>
      </fill>
    </dxf>
    <dxf>
      <fill>
        <patternFill patternType="darkUp">
          <bgColor theme="0" tint="-0.14993743705557422"/>
        </patternFill>
      </fill>
    </dxf>
    <dxf>
      <fill>
        <patternFill patternType="darkUp">
          <bgColor theme="0" tint="-0.14993743705557422"/>
        </patternFill>
      </fill>
    </dxf>
    <dxf>
      <fill>
        <patternFill patternType="darkUp">
          <bgColor theme="0" tint="-0.14993743705557422"/>
        </patternFill>
      </fill>
    </dxf>
    <dxf>
      <fill>
        <patternFill patternType="darkUp">
          <bgColor theme="0" tint="-0.14996795556505021"/>
        </patternFill>
      </fill>
    </dxf>
    <dxf>
      <fill>
        <patternFill patternType="darkUp">
          <bgColor theme="0" tint="-0.14996795556505021"/>
        </patternFill>
      </fill>
    </dxf>
    <dxf>
      <fill>
        <patternFill patternType="darkUp">
          <bgColor theme="0" tint="-0.14996795556505021"/>
        </patternFill>
      </fill>
    </dxf>
    <dxf>
      <fill>
        <patternFill patternType="darkUp">
          <bgColor theme="0" tint="-0.14996795556505021"/>
        </patternFill>
      </fill>
    </dxf>
    <dxf>
      <fill>
        <patternFill patternType="darkUp">
          <bgColor theme="0" tint="-0.14996795556505021"/>
        </patternFill>
      </fill>
    </dxf>
    <dxf>
      <fill>
        <patternFill patternType="darkUp">
          <bgColor theme="0" tint="-0.14993743705557422"/>
        </patternFill>
      </fill>
    </dxf>
    <dxf>
      <fill>
        <patternFill patternType="darkUp">
          <bgColor theme="0" tint="-0.14996795556505021"/>
        </patternFill>
      </fill>
    </dxf>
    <dxf>
      <fill>
        <patternFill patternType="darkUp">
          <bgColor indexed="22"/>
        </patternFill>
      </fill>
    </dxf>
    <dxf>
      <fill>
        <patternFill patternType="darkUp">
          <bgColor theme="0" tint="-0.14996795556505021"/>
        </patternFill>
      </fill>
    </dxf>
    <dxf>
      <fill>
        <patternFill patternType="darkUp">
          <bgColor theme="0" tint="-0.14993743705557422"/>
        </patternFill>
      </fill>
    </dxf>
    <dxf>
      <fill>
        <patternFill patternType="darkUp">
          <bgColor theme="0" tint="-0.14996795556505021"/>
        </patternFill>
      </fill>
    </dxf>
    <dxf>
      <fill>
        <patternFill patternType="darkUp">
          <fgColor theme="1" tint="0.24994659260841701"/>
          <bgColor theme="0" tint="-0.14996795556505021"/>
        </patternFill>
      </fill>
    </dxf>
    <dxf>
      <fill>
        <patternFill patternType="darkUp">
          <bgColor theme="0" tint="-0.14996795556505021"/>
        </patternFill>
      </fill>
    </dxf>
    <dxf>
      <fill>
        <patternFill patternType="darkUp">
          <fgColor theme="1"/>
          <bgColor theme="0" tint="-0.14996795556505021"/>
        </patternFill>
      </fill>
    </dxf>
    <dxf>
      <fill>
        <patternFill patternType="darkUp">
          <bgColor theme="0" tint="-0.14996795556505021"/>
        </patternFill>
      </fill>
    </dxf>
    <dxf>
      <fill>
        <patternFill patternType="darkUp">
          <bgColor theme="0" tint="-0.14996795556505021"/>
        </patternFill>
      </fill>
    </dxf>
    <dxf>
      <fill>
        <patternFill patternType="darkUp">
          <bgColor theme="0" tint="-0.14996795556505021"/>
        </patternFill>
      </fill>
    </dxf>
    <dxf>
      <fill>
        <patternFill patternType="darkUp">
          <bgColor theme="0" tint="-0.14996795556505021"/>
        </patternFill>
      </fill>
    </dxf>
    <dxf>
      <fill>
        <patternFill patternType="darkUp">
          <bgColor theme="0" tint="-0.14996795556505021"/>
        </patternFill>
      </fill>
    </dxf>
    <dxf>
      <fill>
        <patternFill patternType="darkUp">
          <bgColor theme="0" tint="-0.14996795556505021"/>
        </patternFill>
      </fill>
    </dxf>
    <dxf>
      <fill>
        <patternFill patternType="darkUp">
          <bgColor theme="0" tint="-0.14996795556505021"/>
        </patternFill>
      </fill>
    </dxf>
    <dxf>
      <fill>
        <patternFill patternType="darkUp">
          <bgColor theme="0" tint="-0.14996795556505021"/>
        </patternFill>
      </fill>
    </dxf>
    <dxf>
      <fill>
        <patternFill patternType="darkUp">
          <bgColor theme="0" tint="-0.14996795556505021"/>
        </patternFill>
      </fill>
    </dxf>
    <dxf>
      <fill>
        <patternFill patternType="darkUp">
          <bgColor theme="0" tint="-0.14996795556505021"/>
        </patternFill>
      </fill>
    </dxf>
    <dxf>
      <fill>
        <patternFill patternType="darkUp">
          <bgColor theme="0" tint="-0.14996795556505021"/>
        </patternFill>
      </fill>
    </dxf>
    <dxf>
      <fill>
        <patternFill patternType="darkUp">
          <fgColor theme="1"/>
          <bgColor theme="0" tint="-0.14996795556505021"/>
        </patternFill>
      </fill>
    </dxf>
  </dxfs>
  <tableStyles count="0" defaultTableStyle="TableStyleMedium9" defaultPivotStyle="PivotStyleLight16"/>
  <colors>
    <mruColors>
      <color rgb="FF800000"/>
      <color rgb="FF99CCFF"/>
      <color rgb="FF66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 Id="rId35"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ecfr.gpoaccess.gov/cgi/t/text/text-idx?c=ecfr&amp;sid=9cf4e46bf8f101e9a944d0d973134bd4&amp;rgn=div9&amp;view=text&amp;node=10:3.0.1.4.18.2.9.6.21&amp;idno=10" TargetMode="Externa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printerSettings" Target="../printerSettings/printerSettings3.bin"/><Relationship Id="rId4" Type="http://schemas.openxmlformats.org/officeDocument/2006/relationships/hyperlink" Target="http://www.ecfr.gov/cgi-bin/retrieveECFR?gp=&amp;SID=17420175e0344f74cea47257a0048d19&amp;n=10y3.0.1.4.18&amp;r=PART&amp;ty=HTML" TargetMode="External"/></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28.bin"/><Relationship Id="rId2" Type="http://schemas.openxmlformats.org/officeDocument/2006/relationships/printerSettings" Target="../printerSettings/printerSettings27.bin"/><Relationship Id="rId1" Type="http://schemas.openxmlformats.org/officeDocument/2006/relationships/printerSettings" Target="../printerSettings/printerSettings26.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31.bin"/><Relationship Id="rId2" Type="http://schemas.openxmlformats.org/officeDocument/2006/relationships/printerSettings" Target="../printerSettings/printerSettings30.bin"/><Relationship Id="rId1" Type="http://schemas.openxmlformats.org/officeDocument/2006/relationships/printerSettings" Target="../printerSettings/printerSettings29.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34.bin"/><Relationship Id="rId2" Type="http://schemas.openxmlformats.org/officeDocument/2006/relationships/printerSettings" Target="../printerSettings/printerSettings33.bin"/><Relationship Id="rId1" Type="http://schemas.openxmlformats.org/officeDocument/2006/relationships/printerSettings" Target="../printerSettings/printerSettings32.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37.bin"/><Relationship Id="rId2" Type="http://schemas.openxmlformats.org/officeDocument/2006/relationships/printerSettings" Target="../printerSettings/printerSettings36.bin"/><Relationship Id="rId1" Type="http://schemas.openxmlformats.org/officeDocument/2006/relationships/printerSettings" Target="../printerSettings/printerSettings35.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40.bin"/><Relationship Id="rId2" Type="http://schemas.openxmlformats.org/officeDocument/2006/relationships/printerSettings" Target="../printerSettings/printerSettings39.bin"/><Relationship Id="rId1" Type="http://schemas.openxmlformats.org/officeDocument/2006/relationships/printerSettings" Target="../printerSettings/printerSettings38.bin"/></Relationships>
</file>

<file path=xl/worksheets/_rels/sheet15.xml.rels><?xml version="1.0" encoding="UTF-8" standalone="yes"?>
<Relationships xmlns="http://schemas.openxmlformats.org/package/2006/relationships"><Relationship Id="rId3" Type="http://schemas.openxmlformats.org/officeDocument/2006/relationships/printerSettings" Target="../printerSettings/printerSettings43.bin"/><Relationship Id="rId2" Type="http://schemas.openxmlformats.org/officeDocument/2006/relationships/printerSettings" Target="../printerSettings/printerSettings42.bin"/><Relationship Id="rId1" Type="http://schemas.openxmlformats.org/officeDocument/2006/relationships/printerSettings" Target="../printerSettings/printerSettings41.bin"/></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46.bin"/><Relationship Id="rId2" Type="http://schemas.openxmlformats.org/officeDocument/2006/relationships/printerSettings" Target="../printerSettings/printerSettings45.bin"/><Relationship Id="rId1" Type="http://schemas.openxmlformats.org/officeDocument/2006/relationships/printerSettings" Target="../printerSettings/printerSettings44.bin"/></Relationships>
</file>

<file path=xl/worksheets/_rels/sheet17.xml.rels><?xml version="1.0" encoding="UTF-8" standalone="yes"?>
<Relationships xmlns="http://schemas.openxmlformats.org/package/2006/relationships"><Relationship Id="rId3" Type="http://schemas.openxmlformats.org/officeDocument/2006/relationships/printerSettings" Target="../printerSettings/printerSettings49.bin"/><Relationship Id="rId2" Type="http://schemas.openxmlformats.org/officeDocument/2006/relationships/printerSettings" Target="../printerSettings/printerSettings48.bin"/><Relationship Id="rId1" Type="http://schemas.openxmlformats.org/officeDocument/2006/relationships/printerSettings" Target="../printerSettings/printerSettings47.bin"/></Relationships>
</file>

<file path=xl/worksheets/_rels/sheet18.xml.rels><?xml version="1.0" encoding="UTF-8" standalone="yes"?>
<Relationships xmlns="http://schemas.openxmlformats.org/package/2006/relationships"><Relationship Id="rId3" Type="http://schemas.openxmlformats.org/officeDocument/2006/relationships/printerSettings" Target="../printerSettings/printerSettings52.bin"/><Relationship Id="rId2" Type="http://schemas.openxmlformats.org/officeDocument/2006/relationships/printerSettings" Target="../printerSettings/printerSettings51.bin"/><Relationship Id="rId1" Type="http://schemas.openxmlformats.org/officeDocument/2006/relationships/printerSettings" Target="../printerSettings/printerSettings50.bin"/></Relationships>
</file>

<file path=xl/worksheets/_rels/sheet19.xml.rels><?xml version="1.0" encoding="UTF-8" standalone="yes"?>
<Relationships xmlns="http://schemas.openxmlformats.org/package/2006/relationships"><Relationship Id="rId3" Type="http://schemas.openxmlformats.org/officeDocument/2006/relationships/printerSettings" Target="../printerSettings/printerSettings55.bin"/><Relationship Id="rId2" Type="http://schemas.openxmlformats.org/officeDocument/2006/relationships/printerSettings" Target="../printerSettings/printerSettings54.bin"/><Relationship Id="rId1" Type="http://schemas.openxmlformats.org/officeDocument/2006/relationships/printerSettings" Target="../printerSettings/printerSettings53.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22.xml.rels><?xml version="1.0" encoding="UTF-8" standalone="yes"?>
<Relationships xmlns="http://schemas.openxmlformats.org/package/2006/relationships"><Relationship Id="rId3" Type="http://schemas.openxmlformats.org/officeDocument/2006/relationships/printerSettings" Target="../printerSettings/printerSettings60.bin"/><Relationship Id="rId2" Type="http://schemas.openxmlformats.org/officeDocument/2006/relationships/printerSettings" Target="../printerSettings/printerSettings59.bin"/><Relationship Id="rId1" Type="http://schemas.openxmlformats.org/officeDocument/2006/relationships/printerSettings" Target="../printerSettings/printerSettings58.bin"/></Relationships>
</file>

<file path=xl/worksheets/_rels/sheet25.xml.rels><?xml version="1.0" encoding="UTF-8" standalone="yes"?>
<Relationships xmlns="http://schemas.openxmlformats.org/package/2006/relationships"><Relationship Id="rId3" Type="http://schemas.openxmlformats.org/officeDocument/2006/relationships/printerSettings" Target="../printerSettings/printerSettings63.bin"/><Relationship Id="rId2" Type="http://schemas.openxmlformats.org/officeDocument/2006/relationships/printerSettings" Target="../printerSettings/printerSettings62.bin"/><Relationship Id="rId1" Type="http://schemas.openxmlformats.org/officeDocument/2006/relationships/printerSettings" Target="../printerSettings/printerSettings61.bin"/></Relationships>
</file>

<file path=xl/worksheets/_rels/sheet26.xml.rels><?xml version="1.0" encoding="UTF-8" standalone="yes"?>
<Relationships xmlns="http://schemas.openxmlformats.org/package/2006/relationships"><Relationship Id="rId3" Type="http://schemas.openxmlformats.org/officeDocument/2006/relationships/printerSettings" Target="../printerSettings/printerSettings66.bin"/><Relationship Id="rId2" Type="http://schemas.openxmlformats.org/officeDocument/2006/relationships/printerSettings" Target="../printerSettings/printerSettings65.bin"/><Relationship Id="rId1" Type="http://schemas.openxmlformats.org/officeDocument/2006/relationships/printerSettings" Target="../printerSettings/printerSettings64.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67.bin"/></Relationships>
</file>

<file path=xl/worksheets/_rels/sheet28.xml.rels><?xml version="1.0" encoding="UTF-8" standalone="yes"?>
<Relationships xmlns="http://schemas.openxmlformats.org/package/2006/relationships"><Relationship Id="rId3" Type="http://schemas.openxmlformats.org/officeDocument/2006/relationships/printerSettings" Target="../printerSettings/printerSettings70.bin"/><Relationship Id="rId2" Type="http://schemas.openxmlformats.org/officeDocument/2006/relationships/printerSettings" Target="../printerSettings/printerSettings69.bin"/><Relationship Id="rId1" Type="http://schemas.openxmlformats.org/officeDocument/2006/relationships/printerSettings" Target="../printerSettings/printerSettings6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19.bin"/><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22.bin"/><Relationship Id="rId2" Type="http://schemas.openxmlformats.org/officeDocument/2006/relationships/printerSettings" Target="../printerSettings/printerSettings21.bin"/><Relationship Id="rId1" Type="http://schemas.openxmlformats.org/officeDocument/2006/relationships/printerSettings" Target="../printerSettings/printerSettings20.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25.bin"/><Relationship Id="rId2" Type="http://schemas.openxmlformats.org/officeDocument/2006/relationships/printerSettings" Target="../printerSettings/printerSettings24.bin"/><Relationship Id="rId1" Type="http://schemas.openxmlformats.org/officeDocument/2006/relationships/printerSettings" Target="../printerSettings/printerSettings2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K86"/>
  <sheetViews>
    <sheetView showGridLines="0" tabSelected="1" zoomScale="80" zoomScaleNormal="80" workbookViewId="0">
      <selection activeCell="B11" sqref="B11:E11"/>
    </sheetView>
  </sheetViews>
  <sheetFormatPr defaultColWidth="9.140625" defaultRowHeight="16.5" x14ac:dyDescent="0.25"/>
  <cols>
    <col min="1" max="1" width="3.85546875" style="24" customWidth="1"/>
    <col min="2" max="2" width="40.5703125" style="24" customWidth="1"/>
    <col min="3" max="3" width="85.85546875" style="24" customWidth="1"/>
    <col min="4" max="6" width="21.140625" style="24" customWidth="1"/>
    <col min="7" max="7" width="3.42578125" style="24" customWidth="1"/>
    <col min="8" max="8" width="2.85546875" style="24" customWidth="1"/>
    <col min="9" max="9" width="28.7109375" style="24" customWidth="1"/>
    <col min="10" max="16384" width="9.140625" style="24"/>
  </cols>
  <sheetData>
    <row r="1" spans="1:8" ht="18" thickBot="1" x14ac:dyDescent="0.3">
      <c r="A1" s="33"/>
      <c r="H1" s="181"/>
    </row>
    <row r="2" spans="1:8" ht="18" thickBot="1" x14ac:dyDescent="0.3">
      <c r="B2" s="764" t="s">
        <v>562</v>
      </c>
      <c r="C2" s="765"/>
      <c r="H2" s="46"/>
    </row>
    <row r="3" spans="1:8" x14ac:dyDescent="0.3">
      <c r="B3" s="308" t="s">
        <v>563</v>
      </c>
      <c r="C3" s="309" t="str">
        <f>'Version Control'!C3</f>
        <v>Residential Central Air Conditioners and Heat Pumps</v>
      </c>
      <c r="H3" s="46"/>
    </row>
    <row r="4" spans="1:8" x14ac:dyDescent="0.3">
      <c r="B4" s="299" t="s">
        <v>140</v>
      </c>
      <c r="C4" s="300" t="str">
        <f>'Version Control'!C4</f>
        <v>v2.1</v>
      </c>
      <c r="H4" s="46"/>
    </row>
    <row r="5" spans="1:8" ht="17.25" x14ac:dyDescent="0.3">
      <c r="A5" s="200"/>
      <c r="B5" s="299" t="s">
        <v>462</v>
      </c>
      <c r="C5" s="301">
        <f>'Version Control'!C5</f>
        <v>42653</v>
      </c>
      <c r="H5" s="46"/>
    </row>
    <row r="6" spans="1:8" x14ac:dyDescent="0.3">
      <c r="B6" s="302" t="s">
        <v>139</v>
      </c>
      <c r="C6" s="303" t="str">
        <f ca="1">MID(CELL("filename",$A$1), FIND("]", CELL("filename", $A$1))+ 1, 255)</f>
        <v>Instructions</v>
      </c>
      <c r="H6" s="46"/>
    </row>
    <row r="7" spans="1:8" ht="17.25" thickBot="1" x14ac:dyDescent="0.3">
      <c r="B7" s="310" t="s">
        <v>138</v>
      </c>
      <c r="C7" s="311" t="str">
        <f ca="1">MID(CELL("FILENAME",F15),FIND("[",CELL("FILENAME",F15))+1,FIND("]",CELL("FILENAME",F15))-FIND("[",CELL("FILENAME",F15))-1)</f>
        <v>Residential Central Air Conditioners and Heat Pumps - v2.1.xlsx</v>
      </c>
      <c r="H7" s="46"/>
    </row>
    <row r="8" spans="1:8" ht="17.25" x14ac:dyDescent="0.25">
      <c r="D8" s="202"/>
      <c r="E8" s="45"/>
      <c r="F8" s="45"/>
      <c r="H8" s="46"/>
    </row>
    <row r="9" spans="1:8" ht="18" thickBot="1" x14ac:dyDescent="0.3">
      <c r="D9" s="202"/>
      <c r="E9" s="45"/>
      <c r="F9" s="45"/>
      <c r="H9" s="46"/>
    </row>
    <row r="10" spans="1:8" ht="17.25" customHeight="1" thickBot="1" x14ac:dyDescent="0.3">
      <c r="B10" s="761" t="s">
        <v>145</v>
      </c>
      <c r="C10" s="762"/>
      <c r="D10" s="762"/>
      <c r="E10" s="763"/>
      <c r="F10" s="45"/>
      <c r="H10" s="46"/>
    </row>
    <row r="11" spans="1:8" ht="30" customHeight="1" thickBot="1" x14ac:dyDescent="0.3">
      <c r="B11" s="778" t="s">
        <v>471</v>
      </c>
      <c r="C11" s="779"/>
      <c r="D11" s="779"/>
      <c r="E11" s="780"/>
      <c r="F11" s="45"/>
      <c r="H11" s="46"/>
    </row>
    <row r="12" spans="1:8" ht="17.25" thickBot="1" x14ac:dyDescent="0.3">
      <c r="D12" s="45"/>
      <c r="E12" s="201"/>
      <c r="F12" s="45"/>
      <c r="H12" s="46"/>
    </row>
    <row r="13" spans="1:8" ht="18" thickBot="1" x14ac:dyDescent="0.3">
      <c r="B13" s="761" t="s">
        <v>1</v>
      </c>
      <c r="C13" s="763"/>
      <c r="D13" s="45"/>
      <c r="E13" s="201"/>
      <c r="F13" s="45"/>
      <c r="H13" s="46"/>
    </row>
    <row r="14" spans="1:8" s="105" customFormat="1" ht="17.25" x14ac:dyDescent="0.25">
      <c r="B14" s="574" t="s">
        <v>449</v>
      </c>
      <c r="C14" s="575" t="s">
        <v>450</v>
      </c>
      <c r="E14" s="107"/>
      <c r="H14" s="106"/>
    </row>
    <row r="15" spans="1:8" x14ac:dyDescent="0.25">
      <c r="B15" s="572" t="s">
        <v>322</v>
      </c>
      <c r="C15" s="573" t="s">
        <v>532</v>
      </c>
      <c r="D15" s="203"/>
      <c r="E15" s="204"/>
      <c r="F15" s="45"/>
      <c r="H15" s="46"/>
    </row>
    <row r="16" spans="1:8" ht="17.25" x14ac:dyDescent="0.25">
      <c r="B16" s="113" t="s">
        <v>323</v>
      </c>
      <c r="C16" s="108" t="s">
        <v>533</v>
      </c>
      <c r="D16" s="203"/>
      <c r="E16" s="205"/>
      <c r="F16" s="45"/>
      <c r="H16" s="46"/>
    </row>
    <row r="17" spans="2:11" x14ac:dyDescent="0.25">
      <c r="B17" s="27" t="s">
        <v>2</v>
      </c>
      <c r="C17" s="108" t="s">
        <v>534</v>
      </c>
      <c r="D17" s="45"/>
      <c r="E17" s="45"/>
      <c r="F17" s="45"/>
      <c r="H17" s="46"/>
    </row>
    <row r="18" spans="2:11" x14ac:dyDescent="0.25">
      <c r="B18" s="31" t="s">
        <v>4</v>
      </c>
      <c r="C18" s="109" t="s">
        <v>535</v>
      </c>
      <c r="E18" s="225"/>
      <c r="H18" s="46"/>
      <c r="I18" s="45"/>
      <c r="J18" s="45"/>
      <c r="K18" s="45"/>
    </row>
    <row r="19" spans="2:11" x14ac:dyDescent="0.25">
      <c r="B19" s="27" t="s">
        <v>3</v>
      </c>
      <c r="C19" s="108" t="s">
        <v>536</v>
      </c>
      <c r="D19" s="45"/>
      <c r="E19" s="45"/>
      <c r="F19" s="45"/>
      <c r="H19" s="46"/>
    </row>
    <row r="20" spans="2:11" x14ac:dyDescent="0.25">
      <c r="B20" s="27" t="s">
        <v>324</v>
      </c>
      <c r="C20" s="108" t="s">
        <v>5</v>
      </c>
      <c r="D20" s="45"/>
      <c r="G20" s="45"/>
      <c r="H20" s="206"/>
    </row>
    <row r="21" spans="2:11" x14ac:dyDescent="0.25">
      <c r="B21" s="31" t="s">
        <v>326</v>
      </c>
      <c r="C21" s="110" t="s">
        <v>515</v>
      </c>
      <c r="D21" s="45"/>
      <c r="E21" s="45"/>
      <c r="F21" s="45"/>
      <c r="G21" s="45"/>
      <c r="H21" s="206"/>
    </row>
    <row r="22" spans="2:11" x14ac:dyDescent="0.25">
      <c r="B22" s="31" t="s">
        <v>327</v>
      </c>
      <c r="C22" s="110" t="s">
        <v>516</v>
      </c>
      <c r="D22" s="45"/>
      <c r="E22" s="45"/>
      <c r="F22" s="45"/>
      <c r="G22" s="45"/>
      <c r="H22" s="206"/>
    </row>
    <row r="23" spans="2:11" x14ac:dyDescent="0.25">
      <c r="B23" s="31" t="s">
        <v>328</v>
      </c>
      <c r="C23" s="110" t="s">
        <v>517</v>
      </c>
      <c r="D23" s="45"/>
      <c r="E23" s="45"/>
      <c r="F23" s="45"/>
      <c r="G23" s="45"/>
      <c r="H23" s="206"/>
    </row>
    <row r="24" spans="2:11" x14ac:dyDescent="0.25">
      <c r="B24" s="31" t="s">
        <v>329</v>
      </c>
      <c r="C24" s="110" t="s">
        <v>513</v>
      </c>
      <c r="D24" s="45"/>
      <c r="E24" s="45"/>
      <c r="F24" s="45"/>
      <c r="G24" s="45"/>
      <c r="H24" s="206"/>
    </row>
    <row r="25" spans="2:11" x14ac:dyDescent="0.25">
      <c r="B25" s="31" t="s">
        <v>330</v>
      </c>
      <c r="C25" s="110" t="s">
        <v>514</v>
      </c>
      <c r="D25" s="45"/>
      <c r="E25" s="45"/>
      <c r="F25" s="45"/>
      <c r="G25" s="45"/>
      <c r="H25" s="206"/>
    </row>
    <row r="26" spans="2:11" x14ac:dyDescent="0.25">
      <c r="B26" s="31" t="s">
        <v>331</v>
      </c>
      <c r="C26" s="110" t="s">
        <v>518</v>
      </c>
      <c r="D26" s="45"/>
      <c r="E26" s="45"/>
      <c r="F26" s="45"/>
      <c r="G26" s="45"/>
      <c r="H26" s="206"/>
    </row>
    <row r="27" spans="2:11" x14ac:dyDescent="0.25">
      <c r="B27" s="31" t="s">
        <v>332</v>
      </c>
      <c r="C27" s="110" t="s">
        <v>519</v>
      </c>
      <c r="D27" s="45"/>
      <c r="E27" s="45"/>
      <c r="F27" s="45"/>
      <c r="G27" s="45"/>
      <c r="H27" s="206"/>
    </row>
    <row r="28" spans="2:11" x14ac:dyDescent="0.25">
      <c r="B28" s="31" t="s">
        <v>333</v>
      </c>
      <c r="C28" s="110" t="s">
        <v>520</v>
      </c>
      <c r="D28" s="45"/>
      <c r="E28" s="45"/>
      <c r="F28" s="45"/>
      <c r="G28" s="45"/>
      <c r="H28" s="206"/>
    </row>
    <row r="29" spans="2:11" ht="33" x14ac:dyDescent="0.25">
      <c r="B29" s="31" t="s">
        <v>543</v>
      </c>
      <c r="C29" s="110" t="s">
        <v>521</v>
      </c>
      <c r="D29" s="45"/>
      <c r="E29" s="45"/>
      <c r="F29" s="45"/>
      <c r="G29" s="45"/>
      <c r="H29" s="206"/>
    </row>
    <row r="30" spans="2:11" ht="33" x14ac:dyDescent="0.25">
      <c r="B30" s="31" t="s">
        <v>334</v>
      </c>
      <c r="C30" s="110" t="s">
        <v>522</v>
      </c>
      <c r="D30" s="45"/>
      <c r="E30" s="45"/>
      <c r="F30" s="45"/>
      <c r="G30" s="45"/>
      <c r="H30" s="206"/>
    </row>
    <row r="31" spans="2:11" x14ac:dyDescent="0.25">
      <c r="B31" s="31" t="s">
        <v>335</v>
      </c>
      <c r="C31" s="110" t="s">
        <v>523</v>
      </c>
      <c r="D31" s="45"/>
      <c r="E31" s="45"/>
      <c r="F31" s="45"/>
      <c r="G31" s="45"/>
      <c r="H31" s="206"/>
    </row>
    <row r="32" spans="2:11" x14ac:dyDescent="0.25">
      <c r="B32" s="31" t="s">
        <v>336</v>
      </c>
      <c r="C32" s="110" t="s">
        <v>524</v>
      </c>
      <c r="D32" s="45"/>
      <c r="E32" s="45"/>
      <c r="F32" s="45"/>
      <c r="G32" s="45"/>
      <c r="H32" s="206"/>
    </row>
    <row r="33" spans="2:8" x14ac:dyDescent="0.25">
      <c r="B33" s="31" t="s">
        <v>338</v>
      </c>
      <c r="C33" s="110" t="s">
        <v>525</v>
      </c>
      <c r="D33" s="45"/>
      <c r="E33" s="45"/>
      <c r="F33" s="45"/>
      <c r="G33" s="45"/>
      <c r="H33" s="206"/>
    </row>
    <row r="34" spans="2:8" x14ac:dyDescent="0.25">
      <c r="B34" s="31" t="s">
        <v>337</v>
      </c>
      <c r="C34" s="110" t="s">
        <v>526</v>
      </c>
      <c r="D34" s="45"/>
      <c r="E34" s="45"/>
      <c r="F34" s="45"/>
      <c r="G34" s="45"/>
      <c r="H34" s="206"/>
    </row>
    <row r="35" spans="2:8" x14ac:dyDescent="0.25">
      <c r="B35" s="31" t="s">
        <v>644</v>
      </c>
      <c r="C35" s="110" t="s">
        <v>646</v>
      </c>
      <c r="D35" s="45"/>
      <c r="E35" s="45"/>
      <c r="F35" s="45"/>
      <c r="G35" s="45"/>
      <c r="H35" s="206"/>
    </row>
    <row r="36" spans="2:8" x14ac:dyDescent="0.25">
      <c r="B36" s="31" t="s">
        <v>325</v>
      </c>
      <c r="C36" s="110" t="s">
        <v>451</v>
      </c>
      <c r="D36" s="45"/>
      <c r="E36" s="45"/>
      <c r="F36" s="45"/>
      <c r="G36" s="45"/>
      <c r="H36" s="206"/>
    </row>
    <row r="37" spans="2:8" x14ac:dyDescent="0.25">
      <c r="B37" s="31" t="s">
        <v>342</v>
      </c>
      <c r="C37" s="111" t="s">
        <v>537</v>
      </c>
      <c r="D37" s="45"/>
      <c r="E37" s="45"/>
      <c r="F37" s="45"/>
      <c r="G37" s="45"/>
      <c r="H37" s="206"/>
    </row>
    <row r="38" spans="2:8" x14ac:dyDescent="0.25">
      <c r="B38" s="31" t="s">
        <v>610</v>
      </c>
      <c r="C38" s="111" t="s">
        <v>611</v>
      </c>
      <c r="D38" s="45"/>
      <c r="E38" s="45"/>
      <c r="F38" s="45"/>
      <c r="G38" s="45"/>
      <c r="H38" s="206"/>
    </row>
    <row r="39" spans="2:8" x14ac:dyDescent="0.25">
      <c r="B39" s="31" t="s">
        <v>341</v>
      </c>
      <c r="C39" s="111" t="s">
        <v>527</v>
      </c>
      <c r="D39" s="45"/>
      <c r="E39" s="45"/>
      <c r="F39" s="45"/>
      <c r="G39" s="45"/>
      <c r="H39" s="206"/>
    </row>
    <row r="40" spans="2:8" x14ac:dyDescent="0.25">
      <c r="B40" s="31" t="s">
        <v>339</v>
      </c>
      <c r="C40" s="111" t="s">
        <v>528</v>
      </c>
      <c r="D40" s="45"/>
      <c r="E40" s="45"/>
      <c r="F40" s="45"/>
      <c r="G40" s="45"/>
      <c r="H40" s="206"/>
    </row>
    <row r="41" spans="2:8" x14ac:dyDescent="0.25">
      <c r="B41" s="241" t="s">
        <v>511</v>
      </c>
      <c r="C41" s="242" t="s">
        <v>512</v>
      </c>
      <c r="D41" s="45"/>
      <c r="E41" s="45"/>
      <c r="F41" s="45"/>
      <c r="G41" s="45"/>
      <c r="H41" s="206"/>
    </row>
    <row r="42" spans="2:8" ht="17.25" thickBot="1" x14ac:dyDescent="0.3">
      <c r="B42" s="32" t="s">
        <v>340</v>
      </c>
      <c r="C42" s="112" t="s">
        <v>529</v>
      </c>
      <c r="D42" s="45"/>
      <c r="E42" s="45"/>
      <c r="F42" s="45"/>
      <c r="G42" s="45"/>
      <c r="H42" s="206"/>
    </row>
    <row r="43" spans="2:8" ht="17.25" thickBot="1" x14ac:dyDescent="0.3">
      <c r="B43" s="22"/>
      <c r="C43" s="23"/>
      <c r="D43" s="45"/>
      <c r="E43" s="45"/>
      <c r="F43" s="45"/>
      <c r="G43" s="45"/>
      <c r="H43" s="206"/>
    </row>
    <row r="44" spans="2:8" ht="18" thickBot="1" x14ac:dyDescent="0.4">
      <c r="B44" s="781" t="s">
        <v>354</v>
      </c>
      <c r="C44" s="782"/>
      <c r="D44" s="45"/>
      <c r="E44" s="45"/>
      <c r="F44" s="45"/>
      <c r="G44" s="45"/>
      <c r="H44" s="206"/>
    </row>
    <row r="45" spans="2:8" ht="16.5" customHeight="1" x14ac:dyDescent="0.25">
      <c r="B45" s="296" t="s">
        <v>558</v>
      </c>
      <c r="C45" s="576" t="s">
        <v>559</v>
      </c>
      <c r="D45" s="45"/>
      <c r="E45" s="45"/>
      <c r="F45" s="45"/>
      <c r="G45" s="45"/>
      <c r="H45" s="206"/>
    </row>
    <row r="46" spans="2:8" x14ac:dyDescent="0.25">
      <c r="B46" s="783" t="s">
        <v>560</v>
      </c>
      <c r="C46" s="292" t="s">
        <v>307</v>
      </c>
      <c r="D46" s="45"/>
      <c r="E46" s="45"/>
      <c r="F46" s="45"/>
      <c r="G46" s="45"/>
      <c r="H46" s="206"/>
    </row>
    <row r="47" spans="2:8" x14ac:dyDescent="0.25">
      <c r="B47" s="783"/>
      <c r="C47" s="293" t="s">
        <v>561</v>
      </c>
      <c r="D47" s="45"/>
      <c r="E47" s="45"/>
      <c r="F47" s="45"/>
      <c r="G47" s="45"/>
      <c r="H47" s="206"/>
    </row>
    <row r="48" spans="2:8" x14ac:dyDescent="0.25">
      <c r="B48" s="783"/>
      <c r="C48" s="294" t="s">
        <v>538</v>
      </c>
      <c r="D48" s="45"/>
      <c r="E48" s="45"/>
      <c r="F48" s="45"/>
      <c r="G48" s="45"/>
      <c r="H48" s="206"/>
    </row>
    <row r="49" spans="1:8" ht="21.75" thickBot="1" x14ac:dyDescent="0.3">
      <c r="B49" s="784"/>
      <c r="C49" s="295" t="s">
        <v>539</v>
      </c>
      <c r="D49" s="45"/>
      <c r="E49" s="45"/>
      <c r="F49" s="45"/>
      <c r="G49" s="45"/>
      <c r="H49" s="206"/>
    </row>
    <row r="50" spans="1:8" ht="17.25" thickBot="1" x14ac:dyDescent="0.3">
      <c r="B50" s="22"/>
      <c r="C50" s="23"/>
      <c r="D50" s="45"/>
      <c r="E50" s="45"/>
      <c r="F50" s="45"/>
      <c r="G50" s="45"/>
      <c r="H50" s="206"/>
    </row>
    <row r="51" spans="1:8" ht="18.75" thickBot="1" x14ac:dyDescent="0.3">
      <c r="B51" s="766" t="s">
        <v>530</v>
      </c>
      <c r="C51" s="767"/>
      <c r="D51" s="45"/>
      <c r="E51" s="45"/>
      <c r="F51" s="45"/>
      <c r="G51" s="45"/>
      <c r="H51" s="206"/>
    </row>
    <row r="52" spans="1:8" ht="15" customHeight="1" x14ac:dyDescent="0.25">
      <c r="B52" s="772" t="s">
        <v>452</v>
      </c>
      <c r="C52" s="773"/>
      <c r="D52" s="45"/>
      <c r="E52" s="45"/>
      <c r="F52" s="45"/>
      <c r="G52" s="45"/>
      <c r="H52" s="206"/>
    </row>
    <row r="53" spans="1:8" ht="15" customHeight="1" x14ac:dyDescent="0.25">
      <c r="B53" s="774"/>
      <c r="C53" s="775"/>
      <c r="D53" s="45"/>
      <c r="E53" s="45"/>
      <c r="F53" s="45"/>
      <c r="G53" s="45"/>
      <c r="H53" s="206"/>
    </row>
    <row r="54" spans="1:8" ht="21.75" customHeight="1" thickBot="1" x14ac:dyDescent="0.3">
      <c r="B54" s="776"/>
      <c r="C54" s="777"/>
      <c r="D54" s="45"/>
      <c r="E54" s="45"/>
      <c r="F54" s="45"/>
      <c r="G54" s="45"/>
      <c r="H54" s="206"/>
    </row>
    <row r="55" spans="1:8" ht="27.75" customHeight="1" x14ac:dyDescent="0.25">
      <c r="B55" s="768" t="s">
        <v>531</v>
      </c>
      <c r="C55" s="769"/>
      <c r="D55" s="45"/>
      <c r="E55" s="45"/>
      <c r="F55" s="45"/>
      <c r="G55" s="45"/>
      <c r="H55" s="206"/>
    </row>
    <row r="56" spans="1:8" ht="27.75" customHeight="1" thickBot="1" x14ac:dyDescent="0.3">
      <c r="B56" s="770"/>
      <c r="C56" s="771"/>
      <c r="D56" s="45"/>
      <c r="E56" s="45"/>
      <c r="F56" s="45"/>
      <c r="G56" s="45"/>
      <c r="H56" s="206"/>
    </row>
    <row r="57" spans="1:8" ht="15" customHeight="1" x14ac:dyDescent="0.25">
      <c r="B57" s="207"/>
      <c r="C57" s="208"/>
      <c r="D57" s="45"/>
      <c r="E57" s="45"/>
      <c r="F57" s="45"/>
      <c r="G57" s="45"/>
      <c r="H57" s="206"/>
    </row>
    <row r="58" spans="1:8" ht="15" customHeight="1" x14ac:dyDescent="0.25">
      <c r="B58" s="209" t="s">
        <v>351</v>
      </c>
      <c r="C58" s="210" t="s">
        <v>352</v>
      </c>
      <c r="D58" s="45"/>
      <c r="E58" s="45"/>
      <c r="F58" s="45"/>
      <c r="G58" s="45"/>
      <c r="H58" s="206"/>
    </row>
    <row r="59" spans="1:8" ht="15" customHeight="1" x14ac:dyDescent="0.25">
      <c r="B59" s="211"/>
      <c r="C59" s="212"/>
      <c r="D59" s="45"/>
      <c r="E59" s="45"/>
      <c r="F59" s="45"/>
      <c r="G59" s="45"/>
      <c r="H59" s="206"/>
    </row>
    <row r="60" spans="1:8" x14ac:dyDescent="0.25">
      <c r="B60" s="25" t="s">
        <v>6</v>
      </c>
      <c r="C60" s="213" t="s">
        <v>323</v>
      </c>
      <c r="D60" s="45"/>
      <c r="E60" s="45"/>
      <c r="F60" s="45"/>
      <c r="G60" s="45"/>
      <c r="H60" s="206"/>
    </row>
    <row r="61" spans="1:8" x14ac:dyDescent="0.25">
      <c r="B61" s="27" t="s">
        <v>7</v>
      </c>
      <c r="C61" s="214" t="s">
        <v>2</v>
      </c>
      <c r="D61" s="201"/>
      <c r="E61" s="45"/>
      <c r="F61" s="45"/>
      <c r="G61" s="45"/>
      <c r="H61" s="206"/>
    </row>
    <row r="62" spans="1:8" x14ac:dyDescent="0.25">
      <c r="B62" s="27" t="s">
        <v>8</v>
      </c>
      <c r="C62" s="214" t="s">
        <v>4</v>
      </c>
      <c r="E62" s="45"/>
      <c r="F62" s="45"/>
      <c r="G62" s="45"/>
      <c r="H62" s="206"/>
    </row>
    <row r="63" spans="1:8" x14ac:dyDescent="0.25">
      <c r="B63" s="27" t="s">
        <v>9</v>
      </c>
      <c r="C63" s="214" t="s">
        <v>3</v>
      </c>
      <c r="D63" s="201"/>
      <c r="E63" s="201"/>
      <c r="F63" s="45"/>
      <c r="G63" s="45"/>
      <c r="H63" s="206"/>
    </row>
    <row r="64" spans="1:8" ht="17.25" thickBot="1" x14ac:dyDescent="0.3">
      <c r="A64" s="45"/>
      <c r="B64" s="28" t="s">
        <v>10</v>
      </c>
      <c r="C64" s="215" t="s">
        <v>324</v>
      </c>
      <c r="D64" s="45"/>
      <c r="E64" s="45"/>
      <c r="F64" s="45"/>
      <c r="G64" s="45"/>
      <c r="H64" s="206"/>
    </row>
    <row r="65" spans="1:8" ht="18" thickBot="1" x14ac:dyDescent="0.3">
      <c r="B65" s="29" t="s">
        <v>11</v>
      </c>
      <c r="C65" s="30" t="s">
        <v>353</v>
      </c>
      <c r="D65" s="234" t="s">
        <v>469</v>
      </c>
      <c r="E65" s="233" t="s">
        <v>467</v>
      </c>
      <c r="F65" s="233" t="s">
        <v>468</v>
      </c>
      <c r="G65" s="45"/>
      <c r="H65" s="46"/>
    </row>
    <row r="66" spans="1:8" x14ac:dyDescent="0.25">
      <c r="A66" s="45"/>
      <c r="B66" s="35" t="s">
        <v>308</v>
      </c>
      <c r="C66" s="216" t="s">
        <v>326</v>
      </c>
      <c r="D66" s="217" t="s">
        <v>257</v>
      </c>
      <c r="E66" s="217" t="s">
        <v>257</v>
      </c>
      <c r="F66" s="218" t="s">
        <v>257</v>
      </c>
      <c r="G66" s="45"/>
      <c r="H66" s="46"/>
    </row>
    <row r="67" spans="1:8" x14ac:dyDescent="0.25">
      <c r="B67" s="36" t="s">
        <v>309</v>
      </c>
      <c r="C67" s="219" t="s">
        <v>327</v>
      </c>
      <c r="D67" s="220" t="s">
        <v>257</v>
      </c>
      <c r="E67" s="220" t="s">
        <v>257</v>
      </c>
      <c r="F67" s="221" t="s">
        <v>257</v>
      </c>
      <c r="G67" s="45"/>
      <c r="H67" s="46"/>
    </row>
    <row r="68" spans="1:8" x14ac:dyDescent="0.25">
      <c r="B68" s="36" t="s">
        <v>310</v>
      </c>
      <c r="C68" s="219" t="s">
        <v>328</v>
      </c>
      <c r="D68" s="220"/>
      <c r="E68" s="220" t="s">
        <v>257</v>
      </c>
      <c r="F68" s="221" t="s">
        <v>257</v>
      </c>
      <c r="G68" s="45"/>
      <c r="H68" s="46"/>
    </row>
    <row r="69" spans="1:8" x14ac:dyDescent="0.25">
      <c r="B69" s="36" t="s">
        <v>311</v>
      </c>
      <c r="C69" s="219" t="s">
        <v>329</v>
      </c>
      <c r="D69" s="220"/>
      <c r="E69" s="220"/>
      <c r="F69" s="221" t="s">
        <v>257</v>
      </c>
      <c r="H69" s="46"/>
    </row>
    <row r="70" spans="1:8" x14ac:dyDescent="0.25">
      <c r="B70" s="36" t="s">
        <v>312</v>
      </c>
      <c r="C70" s="219" t="s">
        <v>330</v>
      </c>
      <c r="D70" s="220" t="s">
        <v>257</v>
      </c>
      <c r="E70" s="220" t="s">
        <v>257</v>
      </c>
      <c r="F70" s="221"/>
      <c r="G70" s="45"/>
      <c r="H70" s="46"/>
    </row>
    <row r="71" spans="1:8" x14ac:dyDescent="0.25">
      <c r="B71" s="36" t="s">
        <v>313</v>
      </c>
      <c r="C71" s="219" t="s">
        <v>331</v>
      </c>
      <c r="D71" s="220" t="s">
        <v>257</v>
      </c>
      <c r="E71" s="220" t="s">
        <v>257</v>
      </c>
      <c r="F71" s="221"/>
      <c r="G71" s="45"/>
      <c r="H71" s="46"/>
    </row>
    <row r="72" spans="1:8" x14ac:dyDescent="0.25">
      <c r="B72" s="36" t="s">
        <v>314</v>
      </c>
      <c r="C72" s="219" t="s">
        <v>332</v>
      </c>
      <c r="D72" s="220"/>
      <c r="E72" s="220"/>
      <c r="F72" s="221" t="s">
        <v>257</v>
      </c>
      <c r="G72" s="45"/>
      <c r="H72" s="46"/>
    </row>
    <row r="73" spans="1:8" x14ac:dyDescent="0.25">
      <c r="B73" s="36" t="s">
        <v>315</v>
      </c>
      <c r="C73" s="219" t="s">
        <v>333</v>
      </c>
      <c r="D73" s="220"/>
      <c r="E73" s="220"/>
      <c r="F73" s="221" t="s">
        <v>257</v>
      </c>
      <c r="H73" s="46"/>
    </row>
    <row r="74" spans="1:8" x14ac:dyDescent="0.25">
      <c r="B74" s="36" t="s">
        <v>316</v>
      </c>
      <c r="C74" s="261" t="s">
        <v>543</v>
      </c>
      <c r="D74" s="220"/>
      <c r="E74" s="220" t="s">
        <v>257</v>
      </c>
      <c r="F74" s="221" t="s">
        <v>257</v>
      </c>
      <c r="H74" s="46"/>
    </row>
    <row r="75" spans="1:8" x14ac:dyDescent="0.25">
      <c r="B75" s="36" t="s">
        <v>317</v>
      </c>
      <c r="C75" s="219" t="s">
        <v>334</v>
      </c>
      <c r="D75" s="220" t="s">
        <v>257</v>
      </c>
      <c r="E75" s="220" t="s">
        <v>257</v>
      </c>
      <c r="F75" s="221" t="s">
        <v>257</v>
      </c>
      <c r="H75" s="46"/>
    </row>
    <row r="76" spans="1:8" x14ac:dyDescent="0.25">
      <c r="B76" s="36" t="s">
        <v>318</v>
      </c>
      <c r="C76" s="219" t="s">
        <v>335</v>
      </c>
      <c r="D76" s="220" t="s">
        <v>257</v>
      </c>
      <c r="E76" s="220" t="s">
        <v>257</v>
      </c>
      <c r="F76" s="221" t="s">
        <v>257</v>
      </c>
      <c r="H76" s="46"/>
    </row>
    <row r="77" spans="1:8" x14ac:dyDescent="0.25">
      <c r="B77" s="36" t="s">
        <v>319</v>
      </c>
      <c r="C77" s="219" t="s">
        <v>336</v>
      </c>
      <c r="D77" s="220" t="s">
        <v>257</v>
      </c>
      <c r="E77" s="220" t="s">
        <v>257</v>
      </c>
      <c r="F77" s="221" t="s">
        <v>257</v>
      </c>
      <c r="H77" s="46"/>
    </row>
    <row r="78" spans="1:8" x14ac:dyDescent="0.25">
      <c r="B78" s="36" t="s">
        <v>320</v>
      </c>
      <c r="C78" s="219" t="s">
        <v>338</v>
      </c>
      <c r="D78" s="724"/>
      <c r="E78" s="724"/>
      <c r="F78" s="725" t="s">
        <v>257</v>
      </c>
      <c r="H78" s="46"/>
    </row>
    <row r="79" spans="1:8" x14ac:dyDescent="0.25">
      <c r="B79" s="36" t="s">
        <v>321</v>
      </c>
      <c r="C79" s="219" t="s">
        <v>337</v>
      </c>
      <c r="D79" s="220" t="s">
        <v>257</v>
      </c>
      <c r="E79" s="220" t="s">
        <v>257</v>
      </c>
      <c r="F79" s="221"/>
      <c r="H79" s="46"/>
    </row>
    <row r="80" spans="1:8" ht="17.25" thickBot="1" x14ac:dyDescent="0.3">
      <c r="B80" s="36" t="s">
        <v>645</v>
      </c>
      <c r="C80" s="737" t="s">
        <v>644</v>
      </c>
      <c r="D80" s="222" t="s">
        <v>257</v>
      </c>
      <c r="E80" s="724" t="s">
        <v>257</v>
      </c>
      <c r="F80" s="725" t="s">
        <v>257</v>
      </c>
      <c r="H80" s="46"/>
    </row>
    <row r="81" spans="1:8" x14ac:dyDescent="0.25">
      <c r="B81" s="26" t="s">
        <v>12</v>
      </c>
      <c r="C81" s="213" t="s">
        <v>325</v>
      </c>
      <c r="E81" s="726"/>
      <c r="F81" s="726"/>
      <c r="H81" s="46"/>
    </row>
    <row r="82" spans="1:8" x14ac:dyDescent="0.25">
      <c r="B82" s="31" t="s">
        <v>13</v>
      </c>
      <c r="C82" s="214" t="s">
        <v>342</v>
      </c>
      <c r="H82" s="46"/>
    </row>
    <row r="83" spans="1:8" x14ac:dyDescent="0.25">
      <c r="B83" s="241" t="s">
        <v>14</v>
      </c>
      <c r="C83" s="673" t="s">
        <v>610</v>
      </c>
      <c r="H83" s="46"/>
    </row>
    <row r="84" spans="1:8" ht="17.25" thickBot="1" x14ac:dyDescent="0.3">
      <c r="B84" s="32" t="s">
        <v>612</v>
      </c>
      <c r="C84" s="223" t="s">
        <v>341</v>
      </c>
      <c r="H84" s="46"/>
    </row>
    <row r="85" spans="1:8" x14ac:dyDescent="0.25">
      <c r="H85" s="46"/>
    </row>
    <row r="86" spans="1:8" x14ac:dyDescent="0.25">
      <c r="A86" s="46"/>
      <c r="B86" s="46"/>
      <c r="C86" s="46"/>
      <c r="D86" s="46"/>
      <c r="E86" s="46"/>
      <c r="F86" s="46"/>
      <c r="G86" s="46"/>
      <c r="H86" s="46"/>
    </row>
  </sheetData>
  <sheetProtection password="D93F" sheet="1" objects="1" scenarios="1" selectLockedCells="1"/>
  <customSheetViews>
    <customSheetView guid="{2A4C6EB9-430A-44F2-86C8-15B50360FC3B}" scale="80" showPageBreaks="1" showGridLines="0" fitToPage="1" printArea="1" topLeftCell="A37">
      <selection activeCell="C55" sqref="C55"/>
      <pageMargins left="0.41" right="0.46" top="0.75" bottom="0.75" header="0.3" footer="0.3"/>
      <pageSetup scale="67" fitToHeight="2" orientation="landscape" r:id="rId1"/>
    </customSheetView>
    <customSheetView guid="{B3BD5AF3-9A64-4EA7-AE1F-3CC326849B8F}" scale="80" showPageBreaks="1" showGridLines="0" fitToPage="1" printArea="1" topLeftCell="A25">
      <selection activeCell="B39" sqref="B39"/>
      <pageMargins left="0.41" right="0.46" top="0.75" bottom="0.75" header="0.3" footer="0.3"/>
      <pageSetup scale="67" fitToHeight="2" orientation="landscape" r:id="rId2"/>
    </customSheetView>
  </customSheetViews>
  <mergeCells count="9">
    <mergeCell ref="B10:E10"/>
    <mergeCell ref="B2:C2"/>
    <mergeCell ref="B13:C13"/>
    <mergeCell ref="B51:C51"/>
    <mergeCell ref="B55:C56"/>
    <mergeCell ref="B52:C54"/>
    <mergeCell ref="B11:E11"/>
    <mergeCell ref="B44:C44"/>
    <mergeCell ref="B46:B49"/>
  </mergeCells>
  <phoneticPr fontId="27" type="noConversion"/>
  <hyperlinks>
    <hyperlink ref="C60" location="'General Info and Test Results'!A1" display="Fill in Input Cells on &quot;General Info and Test Results&quot; tab."/>
    <hyperlink ref="C61" location="Instrumentation!A1" display="Fill in Input Cells on 'Instrumentation' tab"/>
    <hyperlink ref="C62" location="Setup!A1" display="Fill in Input Cells on &quot;Setup&quot; tab."/>
    <hyperlink ref="C63" location="Photos!A1" display="Fill in Input Cells on &quot;Photos&quot; tab."/>
    <hyperlink ref="C64" location="'Test Settings'!A1" display="Fill in Input Cells on &quot;Test Settings&quot; tab"/>
    <hyperlink ref="C81" location="Calculations!A1" display="Fill in Input Cells on &quot;Calculations&quot; tab"/>
    <hyperlink ref="C84" location="'Report Sign-off Block'!A1" display="Fill in Input Cells on &quot;Report Sign-off Block&quot; tab"/>
    <hyperlink ref="C82" location="'Test Comments'!A1" display="Fill in Input Cells on &quot;Test Comments&quot; tab"/>
    <hyperlink ref="C66" location="'A Test Recorded Data'!A1" display="Fill in Input Cells on &quot;A Test Recorded Data&quot; tabs"/>
    <hyperlink ref="C67" location="'B Test Recorded Data'!A1" display="Fill in Input Cells on &quot;B Test Recorded Data&quot; tabs"/>
    <hyperlink ref="C68" location="'F Test Recorded Data'!A1" display="Fill in Input Cells on &quot;F Test Recorded Data&quot; tabs"/>
    <hyperlink ref="C69" location="'Ev Test Recorded Data'!A1" display="Fill in Input Cells on &quot;Ev Test Recorded Data&quot; tabs"/>
    <hyperlink ref="C70" location="'Optional C Test Recorded Data'!A1" display="Fill in Input Cells on &quot;Optional C Test Recorded Data&quot; tabs"/>
    <hyperlink ref="C71" location="'Optional D Test Recorded Data'!A1" display="Fill in Input Cells on &quot;Optional D Test Recorded Data&quot; tabs"/>
    <hyperlink ref="C72" location="'Optional G Test Recorded Data'!A1" display="Fill in Input Cells on &quot;Optional G Test Recorded Data&quot; tabs"/>
    <hyperlink ref="C73" location="'Optional I Test Recorded Data'!A1" display="Fill in Input Cells on &quot;Optional I Test Recorded Data&quot; tabs"/>
    <hyperlink ref="C74" location="'H0-1 Test Recorded Data'!A1" display="H0-1 Test Recorded Data"/>
    <hyperlink ref="C75" location="'H1 Test Recorded Data'!A1" display="Fill in Input Cells on &quot;H1 Test Recorded Data&quot; tabs"/>
    <hyperlink ref="C76" location="'H2 Test Recorded Data'!A1" display="Fill in Input Cells on &quot;H2 Test Recorded Data&quot; tabs"/>
    <hyperlink ref="C77" location="'H3 Test Recorded Data'!A1" display="Fill in Input Cells on &quot;H3 Test Recorded Data&quot; tabs"/>
    <hyperlink ref="C78" location="'Optional H0C Test Recorded Data'!A1" display="Fill in Input Cells on &quot;Optional H0C Test Recorded Data&quot; tabs"/>
    <hyperlink ref="C79" location="'Optional H1C Test Recorded Data'!A1" display="Fill in Input Cells on &quot;Optional H1C Test Recorded Data&quot; tabs"/>
    <hyperlink ref="B11" r:id="rId3" display="Appendix M to Subpart B of Part 430—Uniform Test Method for Measuring the Energy Consumption of Central Air Conditioners and Heat Pumps"/>
    <hyperlink ref="B11:E11" r:id="rId4" location="10:3.0.1.4.18.2.9.6.23" display="For DOE Testing: Appendix M to Subpart B of Part 430—Uniform Test Method for Measuring the Energy Consumption of Central Air Conditioners and Heat Pumps"/>
    <hyperlink ref="C83" location="'Test Report Attachments'!A1" display="Test Report Attachments"/>
    <hyperlink ref="C80" location="'Off Mode Test Data'!A1" display="Off Mode Test Data"/>
  </hyperlinks>
  <pageMargins left="0.41" right="0.46" top="0.75" bottom="0.75" header="0.3" footer="0.3"/>
  <pageSetup scale="67" fitToHeight="2" orientation="landscape"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rgb="FF0070C0"/>
  </sheetPr>
  <dimension ref="A1:K82"/>
  <sheetViews>
    <sheetView showGridLines="0" zoomScale="80" zoomScaleNormal="80" workbookViewId="0">
      <selection activeCell="E2" sqref="E2:F2"/>
    </sheetView>
  </sheetViews>
  <sheetFormatPr defaultColWidth="9.140625" defaultRowHeight="16.5" x14ac:dyDescent="0.3"/>
  <cols>
    <col min="1" max="1" width="5.140625" style="6" customWidth="1"/>
    <col min="2" max="2" width="31" style="6" customWidth="1"/>
    <col min="3" max="3" width="68" style="6" customWidth="1"/>
    <col min="4" max="6" width="12.42578125" style="6" customWidth="1"/>
    <col min="7" max="7" width="10.85546875" style="6" customWidth="1"/>
    <col min="8" max="8" width="21.5703125" style="6" customWidth="1"/>
    <col min="9" max="9" width="23.42578125" style="6" customWidth="1"/>
    <col min="10" max="10" width="6.42578125" style="114" customWidth="1"/>
    <col min="11" max="11" width="5.140625" style="6" customWidth="1"/>
    <col min="12" max="16384" width="9.140625" style="6"/>
  </cols>
  <sheetData>
    <row r="1" spans="2:11" ht="17.25" thickBot="1" x14ac:dyDescent="0.35">
      <c r="J1" s="127"/>
      <c r="K1" s="19"/>
    </row>
    <row r="2" spans="2:11" s="1" customFormat="1" ht="18.75" thickBot="1" x14ac:dyDescent="0.4">
      <c r="B2" s="764" t="s">
        <v>562</v>
      </c>
      <c r="C2" s="765"/>
      <c r="E2" s="827" t="s">
        <v>540</v>
      </c>
      <c r="F2" s="827"/>
      <c r="G2" s="639"/>
      <c r="J2" s="128"/>
      <c r="K2" s="129"/>
    </row>
    <row r="3" spans="2:11" s="1" customFormat="1" ht="17.25" thickBot="1" x14ac:dyDescent="0.35">
      <c r="B3" s="297" t="s">
        <v>563</v>
      </c>
      <c r="C3" s="298" t="str">
        <f>'Version Control'!C3</f>
        <v>Residential Central Air Conditioners and Heat Pumps</v>
      </c>
      <c r="J3" s="128"/>
      <c r="K3" s="129"/>
    </row>
    <row r="4" spans="2:11" s="1" customFormat="1" ht="18" thickBot="1" x14ac:dyDescent="0.35">
      <c r="B4" s="299" t="s">
        <v>140</v>
      </c>
      <c r="C4" s="300" t="str">
        <f>'Version Control'!C4</f>
        <v>v2.1</v>
      </c>
      <c r="H4" s="761" t="s">
        <v>349</v>
      </c>
      <c r="I4" s="763"/>
      <c r="J4" s="128"/>
      <c r="K4" s="129"/>
    </row>
    <row r="5" spans="2:11" s="1" customFormat="1" x14ac:dyDescent="0.3">
      <c r="B5" s="299" t="s">
        <v>462</v>
      </c>
      <c r="C5" s="301">
        <f>'Version Control'!C5</f>
        <v>42653</v>
      </c>
      <c r="H5" s="55" t="s">
        <v>158</v>
      </c>
      <c r="I5" s="598">
        <f>'General Info and Test Results'!C25</f>
        <v>0</v>
      </c>
      <c r="J5" s="128"/>
      <c r="K5" s="129"/>
    </row>
    <row r="6" spans="2:11" s="1" customFormat="1" x14ac:dyDescent="0.3">
      <c r="B6" s="302" t="s">
        <v>139</v>
      </c>
      <c r="C6" s="303" t="str">
        <f ca="1">MID(CELL("filename",$A$1), FIND("]", CELL("filename", $A$1))+ 1, 255)</f>
        <v>Ev Test Recorded Data</v>
      </c>
      <c r="H6" s="56" t="s">
        <v>153</v>
      </c>
      <c r="I6" s="599">
        <f>'General Info and Test Results'!C26</f>
        <v>0</v>
      </c>
      <c r="J6" s="128"/>
      <c r="K6" s="129"/>
    </row>
    <row r="7" spans="2:11" s="1" customFormat="1" ht="33.75" thickBot="1" x14ac:dyDescent="0.35">
      <c r="B7" s="304" t="s">
        <v>138</v>
      </c>
      <c r="C7" s="305" t="str">
        <f ca="1">MID(CELL("FILENAME",F16),FIND("[",CELL("FILENAME",F16))+1,FIND("]",CELL("FILENAME",F16))-FIND("[",CELL("FILENAME",F16))-1)</f>
        <v>Residential Central Air Conditioners and Heat Pumps - v2.1.xlsx</v>
      </c>
      <c r="H7" s="57" t="s">
        <v>199</v>
      </c>
      <c r="I7" s="600">
        <f>'General Info and Test Results'!C27</f>
        <v>0</v>
      </c>
      <c r="J7" s="128"/>
      <c r="K7" s="129"/>
    </row>
    <row r="8" spans="2:11" s="1" customFormat="1" ht="17.25" thickBot="1" x14ac:dyDescent="0.35">
      <c r="B8" s="306" t="s">
        <v>141</v>
      </c>
      <c r="C8" s="307" t="str">
        <f>'Version Control'!C8</f>
        <v>[MM/DD/YYYY]</v>
      </c>
      <c r="G8" s="14"/>
      <c r="H8" s="9"/>
      <c r="J8" s="128"/>
      <c r="K8" s="129"/>
    </row>
    <row r="9" spans="2:11" s="1" customFormat="1" x14ac:dyDescent="0.3">
      <c r="B9" s="4"/>
      <c r="C9" s="262"/>
      <c r="G9" s="14"/>
      <c r="H9" s="9"/>
      <c r="J9" s="128"/>
      <c r="K9" s="129"/>
    </row>
    <row r="10" spans="2:11" s="1" customFormat="1" x14ac:dyDescent="0.3">
      <c r="B10" s="116"/>
      <c r="C10" s="372"/>
      <c r="D10" s="373"/>
      <c r="E10" s="373"/>
      <c r="F10" s="373"/>
      <c r="G10" s="373"/>
      <c r="J10" s="128"/>
      <c r="K10" s="129"/>
    </row>
    <row r="11" spans="2:11" x14ac:dyDescent="0.3">
      <c r="B11" s="340"/>
      <c r="C11" s="374" t="s">
        <v>129</v>
      </c>
      <c r="D11" s="375"/>
      <c r="E11" s="340"/>
      <c r="F11" s="913"/>
      <c r="G11" s="913"/>
      <c r="K11" s="19"/>
    </row>
    <row r="12" spans="2:11" ht="18" thickBot="1" x14ac:dyDescent="0.4">
      <c r="B12" s="376"/>
      <c r="C12" s="340"/>
      <c r="D12" s="340"/>
      <c r="E12" s="340"/>
      <c r="F12" s="340"/>
      <c r="G12" s="340"/>
      <c r="K12" s="19"/>
    </row>
    <row r="13" spans="2:11" ht="18.75" thickBot="1" x14ac:dyDescent="0.4">
      <c r="B13" s="902" t="s">
        <v>581</v>
      </c>
      <c r="C13" s="903"/>
      <c r="D13" s="903"/>
      <c r="E13" s="903"/>
      <c r="F13" s="903"/>
      <c r="G13" s="904"/>
      <c r="K13" s="19"/>
    </row>
    <row r="14" spans="2:11" ht="18" thickBot="1" x14ac:dyDescent="0.4">
      <c r="B14" s="326"/>
      <c r="C14" s="316"/>
      <c r="D14" s="316"/>
      <c r="E14" s="316"/>
      <c r="F14" s="316"/>
      <c r="G14" s="345"/>
      <c r="K14" s="19"/>
    </row>
    <row r="15" spans="2:11" ht="18" thickBot="1" x14ac:dyDescent="0.4">
      <c r="B15" s="326"/>
      <c r="C15" s="874" t="s">
        <v>55</v>
      </c>
      <c r="D15" s="875"/>
      <c r="E15" s="875"/>
      <c r="F15" s="876"/>
      <c r="G15" s="346"/>
      <c r="K15" s="19"/>
    </row>
    <row r="16" spans="2:11" ht="17.25" x14ac:dyDescent="0.35">
      <c r="B16" s="321"/>
      <c r="C16" s="325"/>
      <c r="D16" s="929" t="s">
        <v>48</v>
      </c>
      <c r="E16" s="927"/>
      <c r="F16" s="928"/>
      <c r="G16" s="346"/>
      <c r="I16" s="138"/>
      <c r="J16" s="154"/>
      <c r="K16" s="19"/>
    </row>
    <row r="17" spans="2:11" ht="17.25" x14ac:dyDescent="0.35">
      <c r="B17" s="326"/>
      <c r="C17" s="321"/>
      <c r="D17" s="327" t="s">
        <v>56</v>
      </c>
      <c r="E17" s="327" t="s">
        <v>57</v>
      </c>
      <c r="F17" s="328" t="s">
        <v>58</v>
      </c>
      <c r="G17" s="346"/>
      <c r="I17" s="138"/>
      <c r="J17" s="154"/>
      <c r="K17" s="19"/>
    </row>
    <row r="18" spans="2:11" x14ac:dyDescent="0.3">
      <c r="B18" s="321"/>
      <c r="C18" s="322" t="s">
        <v>432</v>
      </c>
      <c r="D18" s="361"/>
      <c r="E18" s="362"/>
      <c r="F18" s="354"/>
      <c r="G18" s="346"/>
      <c r="I18" s="140"/>
      <c r="J18" s="155"/>
      <c r="K18" s="19"/>
    </row>
    <row r="19" spans="2:11" x14ac:dyDescent="0.3">
      <c r="B19" s="321"/>
      <c r="C19" s="322" t="s">
        <v>433</v>
      </c>
      <c r="D19" s="353"/>
      <c r="E19" s="353"/>
      <c r="F19" s="354"/>
      <c r="G19" s="346"/>
      <c r="I19" s="140"/>
      <c r="J19" s="155"/>
      <c r="K19" s="19"/>
    </row>
    <row r="20" spans="2:11" x14ac:dyDescent="0.3">
      <c r="B20" s="321"/>
      <c r="C20" s="332" t="s">
        <v>59</v>
      </c>
      <c r="D20" s="353"/>
      <c r="E20" s="353"/>
      <c r="F20" s="354"/>
      <c r="G20" s="346"/>
      <c r="I20" s="140"/>
      <c r="J20" s="155"/>
      <c r="K20" s="19"/>
    </row>
    <row r="21" spans="2:11" x14ac:dyDescent="0.3">
      <c r="B21" s="321"/>
      <c r="C21" s="332" t="s">
        <v>60</v>
      </c>
      <c r="D21" s="353"/>
      <c r="E21" s="353"/>
      <c r="F21" s="354"/>
      <c r="G21" s="346"/>
      <c r="I21" s="140"/>
      <c r="J21" s="155"/>
      <c r="K21" s="19"/>
    </row>
    <row r="22" spans="2:11" x14ac:dyDescent="0.3">
      <c r="B22" s="321"/>
      <c r="C22" s="322" t="s">
        <v>435</v>
      </c>
      <c r="D22" s="353"/>
      <c r="E22" s="316"/>
      <c r="F22" s="317"/>
      <c r="G22" s="346"/>
      <c r="I22" s="140"/>
      <c r="J22" s="155"/>
      <c r="K22" s="19"/>
    </row>
    <row r="23" spans="2:11" ht="17.25" thickBot="1" x14ac:dyDescent="0.35">
      <c r="B23" s="321"/>
      <c r="C23" s="324" t="s">
        <v>443</v>
      </c>
      <c r="D23" s="350"/>
      <c r="E23" s="319"/>
      <c r="F23" s="320"/>
      <c r="G23" s="346"/>
      <c r="I23" s="140"/>
      <c r="J23" s="155"/>
      <c r="K23" s="19"/>
    </row>
    <row r="24" spans="2:11" ht="17.25" thickBot="1" x14ac:dyDescent="0.35">
      <c r="B24" s="321"/>
      <c r="C24" s="337"/>
      <c r="D24" s="316"/>
      <c r="E24" s="316"/>
      <c r="F24" s="316"/>
      <c r="G24" s="351"/>
      <c r="I24" s="140"/>
      <c r="J24" s="155"/>
      <c r="K24" s="19"/>
    </row>
    <row r="25" spans="2:11" ht="18" thickBot="1" x14ac:dyDescent="0.4">
      <c r="B25" s="321"/>
      <c r="C25" s="874" t="s">
        <v>61</v>
      </c>
      <c r="D25" s="875"/>
      <c r="E25" s="875"/>
      <c r="F25" s="876"/>
      <c r="G25" s="346"/>
      <c r="I25" s="140"/>
      <c r="J25" s="155"/>
      <c r="K25" s="19"/>
    </row>
    <row r="26" spans="2:11" ht="17.25" x14ac:dyDescent="0.35">
      <c r="B26" s="321"/>
      <c r="C26" s="352"/>
      <c r="D26" s="929" t="s">
        <v>48</v>
      </c>
      <c r="E26" s="927"/>
      <c r="F26" s="928"/>
      <c r="G26" s="346"/>
      <c r="I26" s="140"/>
      <c r="J26" s="155"/>
      <c r="K26" s="19"/>
    </row>
    <row r="27" spans="2:11" ht="17.25" x14ac:dyDescent="0.35">
      <c r="B27" s="326"/>
      <c r="C27" s="338"/>
      <c r="D27" s="327" t="s">
        <v>56</v>
      </c>
      <c r="E27" s="327" t="s">
        <v>57</v>
      </c>
      <c r="F27" s="328" t="s">
        <v>58</v>
      </c>
      <c r="G27" s="346"/>
      <c r="I27" s="140"/>
      <c r="J27" s="155"/>
      <c r="K27" s="19"/>
    </row>
    <row r="28" spans="2:11" x14ac:dyDescent="0.3">
      <c r="B28" s="321"/>
      <c r="C28" s="332" t="s">
        <v>62</v>
      </c>
      <c r="D28" s="353"/>
      <c r="E28" s="353"/>
      <c r="F28" s="354"/>
      <c r="G28" s="346"/>
      <c r="I28" s="140"/>
      <c r="J28" s="155"/>
      <c r="K28" s="19"/>
    </row>
    <row r="29" spans="2:11" x14ac:dyDescent="0.3">
      <c r="B29" s="321"/>
      <c r="C29" s="332" t="s">
        <v>607</v>
      </c>
      <c r="D29" s="353"/>
      <c r="E29" s="353"/>
      <c r="F29" s="354"/>
      <c r="G29" s="346"/>
      <c r="I29" s="140"/>
      <c r="J29" s="155"/>
      <c r="K29" s="19"/>
    </row>
    <row r="30" spans="2:11" x14ac:dyDescent="0.3">
      <c r="B30" s="321"/>
      <c r="C30" s="332" t="s">
        <v>608</v>
      </c>
      <c r="D30" s="353"/>
      <c r="E30" s="353"/>
      <c r="F30" s="354"/>
      <c r="G30" s="346"/>
      <c r="I30" s="140"/>
      <c r="J30" s="155"/>
      <c r="K30" s="19"/>
    </row>
    <row r="31" spans="2:11" x14ac:dyDescent="0.3">
      <c r="B31" s="321"/>
      <c r="C31" s="332" t="s">
        <v>413</v>
      </c>
      <c r="D31" s="353"/>
      <c r="E31" s="353"/>
      <c r="F31" s="354"/>
      <c r="G31" s="346"/>
      <c r="I31" s="140"/>
      <c r="J31" s="155"/>
      <c r="K31" s="19"/>
    </row>
    <row r="32" spans="2:11" ht="17.25" thickBot="1" x14ac:dyDescent="0.35">
      <c r="B32" s="321"/>
      <c r="C32" s="324" t="s">
        <v>427</v>
      </c>
      <c r="D32" s="350"/>
      <c r="E32" s="350"/>
      <c r="F32" s="355"/>
      <c r="G32" s="346"/>
      <c r="I32" s="140"/>
      <c r="J32" s="155"/>
      <c r="K32" s="19"/>
    </row>
    <row r="33" spans="2:11" ht="17.25" thickBot="1" x14ac:dyDescent="0.35">
      <c r="B33" s="321"/>
      <c r="C33" s="316"/>
      <c r="D33" s="316"/>
      <c r="E33" s="316"/>
      <c r="F33" s="316"/>
      <c r="G33" s="351"/>
      <c r="I33" s="140"/>
      <c r="J33" s="155"/>
      <c r="K33" s="19"/>
    </row>
    <row r="34" spans="2:11" ht="18" thickBot="1" x14ac:dyDescent="0.4">
      <c r="B34" s="321"/>
      <c r="C34" s="874" t="s">
        <v>63</v>
      </c>
      <c r="D34" s="875"/>
      <c r="E34" s="875"/>
      <c r="F34" s="876"/>
      <c r="G34" s="346"/>
      <c r="I34" s="140"/>
      <c r="J34" s="155"/>
      <c r="K34" s="19"/>
    </row>
    <row r="35" spans="2:11" ht="17.25" x14ac:dyDescent="0.35">
      <c r="B35" s="321"/>
      <c r="C35" s="325"/>
      <c r="D35" s="929" t="s">
        <v>48</v>
      </c>
      <c r="E35" s="927"/>
      <c r="F35" s="928"/>
      <c r="G35" s="346"/>
      <c r="I35" s="140"/>
      <c r="J35" s="155"/>
      <c r="K35" s="19"/>
    </row>
    <row r="36" spans="2:11" ht="17.25" x14ac:dyDescent="0.35">
      <c r="B36" s="326"/>
      <c r="C36" s="321"/>
      <c r="D36" s="327" t="s">
        <v>56</v>
      </c>
      <c r="E36" s="327" t="s">
        <v>57</v>
      </c>
      <c r="F36" s="328" t="s">
        <v>58</v>
      </c>
      <c r="G36" s="346"/>
      <c r="I36" s="140"/>
      <c r="J36" s="155"/>
      <c r="K36" s="19"/>
    </row>
    <row r="37" spans="2:11" x14ac:dyDescent="0.3">
      <c r="B37" s="321"/>
      <c r="C37" s="332" t="s">
        <v>64</v>
      </c>
      <c r="D37" s="353"/>
      <c r="E37" s="353"/>
      <c r="F37" s="354"/>
      <c r="G37" s="346"/>
      <c r="I37" s="140"/>
      <c r="J37" s="155"/>
      <c r="K37" s="19"/>
    </row>
    <row r="38" spans="2:11" x14ac:dyDescent="0.3">
      <c r="B38" s="321"/>
      <c r="C38" s="332" t="s">
        <v>65</v>
      </c>
      <c r="D38" s="353"/>
      <c r="E38" s="353"/>
      <c r="F38" s="354"/>
      <c r="G38" s="346"/>
      <c r="I38" s="140"/>
      <c r="J38" s="155"/>
      <c r="K38" s="19"/>
    </row>
    <row r="39" spans="2:11" x14ac:dyDescent="0.3">
      <c r="B39" s="321"/>
      <c r="C39" s="332" t="s">
        <v>66</v>
      </c>
      <c r="D39" s="353"/>
      <c r="E39" s="353"/>
      <c r="F39" s="354"/>
      <c r="G39" s="346"/>
      <c r="I39" s="140"/>
      <c r="J39" s="155"/>
      <c r="K39" s="19"/>
    </row>
    <row r="40" spans="2:11" x14ac:dyDescent="0.3">
      <c r="B40" s="321"/>
      <c r="C40" s="332" t="s">
        <v>67</v>
      </c>
      <c r="D40" s="353"/>
      <c r="E40" s="353"/>
      <c r="F40" s="354"/>
      <c r="G40" s="346"/>
      <c r="I40" s="140"/>
      <c r="J40" s="155"/>
      <c r="K40" s="19"/>
    </row>
    <row r="41" spans="2:11" x14ac:dyDescent="0.3">
      <c r="B41" s="321"/>
      <c r="C41" s="332" t="s">
        <v>68</v>
      </c>
      <c r="D41" s="353"/>
      <c r="E41" s="353"/>
      <c r="F41" s="354"/>
      <c r="G41" s="346"/>
      <c r="I41" s="140"/>
      <c r="J41" s="155"/>
      <c r="K41" s="19"/>
    </row>
    <row r="42" spans="2:11" x14ac:dyDescent="0.3">
      <c r="B42" s="321"/>
      <c r="C42" s="332" t="s">
        <v>69</v>
      </c>
      <c r="D42" s="353"/>
      <c r="E42" s="353"/>
      <c r="F42" s="354"/>
      <c r="G42" s="346"/>
      <c r="I42" s="140"/>
      <c r="J42" s="155"/>
      <c r="K42" s="19"/>
    </row>
    <row r="43" spans="2:11" x14ac:dyDescent="0.3">
      <c r="B43" s="321"/>
      <c r="C43" s="332" t="s">
        <v>70</v>
      </c>
      <c r="D43" s="353"/>
      <c r="E43" s="353"/>
      <c r="F43" s="354"/>
      <c r="G43" s="346"/>
      <c r="I43" s="140"/>
      <c r="J43" s="155"/>
      <c r="K43" s="19"/>
    </row>
    <row r="44" spans="2:11" x14ac:dyDescent="0.3">
      <c r="B44" s="321"/>
      <c r="C44" s="332" t="s">
        <v>71</v>
      </c>
      <c r="D44" s="353"/>
      <c r="E44" s="353"/>
      <c r="F44" s="354"/>
      <c r="G44" s="346"/>
      <c r="I44" s="140"/>
      <c r="J44" s="155"/>
      <c r="K44" s="19"/>
    </row>
    <row r="45" spans="2:11" x14ac:dyDescent="0.3">
      <c r="B45" s="321"/>
      <c r="C45" s="332" t="s">
        <v>72</v>
      </c>
      <c r="D45" s="353"/>
      <c r="E45" s="353"/>
      <c r="F45" s="354"/>
      <c r="G45" s="346"/>
      <c r="I45" s="140"/>
      <c r="J45" s="155"/>
      <c r="K45" s="19"/>
    </row>
    <row r="46" spans="2:11" x14ac:dyDescent="0.3">
      <c r="B46" s="321"/>
      <c r="C46" s="332" t="s">
        <v>73</v>
      </c>
      <c r="D46" s="353"/>
      <c r="E46" s="353"/>
      <c r="F46" s="354"/>
      <c r="G46" s="346"/>
      <c r="I46" s="140"/>
      <c r="J46" s="155"/>
      <c r="K46" s="19"/>
    </row>
    <row r="47" spans="2:11" ht="17.25" thickBot="1" x14ac:dyDescent="0.35">
      <c r="B47" s="321"/>
      <c r="C47" s="333" t="s">
        <v>74</v>
      </c>
      <c r="D47" s="350"/>
      <c r="E47" s="350"/>
      <c r="F47" s="355"/>
      <c r="G47" s="346"/>
      <c r="I47" s="140"/>
      <c r="J47" s="155"/>
      <c r="K47" s="19"/>
    </row>
    <row r="48" spans="2:11" ht="17.25" thickBot="1" x14ac:dyDescent="0.35">
      <c r="B48" s="321"/>
      <c r="C48" s="316"/>
      <c r="D48" s="316"/>
      <c r="E48" s="316"/>
      <c r="F48" s="316"/>
      <c r="G48" s="351"/>
      <c r="I48" s="140"/>
      <c r="J48" s="155"/>
      <c r="K48" s="19"/>
    </row>
    <row r="49" spans="2:11" ht="18" thickBot="1" x14ac:dyDescent="0.4">
      <c r="B49" s="321"/>
      <c r="C49" s="874" t="s">
        <v>75</v>
      </c>
      <c r="D49" s="875"/>
      <c r="E49" s="875"/>
      <c r="F49" s="876"/>
      <c r="G49" s="346"/>
      <c r="I49" s="140"/>
      <c r="J49" s="155"/>
      <c r="K49" s="19"/>
    </row>
    <row r="50" spans="2:11" ht="17.25" x14ac:dyDescent="0.35">
      <c r="B50" s="321"/>
      <c r="C50" s="325"/>
      <c r="D50" s="929" t="s">
        <v>48</v>
      </c>
      <c r="E50" s="927"/>
      <c r="F50" s="928"/>
      <c r="G50" s="346"/>
      <c r="I50" s="140"/>
      <c r="J50" s="155"/>
      <c r="K50" s="19"/>
    </row>
    <row r="51" spans="2:11" ht="17.25" x14ac:dyDescent="0.35">
      <c r="B51" s="326"/>
      <c r="C51" s="321"/>
      <c r="D51" s="327" t="s">
        <v>56</v>
      </c>
      <c r="E51" s="327" t="s">
        <v>57</v>
      </c>
      <c r="F51" s="328" t="s">
        <v>58</v>
      </c>
      <c r="G51" s="346"/>
      <c r="I51" s="140"/>
      <c r="J51" s="155"/>
      <c r="K51" s="19"/>
    </row>
    <row r="52" spans="2:11" x14ac:dyDescent="0.3">
      <c r="B52" s="321"/>
      <c r="C52" s="332" t="s">
        <v>304</v>
      </c>
      <c r="D52" s="353"/>
      <c r="E52" s="353"/>
      <c r="F52" s="354"/>
      <c r="G52" s="346"/>
      <c r="I52" s="140"/>
      <c r="J52" s="155"/>
      <c r="K52" s="19"/>
    </row>
    <row r="53" spans="2:11" x14ac:dyDescent="0.3">
      <c r="B53" s="321"/>
      <c r="C53" s="332" t="s">
        <v>305</v>
      </c>
      <c r="D53" s="353"/>
      <c r="E53" s="353"/>
      <c r="F53" s="354"/>
      <c r="G53" s="346"/>
      <c r="I53" s="140"/>
      <c r="J53" s="155"/>
      <c r="K53" s="19"/>
    </row>
    <row r="54" spans="2:11" x14ac:dyDescent="0.3">
      <c r="B54" s="321"/>
      <c r="C54" s="332" t="s">
        <v>78</v>
      </c>
      <c r="D54" s="353"/>
      <c r="E54" s="353"/>
      <c r="F54" s="354"/>
      <c r="G54" s="346"/>
      <c r="I54" s="140"/>
      <c r="J54" s="155"/>
      <c r="K54" s="19"/>
    </row>
    <row r="55" spans="2:11" ht="17.25" thickBot="1" x14ac:dyDescent="0.35">
      <c r="B55" s="321"/>
      <c r="C55" s="333" t="s">
        <v>79</v>
      </c>
      <c r="D55" s="350"/>
      <c r="E55" s="350"/>
      <c r="F55" s="355"/>
      <c r="G55" s="346"/>
      <c r="I55" s="140"/>
      <c r="J55" s="155"/>
      <c r="K55" s="19"/>
    </row>
    <row r="56" spans="2:11" ht="17.25" thickBot="1" x14ac:dyDescent="0.35">
      <c r="B56" s="321"/>
      <c r="C56" s="316"/>
      <c r="D56" s="316"/>
      <c r="E56" s="316"/>
      <c r="F56" s="339"/>
      <c r="G56" s="351"/>
      <c r="I56" s="140"/>
      <c r="J56" s="155"/>
      <c r="K56" s="19"/>
    </row>
    <row r="57" spans="2:11" ht="18" thickBot="1" x14ac:dyDescent="0.4">
      <c r="B57" s="321"/>
      <c r="C57" s="874" t="s">
        <v>80</v>
      </c>
      <c r="D57" s="875"/>
      <c r="E57" s="875"/>
      <c r="F57" s="876"/>
      <c r="G57" s="346"/>
      <c r="I57" s="140"/>
      <c r="J57" s="155"/>
      <c r="K57" s="19"/>
    </row>
    <row r="58" spans="2:11" ht="17.25" x14ac:dyDescent="0.35">
      <c r="B58" s="321"/>
      <c r="C58" s="325"/>
      <c r="D58" s="929" t="s">
        <v>48</v>
      </c>
      <c r="E58" s="927"/>
      <c r="F58" s="928"/>
      <c r="G58" s="346"/>
      <c r="I58" s="140"/>
      <c r="J58" s="155"/>
      <c r="K58" s="19"/>
    </row>
    <row r="59" spans="2:11" ht="17.25" x14ac:dyDescent="0.35">
      <c r="B59" s="331"/>
      <c r="C59" s="321"/>
      <c r="D59" s="327" t="s">
        <v>56</v>
      </c>
      <c r="E59" s="327" t="s">
        <v>57</v>
      </c>
      <c r="F59" s="328" t="s">
        <v>58</v>
      </c>
      <c r="G59" s="346"/>
      <c r="I59" s="140"/>
      <c r="J59" s="155"/>
      <c r="K59" s="19"/>
    </row>
    <row r="60" spans="2:11" x14ac:dyDescent="0.3">
      <c r="B60" s="321"/>
      <c r="C60" s="332" t="s">
        <v>81</v>
      </c>
      <c r="D60" s="353"/>
      <c r="E60" s="353"/>
      <c r="F60" s="354"/>
      <c r="G60" s="346"/>
      <c r="I60" s="140"/>
      <c r="J60" s="155"/>
      <c r="K60" s="19"/>
    </row>
    <row r="61" spans="2:11" x14ac:dyDescent="0.3">
      <c r="B61" s="321"/>
      <c r="C61" s="332" t="s">
        <v>82</v>
      </c>
      <c r="D61" s="353"/>
      <c r="E61" s="353"/>
      <c r="F61" s="354"/>
      <c r="G61" s="346"/>
      <c r="I61" s="140"/>
      <c r="J61" s="155"/>
      <c r="K61" s="19"/>
    </row>
    <row r="62" spans="2:11" x14ac:dyDescent="0.3">
      <c r="B62" s="321"/>
      <c r="C62" s="332" t="s">
        <v>83</v>
      </c>
      <c r="D62" s="353"/>
      <c r="E62" s="353"/>
      <c r="F62" s="354"/>
      <c r="G62" s="346"/>
      <c r="I62" s="140"/>
      <c r="J62" s="155"/>
      <c r="K62" s="19"/>
    </row>
    <row r="63" spans="2:11" x14ac:dyDescent="0.3">
      <c r="B63" s="321"/>
      <c r="C63" s="332" t="s">
        <v>84</v>
      </c>
      <c r="D63" s="353"/>
      <c r="E63" s="353"/>
      <c r="F63" s="354"/>
      <c r="G63" s="346"/>
      <c r="I63" s="140"/>
      <c r="J63" s="155"/>
      <c r="K63" s="19"/>
    </row>
    <row r="64" spans="2:11" x14ac:dyDescent="0.3">
      <c r="B64" s="321"/>
      <c r="C64" s="332" t="s">
        <v>85</v>
      </c>
      <c r="D64" s="353"/>
      <c r="E64" s="353"/>
      <c r="F64" s="354"/>
      <c r="G64" s="346"/>
      <c r="I64" s="140"/>
      <c r="J64" s="155"/>
      <c r="K64" s="19"/>
    </row>
    <row r="65" spans="2:11" x14ac:dyDescent="0.3">
      <c r="B65" s="321"/>
      <c r="C65" s="332" t="s">
        <v>86</v>
      </c>
      <c r="D65" s="353"/>
      <c r="E65" s="353"/>
      <c r="F65" s="354"/>
      <c r="G65" s="346"/>
      <c r="I65" s="140"/>
      <c r="J65" s="155"/>
      <c r="K65" s="19"/>
    </row>
    <row r="66" spans="2:11" x14ac:dyDescent="0.3">
      <c r="B66" s="321"/>
      <c r="C66" s="332" t="s">
        <v>87</v>
      </c>
      <c r="D66" s="353"/>
      <c r="E66" s="353"/>
      <c r="F66" s="354"/>
      <c r="G66" s="346"/>
      <c r="I66" s="140"/>
      <c r="J66" s="155"/>
      <c r="K66" s="19"/>
    </row>
    <row r="67" spans="2:11" ht="17.25" thickBot="1" x14ac:dyDescent="0.35">
      <c r="B67" s="321"/>
      <c r="C67" s="333" t="s">
        <v>88</v>
      </c>
      <c r="D67" s="350"/>
      <c r="E67" s="350"/>
      <c r="F67" s="355"/>
      <c r="G67" s="346"/>
      <c r="I67" s="140"/>
      <c r="J67" s="155"/>
      <c r="K67" s="19"/>
    </row>
    <row r="68" spans="2:11" ht="17.25" thickBot="1" x14ac:dyDescent="0.35">
      <c r="B68" s="321"/>
      <c r="C68" s="316"/>
      <c r="D68" s="316"/>
      <c r="E68" s="316"/>
      <c r="F68" s="316"/>
      <c r="G68" s="351"/>
      <c r="I68" s="140"/>
      <c r="J68" s="155"/>
      <c r="K68" s="19"/>
    </row>
    <row r="69" spans="2:11" ht="18" thickBot="1" x14ac:dyDescent="0.4">
      <c r="B69" s="321"/>
      <c r="C69" s="874" t="s">
        <v>194</v>
      </c>
      <c r="D69" s="875"/>
      <c r="E69" s="875"/>
      <c r="F69" s="876"/>
      <c r="G69" s="346"/>
      <c r="I69" s="140"/>
      <c r="J69" s="155"/>
      <c r="K69" s="19"/>
    </row>
    <row r="70" spans="2:11" ht="17.25" x14ac:dyDescent="0.35">
      <c r="B70" s="326"/>
      <c r="C70" s="325"/>
      <c r="D70" s="929" t="s">
        <v>48</v>
      </c>
      <c r="E70" s="927"/>
      <c r="F70" s="928"/>
      <c r="G70" s="351"/>
      <c r="I70" s="140"/>
      <c r="J70" s="155"/>
      <c r="K70" s="19"/>
    </row>
    <row r="71" spans="2:11" x14ac:dyDescent="0.3">
      <c r="B71" s="321"/>
      <c r="C71" s="332" t="s">
        <v>193</v>
      </c>
      <c r="D71" s="907"/>
      <c r="E71" s="907"/>
      <c r="F71" s="908"/>
      <c r="G71" s="351"/>
      <c r="I71" s="140"/>
      <c r="J71" s="155"/>
      <c r="K71" s="19"/>
    </row>
    <row r="72" spans="2:11" x14ac:dyDescent="0.3">
      <c r="B72" s="321"/>
      <c r="C72" s="332" t="s">
        <v>192</v>
      </c>
      <c r="D72" s="907"/>
      <c r="E72" s="907"/>
      <c r="F72" s="908"/>
      <c r="G72" s="351"/>
      <c r="I72" s="140"/>
      <c r="J72" s="155"/>
      <c r="K72" s="19"/>
    </row>
    <row r="73" spans="2:11" x14ac:dyDescent="0.3">
      <c r="B73" s="321"/>
      <c r="C73" s="332" t="s">
        <v>306</v>
      </c>
      <c r="D73" s="907"/>
      <c r="E73" s="907"/>
      <c r="F73" s="908"/>
      <c r="G73" s="351"/>
      <c r="I73" s="140"/>
      <c r="J73" s="155"/>
      <c r="K73" s="19"/>
    </row>
    <row r="74" spans="2:11" x14ac:dyDescent="0.3">
      <c r="B74" s="321"/>
      <c r="C74" s="332" t="s">
        <v>92</v>
      </c>
      <c r="D74" s="895" t="str">
        <f>IF(D71+D73=0,"",D71+D73)</f>
        <v/>
      </c>
      <c r="E74" s="895"/>
      <c r="F74" s="896"/>
      <c r="G74" s="351"/>
      <c r="I74" s="146"/>
      <c r="J74" s="156"/>
      <c r="K74" s="19"/>
    </row>
    <row r="75" spans="2:11" x14ac:dyDescent="0.3">
      <c r="B75" s="321"/>
      <c r="C75" s="332" t="s">
        <v>191</v>
      </c>
      <c r="D75" s="907"/>
      <c r="E75" s="907"/>
      <c r="F75" s="908"/>
      <c r="G75" s="351"/>
      <c r="I75" s="146"/>
      <c r="J75" s="156"/>
      <c r="K75" s="19"/>
    </row>
    <row r="76" spans="2:11" x14ac:dyDescent="0.3">
      <c r="B76" s="321"/>
      <c r="C76" s="332" t="s">
        <v>190</v>
      </c>
      <c r="D76" s="907"/>
      <c r="E76" s="907"/>
      <c r="F76" s="908"/>
      <c r="G76" s="351"/>
      <c r="I76" s="146"/>
      <c r="J76" s="156"/>
      <c r="K76" s="19"/>
    </row>
    <row r="77" spans="2:11" x14ac:dyDescent="0.3">
      <c r="B77" s="321"/>
      <c r="C77" s="332" t="s">
        <v>189</v>
      </c>
      <c r="D77" s="907"/>
      <c r="E77" s="907"/>
      <c r="F77" s="908"/>
      <c r="G77" s="351"/>
      <c r="I77" s="146"/>
      <c r="J77" s="156"/>
      <c r="K77" s="19"/>
    </row>
    <row r="78" spans="2:11" x14ac:dyDescent="0.3">
      <c r="B78" s="321"/>
      <c r="C78" s="332" t="s">
        <v>306</v>
      </c>
      <c r="D78" s="907"/>
      <c r="E78" s="907"/>
      <c r="F78" s="908"/>
      <c r="G78" s="351"/>
      <c r="I78" s="146"/>
      <c r="J78" s="156"/>
      <c r="K78" s="19"/>
    </row>
    <row r="79" spans="2:11" ht="17.25" thickBot="1" x14ac:dyDescent="0.35">
      <c r="B79" s="321"/>
      <c r="C79" s="333" t="s">
        <v>92</v>
      </c>
      <c r="D79" s="911" t="str">
        <f>IF(D76+D78=0,"",D76+D78)</f>
        <v/>
      </c>
      <c r="E79" s="911"/>
      <c r="F79" s="912"/>
      <c r="G79" s="351"/>
      <c r="I79" s="147"/>
      <c r="J79" s="155"/>
      <c r="K79" s="19"/>
    </row>
    <row r="80" spans="2:11" ht="17.25" thickBot="1" x14ac:dyDescent="0.35">
      <c r="B80" s="148"/>
      <c r="C80" s="141"/>
      <c r="D80" s="141"/>
      <c r="E80" s="141"/>
      <c r="F80" s="141"/>
      <c r="G80" s="151"/>
      <c r="I80" s="147"/>
      <c r="J80" s="155"/>
      <c r="K80" s="19"/>
    </row>
    <row r="81" spans="1:11" x14ac:dyDescent="0.3">
      <c r="K81" s="19"/>
    </row>
    <row r="82" spans="1:11" s="18" customFormat="1" x14ac:dyDescent="0.3">
      <c r="A82" s="19"/>
      <c r="B82" s="19"/>
      <c r="C82" s="19"/>
      <c r="D82" s="19"/>
      <c r="E82" s="19"/>
      <c r="F82" s="19"/>
      <c r="G82" s="19"/>
      <c r="H82" s="19"/>
      <c r="I82" s="19"/>
      <c r="J82" s="19"/>
      <c r="K82" s="19"/>
    </row>
  </sheetData>
  <sheetProtection password="D93F" sheet="1" objects="1" scenarios="1" selectLockedCells="1"/>
  <customSheetViews>
    <customSheetView guid="{2A4C6EB9-430A-44F2-86C8-15B50360FC3B}" scale="70" showGridLines="0">
      <selection activeCell="F2" sqref="F2"/>
      <pageMargins left="0.7" right="0.7" top="0.75" bottom="0.75" header="0.3" footer="0.3"/>
      <pageSetup orientation="portrait" horizontalDpi="200" verticalDpi="200" r:id="rId1"/>
    </customSheetView>
    <customSheetView guid="{B3BD5AF3-9A64-4EA7-AE1F-3CC326849B8F}" scale="70" showGridLines="0">
      <selection activeCell="K3" sqref="K3:K5"/>
      <pageMargins left="0.7" right="0.7" top="0.75" bottom="0.75" header="0.3" footer="0.3"/>
      <pageSetup orientation="portrait" horizontalDpi="200" verticalDpi="200" r:id="rId2"/>
    </customSheetView>
  </customSheetViews>
  <mergeCells count="26">
    <mergeCell ref="D35:F35"/>
    <mergeCell ref="D50:F50"/>
    <mergeCell ref="D58:F58"/>
    <mergeCell ref="D79:F79"/>
    <mergeCell ref="D71:F71"/>
    <mergeCell ref="D72:F72"/>
    <mergeCell ref="D73:F73"/>
    <mergeCell ref="D74:F74"/>
    <mergeCell ref="D78:F78"/>
    <mergeCell ref="D75:F75"/>
    <mergeCell ref="E2:F2"/>
    <mergeCell ref="B2:C2"/>
    <mergeCell ref="H4:I4"/>
    <mergeCell ref="D76:F76"/>
    <mergeCell ref="D77:F77"/>
    <mergeCell ref="F11:G11"/>
    <mergeCell ref="B13:G13"/>
    <mergeCell ref="C15:F15"/>
    <mergeCell ref="D70:F70"/>
    <mergeCell ref="C69:F69"/>
    <mergeCell ref="C25:F25"/>
    <mergeCell ref="C34:F34"/>
    <mergeCell ref="C49:F49"/>
    <mergeCell ref="C57:F57"/>
    <mergeCell ref="D16:F16"/>
    <mergeCell ref="D26:F26"/>
  </mergeCells>
  <phoneticPr fontId="27" type="noConversion"/>
  <conditionalFormatting sqref="D28:F32 D37:F47 D52:F55 D60:F67 D71:D74 D75:F75 D76:D79 D22:D23 D18:F21 D11">
    <cfRule type="expression" dxfId="62" priority="3" stopIfTrue="1">
      <formula>OR($I$5 = "Heating Only Central Heat Pump", $I$6 &lt;&gt; "Variable-Speed")</formula>
    </cfRule>
  </conditionalFormatting>
  <hyperlinks>
    <hyperlink ref="E2" location="Instructions!A1" display="Back to Instructions"/>
    <hyperlink ref="E2:F2" location="Instructions!A1" display="Back to Instructions tab"/>
  </hyperlinks>
  <pageMargins left="0.7" right="0.7" top="0.75" bottom="0.75" header="0.3" footer="0.3"/>
  <pageSetup orientation="portrait" horizontalDpi="200" verticalDpi="200"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rgb="FF0070C0"/>
  </sheetPr>
  <dimension ref="A1:K151"/>
  <sheetViews>
    <sheetView showGridLines="0" zoomScale="80" zoomScaleNormal="80" workbookViewId="0">
      <selection activeCell="E2" sqref="E2:F2"/>
    </sheetView>
  </sheetViews>
  <sheetFormatPr defaultColWidth="9.140625" defaultRowHeight="16.5" x14ac:dyDescent="0.3"/>
  <cols>
    <col min="1" max="1" width="5.7109375" style="6" customWidth="1"/>
    <col min="2" max="2" width="31.140625" style="6" customWidth="1"/>
    <col min="3" max="3" width="70.140625" style="6" customWidth="1"/>
    <col min="4" max="6" width="14.7109375" style="6" customWidth="1"/>
    <col min="7" max="7" width="20.85546875" style="6" customWidth="1"/>
    <col min="8" max="8" width="22.7109375" style="6" customWidth="1"/>
    <col min="9" max="9" width="20" style="6" customWidth="1"/>
    <col min="10" max="10" width="6.28515625" style="114" customWidth="1"/>
    <col min="11" max="11" width="3.7109375" style="6" customWidth="1"/>
    <col min="12" max="16384" width="9.140625" style="6"/>
  </cols>
  <sheetData>
    <row r="1" spans="2:11" ht="17.25" thickBot="1" x14ac:dyDescent="0.35">
      <c r="J1" s="127"/>
      <c r="K1" s="19"/>
    </row>
    <row r="2" spans="2:11" s="1" customFormat="1" ht="18.75" thickBot="1" x14ac:dyDescent="0.4">
      <c r="B2" s="764" t="s">
        <v>562</v>
      </c>
      <c r="C2" s="765"/>
      <c r="E2" s="827" t="s">
        <v>540</v>
      </c>
      <c r="F2" s="827"/>
      <c r="G2" s="639"/>
      <c r="J2" s="128"/>
      <c r="K2" s="129"/>
    </row>
    <row r="3" spans="2:11" s="1" customFormat="1" ht="17.25" thickBot="1" x14ac:dyDescent="0.35">
      <c r="B3" s="297" t="s">
        <v>563</v>
      </c>
      <c r="C3" s="298" t="str">
        <f>'Version Control'!C3</f>
        <v>Residential Central Air Conditioners and Heat Pumps</v>
      </c>
      <c r="J3" s="128"/>
      <c r="K3" s="129"/>
    </row>
    <row r="4" spans="2:11" s="1" customFormat="1" ht="18" thickBot="1" x14ac:dyDescent="0.35">
      <c r="B4" s="299" t="s">
        <v>140</v>
      </c>
      <c r="C4" s="300" t="str">
        <f>'Version Control'!C4</f>
        <v>v2.1</v>
      </c>
      <c r="H4" s="761" t="s">
        <v>349</v>
      </c>
      <c r="I4" s="763"/>
      <c r="J4" s="128"/>
      <c r="K4" s="129"/>
    </row>
    <row r="5" spans="2:11" s="1" customFormat="1" x14ac:dyDescent="0.3">
      <c r="B5" s="299" t="s">
        <v>462</v>
      </c>
      <c r="C5" s="301">
        <f>'Version Control'!C5</f>
        <v>42653</v>
      </c>
      <c r="H5" s="55" t="s">
        <v>158</v>
      </c>
      <c r="I5" s="598">
        <f>'General Info and Test Results'!C25</f>
        <v>0</v>
      </c>
      <c r="J5" s="128"/>
      <c r="K5" s="129"/>
    </row>
    <row r="6" spans="2:11" s="1" customFormat="1" x14ac:dyDescent="0.3">
      <c r="B6" s="302" t="s">
        <v>139</v>
      </c>
      <c r="C6" s="303" t="str">
        <f ca="1">MID(CELL("filename",$A$1), FIND("]", CELL("filename", $A$1))+ 1, 255)</f>
        <v>Optional C Test Recorded Data</v>
      </c>
      <c r="H6" s="56" t="s">
        <v>153</v>
      </c>
      <c r="I6" s="599">
        <f>'General Info and Test Results'!C26</f>
        <v>0</v>
      </c>
      <c r="J6" s="128"/>
      <c r="K6" s="129"/>
    </row>
    <row r="7" spans="2:11" s="1" customFormat="1" ht="36" customHeight="1" thickBot="1" x14ac:dyDescent="0.35">
      <c r="B7" s="304" t="s">
        <v>138</v>
      </c>
      <c r="C7" s="305" t="str">
        <f ca="1">MID(CELL("FILENAME",F1),FIND("[",CELL("FILENAME",F1))+1,FIND("]",CELL("FILENAME",F1))-FIND("[",CELL("FILENAME",F1))-1)</f>
        <v>Residential Central Air Conditioners and Heat Pumps - v2.1.xlsx</v>
      </c>
      <c r="H7" s="57" t="s">
        <v>199</v>
      </c>
      <c r="I7" s="600">
        <f>'General Info and Test Results'!C27</f>
        <v>0</v>
      </c>
      <c r="J7" s="128"/>
      <c r="K7" s="129"/>
    </row>
    <row r="8" spans="2:11" s="1" customFormat="1" ht="18" customHeight="1" thickBot="1" x14ac:dyDescent="0.35">
      <c r="B8" s="306" t="s">
        <v>141</v>
      </c>
      <c r="C8" s="307" t="str">
        <f>'Version Control'!C8</f>
        <v>[MM/DD/YYYY]</v>
      </c>
      <c r="G8" s="14"/>
      <c r="H8" s="9"/>
      <c r="J8" s="128"/>
      <c r="K8" s="129"/>
    </row>
    <row r="9" spans="2:11" s="1" customFormat="1" ht="18" customHeight="1" x14ac:dyDescent="0.3">
      <c r="B9" s="4"/>
      <c r="C9" s="262"/>
      <c r="J9" s="128"/>
      <c r="K9" s="129"/>
    </row>
    <row r="10" spans="2:11" s="1" customFormat="1" ht="18" customHeight="1" thickBot="1" x14ac:dyDescent="0.35">
      <c r="B10" s="4"/>
      <c r="C10" s="262"/>
      <c r="J10" s="128"/>
      <c r="K10" s="129"/>
    </row>
    <row r="11" spans="2:11" ht="18.75" thickBot="1" x14ac:dyDescent="0.4">
      <c r="B11" s="942" t="str">
        <f>IF(AND($I$6="Single-Speed",$I$7="Fixed Speed"),"'C Test' Data to be recorded","'C1 Test' Data to be recorded")</f>
        <v>'C1 Test' Data to be recorded</v>
      </c>
      <c r="C11" s="943"/>
      <c r="D11" s="943"/>
      <c r="E11" s="943"/>
      <c r="F11" s="943"/>
      <c r="G11" s="944"/>
      <c r="K11" s="19"/>
    </row>
    <row r="12" spans="2:11" ht="18" thickBot="1" x14ac:dyDescent="0.4">
      <c r="B12" s="357"/>
      <c r="C12" s="344"/>
      <c r="D12" s="344"/>
      <c r="E12" s="344"/>
      <c r="F12" s="344"/>
      <c r="G12" s="345"/>
      <c r="H12" s="152"/>
      <c r="K12" s="19"/>
    </row>
    <row r="13" spans="2:11" ht="18" thickBot="1" x14ac:dyDescent="0.4">
      <c r="B13" s="321"/>
      <c r="C13" s="874" t="s">
        <v>55</v>
      </c>
      <c r="D13" s="875"/>
      <c r="E13" s="875"/>
      <c r="F13" s="876"/>
      <c r="G13" s="346"/>
      <c r="I13" s="138"/>
      <c r="J13" s="154"/>
      <c r="K13" s="19"/>
    </row>
    <row r="14" spans="2:11" ht="17.25" x14ac:dyDescent="0.35">
      <c r="B14" s="321"/>
      <c r="C14" s="325"/>
      <c r="D14" s="929" t="s">
        <v>48</v>
      </c>
      <c r="E14" s="927"/>
      <c r="F14" s="928"/>
      <c r="G14" s="346"/>
      <c r="I14" s="138"/>
      <c r="J14" s="154"/>
      <c r="K14" s="19"/>
    </row>
    <row r="15" spans="2:11" ht="17.25" x14ac:dyDescent="0.35">
      <c r="B15" s="326"/>
      <c r="C15" s="321"/>
      <c r="D15" s="327" t="s">
        <v>56</v>
      </c>
      <c r="E15" s="327" t="s">
        <v>57</v>
      </c>
      <c r="F15" s="328" t="s">
        <v>58</v>
      </c>
      <c r="G15" s="346"/>
      <c r="I15" s="138"/>
      <c r="J15" s="154"/>
      <c r="K15" s="19"/>
    </row>
    <row r="16" spans="2:11" x14ac:dyDescent="0.3">
      <c r="B16" s="321"/>
      <c r="C16" s="322" t="s">
        <v>432</v>
      </c>
      <c r="D16" s="315"/>
      <c r="E16" s="315"/>
      <c r="F16" s="313"/>
      <c r="G16" s="346"/>
      <c r="I16" s="140"/>
      <c r="J16" s="155"/>
      <c r="K16" s="19"/>
    </row>
    <row r="17" spans="2:11" x14ac:dyDescent="0.3">
      <c r="B17" s="321"/>
      <c r="C17" s="322" t="s">
        <v>433</v>
      </c>
      <c r="D17" s="315"/>
      <c r="E17" s="315"/>
      <c r="F17" s="313"/>
      <c r="G17" s="346"/>
      <c r="I17" s="140"/>
      <c r="J17" s="155"/>
      <c r="K17" s="19"/>
    </row>
    <row r="18" spans="2:11" x14ac:dyDescent="0.3">
      <c r="B18" s="321"/>
      <c r="C18" s="322" t="s">
        <v>59</v>
      </c>
      <c r="D18" s="315"/>
      <c r="E18" s="315"/>
      <c r="F18" s="313"/>
      <c r="G18" s="346"/>
      <c r="I18" s="140"/>
      <c r="J18" s="155"/>
      <c r="K18" s="19"/>
    </row>
    <row r="19" spans="2:11" x14ac:dyDescent="0.3">
      <c r="B19" s="321"/>
      <c r="C19" s="322" t="s">
        <v>60</v>
      </c>
      <c r="D19" s="315"/>
      <c r="E19" s="315"/>
      <c r="F19" s="313"/>
      <c r="G19" s="346"/>
      <c r="I19" s="140"/>
      <c r="J19" s="155"/>
      <c r="K19" s="19"/>
    </row>
    <row r="20" spans="2:11" x14ac:dyDescent="0.3">
      <c r="B20" s="321"/>
      <c r="C20" s="322" t="s">
        <v>435</v>
      </c>
      <c r="D20" s="315"/>
      <c r="E20" s="316"/>
      <c r="F20" s="317"/>
      <c r="G20" s="346"/>
      <c r="I20" s="140"/>
      <c r="J20" s="155"/>
      <c r="K20" s="19"/>
    </row>
    <row r="21" spans="2:11" ht="17.25" thickBot="1" x14ac:dyDescent="0.35">
      <c r="B21" s="321"/>
      <c r="C21" s="324" t="s">
        <v>443</v>
      </c>
      <c r="D21" s="318"/>
      <c r="E21" s="319"/>
      <c r="F21" s="320"/>
      <c r="G21" s="346"/>
      <c r="I21" s="140"/>
      <c r="J21" s="155"/>
      <c r="K21" s="19"/>
    </row>
    <row r="22" spans="2:11" ht="17.25" thickBot="1" x14ac:dyDescent="0.35">
      <c r="B22" s="321"/>
      <c r="C22" s="337"/>
      <c r="D22" s="316"/>
      <c r="E22" s="316"/>
      <c r="F22" s="316"/>
      <c r="G22" s="351"/>
      <c r="I22" s="140"/>
      <c r="J22" s="155"/>
      <c r="K22" s="19"/>
    </row>
    <row r="23" spans="2:11" ht="18" thickBot="1" x14ac:dyDescent="0.4">
      <c r="B23" s="321"/>
      <c r="C23" s="874" t="s">
        <v>61</v>
      </c>
      <c r="D23" s="875"/>
      <c r="E23" s="875"/>
      <c r="F23" s="876"/>
      <c r="G23" s="346"/>
      <c r="I23" s="140"/>
      <c r="J23" s="155"/>
      <c r="K23" s="19"/>
    </row>
    <row r="24" spans="2:11" ht="17.25" x14ac:dyDescent="0.35">
      <c r="B24" s="321"/>
      <c r="C24" s="352"/>
      <c r="D24" s="929" t="s">
        <v>48</v>
      </c>
      <c r="E24" s="927"/>
      <c r="F24" s="928"/>
      <c r="G24" s="346"/>
      <c r="I24" s="140"/>
      <c r="J24" s="155"/>
      <c r="K24" s="19"/>
    </row>
    <row r="25" spans="2:11" ht="17.25" x14ac:dyDescent="0.35">
      <c r="B25" s="326"/>
      <c r="C25" s="338"/>
      <c r="D25" s="327" t="s">
        <v>56</v>
      </c>
      <c r="E25" s="327" t="s">
        <v>57</v>
      </c>
      <c r="F25" s="328" t="s">
        <v>58</v>
      </c>
      <c r="G25" s="346"/>
      <c r="I25" s="140"/>
      <c r="J25" s="155"/>
      <c r="K25" s="19"/>
    </row>
    <row r="26" spans="2:11" x14ac:dyDescent="0.3">
      <c r="B26" s="321"/>
      <c r="C26" s="322" t="s">
        <v>62</v>
      </c>
      <c r="D26" s="315"/>
      <c r="E26" s="315"/>
      <c r="F26" s="313"/>
      <c r="G26" s="346"/>
      <c r="I26" s="140"/>
      <c r="J26" s="155"/>
      <c r="K26" s="19"/>
    </row>
    <row r="27" spans="2:11" x14ac:dyDescent="0.3">
      <c r="B27" s="321"/>
      <c r="C27" s="322" t="s">
        <v>607</v>
      </c>
      <c r="D27" s="315"/>
      <c r="E27" s="315"/>
      <c r="F27" s="313"/>
      <c r="G27" s="346"/>
      <c r="I27" s="140"/>
      <c r="J27" s="155"/>
      <c r="K27" s="19"/>
    </row>
    <row r="28" spans="2:11" x14ac:dyDescent="0.3">
      <c r="B28" s="321"/>
      <c r="C28" s="322" t="s">
        <v>608</v>
      </c>
      <c r="D28" s="315"/>
      <c r="E28" s="315"/>
      <c r="F28" s="313"/>
      <c r="G28" s="346"/>
      <c r="I28" s="140"/>
      <c r="J28" s="155"/>
      <c r="K28" s="19"/>
    </row>
    <row r="29" spans="2:11" x14ac:dyDescent="0.3">
      <c r="B29" s="321"/>
      <c r="C29" s="322" t="s">
        <v>413</v>
      </c>
      <c r="D29" s="315"/>
      <c r="E29" s="315"/>
      <c r="F29" s="313"/>
      <c r="G29" s="346"/>
      <c r="I29" s="140"/>
      <c r="J29" s="155"/>
      <c r="K29" s="19"/>
    </row>
    <row r="30" spans="2:11" ht="17.25" thickBot="1" x14ac:dyDescent="0.35">
      <c r="B30" s="321"/>
      <c r="C30" s="324" t="s">
        <v>427</v>
      </c>
      <c r="D30" s="318"/>
      <c r="E30" s="318"/>
      <c r="F30" s="314"/>
      <c r="G30" s="346"/>
      <c r="I30" s="140"/>
      <c r="J30" s="155"/>
      <c r="K30" s="19"/>
    </row>
    <row r="31" spans="2:11" ht="17.25" thickBot="1" x14ac:dyDescent="0.35">
      <c r="B31" s="321"/>
      <c r="C31" s="316"/>
      <c r="D31" s="316"/>
      <c r="E31" s="316"/>
      <c r="F31" s="316"/>
      <c r="G31" s="351"/>
      <c r="I31" s="140"/>
      <c r="J31" s="155"/>
      <c r="K31" s="19"/>
    </row>
    <row r="32" spans="2:11" ht="18" thickBot="1" x14ac:dyDescent="0.4">
      <c r="B32" s="321"/>
      <c r="C32" s="874" t="s">
        <v>63</v>
      </c>
      <c r="D32" s="875"/>
      <c r="E32" s="875"/>
      <c r="F32" s="876"/>
      <c r="G32" s="346"/>
      <c r="I32" s="140"/>
      <c r="J32" s="155"/>
      <c r="K32" s="19"/>
    </row>
    <row r="33" spans="2:11" ht="17.25" x14ac:dyDescent="0.35">
      <c r="B33" s="321"/>
      <c r="C33" s="325"/>
      <c r="D33" s="929" t="s">
        <v>48</v>
      </c>
      <c r="E33" s="927"/>
      <c r="F33" s="928"/>
      <c r="G33" s="346"/>
      <c r="I33" s="140"/>
      <c r="J33" s="155"/>
      <c r="K33" s="19"/>
    </row>
    <row r="34" spans="2:11" ht="17.25" x14ac:dyDescent="0.35">
      <c r="B34" s="326"/>
      <c r="C34" s="321"/>
      <c r="D34" s="327" t="s">
        <v>56</v>
      </c>
      <c r="E34" s="327" t="s">
        <v>57</v>
      </c>
      <c r="F34" s="328" t="s">
        <v>58</v>
      </c>
      <c r="G34" s="346"/>
      <c r="I34" s="140"/>
      <c r="J34" s="155"/>
      <c r="K34" s="19"/>
    </row>
    <row r="35" spans="2:11" x14ac:dyDescent="0.3">
      <c r="B35" s="321"/>
      <c r="C35" s="322" t="s">
        <v>64</v>
      </c>
      <c r="D35" s="315"/>
      <c r="E35" s="315"/>
      <c r="F35" s="313"/>
      <c r="G35" s="346"/>
      <c r="I35" s="140"/>
      <c r="J35" s="155"/>
      <c r="K35" s="19"/>
    </row>
    <row r="36" spans="2:11" x14ac:dyDescent="0.3">
      <c r="B36" s="321"/>
      <c r="C36" s="322" t="s">
        <v>65</v>
      </c>
      <c r="D36" s="315"/>
      <c r="E36" s="315"/>
      <c r="F36" s="313"/>
      <c r="G36" s="346"/>
      <c r="I36" s="140"/>
      <c r="J36" s="155"/>
      <c r="K36" s="19"/>
    </row>
    <row r="37" spans="2:11" x14ac:dyDescent="0.3">
      <c r="B37" s="321"/>
      <c r="C37" s="322" t="s">
        <v>66</v>
      </c>
      <c r="D37" s="315"/>
      <c r="E37" s="315"/>
      <c r="F37" s="313"/>
      <c r="G37" s="346"/>
      <c r="I37" s="140"/>
      <c r="J37" s="155"/>
      <c r="K37" s="19"/>
    </row>
    <row r="38" spans="2:11" x14ac:dyDescent="0.3">
      <c r="B38" s="321"/>
      <c r="C38" s="322" t="s">
        <v>67</v>
      </c>
      <c r="D38" s="315"/>
      <c r="E38" s="315"/>
      <c r="F38" s="313"/>
      <c r="G38" s="346"/>
      <c r="I38" s="140"/>
      <c r="J38" s="155"/>
      <c r="K38" s="19"/>
    </row>
    <row r="39" spans="2:11" x14ac:dyDescent="0.3">
      <c r="B39" s="321"/>
      <c r="C39" s="322" t="s">
        <v>68</v>
      </c>
      <c r="D39" s="315"/>
      <c r="E39" s="315"/>
      <c r="F39" s="313"/>
      <c r="G39" s="346"/>
      <c r="I39" s="140"/>
      <c r="J39" s="155"/>
      <c r="K39" s="19"/>
    </row>
    <row r="40" spans="2:11" x14ac:dyDescent="0.3">
      <c r="B40" s="321"/>
      <c r="C40" s="322" t="s">
        <v>69</v>
      </c>
      <c r="D40" s="315"/>
      <c r="E40" s="315"/>
      <c r="F40" s="313"/>
      <c r="G40" s="346"/>
      <c r="I40" s="140"/>
      <c r="J40" s="155"/>
      <c r="K40" s="19"/>
    </row>
    <row r="41" spans="2:11" x14ac:dyDescent="0.3">
      <c r="B41" s="321"/>
      <c r="C41" s="322" t="s">
        <v>70</v>
      </c>
      <c r="D41" s="315"/>
      <c r="E41" s="315"/>
      <c r="F41" s="313"/>
      <c r="G41" s="346"/>
      <c r="I41" s="140"/>
      <c r="J41" s="155"/>
      <c r="K41" s="19"/>
    </row>
    <row r="42" spans="2:11" x14ac:dyDescent="0.3">
      <c r="B42" s="321"/>
      <c r="C42" s="322" t="s">
        <v>71</v>
      </c>
      <c r="D42" s="315"/>
      <c r="E42" s="315"/>
      <c r="F42" s="313"/>
      <c r="G42" s="346"/>
      <c r="I42" s="140"/>
      <c r="J42" s="155"/>
      <c r="K42" s="19"/>
    </row>
    <row r="43" spans="2:11" x14ac:dyDescent="0.3">
      <c r="B43" s="321"/>
      <c r="C43" s="322" t="s">
        <v>72</v>
      </c>
      <c r="D43" s="315"/>
      <c r="E43" s="315"/>
      <c r="F43" s="313"/>
      <c r="G43" s="346"/>
      <c r="I43" s="140"/>
      <c r="J43" s="155"/>
      <c r="K43" s="19"/>
    </row>
    <row r="44" spans="2:11" x14ac:dyDescent="0.3">
      <c r="B44" s="321"/>
      <c r="C44" s="322" t="s">
        <v>73</v>
      </c>
      <c r="D44" s="315"/>
      <c r="E44" s="315"/>
      <c r="F44" s="313"/>
      <c r="G44" s="346"/>
      <c r="I44" s="140"/>
      <c r="J44" s="155"/>
      <c r="K44" s="19"/>
    </row>
    <row r="45" spans="2:11" ht="17.25" thickBot="1" x14ac:dyDescent="0.35">
      <c r="B45" s="321"/>
      <c r="C45" s="324" t="s">
        <v>74</v>
      </c>
      <c r="D45" s="318"/>
      <c r="E45" s="318"/>
      <c r="F45" s="314"/>
      <c r="G45" s="346"/>
      <c r="I45" s="140"/>
      <c r="J45" s="155"/>
      <c r="K45" s="19"/>
    </row>
    <row r="46" spans="2:11" ht="17.25" thickBot="1" x14ac:dyDescent="0.35">
      <c r="B46" s="321"/>
      <c r="C46" s="316"/>
      <c r="D46" s="316"/>
      <c r="E46" s="316"/>
      <c r="F46" s="316"/>
      <c r="G46" s="351"/>
      <c r="I46" s="140"/>
      <c r="J46" s="155"/>
      <c r="K46" s="19"/>
    </row>
    <row r="47" spans="2:11" ht="18" thickBot="1" x14ac:dyDescent="0.4">
      <c r="B47" s="321"/>
      <c r="C47" s="874" t="s">
        <v>75</v>
      </c>
      <c r="D47" s="875"/>
      <c r="E47" s="875"/>
      <c r="F47" s="876"/>
      <c r="G47" s="346"/>
      <c r="I47" s="140"/>
      <c r="J47" s="155"/>
      <c r="K47" s="19"/>
    </row>
    <row r="48" spans="2:11" ht="17.25" x14ac:dyDescent="0.35">
      <c r="B48" s="321"/>
      <c r="C48" s="325"/>
      <c r="D48" s="929" t="s">
        <v>48</v>
      </c>
      <c r="E48" s="927"/>
      <c r="F48" s="928"/>
      <c r="G48" s="346"/>
      <c r="I48" s="140"/>
      <c r="J48" s="155"/>
      <c r="K48" s="19"/>
    </row>
    <row r="49" spans="2:11" ht="17.25" x14ac:dyDescent="0.35">
      <c r="B49" s="326"/>
      <c r="C49" s="321"/>
      <c r="D49" s="327" t="s">
        <v>56</v>
      </c>
      <c r="E49" s="327" t="s">
        <v>57</v>
      </c>
      <c r="F49" s="328" t="s">
        <v>58</v>
      </c>
      <c r="G49" s="346"/>
      <c r="I49" s="140"/>
      <c r="J49" s="155"/>
      <c r="K49" s="19"/>
    </row>
    <row r="50" spans="2:11" x14ac:dyDescent="0.3">
      <c r="B50" s="321"/>
      <c r="C50" s="322" t="s">
        <v>304</v>
      </c>
      <c r="D50" s="315"/>
      <c r="E50" s="315"/>
      <c r="F50" s="313"/>
      <c r="G50" s="346"/>
      <c r="I50" s="140"/>
      <c r="J50" s="155"/>
      <c r="K50" s="19"/>
    </row>
    <row r="51" spans="2:11" x14ac:dyDescent="0.3">
      <c r="B51" s="321"/>
      <c r="C51" s="322" t="s">
        <v>305</v>
      </c>
      <c r="D51" s="315"/>
      <c r="E51" s="315"/>
      <c r="F51" s="313"/>
      <c r="G51" s="346"/>
      <c r="I51" s="140"/>
      <c r="J51" s="155"/>
      <c r="K51" s="19"/>
    </row>
    <row r="52" spans="2:11" x14ac:dyDescent="0.3">
      <c r="B52" s="321"/>
      <c r="C52" s="322" t="s">
        <v>78</v>
      </c>
      <c r="D52" s="315"/>
      <c r="E52" s="315"/>
      <c r="F52" s="313"/>
      <c r="G52" s="346"/>
      <c r="I52" s="140"/>
      <c r="J52" s="155"/>
      <c r="K52" s="19"/>
    </row>
    <row r="53" spans="2:11" x14ac:dyDescent="0.3">
      <c r="B53" s="321"/>
      <c r="C53" s="322" t="s">
        <v>79</v>
      </c>
      <c r="D53" s="315"/>
      <c r="E53" s="315"/>
      <c r="F53" s="313"/>
      <c r="G53" s="346"/>
      <c r="I53" s="140"/>
      <c r="J53" s="155"/>
      <c r="K53" s="19"/>
    </row>
    <row r="54" spans="2:11" ht="17.25" thickBot="1" x14ac:dyDescent="0.35">
      <c r="B54" s="321"/>
      <c r="C54" s="330" t="s">
        <v>428</v>
      </c>
      <c r="D54" s="318"/>
      <c r="E54" s="318"/>
      <c r="F54" s="314"/>
      <c r="G54" s="346"/>
      <c r="K54" s="19"/>
    </row>
    <row r="55" spans="2:11" ht="17.25" thickBot="1" x14ac:dyDescent="0.35">
      <c r="B55" s="321"/>
      <c r="C55" s="316"/>
      <c r="D55" s="316"/>
      <c r="E55" s="316"/>
      <c r="F55" s="316"/>
      <c r="G55" s="351"/>
      <c r="I55" s="140"/>
      <c r="J55" s="155"/>
      <c r="K55" s="19"/>
    </row>
    <row r="56" spans="2:11" ht="18" thickBot="1" x14ac:dyDescent="0.4">
      <c r="B56" s="321"/>
      <c r="C56" s="874" t="s">
        <v>80</v>
      </c>
      <c r="D56" s="875"/>
      <c r="E56" s="875"/>
      <c r="F56" s="876"/>
      <c r="G56" s="346"/>
      <c r="I56" s="140"/>
      <c r="J56" s="155"/>
      <c r="K56" s="19"/>
    </row>
    <row r="57" spans="2:11" ht="17.25" x14ac:dyDescent="0.35">
      <c r="B57" s="321"/>
      <c r="C57" s="325"/>
      <c r="D57" s="929" t="s">
        <v>48</v>
      </c>
      <c r="E57" s="927"/>
      <c r="F57" s="928"/>
      <c r="G57" s="346"/>
      <c r="I57" s="140"/>
      <c r="J57" s="155"/>
      <c r="K57" s="19"/>
    </row>
    <row r="58" spans="2:11" ht="17.25" x14ac:dyDescent="0.35">
      <c r="B58" s="331"/>
      <c r="C58" s="378"/>
      <c r="D58" s="327" t="s">
        <v>56</v>
      </c>
      <c r="E58" s="327" t="s">
        <v>57</v>
      </c>
      <c r="F58" s="328" t="s">
        <v>58</v>
      </c>
      <c r="G58" s="346"/>
      <c r="I58" s="140"/>
      <c r="J58" s="155"/>
      <c r="K58" s="19"/>
    </row>
    <row r="59" spans="2:11" x14ac:dyDescent="0.3">
      <c r="B59" s="321"/>
      <c r="C59" s="322" t="s">
        <v>81</v>
      </c>
      <c r="D59" s="315"/>
      <c r="E59" s="315"/>
      <c r="F59" s="313"/>
      <c r="G59" s="346"/>
      <c r="I59" s="140"/>
      <c r="J59" s="155"/>
      <c r="K59" s="19"/>
    </row>
    <row r="60" spans="2:11" x14ac:dyDescent="0.3">
      <c r="B60" s="321"/>
      <c r="C60" s="322" t="s">
        <v>82</v>
      </c>
      <c r="D60" s="315"/>
      <c r="E60" s="315"/>
      <c r="F60" s="313"/>
      <c r="G60" s="346"/>
      <c r="I60" s="140"/>
      <c r="J60" s="155"/>
      <c r="K60" s="19"/>
    </row>
    <row r="61" spans="2:11" x14ac:dyDescent="0.3">
      <c r="B61" s="321"/>
      <c r="C61" s="322" t="s">
        <v>83</v>
      </c>
      <c r="D61" s="315"/>
      <c r="E61" s="315"/>
      <c r="F61" s="313"/>
      <c r="G61" s="346"/>
      <c r="I61" s="140"/>
      <c r="J61" s="155"/>
      <c r="K61" s="19"/>
    </row>
    <row r="62" spans="2:11" x14ac:dyDescent="0.3">
      <c r="B62" s="321"/>
      <c r="C62" s="322" t="s">
        <v>84</v>
      </c>
      <c r="D62" s="315"/>
      <c r="E62" s="315"/>
      <c r="F62" s="313"/>
      <c r="G62" s="346"/>
      <c r="I62" s="140"/>
      <c r="J62" s="155"/>
      <c r="K62" s="19"/>
    </row>
    <row r="63" spans="2:11" x14ac:dyDescent="0.3">
      <c r="B63" s="321"/>
      <c r="C63" s="322" t="s">
        <v>85</v>
      </c>
      <c r="D63" s="315"/>
      <c r="E63" s="315"/>
      <c r="F63" s="313"/>
      <c r="G63" s="346"/>
      <c r="I63" s="140"/>
      <c r="J63" s="155"/>
      <c r="K63" s="19"/>
    </row>
    <row r="64" spans="2:11" x14ac:dyDescent="0.3">
      <c r="B64" s="321"/>
      <c r="C64" s="322" t="s">
        <v>86</v>
      </c>
      <c r="D64" s="315"/>
      <c r="E64" s="315"/>
      <c r="F64" s="313"/>
      <c r="G64" s="346"/>
      <c r="I64" s="140"/>
      <c r="J64" s="155"/>
      <c r="K64" s="19"/>
    </row>
    <row r="65" spans="2:11" x14ac:dyDescent="0.3">
      <c r="B65" s="321"/>
      <c r="C65" s="322" t="s">
        <v>87</v>
      </c>
      <c r="D65" s="315"/>
      <c r="E65" s="315"/>
      <c r="F65" s="313"/>
      <c r="G65" s="346"/>
      <c r="I65" s="140"/>
      <c r="J65" s="155"/>
      <c r="K65" s="19"/>
    </row>
    <row r="66" spans="2:11" ht="17.25" thickBot="1" x14ac:dyDescent="0.35">
      <c r="B66" s="321"/>
      <c r="C66" s="324" t="s">
        <v>88</v>
      </c>
      <c r="D66" s="318"/>
      <c r="E66" s="318"/>
      <c r="F66" s="314"/>
      <c r="G66" s="346"/>
      <c r="I66" s="140"/>
      <c r="J66" s="155"/>
      <c r="K66" s="19"/>
    </row>
    <row r="67" spans="2:11" ht="17.25" thickBot="1" x14ac:dyDescent="0.35">
      <c r="B67" s="321"/>
      <c r="C67" s="316"/>
      <c r="D67" s="316"/>
      <c r="E67" s="316"/>
      <c r="F67" s="339"/>
      <c r="G67" s="351"/>
      <c r="I67" s="140"/>
      <c r="J67" s="155"/>
      <c r="K67" s="19"/>
    </row>
    <row r="68" spans="2:11" ht="18" thickBot="1" x14ac:dyDescent="0.4">
      <c r="B68" s="321"/>
      <c r="C68" s="874" t="s">
        <v>194</v>
      </c>
      <c r="D68" s="875"/>
      <c r="E68" s="875"/>
      <c r="F68" s="876"/>
      <c r="G68" s="346"/>
      <c r="I68" s="140"/>
      <c r="J68" s="155"/>
      <c r="K68" s="19"/>
    </row>
    <row r="69" spans="2:11" ht="17.25" x14ac:dyDescent="0.35">
      <c r="B69" s="326"/>
      <c r="C69" s="325"/>
      <c r="D69" s="929" t="s">
        <v>48</v>
      </c>
      <c r="E69" s="927"/>
      <c r="F69" s="928"/>
      <c r="G69" s="351"/>
      <c r="I69" s="140"/>
      <c r="J69" s="155"/>
      <c r="K69" s="19"/>
    </row>
    <row r="70" spans="2:11" x14ac:dyDescent="0.3">
      <c r="B70" s="321"/>
      <c r="C70" s="322" t="s">
        <v>193</v>
      </c>
      <c r="D70" s="882"/>
      <c r="E70" s="882"/>
      <c r="F70" s="883"/>
      <c r="G70" s="351"/>
      <c r="I70" s="140"/>
      <c r="J70" s="155"/>
      <c r="K70" s="19"/>
    </row>
    <row r="71" spans="2:11" x14ac:dyDescent="0.3">
      <c r="B71" s="321"/>
      <c r="C71" s="322" t="s">
        <v>192</v>
      </c>
      <c r="D71" s="882"/>
      <c r="E71" s="882"/>
      <c r="F71" s="883"/>
      <c r="G71" s="351"/>
      <c r="I71" s="140"/>
      <c r="J71" s="155"/>
      <c r="K71" s="19"/>
    </row>
    <row r="72" spans="2:11" x14ac:dyDescent="0.3">
      <c r="B72" s="321"/>
      <c r="C72" s="322" t="s">
        <v>306</v>
      </c>
      <c r="D72" s="882"/>
      <c r="E72" s="882"/>
      <c r="F72" s="883"/>
      <c r="G72" s="351"/>
      <c r="I72" s="140"/>
      <c r="J72" s="155"/>
      <c r="K72" s="19"/>
    </row>
    <row r="73" spans="2:11" x14ac:dyDescent="0.3">
      <c r="B73" s="321"/>
      <c r="C73" s="322" t="s">
        <v>442</v>
      </c>
      <c r="D73" s="895" t="str">
        <f>IF(D71+D72=0,"",D71+D72)</f>
        <v/>
      </c>
      <c r="E73" s="895"/>
      <c r="F73" s="896"/>
      <c r="G73" s="351"/>
      <c r="I73" s="146"/>
      <c r="J73" s="156"/>
      <c r="K73" s="19"/>
    </row>
    <row r="74" spans="2:11" x14ac:dyDescent="0.3">
      <c r="B74" s="321"/>
      <c r="C74" s="322" t="s">
        <v>191</v>
      </c>
      <c r="D74" s="882"/>
      <c r="E74" s="882"/>
      <c r="F74" s="883"/>
      <c r="G74" s="351"/>
      <c r="I74" s="146"/>
      <c r="J74" s="156"/>
      <c r="K74" s="19"/>
    </row>
    <row r="75" spans="2:11" x14ac:dyDescent="0.3">
      <c r="B75" s="321"/>
      <c r="C75" s="322" t="s">
        <v>190</v>
      </c>
      <c r="D75" s="882"/>
      <c r="E75" s="882"/>
      <c r="F75" s="883"/>
      <c r="G75" s="351"/>
      <c r="I75" s="146"/>
      <c r="J75" s="156"/>
      <c r="K75" s="19"/>
    </row>
    <row r="76" spans="2:11" x14ac:dyDescent="0.3">
      <c r="B76" s="321"/>
      <c r="C76" s="322" t="s">
        <v>189</v>
      </c>
      <c r="D76" s="882"/>
      <c r="E76" s="882"/>
      <c r="F76" s="883"/>
      <c r="G76" s="351"/>
      <c r="I76" s="146"/>
      <c r="J76" s="156"/>
      <c r="K76" s="19"/>
    </row>
    <row r="77" spans="2:11" x14ac:dyDescent="0.3">
      <c r="B77" s="321"/>
      <c r="C77" s="322" t="s">
        <v>306</v>
      </c>
      <c r="D77" s="882"/>
      <c r="E77" s="882"/>
      <c r="F77" s="883"/>
      <c r="G77" s="351"/>
      <c r="I77" s="146"/>
      <c r="J77" s="156"/>
      <c r="K77" s="19"/>
    </row>
    <row r="78" spans="2:11" ht="17.25" thickBot="1" x14ac:dyDescent="0.35">
      <c r="B78" s="321"/>
      <c r="C78" s="324" t="s">
        <v>442</v>
      </c>
      <c r="D78" s="911" t="str">
        <f>IF(D76+D77=0,"",D76+D77)</f>
        <v/>
      </c>
      <c r="E78" s="911"/>
      <c r="F78" s="912"/>
      <c r="G78" s="351"/>
      <c r="I78" s="147"/>
      <c r="J78" s="155"/>
      <c r="K78" s="19"/>
    </row>
    <row r="79" spans="2:11" ht="17.25" thickBot="1" x14ac:dyDescent="0.35">
      <c r="B79" s="334"/>
      <c r="C79" s="319"/>
      <c r="D79" s="319"/>
      <c r="E79" s="319"/>
      <c r="F79" s="319"/>
      <c r="G79" s="356"/>
      <c r="I79" s="147"/>
      <c r="J79" s="155"/>
      <c r="K79" s="19"/>
    </row>
    <row r="80" spans="2:11" ht="17.25" thickBot="1" x14ac:dyDescent="0.35">
      <c r="B80" s="316"/>
      <c r="C80" s="316"/>
      <c r="D80" s="316"/>
      <c r="E80" s="316"/>
      <c r="F80" s="316"/>
      <c r="G80" s="359"/>
      <c r="I80" s="147"/>
      <c r="J80" s="155"/>
      <c r="K80" s="19"/>
    </row>
    <row r="81" spans="2:11" ht="18.75" thickBot="1" x14ac:dyDescent="0.4">
      <c r="B81" s="902" t="s">
        <v>414</v>
      </c>
      <c r="C81" s="903"/>
      <c r="D81" s="903"/>
      <c r="E81" s="903"/>
      <c r="F81" s="903"/>
      <c r="G81" s="904"/>
      <c r="I81" s="147"/>
      <c r="J81" s="155"/>
      <c r="K81" s="19"/>
    </row>
    <row r="82" spans="2:11" ht="18" thickBot="1" x14ac:dyDescent="0.4">
      <c r="B82" s="326"/>
      <c r="C82" s="316"/>
      <c r="D82" s="316"/>
      <c r="E82" s="316"/>
      <c r="F82" s="316"/>
      <c r="G82" s="345"/>
      <c r="K82" s="19"/>
    </row>
    <row r="83" spans="2:11" ht="18" thickBot="1" x14ac:dyDescent="0.4">
      <c r="B83" s="321"/>
      <c r="C83" s="874" t="s">
        <v>55</v>
      </c>
      <c r="D83" s="875"/>
      <c r="E83" s="875"/>
      <c r="F83" s="876"/>
      <c r="G83" s="346"/>
      <c r="K83" s="19"/>
    </row>
    <row r="84" spans="2:11" ht="17.25" x14ac:dyDescent="0.35">
      <c r="B84" s="321"/>
      <c r="C84" s="325"/>
      <c r="D84" s="929" t="s">
        <v>48</v>
      </c>
      <c r="E84" s="927"/>
      <c r="F84" s="928"/>
      <c r="G84" s="346"/>
      <c r="K84" s="19"/>
    </row>
    <row r="85" spans="2:11" ht="17.25" x14ac:dyDescent="0.35">
      <c r="B85" s="326"/>
      <c r="C85" s="321"/>
      <c r="D85" s="327" t="s">
        <v>56</v>
      </c>
      <c r="E85" s="327" t="s">
        <v>57</v>
      </c>
      <c r="F85" s="328" t="s">
        <v>58</v>
      </c>
      <c r="G85" s="346"/>
      <c r="K85" s="19"/>
    </row>
    <row r="86" spans="2:11" x14ac:dyDescent="0.3">
      <c r="B86" s="321"/>
      <c r="C86" s="322" t="s">
        <v>432</v>
      </c>
      <c r="D86" s="361"/>
      <c r="E86" s="379"/>
      <c r="F86" s="313"/>
      <c r="G86" s="346"/>
      <c r="K86" s="19"/>
    </row>
    <row r="87" spans="2:11" x14ac:dyDescent="0.3">
      <c r="B87" s="321"/>
      <c r="C87" s="322" t="s">
        <v>433</v>
      </c>
      <c r="D87" s="315"/>
      <c r="E87" s="315"/>
      <c r="F87" s="313"/>
      <c r="G87" s="346"/>
      <c r="K87" s="19"/>
    </row>
    <row r="88" spans="2:11" x14ac:dyDescent="0.3">
      <c r="B88" s="321"/>
      <c r="C88" s="322" t="s">
        <v>59</v>
      </c>
      <c r="D88" s="315"/>
      <c r="E88" s="315"/>
      <c r="F88" s="313"/>
      <c r="G88" s="346"/>
      <c r="K88" s="19"/>
    </row>
    <row r="89" spans="2:11" x14ac:dyDescent="0.3">
      <c r="B89" s="321"/>
      <c r="C89" s="322" t="s">
        <v>60</v>
      </c>
      <c r="D89" s="315"/>
      <c r="E89" s="315"/>
      <c r="F89" s="313"/>
      <c r="G89" s="346"/>
      <c r="K89" s="19"/>
    </row>
    <row r="90" spans="2:11" x14ac:dyDescent="0.3">
      <c r="B90" s="321"/>
      <c r="C90" s="322" t="s">
        <v>435</v>
      </c>
      <c r="D90" s="315"/>
      <c r="E90" s="316"/>
      <c r="F90" s="317"/>
      <c r="G90" s="346"/>
      <c r="I90" s="140"/>
      <c r="J90" s="155"/>
      <c r="K90" s="19"/>
    </row>
    <row r="91" spans="2:11" ht="17.25" thickBot="1" x14ac:dyDescent="0.35">
      <c r="B91" s="321"/>
      <c r="C91" s="324" t="s">
        <v>443</v>
      </c>
      <c r="D91" s="318"/>
      <c r="E91" s="319"/>
      <c r="F91" s="320"/>
      <c r="G91" s="346"/>
      <c r="K91" s="19"/>
    </row>
    <row r="92" spans="2:11" ht="17.25" thickBot="1" x14ac:dyDescent="0.35">
      <c r="B92" s="321"/>
      <c r="C92" s="337"/>
      <c r="D92" s="316"/>
      <c r="E92" s="316"/>
      <c r="F92" s="316"/>
      <c r="G92" s="351"/>
      <c r="K92" s="19"/>
    </row>
    <row r="93" spans="2:11" ht="18" thickBot="1" x14ac:dyDescent="0.4">
      <c r="B93" s="321"/>
      <c r="C93" s="874" t="s">
        <v>61</v>
      </c>
      <c r="D93" s="875"/>
      <c r="E93" s="875"/>
      <c r="F93" s="876"/>
      <c r="G93" s="346"/>
      <c r="K93" s="19"/>
    </row>
    <row r="94" spans="2:11" ht="17.25" x14ac:dyDescent="0.35">
      <c r="B94" s="321"/>
      <c r="C94" s="352"/>
      <c r="D94" s="929" t="s">
        <v>48</v>
      </c>
      <c r="E94" s="927"/>
      <c r="F94" s="928"/>
      <c r="G94" s="346"/>
      <c r="K94" s="19"/>
    </row>
    <row r="95" spans="2:11" ht="17.25" x14ac:dyDescent="0.35">
      <c r="B95" s="326"/>
      <c r="C95" s="338"/>
      <c r="D95" s="327" t="s">
        <v>56</v>
      </c>
      <c r="E95" s="327" t="s">
        <v>57</v>
      </c>
      <c r="F95" s="328" t="s">
        <v>58</v>
      </c>
      <c r="G95" s="346"/>
      <c r="K95" s="19"/>
    </row>
    <row r="96" spans="2:11" x14ac:dyDescent="0.3">
      <c r="B96" s="321"/>
      <c r="C96" s="322" t="s">
        <v>62</v>
      </c>
      <c r="D96" s="315"/>
      <c r="E96" s="315"/>
      <c r="F96" s="313"/>
      <c r="G96" s="346"/>
      <c r="K96" s="19"/>
    </row>
    <row r="97" spans="2:11" x14ac:dyDescent="0.3">
      <c r="B97" s="321"/>
      <c r="C97" s="322" t="s">
        <v>607</v>
      </c>
      <c r="D97" s="315"/>
      <c r="E97" s="315"/>
      <c r="F97" s="313"/>
      <c r="G97" s="346"/>
      <c r="K97" s="19"/>
    </row>
    <row r="98" spans="2:11" x14ac:dyDescent="0.3">
      <c r="B98" s="321"/>
      <c r="C98" s="322" t="s">
        <v>608</v>
      </c>
      <c r="D98" s="315"/>
      <c r="E98" s="315"/>
      <c r="F98" s="313"/>
      <c r="G98" s="346"/>
      <c r="K98" s="19"/>
    </row>
    <row r="99" spans="2:11" x14ac:dyDescent="0.3">
      <c r="B99" s="321"/>
      <c r="C99" s="322" t="s">
        <v>413</v>
      </c>
      <c r="D99" s="315"/>
      <c r="E99" s="315"/>
      <c r="F99" s="313"/>
      <c r="G99" s="346"/>
      <c r="K99" s="19"/>
    </row>
    <row r="100" spans="2:11" ht="17.25" thickBot="1" x14ac:dyDescent="0.35">
      <c r="B100" s="321"/>
      <c r="C100" s="324" t="s">
        <v>427</v>
      </c>
      <c r="D100" s="318"/>
      <c r="E100" s="318"/>
      <c r="F100" s="314"/>
      <c r="G100" s="346"/>
      <c r="K100" s="19"/>
    </row>
    <row r="101" spans="2:11" ht="17.25" thickBot="1" x14ac:dyDescent="0.35">
      <c r="B101" s="321"/>
      <c r="C101" s="316"/>
      <c r="D101" s="316"/>
      <c r="E101" s="316"/>
      <c r="F101" s="316"/>
      <c r="G101" s="351"/>
      <c r="K101" s="19"/>
    </row>
    <row r="102" spans="2:11" ht="18" thickBot="1" x14ac:dyDescent="0.4">
      <c r="B102" s="321"/>
      <c r="C102" s="874" t="s">
        <v>63</v>
      </c>
      <c r="D102" s="875"/>
      <c r="E102" s="875"/>
      <c r="F102" s="876"/>
      <c r="G102" s="346"/>
      <c r="K102" s="19"/>
    </row>
    <row r="103" spans="2:11" ht="17.25" x14ac:dyDescent="0.35">
      <c r="B103" s="321"/>
      <c r="C103" s="325"/>
      <c r="D103" s="929" t="s">
        <v>48</v>
      </c>
      <c r="E103" s="927"/>
      <c r="F103" s="928"/>
      <c r="G103" s="346"/>
      <c r="K103" s="19"/>
    </row>
    <row r="104" spans="2:11" ht="17.25" x14ac:dyDescent="0.35">
      <c r="B104" s="326"/>
      <c r="C104" s="321"/>
      <c r="D104" s="327" t="s">
        <v>56</v>
      </c>
      <c r="E104" s="327" t="s">
        <v>57</v>
      </c>
      <c r="F104" s="328" t="s">
        <v>58</v>
      </c>
      <c r="G104" s="346"/>
      <c r="K104" s="19"/>
    </row>
    <row r="105" spans="2:11" x14ac:dyDescent="0.3">
      <c r="B105" s="321"/>
      <c r="C105" s="322" t="s">
        <v>64</v>
      </c>
      <c r="D105" s="315"/>
      <c r="E105" s="315"/>
      <c r="F105" s="313"/>
      <c r="G105" s="346"/>
      <c r="K105" s="19"/>
    </row>
    <row r="106" spans="2:11" x14ac:dyDescent="0.3">
      <c r="B106" s="321"/>
      <c r="C106" s="322" t="s">
        <v>65</v>
      </c>
      <c r="D106" s="315"/>
      <c r="E106" s="315"/>
      <c r="F106" s="313"/>
      <c r="G106" s="346"/>
      <c r="K106" s="19"/>
    </row>
    <row r="107" spans="2:11" x14ac:dyDescent="0.3">
      <c r="B107" s="321"/>
      <c r="C107" s="322" t="s">
        <v>66</v>
      </c>
      <c r="D107" s="315"/>
      <c r="E107" s="315"/>
      <c r="F107" s="313"/>
      <c r="G107" s="346"/>
      <c r="K107" s="19"/>
    </row>
    <row r="108" spans="2:11" x14ac:dyDescent="0.3">
      <c r="B108" s="321"/>
      <c r="C108" s="322" t="s">
        <v>67</v>
      </c>
      <c r="D108" s="315"/>
      <c r="E108" s="315"/>
      <c r="F108" s="313"/>
      <c r="G108" s="346"/>
      <c r="K108" s="19"/>
    </row>
    <row r="109" spans="2:11" x14ac:dyDescent="0.3">
      <c r="B109" s="321"/>
      <c r="C109" s="322" t="s">
        <v>68</v>
      </c>
      <c r="D109" s="315"/>
      <c r="E109" s="315"/>
      <c r="F109" s="313"/>
      <c r="G109" s="346"/>
      <c r="K109" s="19"/>
    </row>
    <row r="110" spans="2:11" x14ac:dyDescent="0.3">
      <c r="B110" s="321"/>
      <c r="C110" s="322" t="s">
        <v>69</v>
      </c>
      <c r="D110" s="315"/>
      <c r="E110" s="315"/>
      <c r="F110" s="313"/>
      <c r="G110" s="346"/>
      <c r="K110" s="19"/>
    </row>
    <row r="111" spans="2:11" x14ac:dyDescent="0.3">
      <c r="B111" s="321"/>
      <c r="C111" s="322" t="s">
        <v>70</v>
      </c>
      <c r="D111" s="315"/>
      <c r="E111" s="315"/>
      <c r="F111" s="313"/>
      <c r="G111" s="346"/>
      <c r="K111" s="19"/>
    </row>
    <row r="112" spans="2:11" x14ac:dyDescent="0.3">
      <c r="B112" s="321"/>
      <c r="C112" s="322" t="s">
        <v>71</v>
      </c>
      <c r="D112" s="315"/>
      <c r="E112" s="315"/>
      <c r="F112" s="313"/>
      <c r="G112" s="346"/>
      <c r="K112" s="19"/>
    </row>
    <row r="113" spans="2:11" x14ac:dyDescent="0.3">
      <c r="B113" s="321"/>
      <c r="C113" s="322" t="s">
        <v>72</v>
      </c>
      <c r="D113" s="315"/>
      <c r="E113" s="315"/>
      <c r="F113" s="313"/>
      <c r="G113" s="346"/>
      <c r="K113" s="19"/>
    </row>
    <row r="114" spans="2:11" x14ac:dyDescent="0.3">
      <c r="B114" s="321"/>
      <c r="C114" s="322" t="s">
        <v>73</v>
      </c>
      <c r="D114" s="315"/>
      <c r="E114" s="315"/>
      <c r="F114" s="313"/>
      <c r="G114" s="346"/>
      <c r="K114" s="19"/>
    </row>
    <row r="115" spans="2:11" ht="17.25" thickBot="1" x14ac:dyDescent="0.35">
      <c r="B115" s="321"/>
      <c r="C115" s="324" t="s">
        <v>74</v>
      </c>
      <c r="D115" s="318"/>
      <c r="E115" s="318"/>
      <c r="F115" s="314"/>
      <c r="G115" s="346"/>
      <c r="K115" s="19"/>
    </row>
    <row r="116" spans="2:11" ht="17.25" thickBot="1" x14ac:dyDescent="0.35">
      <c r="B116" s="321"/>
      <c r="C116" s="316"/>
      <c r="D116" s="316"/>
      <c r="E116" s="316"/>
      <c r="F116" s="316"/>
      <c r="G116" s="351"/>
      <c r="K116" s="19"/>
    </row>
    <row r="117" spans="2:11" ht="18" thickBot="1" x14ac:dyDescent="0.4">
      <c r="B117" s="321"/>
      <c r="C117" s="874" t="s">
        <v>75</v>
      </c>
      <c r="D117" s="875"/>
      <c r="E117" s="875"/>
      <c r="F117" s="876"/>
      <c r="G117" s="346"/>
      <c r="K117" s="19"/>
    </row>
    <row r="118" spans="2:11" ht="17.25" x14ac:dyDescent="0.35">
      <c r="B118" s="321"/>
      <c r="C118" s="325"/>
      <c r="D118" s="929" t="s">
        <v>48</v>
      </c>
      <c r="E118" s="927"/>
      <c r="F118" s="928"/>
      <c r="G118" s="346"/>
      <c r="K118" s="19"/>
    </row>
    <row r="119" spans="2:11" ht="17.25" x14ac:dyDescent="0.35">
      <c r="B119" s="326"/>
      <c r="C119" s="321"/>
      <c r="D119" s="327" t="s">
        <v>56</v>
      </c>
      <c r="E119" s="327" t="s">
        <v>57</v>
      </c>
      <c r="F119" s="328" t="s">
        <v>58</v>
      </c>
      <c r="G119" s="346"/>
      <c r="K119" s="19"/>
    </row>
    <row r="120" spans="2:11" x14ac:dyDescent="0.3">
      <c r="B120" s="321"/>
      <c r="C120" s="322" t="s">
        <v>76</v>
      </c>
      <c r="D120" s="315"/>
      <c r="E120" s="315"/>
      <c r="F120" s="313"/>
      <c r="G120" s="346"/>
      <c r="K120" s="19"/>
    </row>
    <row r="121" spans="2:11" x14ac:dyDescent="0.3">
      <c r="B121" s="321"/>
      <c r="C121" s="322" t="s">
        <v>77</v>
      </c>
      <c r="D121" s="315"/>
      <c r="E121" s="315"/>
      <c r="F121" s="313"/>
      <c r="G121" s="346"/>
      <c r="K121" s="19"/>
    </row>
    <row r="122" spans="2:11" x14ac:dyDescent="0.3">
      <c r="B122" s="321"/>
      <c r="C122" s="322" t="s">
        <v>78</v>
      </c>
      <c r="D122" s="315"/>
      <c r="E122" s="315"/>
      <c r="F122" s="313"/>
      <c r="G122" s="346"/>
      <c r="K122" s="19"/>
    </row>
    <row r="123" spans="2:11" x14ac:dyDescent="0.3">
      <c r="B123" s="321"/>
      <c r="C123" s="322" t="s">
        <v>79</v>
      </c>
      <c r="D123" s="315"/>
      <c r="E123" s="315"/>
      <c r="F123" s="313"/>
      <c r="G123" s="346"/>
      <c r="K123" s="19"/>
    </row>
    <row r="124" spans="2:11" ht="17.25" thickBot="1" x14ac:dyDescent="0.35">
      <c r="B124" s="321"/>
      <c r="C124" s="330" t="s">
        <v>428</v>
      </c>
      <c r="D124" s="318"/>
      <c r="E124" s="318"/>
      <c r="F124" s="314"/>
      <c r="G124" s="346"/>
      <c r="K124" s="19"/>
    </row>
    <row r="125" spans="2:11" ht="17.25" thickBot="1" x14ac:dyDescent="0.35">
      <c r="B125" s="321"/>
      <c r="C125" s="316"/>
      <c r="D125" s="316"/>
      <c r="E125" s="316"/>
      <c r="F125" s="316"/>
      <c r="G125" s="351"/>
      <c r="K125" s="19"/>
    </row>
    <row r="126" spans="2:11" ht="18" thickBot="1" x14ac:dyDescent="0.4">
      <c r="B126" s="321"/>
      <c r="C126" s="874" t="s">
        <v>80</v>
      </c>
      <c r="D126" s="875"/>
      <c r="E126" s="875"/>
      <c r="F126" s="876"/>
      <c r="G126" s="346"/>
      <c r="K126" s="19"/>
    </row>
    <row r="127" spans="2:11" ht="17.25" x14ac:dyDescent="0.35">
      <c r="B127" s="321"/>
      <c r="C127" s="325"/>
      <c r="D127" s="929" t="s">
        <v>48</v>
      </c>
      <c r="E127" s="927"/>
      <c r="F127" s="928"/>
      <c r="G127" s="346"/>
      <c r="K127" s="19"/>
    </row>
    <row r="128" spans="2:11" ht="17.25" x14ac:dyDescent="0.35">
      <c r="B128" s="331"/>
      <c r="C128" s="321"/>
      <c r="D128" s="327" t="s">
        <v>56</v>
      </c>
      <c r="E128" s="327" t="s">
        <v>57</v>
      </c>
      <c r="F128" s="328" t="s">
        <v>58</v>
      </c>
      <c r="G128" s="346"/>
      <c r="K128" s="19"/>
    </row>
    <row r="129" spans="2:11" x14ac:dyDescent="0.3">
      <c r="B129" s="321"/>
      <c r="C129" s="322" t="s">
        <v>81</v>
      </c>
      <c r="D129" s="315"/>
      <c r="E129" s="315"/>
      <c r="F129" s="313"/>
      <c r="G129" s="346"/>
      <c r="K129" s="19"/>
    </row>
    <row r="130" spans="2:11" x14ac:dyDescent="0.3">
      <c r="B130" s="321"/>
      <c r="C130" s="322" t="s">
        <v>82</v>
      </c>
      <c r="D130" s="315"/>
      <c r="E130" s="315"/>
      <c r="F130" s="313"/>
      <c r="G130" s="346"/>
      <c r="K130" s="19"/>
    </row>
    <row r="131" spans="2:11" x14ac:dyDescent="0.3">
      <c r="B131" s="321"/>
      <c r="C131" s="322" t="s">
        <v>83</v>
      </c>
      <c r="D131" s="315"/>
      <c r="E131" s="315"/>
      <c r="F131" s="313"/>
      <c r="G131" s="346"/>
      <c r="K131" s="19"/>
    </row>
    <row r="132" spans="2:11" x14ac:dyDescent="0.3">
      <c r="B132" s="321"/>
      <c r="C132" s="322" t="s">
        <v>84</v>
      </c>
      <c r="D132" s="315"/>
      <c r="E132" s="315"/>
      <c r="F132" s="313"/>
      <c r="G132" s="346"/>
      <c r="K132" s="19"/>
    </row>
    <row r="133" spans="2:11" x14ac:dyDescent="0.3">
      <c r="B133" s="321"/>
      <c r="C133" s="322" t="s">
        <v>85</v>
      </c>
      <c r="D133" s="315"/>
      <c r="E133" s="315"/>
      <c r="F133" s="313"/>
      <c r="G133" s="346"/>
      <c r="K133" s="19"/>
    </row>
    <row r="134" spans="2:11" x14ac:dyDescent="0.3">
      <c r="B134" s="321"/>
      <c r="C134" s="322" t="s">
        <v>86</v>
      </c>
      <c r="D134" s="315"/>
      <c r="E134" s="315"/>
      <c r="F134" s="313"/>
      <c r="G134" s="346"/>
      <c r="K134" s="19"/>
    </row>
    <row r="135" spans="2:11" x14ac:dyDescent="0.3">
      <c r="B135" s="321"/>
      <c r="C135" s="322" t="s">
        <v>87</v>
      </c>
      <c r="D135" s="315"/>
      <c r="E135" s="315"/>
      <c r="F135" s="313"/>
      <c r="G135" s="346"/>
      <c r="K135" s="19"/>
    </row>
    <row r="136" spans="2:11" ht="17.25" thickBot="1" x14ac:dyDescent="0.35">
      <c r="B136" s="321"/>
      <c r="C136" s="324" t="s">
        <v>88</v>
      </c>
      <c r="D136" s="318"/>
      <c r="E136" s="318"/>
      <c r="F136" s="314"/>
      <c r="G136" s="346"/>
      <c r="K136" s="19"/>
    </row>
    <row r="137" spans="2:11" ht="17.25" thickBot="1" x14ac:dyDescent="0.35">
      <c r="B137" s="321"/>
      <c r="C137" s="316"/>
      <c r="D137" s="316"/>
      <c r="E137" s="316"/>
      <c r="F137" s="316"/>
      <c r="G137" s="351"/>
      <c r="K137" s="19"/>
    </row>
    <row r="138" spans="2:11" ht="18" thickBot="1" x14ac:dyDescent="0.4">
      <c r="B138" s="321"/>
      <c r="C138" s="874" t="s">
        <v>194</v>
      </c>
      <c r="D138" s="875"/>
      <c r="E138" s="875"/>
      <c r="F138" s="876"/>
      <c r="G138" s="346"/>
      <c r="K138" s="19"/>
    </row>
    <row r="139" spans="2:11" ht="17.25" x14ac:dyDescent="0.35">
      <c r="B139" s="326"/>
      <c r="C139" s="325"/>
      <c r="D139" s="929" t="s">
        <v>48</v>
      </c>
      <c r="E139" s="927"/>
      <c r="F139" s="928"/>
      <c r="G139" s="346"/>
      <c r="K139" s="19"/>
    </row>
    <row r="140" spans="2:11" x14ac:dyDescent="0.3">
      <c r="B140" s="321"/>
      <c r="C140" s="322" t="s">
        <v>193</v>
      </c>
      <c r="D140" s="890"/>
      <c r="E140" s="891"/>
      <c r="F140" s="892"/>
      <c r="G140" s="346"/>
      <c r="K140" s="19"/>
    </row>
    <row r="141" spans="2:11" x14ac:dyDescent="0.3">
      <c r="B141" s="321"/>
      <c r="C141" s="322" t="s">
        <v>192</v>
      </c>
      <c r="D141" s="933"/>
      <c r="E141" s="934"/>
      <c r="F141" s="935"/>
      <c r="G141" s="346"/>
      <c r="K141" s="19"/>
    </row>
    <row r="142" spans="2:11" x14ac:dyDescent="0.3">
      <c r="B142" s="321"/>
      <c r="C142" s="322" t="s">
        <v>306</v>
      </c>
      <c r="D142" s="933"/>
      <c r="E142" s="934"/>
      <c r="F142" s="935"/>
      <c r="G142" s="346"/>
      <c r="K142" s="19"/>
    </row>
    <row r="143" spans="2:11" x14ac:dyDescent="0.3">
      <c r="B143" s="321"/>
      <c r="C143" s="322" t="s">
        <v>442</v>
      </c>
      <c r="D143" s="936" t="str">
        <f>IF(D141+D142=0,"",D141+D142)</f>
        <v/>
      </c>
      <c r="E143" s="937"/>
      <c r="F143" s="938"/>
      <c r="G143" s="346"/>
      <c r="K143" s="19"/>
    </row>
    <row r="144" spans="2:11" x14ac:dyDescent="0.3">
      <c r="B144" s="321"/>
      <c r="C144" s="322" t="s">
        <v>191</v>
      </c>
      <c r="D144" s="890"/>
      <c r="E144" s="891"/>
      <c r="F144" s="892"/>
      <c r="G144" s="346"/>
      <c r="K144" s="19"/>
    </row>
    <row r="145" spans="1:11" x14ac:dyDescent="0.3">
      <c r="B145" s="321"/>
      <c r="C145" s="322" t="s">
        <v>190</v>
      </c>
      <c r="D145" s="890"/>
      <c r="E145" s="891"/>
      <c r="F145" s="892"/>
      <c r="G145" s="346"/>
      <c r="K145" s="19"/>
    </row>
    <row r="146" spans="1:11" x14ac:dyDescent="0.3">
      <c r="B146" s="321"/>
      <c r="C146" s="322" t="s">
        <v>189</v>
      </c>
      <c r="D146" s="933"/>
      <c r="E146" s="934"/>
      <c r="F146" s="935"/>
      <c r="G146" s="346"/>
      <c r="K146" s="19"/>
    </row>
    <row r="147" spans="1:11" x14ac:dyDescent="0.3">
      <c r="B147" s="321"/>
      <c r="C147" s="322" t="s">
        <v>306</v>
      </c>
      <c r="D147" s="939"/>
      <c r="E147" s="940"/>
      <c r="F147" s="941"/>
      <c r="G147" s="346"/>
      <c r="K147" s="19"/>
    </row>
    <row r="148" spans="1:11" ht="17.25" thickBot="1" x14ac:dyDescent="0.35">
      <c r="B148" s="321"/>
      <c r="C148" s="324" t="s">
        <v>442</v>
      </c>
      <c r="D148" s="930" t="str">
        <f>IF(D146+D147=0,"",D146+D147)</f>
        <v/>
      </c>
      <c r="E148" s="931"/>
      <c r="F148" s="932"/>
      <c r="G148" s="346"/>
      <c r="K148" s="19"/>
    </row>
    <row r="149" spans="1:11" ht="17.25" thickBot="1" x14ac:dyDescent="0.35">
      <c r="B149" s="334"/>
      <c r="C149" s="319"/>
      <c r="D149" s="319"/>
      <c r="E149" s="319"/>
      <c r="F149" s="319"/>
      <c r="G149" s="356"/>
      <c r="K149" s="19"/>
    </row>
    <row r="150" spans="1:11" x14ac:dyDescent="0.3">
      <c r="K150" s="19"/>
    </row>
    <row r="151" spans="1:11" s="18" customFormat="1" x14ac:dyDescent="0.3">
      <c r="A151" s="19"/>
      <c r="B151" s="19"/>
      <c r="C151" s="19"/>
      <c r="D151" s="19"/>
      <c r="E151" s="19"/>
      <c r="F151" s="19"/>
      <c r="G151" s="19"/>
      <c r="H151" s="19"/>
      <c r="I151" s="19"/>
      <c r="J151" s="19"/>
      <c r="K151" s="19"/>
    </row>
  </sheetData>
  <sheetProtection password="D93F" sheet="1" objects="1" scenarios="1" selectLockedCells="1"/>
  <customSheetViews>
    <customSheetView guid="{2A4C6EB9-430A-44F2-86C8-15B50360FC3B}" scale="70" showGridLines="0">
      <selection activeCell="F2" sqref="F2"/>
      <pageMargins left="0.7" right="0.7" top="0.75" bottom="0.75" header="0.3" footer="0.3"/>
      <pageSetup orientation="portrait" horizontalDpi="200" verticalDpi="200" r:id="rId1"/>
    </customSheetView>
    <customSheetView guid="{B3BD5AF3-9A64-4EA7-AE1F-3CC326849B8F}" scale="70" showGridLines="0">
      <selection activeCell="K3" sqref="K3:K5"/>
      <pageMargins left="0.7" right="0.7" top="0.75" bottom="0.75" header="0.3" footer="0.3"/>
      <pageSetup orientation="portrait" horizontalDpi="200" verticalDpi="200" r:id="rId2"/>
    </customSheetView>
  </customSheetViews>
  <mergeCells count="47">
    <mergeCell ref="C102:F102"/>
    <mergeCell ref="C117:F117"/>
    <mergeCell ref="C126:F126"/>
    <mergeCell ref="C138:F138"/>
    <mergeCell ref="E2:F2"/>
    <mergeCell ref="D71:F71"/>
    <mergeCell ref="D72:F72"/>
    <mergeCell ref="D73:F73"/>
    <mergeCell ref="D75:F75"/>
    <mergeCell ref="D74:F74"/>
    <mergeCell ref="D14:F14"/>
    <mergeCell ref="B11:G11"/>
    <mergeCell ref="D84:F84"/>
    <mergeCell ref="D94:F94"/>
    <mergeCell ref="D103:F103"/>
    <mergeCell ref="H4:I4"/>
    <mergeCell ref="B2:C2"/>
    <mergeCell ref="C13:F13"/>
    <mergeCell ref="C23:F23"/>
    <mergeCell ref="D148:F148"/>
    <mergeCell ref="D141:F141"/>
    <mergeCell ref="D143:F143"/>
    <mergeCell ref="D145:F145"/>
    <mergeCell ref="D146:F146"/>
    <mergeCell ref="D147:F147"/>
    <mergeCell ref="D142:F142"/>
    <mergeCell ref="D144:F144"/>
    <mergeCell ref="D24:F24"/>
    <mergeCell ref="D127:F127"/>
    <mergeCell ref="D140:F140"/>
    <mergeCell ref="D70:F70"/>
    <mergeCell ref="D139:F139"/>
    <mergeCell ref="C32:F32"/>
    <mergeCell ref="C47:F47"/>
    <mergeCell ref="C56:F56"/>
    <mergeCell ref="C68:F68"/>
    <mergeCell ref="C83:F83"/>
    <mergeCell ref="C93:F93"/>
    <mergeCell ref="D118:F118"/>
    <mergeCell ref="D69:F69"/>
    <mergeCell ref="D76:F76"/>
    <mergeCell ref="D77:F77"/>
    <mergeCell ref="D78:F78"/>
    <mergeCell ref="B81:G81"/>
    <mergeCell ref="D33:F33"/>
    <mergeCell ref="D48:F48"/>
    <mergeCell ref="D57:F57"/>
  </mergeCells>
  <phoneticPr fontId="27" type="noConversion"/>
  <conditionalFormatting sqref="D140:D143 D144:F144 D145:D148 D96:F100 D105:F115 D120:F124 D129:F136 D90:D91 D86:F89">
    <cfRule type="expression" dxfId="61" priority="5" stopIfTrue="1">
      <formula>OR($I$6&lt;&gt;"Two-Speed",$I$5="Heating Only Central Heat Pump")</formula>
    </cfRule>
  </conditionalFormatting>
  <conditionalFormatting sqref="D26:F30 D35:F45 D50:F54 D59:F66 D16:F19 D70:D73 D20:D21 D75:D78">
    <cfRule type="expression" dxfId="60" priority="16" stopIfTrue="1">
      <formula>OR($I$5 = "Heating Only Central Heat Pump", $I$6 = "Variable-Speed")</formula>
    </cfRule>
  </conditionalFormatting>
  <conditionalFormatting sqref="D74:F74">
    <cfRule type="expression" dxfId="59" priority="19" stopIfTrue="1">
      <formula>OR($I$5 = "Heating Only Central Heat Pump",AND($I$6 = "Single-Speed",$I$7 = "Fixed Speed"))</formula>
    </cfRule>
  </conditionalFormatting>
  <hyperlinks>
    <hyperlink ref="E2" location="Instructions!A1" display="Back to Instructions"/>
    <hyperlink ref="E2:F2" location="Instructions!A1" display="Back to Instructions tab"/>
  </hyperlinks>
  <pageMargins left="0.7" right="0.7" top="0.75" bottom="0.75" header="0.3" footer="0.3"/>
  <pageSetup orientation="portrait" horizontalDpi="200" verticalDpi="200"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rgb="FF0070C0"/>
  </sheetPr>
  <dimension ref="A1:K105"/>
  <sheetViews>
    <sheetView showGridLines="0" zoomScale="80" zoomScaleNormal="80" workbookViewId="0">
      <selection activeCell="E2" sqref="E2:F2"/>
    </sheetView>
  </sheetViews>
  <sheetFormatPr defaultColWidth="9.140625" defaultRowHeight="16.5" x14ac:dyDescent="0.3"/>
  <cols>
    <col min="1" max="1" width="5.28515625" style="6" customWidth="1"/>
    <col min="2" max="2" width="31.85546875" style="6" customWidth="1"/>
    <col min="3" max="3" width="77.28515625" style="6" customWidth="1"/>
    <col min="4" max="4" width="24.7109375" style="6" customWidth="1"/>
    <col min="5" max="5" width="19.85546875" style="6" customWidth="1"/>
    <col min="6" max="6" width="19.5703125" style="6" bestFit="1" customWidth="1"/>
    <col min="7" max="7" width="10.5703125" style="6" customWidth="1"/>
    <col min="8" max="8" width="24.140625" style="6" customWidth="1"/>
    <col min="9" max="9" width="18.140625" style="6" customWidth="1"/>
    <col min="10" max="10" width="6.5703125" style="114" customWidth="1"/>
    <col min="11" max="11" width="5.5703125" style="6" customWidth="1"/>
    <col min="12" max="16384" width="9.140625" style="6"/>
  </cols>
  <sheetData>
    <row r="1" spans="2:11" ht="17.25" thickBot="1" x14ac:dyDescent="0.35">
      <c r="J1" s="127"/>
      <c r="K1" s="19"/>
    </row>
    <row r="2" spans="2:11" s="1" customFormat="1" ht="18.75" thickBot="1" x14ac:dyDescent="0.4">
      <c r="B2" s="764" t="s">
        <v>562</v>
      </c>
      <c r="C2" s="765"/>
      <c r="E2" s="827" t="s">
        <v>540</v>
      </c>
      <c r="F2" s="827"/>
      <c r="G2" s="639"/>
      <c r="J2" s="128"/>
      <c r="K2" s="129"/>
    </row>
    <row r="3" spans="2:11" s="1" customFormat="1" ht="17.25" thickBot="1" x14ac:dyDescent="0.35">
      <c r="B3" s="297" t="s">
        <v>563</v>
      </c>
      <c r="C3" s="298" t="str">
        <f>'Version Control'!C3</f>
        <v>Residential Central Air Conditioners and Heat Pumps</v>
      </c>
      <c r="J3" s="128"/>
      <c r="K3" s="129"/>
    </row>
    <row r="4" spans="2:11" s="1" customFormat="1" ht="18" thickBot="1" x14ac:dyDescent="0.35">
      <c r="B4" s="299" t="s">
        <v>140</v>
      </c>
      <c r="C4" s="300" t="str">
        <f>'Version Control'!C4</f>
        <v>v2.1</v>
      </c>
      <c r="H4" s="761" t="s">
        <v>349</v>
      </c>
      <c r="I4" s="763"/>
      <c r="J4" s="128"/>
      <c r="K4" s="129"/>
    </row>
    <row r="5" spans="2:11" s="1" customFormat="1" x14ac:dyDescent="0.3">
      <c r="B5" s="299" t="s">
        <v>462</v>
      </c>
      <c r="C5" s="301">
        <f>'Version Control'!C5</f>
        <v>42653</v>
      </c>
      <c r="H5" s="55" t="s">
        <v>158</v>
      </c>
      <c r="I5" s="598">
        <f>'General Info and Test Results'!C25</f>
        <v>0</v>
      </c>
      <c r="J5" s="128"/>
      <c r="K5" s="129"/>
    </row>
    <row r="6" spans="2:11" s="1" customFormat="1" x14ac:dyDescent="0.3">
      <c r="B6" s="302" t="s">
        <v>139</v>
      </c>
      <c r="C6" s="303" t="str">
        <f ca="1">MID(CELL("filename",$A$1), FIND("]", CELL("filename", $A$1))+ 1, 255)</f>
        <v>Optional D Test Recorded Data</v>
      </c>
      <c r="H6" s="56" t="s">
        <v>153</v>
      </c>
      <c r="I6" s="599">
        <f>'General Info and Test Results'!C26</f>
        <v>0</v>
      </c>
      <c r="J6" s="128"/>
      <c r="K6" s="129"/>
    </row>
    <row r="7" spans="2:11" s="1" customFormat="1" ht="34.5" customHeight="1" thickBot="1" x14ac:dyDescent="0.35">
      <c r="B7" s="304" t="s">
        <v>138</v>
      </c>
      <c r="C7" s="305" t="str">
        <f ca="1">MID(CELL("FILENAME",F14),FIND("[",CELL("FILENAME",F14))+1,FIND("]",CELL("FILENAME",F14))-FIND("[",CELL("FILENAME",F14))-1)</f>
        <v>Residential Central Air Conditioners and Heat Pumps - v2.1.xlsx</v>
      </c>
      <c r="H7" s="57" t="s">
        <v>199</v>
      </c>
      <c r="I7" s="600">
        <f>'General Info and Test Results'!C27</f>
        <v>0</v>
      </c>
      <c r="J7" s="128"/>
      <c r="K7" s="129"/>
    </row>
    <row r="8" spans="2:11" s="1" customFormat="1" ht="17.25" thickBot="1" x14ac:dyDescent="0.35">
      <c r="B8" s="306" t="s">
        <v>141</v>
      </c>
      <c r="C8" s="307" t="str">
        <f>'Version Control'!C8</f>
        <v>[MM/DD/YYYY]</v>
      </c>
      <c r="G8" s="14"/>
      <c r="H8" s="9"/>
      <c r="J8" s="128"/>
      <c r="K8" s="129"/>
    </row>
    <row r="9" spans="2:11" s="1" customFormat="1" x14ac:dyDescent="0.3">
      <c r="B9" s="4"/>
      <c r="C9" s="262"/>
      <c r="J9" s="128"/>
      <c r="K9" s="129"/>
    </row>
    <row r="10" spans="2:11" s="1" customFormat="1" ht="17.25" thickBot="1" x14ac:dyDescent="0.35">
      <c r="B10" s="116"/>
      <c r="C10" s="372"/>
      <c r="D10" s="373"/>
      <c r="E10" s="373"/>
      <c r="F10" s="373"/>
      <c r="G10" s="373"/>
      <c r="J10" s="128"/>
      <c r="K10" s="129"/>
    </row>
    <row r="11" spans="2:11" ht="18.75" thickBot="1" x14ac:dyDescent="0.4">
      <c r="B11" s="942" t="str">
        <f>IF(AND($I$6="Single-Speed",$I$7="Fixed Speed"),"'D Test' Data to be recorded","'D1 Test' Data to be recorded")</f>
        <v>'D1 Test' Data to be recorded</v>
      </c>
      <c r="C11" s="943"/>
      <c r="D11" s="943"/>
      <c r="E11" s="943"/>
      <c r="F11" s="944"/>
      <c r="G11" s="341"/>
      <c r="H11" s="152" t="s">
        <v>196</v>
      </c>
      <c r="K11" s="19"/>
    </row>
    <row r="12" spans="2:11" ht="17.25" x14ac:dyDescent="0.35">
      <c r="B12" s="357"/>
      <c r="C12" s="344"/>
      <c r="D12" s="344"/>
      <c r="E12" s="380"/>
      <c r="F12" s="381"/>
      <c r="G12" s="359"/>
      <c r="H12" s="152"/>
      <c r="K12" s="19"/>
    </row>
    <row r="13" spans="2:11" ht="17.25" x14ac:dyDescent="0.35">
      <c r="B13" s="326"/>
      <c r="C13" s="382" t="s">
        <v>475</v>
      </c>
      <c r="D13" s="379"/>
      <c r="E13" s="383"/>
      <c r="F13" s="384"/>
      <c r="G13" s="359"/>
      <c r="H13" s="152"/>
      <c r="K13" s="19"/>
    </row>
    <row r="14" spans="2:11" ht="17.25" thickBot="1" x14ac:dyDescent="0.35">
      <c r="B14" s="321"/>
      <c r="C14" s="316"/>
      <c r="D14" s="316"/>
      <c r="E14" s="383"/>
      <c r="F14" s="384"/>
      <c r="G14" s="359"/>
      <c r="I14" s="138"/>
      <c r="J14" s="154"/>
      <c r="K14" s="19"/>
    </row>
    <row r="15" spans="2:11" ht="18" thickBot="1" x14ac:dyDescent="0.4">
      <c r="B15" s="321"/>
      <c r="C15" s="874" t="s">
        <v>55</v>
      </c>
      <c r="D15" s="875"/>
      <c r="E15" s="875"/>
      <c r="F15" s="876"/>
      <c r="G15" s="359"/>
      <c r="I15" s="138"/>
      <c r="J15" s="154"/>
      <c r="K15" s="19"/>
    </row>
    <row r="16" spans="2:11" ht="17.25" x14ac:dyDescent="0.35">
      <c r="B16" s="321"/>
      <c r="C16" s="321"/>
      <c r="D16" s="661" t="s">
        <v>446</v>
      </c>
      <c r="E16" s="386"/>
      <c r="F16" s="384"/>
      <c r="G16" s="359"/>
      <c r="I16" s="138"/>
      <c r="J16" s="154"/>
      <c r="K16" s="19"/>
    </row>
    <row r="17" spans="2:11" x14ac:dyDescent="0.3">
      <c r="B17" s="321"/>
      <c r="C17" s="660" t="s">
        <v>437</v>
      </c>
      <c r="D17" s="315"/>
      <c r="E17" s="383"/>
      <c r="F17" s="384"/>
      <c r="G17" s="359"/>
      <c r="I17" s="140"/>
      <c r="J17" s="155"/>
      <c r="K17" s="19"/>
    </row>
    <row r="18" spans="2:11" ht="33" x14ac:dyDescent="0.3">
      <c r="B18" s="321"/>
      <c r="C18" s="662" t="s">
        <v>440</v>
      </c>
      <c r="D18" s="315"/>
      <c r="E18" s="383"/>
      <c r="F18" s="384"/>
      <c r="G18" s="359"/>
      <c r="I18" s="140"/>
      <c r="J18" s="155"/>
      <c r="K18" s="19"/>
    </row>
    <row r="19" spans="2:11" ht="36.75" customHeight="1" x14ac:dyDescent="0.35">
      <c r="B19" s="321"/>
      <c r="C19" s="658"/>
      <c r="D19" s="659" t="s">
        <v>447</v>
      </c>
      <c r="E19" s="672" t="s">
        <v>604</v>
      </c>
      <c r="F19" s="663" t="s">
        <v>605</v>
      </c>
      <c r="G19" s="359"/>
      <c r="I19" s="140"/>
      <c r="J19" s="155"/>
      <c r="K19" s="19"/>
    </row>
    <row r="20" spans="2:11" x14ac:dyDescent="0.3">
      <c r="B20" s="321"/>
      <c r="C20" s="322" t="s">
        <v>432</v>
      </c>
      <c r="D20" s="315"/>
      <c r="E20" s="315"/>
      <c r="F20" s="313"/>
      <c r="G20" s="359"/>
      <c r="I20" s="140"/>
      <c r="J20" s="155"/>
      <c r="K20" s="19"/>
    </row>
    <row r="21" spans="2:11" ht="17.25" thickBot="1" x14ac:dyDescent="0.35">
      <c r="B21" s="321"/>
      <c r="C21" s="324" t="s">
        <v>433</v>
      </c>
      <c r="D21" s="318"/>
      <c r="E21" s="318"/>
      <c r="F21" s="314"/>
      <c r="G21" s="359"/>
      <c r="I21" s="140"/>
      <c r="J21" s="155"/>
      <c r="K21" s="19"/>
    </row>
    <row r="22" spans="2:11" ht="17.25" thickBot="1" x14ac:dyDescent="0.35">
      <c r="B22" s="321"/>
      <c r="C22" s="337"/>
      <c r="D22" s="316"/>
      <c r="E22" s="383"/>
      <c r="F22" s="384"/>
      <c r="G22" s="359"/>
      <c r="I22" s="140"/>
      <c r="J22" s="155"/>
      <c r="K22" s="19"/>
    </row>
    <row r="23" spans="2:11" ht="18" thickBot="1" x14ac:dyDescent="0.4">
      <c r="B23" s="321"/>
      <c r="C23" s="874" t="s">
        <v>61</v>
      </c>
      <c r="D23" s="875"/>
      <c r="E23" s="875"/>
      <c r="F23" s="876"/>
      <c r="G23" s="359"/>
      <c r="I23" s="140"/>
      <c r="J23" s="155"/>
      <c r="K23" s="19"/>
    </row>
    <row r="24" spans="2:11" ht="32.25" customHeight="1" x14ac:dyDescent="0.35">
      <c r="B24" s="321"/>
      <c r="C24" s="338"/>
      <c r="D24" s="665" t="s">
        <v>447</v>
      </c>
      <c r="E24" s="666" t="s">
        <v>604</v>
      </c>
      <c r="F24" s="667" t="s">
        <v>605</v>
      </c>
      <c r="G24" s="359"/>
      <c r="I24" s="140"/>
      <c r="J24" s="155"/>
      <c r="K24" s="19"/>
    </row>
    <row r="25" spans="2:11" x14ac:dyDescent="0.3">
      <c r="B25" s="321"/>
      <c r="C25" s="329" t="s">
        <v>62</v>
      </c>
      <c r="D25" s="664"/>
      <c r="E25" s="947"/>
      <c r="F25" s="948"/>
      <c r="G25" s="359"/>
      <c r="I25" s="140"/>
      <c r="J25" s="155"/>
      <c r="K25" s="19"/>
    </row>
    <row r="26" spans="2:11" x14ac:dyDescent="0.3">
      <c r="B26" s="321"/>
      <c r="C26" s="332" t="s">
        <v>413</v>
      </c>
      <c r="D26" s="657"/>
      <c r="E26" s="315"/>
      <c r="F26" s="313"/>
      <c r="G26" s="359"/>
      <c r="I26" s="140"/>
      <c r="J26" s="155"/>
      <c r="K26" s="19"/>
    </row>
    <row r="27" spans="2:11" ht="17.25" thickBot="1" x14ac:dyDescent="0.35">
      <c r="B27" s="321"/>
      <c r="C27" s="324" t="s">
        <v>427</v>
      </c>
      <c r="D27" s="656"/>
      <c r="E27" s="318"/>
      <c r="F27" s="314"/>
      <c r="G27" s="359"/>
      <c r="I27" s="140"/>
      <c r="J27" s="155"/>
      <c r="K27" s="19"/>
    </row>
    <row r="28" spans="2:11" ht="17.25" thickBot="1" x14ac:dyDescent="0.35">
      <c r="B28" s="321"/>
      <c r="C28" s="316"/>
      <c r="D28" s="316"/>
      <c r="E28" s="383"/>
      <c r="F28" s="384"/>
      <c r="G28" s="359"/>
      <c r="I28" s="140"/>
      <c r="J28" s="155"/>
      <c r="K28" s="19"/>
    </row>
    <row r="29" spans="2:11" ht="18" thickBot="1" x14ac:dyDescent="0.4">
      <c r="B29" s="321"/>
      <c r="C29" s="874" t="s">
        <v>75</v>
      </c>
      <c r="D29" s="876"/>
      <c r="E29" s="383"/>
      <c r="F29" s="384"/>
      <c r="G29" s="359"/>
      <c r="I29" s="140"/>
      <c r="J29" s="155"/>
      <c r="K29" s="19"/>
    </row>
    <row r="30" spans="2:11" ht="34.5" x14ac:dyDescent="0.35">
      <c r="B30" s="321"/>
      <c r="C30" s="325"/>
      <c r="D30" s="389" t="s">
        <v>447</v>
      </c>
      <c r="E30" s="392"/>
      <c r="F30" s="393"/>
      <c r="G30" s="359"/>
      <c r="I30" s="140"/>
      <c r="J30" s="155"/>
      <c r="K30" s="19"/>
    </row>
    <row r="31" spans="2:11" x14ac:dyDescent="0.3">
      <c r="B31" s="321"/>
      <c r="C31" s="329" t="s">
        <v>304</v>
      </c>
      <c r="D31" s="387"/>
      <c r="E31" s="343"/>
      <c r="F31" s="391"/>
      <c r="G31" s="359"/>
      <c r="I31" s="140"/>
      <c r="J31" s="155"/>
      <c r="K31" s="19"/>
    </row>
    <row r="32" spans="2:11" ht="17.25" thickBot="1" x14ac:dyDescent="0.35">
      <c r="B32" s="321"/>
      <c r="C32" s="333" t="s">
        <v>305</v>
      </c>
      <c r="D32" s="641"/>
      <c r="E32" s="343"/>
      <c r="F32" s="391"/>
      <c r="G32" s="359"/>
      <c r="I32" s="140"/>
      <c r="J32" s="155"/>
      <c r="K32" s="19"/>
    </row>
    <row r="33" spans="2:11" ht="17.25" thickBot="1" x14ac:dyDescent="0.35">
      <c r="B33" s="321"/>
      <c r="C33" s="316"/>
      <c r="D33" s="316"/>
      <c r="E33" s="343"/>
      <c r="F33" s="391"/>
      <c r="G33" s="359"/>
      <c r="I33" s="140"/>
      <c r="J33" s="155"/>
      <c r="K33" s="19"/>
    </row>
    <row r="34" spans="2:11" ht="18" thickBot="1" x14ac:dyDescent="0.4">
      <c r="B34" s="321"/>
      <c r="C34" s="874" t="s">
        <v>80</v>
      </c>
      <c r="D34" s="875"/>
      <c r="E34" s="875"/>
      <c r="F34" s="876"/>
      <c r="G34" s="359"/>
      <c r="I34" s="140"/>
      <c r="J34" s="155"/>
      <c r="K34" s="19"/>
    </row>
    <row r="35" spans="2:11" ht="51.75" x14ac:dyDescent="0.35">
      <c r="B35" s="321"/>
      <c r="C35" s="321"/>
      <c r="D35" s="665" t="s">
        <v>447</v>
      </c>
      <c r="E35" s="666" t="s">
        <v>604</v>
      </c>
      <c r="F35" s="667" t="s">
        <v>605</v>
      </c>
      <c r="G35" s="359"/>
      <c r="I35" s="140"/>
      <c r="J35" s="155"/>
      <c r="K35" s="19"/>
    </row>
    <row r="36" spans="2:11" x14ac:dyDescent="0.3">
      <c r="B36" s="321"/>
      <c r="C36" s="329" t="s">
        <v>81</v>
      </c>
      <c r="D36" s="664"/>
      <c r="E36" s="315"/>
      <c r="F36" s="313"/>
      <c r="G36" s="359"/>
      <c r="I36" s="140"/>
      <c r="J36" s="155"/>
      <c r="K36" s="19"/>
    </row>
    <row r="37" spans="2:11" x14ac:dyDescent="0.3">
      <c r="B37" s="321"/>
      <c r="C37" s="332" t="s">
        <v>603</v>
      </c>
      <c r="D37" s="315"/>
      <c r="E37" s="343"/>
      <c r="F37" s="391"/>
      <c r="G37" s="359"/>
      <c r="I37" s="140"/>
      <c r="J37" s="155"/>
      <c r="K37" s="19"/>
    </row>
    <row r="38" spans="2:11" x14ac:dyDescent="0.3">
      <c r="B38" s="321"/>
      <c r="C38" s="329" t="s">
        <v>83</v>
      </c>
      <c r="D38" s="315"/>
      <c r="E38" s="343"/>
      <c r="F38" s="391"/>
      <c r="G38" s="359"/>
      <c r="I38" s="140"/>
      <c r="J38" s="155"/>
      <c r="K38" s="19"/>
    </row>
    <row r="39" spans="2:11" x14ac:dyDescent="0.3">
      <c r="B39" s="321"/>
      <c r="C39" s="332" t="s">
        <v>84</v>
      </c>
      <c r="D39" s="315"/>
      <c r="E39" s="343"/>
      <c r="F39" s="391"/>
      <c r="G39" s="359"/>
      <c r="I39" s="140"/>
      <c r="J39" s="155"/>
      <c r="K39" s="19"/>
    </row>
    <row r="40" spans="2:11" x14ac:dyDescent="0.3">
      <c r="B40" s="321"/>
      <c r="C40" s="329" t="s">
        <v>85</v>
      </c>
      <c r="D40" s="315"/>
      <c r="E40" s="379"/>
      <c r="F40" s="313"/>
      <c r="G40" s="359"/>
      <c r="I40" s="140"/>
      <c r="J40" s="155"/>
      <c r="K40" s="19"/>
    </row>
    <row r="41" spans="2:11" x14ac:dyDescent="0.3">
      <c r="B41" s="321"/>
      <c r="C41" s="332" t="s">
        <v>86</v>
      </c>
      <c r="D41" s="315"/>
      <c r="E41" s="343"/>
      <c r="F41" s="391"/>
      <c r="G41" s="359"/>
      <c r="I41" s="140"/>
      <c r="J41" s="155"/>
      <c r="K41" s="19"/>
    </row>
    <row r="42" spans="2:11" x14ac:dyDescent="0.3">
      <c r="B42" s="321"/>
      <c r="C42" s="329" t="s">
        <v>87</v>
      </c>
      <c r="D42" s="315"/>
      <c r="E42" s="343"/>
      <c r="F42" s="391"/>
      <c r="G42" s="359"/>
      <c r="I42" s="140"/>
      <c r="J42" s="155"/>
      <c r="K42" s="19"/>
    </row>
    <row r="43" spans="2:11" ht="17.25" thickBot="1" x14ac:dyDescent="0.35">
      <c r="B43" s="321"/>
      <c r="C43" s="333" t="s">
        <v>88</v>
      </c>
      <c r="D43" s="318"/>
      <c r="E43" s="670"/>
      <c r="F43" s="671"/>
      <c r="G43" s="359"/>
      <c r="I43" s="140"/>
      <c r="J43" s="155"/>
      <c r="K43" s="19"/>
    </row>
    <row r="44" spans="2:11" ht="17.25" thickBot="1" x14ac:dyDescent="0.35">
      <c r="B44" s="321"/>
      <c r="C44" s="316"/>
      <c r="D44" s="316"/>
      <c r="E44" s="394"/>
      <c r="F44" s="395"/>
      <c r="G44" s="359"/>
      <c r="I44" s="140"/>
      <c r="J44" s="155"/>
      <c r="K44" s="19"/>
    </row>
    <row r="45" spans="2:11" ht="18" thickBot="1" x14ac:dyDescent="0.4">
      <c r="B45" s="321"/>
      <c r="C45" s="874" t="s">
        <v>194</v>
      </c>
      <c r="D45" s="875"/>
      <c r="E45" s="876"/>
      <c r="F45" s="395"/>
      <c r="G45" s="359"/>
      <c r="I45" s="140"/>
      <c r="J45" s="155"/>
      <c r="K45" s="19"/>
    </row>
    <row r="46" spans="2:11" ht="17.25" x14ac:dyDescent="0.35">
      <c r="B46" s="326"/>
      <c r="C46" s="325"/>
      <c r="D46" s="877" t="s">
        <v>448</v>
      </c>
      <c r="E46" s="878"/>
      <c r="F46" s="396"/>
      <c r="G46" s="359"/>
      <c r="I46" s="140"/>
      <c r="J46" s="155"/>
      <c r="K46" s="19"/>
    </row>
    <row r="47" spans="2:11" ht="18" customHeight="1" x14ac:dyDescent="0.35">
      <c r="B47" s="321"/>
      <c r="C47" s="329" t="s">
        <v>438</v>
      </c>
      <c r="D47" s="890"/>
      <c r="E47" s="892"/>
      <c r="F47" s="342"/>
      <c r="G47" s="359"/>
      <c r="I47" s="140"/>
      <c r="J47" s="155"/>
      <c r="K47" s="19"/>
    </row>
    <row r="48" spans="2:11" ht="17.25" x14ac:dyDescent="0.35">
      <c r="B48" s="321"/>
      <c r="C48" s="332" t="s">
        <v>192</v>
      </c>
      <c r="D48" s="882"/>
      <c r="E48" s="883"/>
      <c r="F48" s="342"/>
      <c r="G48" s="359"/>
      <c r="I48" s="140"/>
      <c r="J48" s="155"/>
      <c r="K48" s="19"/>
    </row>
    <row r="49" spans="2:11" ht="17.25" x14ac:dyDescent="0.35">
      <c r="B49" s="321"/>
      <c r="C49" s="329" t="s">
        <v>306</v>
      </c>
      <c r="D49" s="882"/>
      <c r="E49" s="883"/>
      <c r="F49" s="342"/>
      <c r="G49" s="359"/>
      <c r="I49" s="140"/>
      <c r="J49" s="155"/>
      <c r="K49" s="19"/>
    </row>
    <row r="50" spans="2:11" ht="16.5" customHeight="1" x14ac:dyDescent="0.3">
      <c r="B50" s="321"/>
      <c r="C50" s="329" t="s">
        <v>441</v>
      </c>
      <c r="D50" s="895" t="str">
        <f>IF(D47+D49=0,"",D47+D49)</f>
        <v/>
      </c>
      <c r="E50" s="896"/>
      <c r="F50" s="317"/>
      <c r="G50" s="359"/>
      <c r="I50" s="156"/>
      <c r="J50" s="156"/>
      <c r="K50" s="19"/>
    </row>
    <row r="51" spans="2:11" x14ac:dyDescent="0.3">
      <c r="B51" s="321"/>
      <c r="C51" s="329" t="s">
        <v>191</v>
      </c>
      <c r="D51" s="882"/>
      <c r="E51" s="883"/>
      <c r="F51" s="351"/>
      <c r="G51" s="340"/>
      <c r="H51" s="146"/>
      <c r="I51" s="156"/>
      <c r="K51" s="19"/>
    </row>
    <row r="52" spans="2:11" ht="33.75" x14ac:dyDescent="0.35">
      <c r="B52" s="321"/>
      <c r="C52" s="329" t="s">
        <v>439</v>
      </c>
      <c r="D52" s="882"/>
      <c r="E52" s="883"/>
      <c r="F52" s="342"/>
      <c r="G52" s="359"/>
      <c r="I52" s="156"/>
      <c r="J52" s="156"/>
      <c r="K52" s="19"/>
    </row>
    <row r="53" spans="2:11" ht="17.25" x14ac:dyDescent="0.35">
      <c r="B53" s="321"/>
      <c r="C53" s="329" t="s">
        <v>189</v>
      </c>
      <c r="D53" s="882"/>
      <c r="E53" s="883"/>
      <c r="F53" s="342"/>
      <c r="G53" s="359"/>
      <c r="I53" s="156"/>
      <c r="J53" s="156"/>
      <c r="K53" s="19"/>
    </row>
    <row r="54" spans="2:11" ht="17.25" x14ac:dyDescent="0.35">
      <c r="B54" s="321"/>
      <c r="C54" s="332" t="s">
        <v>306</v>
      </c>
      <c r="D54" s="882"/>
      <c r="E54" s="883"/>
      <c r="F54" s="342"/>
      <c r="G54" s="359"/>
      <c r="I54" s="156"/>
      <c r="J54" s="156"/>
      <c r="K54" s="19"/>
    </row>
    <row r="55" spans="2:11" ht="33.75" thickBot="1" x14ac:dyDescent="0.35">
      <c r="B55" s="321"/>
      <c r="C55" s="330" t="s">
        <v>441</v>
      </c>
      <c r="D55" s="911" t="str">
        <f>IF(D52+D54=0,"",D52+D54)</f>
        <v/>
      </c>
      <c r="E55" s="912"/>
      <c r="F55" s="317"/>
      <c r="G55" s="359"/>
      <c r="I55" s="155"/>
      <c r="J55" s="155"/>
      <c r="K55" s="19"/>
    </row>
    <row r="56" spans="2:11" ht="17.25" thickBot="1" x14ac:dyDescent="0.35">
      <c r="B56" s="334"/>
      <c r="C56" s="319"/>
      <c r="D56" s="319"/>
      <c r="E56" s="319"/>
      <c r="F56" s="320"/>
      <c r="G56" s="359"/>
      <c r="I56" s="155"/>
      <c r="J56" s="155"/>
      <c r="K56" s="19"/>
    </row>
    <row r="57" spans="2:11" ht="17.25" thickBot="1" x14ac:dyDescent="0.35">
      <c r="B57" s="340"/>
      <c r="C57" s="340"/>
      <c r="D57" s="340"/>
      <c r="E57" s="340"/>
      <c r="F57" s="339"/>
      <c r="G57" s="359"/>
      <c r="I57" s="155"/>
      <c r="J57" s="155"/>
      <c r="K57" s="19"/>
    </row>
    <row r="58" spans="2:11" ht="18.75" thickBot="1" x14ac:dyDescent="0.4">
      <c r="B58" s="902" t="s">
        <v>415</v>
      </c>
      <c r="C58" s="903"/>
      <c r="D58" s="903"/>
      <c r="E58" s="903"/>
      <c r="F58" s="904"/>
      <c r="G58" s="341"/>
      <c r="I58" s="114"/>
      <c r="K58" s="19"/>
    </row>
    <row r="59" spans="2:11" ht="17.25" x14ac:dyDescent="0.35">
      <c r="B59" s="357"/>
      <c r="C59" s="344"/>
      <c r="D59" s="344"/>
      <c r="E59" s="344"/>
      <c r="F59" s="336"/>
      <c r="G59" s="359"/>
      <c r="I59" s="114"/>
      <c r="K59" s="19"/>
    </row>
    <row r="60" spans="2:11" x14ac:dyDescent="0.3">
      <c r="B60" s="321"/>
      <c r="C60" s="382" t="s">
        <v>475</v>
      </c>
      <c r="D60" s="379"/>
      <c r="E60" s="316"/>
      <c r="F60" s="317"/>
      <c r="G60" s="359"/>
      <c r="I60" s="114"/>
      <c r="K60" s="19"/>
    </row>
    <row r="61" spans="2:11" ht="17.25" thickBot="1" x14ac:dyDescent="0.35">
      <c r="B61" s="321"/>
      <c r="C61" s="316"/>
      <c r="D61" s="316"/>
      <c r="E61" s="316"/>
      <c r="F61" s="317"/>
      <c r="G61" s="359"/>
      <c r="I61" s="114"/>
      <c r="K61" s="19"/>
    </row>
    <row r="62" spans="2:11" ht="18" thickBot="1" x14ac:dyDescent="0.4">
      <c r="B62" s="321"/>
      <c r="C62" s="874" t="s">
        <v>55</v>
      </c>
      <c r="D62" s="875"/>
      <c r="E62" s="875"/>
      <c r="F62" s="876"/>
      <c r="G62" s="359"/>
      <c r="I62" s="114"/>
      <c r="K62" s="19"/>
    </row>
    <row r="63" spans="2:11" ht="17.25" x14ac:dyDescent="0.35">
      <c r="B63" s="321"/>
      <c r="C63" s="321"/>
      <c r="D63" s="661" t="s">
        <v>446</v>
      </c>
      <c r="E63" s="397"/>
      <c r="F63" s="396"/>
      <c r="G63" s="359"/>
      <c r="I63" s="114"/>
      <c r="K63" s="19"/>
    </row>
    <row r="64" spans="2:11" ht="17.25" x14ac:dyDescent="0.35">
      <c r="B64" s="321"/>
      <c r="C64" s="660" t="s">
        <v>437</v>
      </c>
      <c r="D64" s="315"/>
      <c r="E64" s="397"/>
      <c r="F64" s="396"/>
      <c r="G64" s="359"/>
      <c r="I64" s="157"/>
      <c r="J64" s="155"/>
      <c r="K64" s="19"/>
    </row>
    <row r="65" spans="2:11" ht="33.75" x14ac:dyDescent="0.35">
      <c r="B65" s="321"/>
      <c r="C65" s="662" t="s">
        <v>440</v>
      </c>
      <c r="D65" s="315"/>
      <c r="E65" s="397"/>
      <c r="F65" s="396"/>
      <c r="G65" s="359"/>
      <c r="I65" s="114"/>
      <c r="K65" s="19"/>
    </row>
    <row r="66" spans="2:11" ht="51.75" x14ac:dyDescent="0.35">
      <c r="B66" s="321"/>
      <c r="C66" s="658"/>
      <c r="D66" s="659" t="s">
        <v>447</v>
      </c>
      <c r="E66" s="659" t="s">
        <v>604</v>
      </c>
      <c r="F66" s="663" t="s">
        <v>605</v>
      </c>
      <c r="G66" s="359"/>
      <c r="I66" s="114"/>
      <c r="K66" s="19"/>
    </row>
    <row r="67" spans="2:11" x14ac:dyDescent="0.3">
      <c r="B67" s="321"/>
      <c r="C67" s="322" t="s">
        <v>432</v>
      </c>
      <c r="D67" s="315"/>
      <c r="E67" s="315"/>
      <c r="F67" s="313"/>
      <c r="G67" s="359"/>
      <c r="I67" s="114"/>
      <c r="K67" s="19"/>
    </row>
    <row r="68" spans="2:11" ht="17.25" thickBot="1" x14ac:dyDescent="0.35">
      <c r="B68" s="321"/>
      <c r="C68" s="324" t="s">
        <v>433</v>
      </c>
      <c r="D68" s="318"/>
      <c r="E68" s="318"/>
      <c r="F68" s="314"/>
      <c r="G68" s="359"/>
      <c r="I68" s="114"/>
      <c r="K68" s="19"/>
    </row>
    <row r="69" spans="2:11" ht="18" thickBot="1" x14ac:dyDescent="0.4">
      <c r="B69" s="321"/>
      <c r="C69" s="337"/>
      <c r="D69" s="316"/>
      <c r="E69" s="397"/>
      <c r="F69" s="396"/>
      <c r="G69" s="359"/>
      <c r="I69" s="114"/>
      <c r="K69" s="19"/>
    </row>
    <row r="70" spans="2:11" ht="18" thickBot="1" x14ac:dyDescent="0.4">
      <c r="B70" s="321"/>
      <c r="C70" s="874" t="s">
        <v>61</v>
      </c>
      <c r="D70" s="875"/>
      <c r="E70" s="875"/>
      <c r="F70" s="876"/>
      <c r="G70" s="359"/>
      <c r="I70" s="114"/>
      <c r="K70" s="19"/>
    </row>
    <row r="71" spans="2:11" ht="51.75" x14ac:dyDescent="0.35">
      <c r="B71" s="321"/>
      <c r="C71" s="338"/>
      <c r="D71" s="665" t="s">
        <v>447</v>
      </c>
      <c r="E71" s="666" t="s">
        <v>604</v>
      </c>
      <c r="F71" s="667" t="s">
        <v>605</v>
      </c>
      <c r="G71" s="359"/>
      <c r="I71" s="114"/>
      <c r="K71" s="19"/>
    </row>
    <row r="72" spans="2:11" ht="17.25" x14ac:dyDescent="0.35">
      <c r="B72" s="321"/>
      <c r="C72" s="329" t="s">
        <v>62</v>
      </c>
      <c r="D72" s="664"/>
      <c r="E72" s="949"/>
      <c r="F72" s="950"/>
      <c r="G72" s="359"/>
      <c r="I72" s="114"/>
      <c r="K72" s="19"/>
    </row>
    <row r="73" spans="2:11" x14ac:dyDescent="0.3">
      <c r="B73" s="321"/>
      <c r="C73" s="332" t="s">
        <v>413</v>
      </c>
      <c r="D73" s="657"/>
      <c r="E73" s="315"/>
      <c r="F73" s="313"/>
      <c r="G73" s="359"/>
      <c r="I73" s="114"/>
      <c r="K73" s="19"/>
    </row>
    <row r="74" spans="2:11" ht="17.25" thickBot="1" x14ac:dyDescent="0.35">
      <c r="B74" s="321"/>
      <c r="C74" s="324" t="s">
        <v>427</v>
      </c>
      <c r="D74" s="656"/>
      <c r="E74" s="318"/>
      <c r="F74" s="314"/>
      <c r="G74" s="359"/>
      <c r="I74" s="114"/>
      <c r="K74" s="19"/>
    </row>
    <row r="75" spans="2:11" ht="18" thickBot="1" x14ac:dyDescent="0.4">
      <c r="B75" s="321"/>
      <c r="C75" s="316"/>
      <c r="D75" s="316"/>
      <c r="E75" s="397"/>
      <c r="F75" s="396"/>
      <c r="G75" s="359"/>
      <c r="I75" s="114"/>
      <c r="K75" s="19"/>
    </row>
    <row r="76" spans="2:11" ht="18" thickBot="1" x14ac:dyDescent="0.4">
      <c r="B76" s="321"/>
      <c r="C76" s="874" t="s">
        <v>75</v>
      </c>
      <c r="D76" s="876"/>
      <c r="E76" s="397"/>
      <c r="F76" s="396"/>
      <c r="G76" s="359"/>
      <c r="I76" s="114"/>
      <c r="K76" s="19"/>
    </row>
    <row r="77" spans="2:11" ht="34.5" x14ac:dyDescent="0.35">
      <c r="B77" s="321"/>
      <c r="C77" s="325"/>
      <c r="D77" s="389" t="s">
        <v>447</v>
      </c>
      <c r="E77" s="397"/>
      <c r="F77" s="396"/>
      <c r="G77" s="359"/>
      <c r="I77" s="114"/>
      <c r="K77" s="19"/>
    </row>
    <row r="78" spans="2:11" ht="17.25" x14ac:dyDescent="0.35">
      <c r="B78" s="321"/>
      <c r="C78" s="329" t="s">
        <v>76</v>
      </c>
      <c r="D78" s="387"/>
      <c r="E78" s="397"/>
      <c r="F78" s="396"/>
      <c r="G78" s="359"/>
      <c r="I78" s="114"/>
      <c r="K78" s="19"/>
    </row>
    <row r="79" spans="2:11" ht="18" thickBot="1" x14ac:dyDescent="0.4">
      <c r="B79" s="321"/>
      <c r="C79" s="333" t="s">
        <v>77</v>
      </c>
      <c r="D79" s="314"/>
      <c r="E79" s="397"/>
      <c r="F79" s="396"/>
      <c r="G79" s="359"/>
      <c r="I79" s="114"/>
      <c r="K79" s="19"/>
    </row>
    <row r="80" spans="2:11" ht="18" thickBot="1" x14ac:dyDescent="0.4">
      <c r="B80" s="321"/>
      <c r="C80" s="316"/>
      <c r="D80" s="397"/>
      <c r="E80" s="397"/>
      <c r="F80" s="351"/>
      <c r="G80" s="340"/>
      <c r="I80" s="114"/>
      <c r="K80" s="19"/>
    </row>
    <row r="81" spans="2:11" ht="18" thickBot="1" x14ac:dyDescent="0.4">
      <c r="B81" s="321"/>
      <c r="C81" s="874" t="s">
        <v>80</v>
      </c>
      <c r="D81" s="875"/>
      <c r="E81" s="875"/>
      <c r="F81" s="876"/>
      <c r="G81" s="340"/>
      <c r="I81" s="114"/>
      <c r="K81" s="19"/>
    </row>
    <row r="82" spans="2:11" ht="51.75" x14ac:dyDescent="0.35">
      <c r="B82" s="321"/>
      <c r="C82" s="321"/>
      <c r="D82" s="666" t="s">
        <v>447</v>
      </c>
      <c r="E82" s="666" t="s">
        <v>604</v>
      </c>
      <c r="F82" s="667" t="s">
        <v>605</v>
      </c>
      <c r="G82" s="359"/>
      <c r="I82" s="114"/>
      <c r="K82" s="19"/>
    </row>
    <row r="83" spans="2:11" x14ac:dyDescent="0.3">
      <c r="B83" s="321"/>
      <c r="C83" s="329" t="s">
        <v>81</v>
      </c>
      <c r="D83" s="664"/>
      <c r="E83" s="315"/>
      <c r="F83" s="313"/>
      <c r="G83" s="359"/>
      <c r="I83" s="114"/>
      <c r="K83" s="19"/>
    </row>
    <row r="84" spans="2:11" ht="17.25" x14ac:dyDescent="0.35">
      <c r="B84" s="321"/>
      <c r="C84" s="332" t="s">
        <v>82</v>
      </c>
      <c r="D84" s="315"/>
      <c r="E84" s="397"/>
      <c r="F84" s="396"/>
      <c r="G84" s="359"/>
      <c r="I84" s="114"/>
      <c r="K84" s="19"/>
    </row>
    <row r="85" spans="2:11" ht="17.25" x14ac:dyDescent="0.35">
      <c r="B85" s="321"/>
      <c r="C85" s="329" t="s">
        <v>83</v>
      </c>
      <c r="D85" s="315"/>
      <c r="E85" s="397"/>
      <c r="F85" s="396"/>
      <c r="G85" s="359"/>
      <c r="I85" s="114"/>
      <c r="K85" s="19"/>
    </row>
    <row r="86" spans="2:11" ht="17.25" x14ac:dyDescent="0.35">
      <c r="B86" s="321"/>
      <c r="C86" s="332" t="s">
        <v>84</v>
      </c>
      <c r="D86" s="315"/>
      <c r="E86" s="397"/>
      <c r="F86" s="396"/>
      <c r="G86" s="359"/>
      <c r="I86" s="114"/>
      <c r="K86" s="19"/>
    </row>
    <row r="87" spans="2:11" x14ac:dyDescent="0.3">
      <c r="B87" s="321"/>
      <c r="C87" s="329" t="s">
        <v>85</v>
      </c>
      <c r="D87" s="657"/>
      <c r="E87" s="315"/>
      <c r="F87" s="313"/>
      <c r="G87" s="359"/>
      <c r="I87" s="114"/>
      <c r="K87" s="19"/>
    </row>
    <row r="88" spans="2:11" ht="17.25" x14ac:dyDescent="0.35">
      <c r="B88" s="321"/>
      <c r="C88" s="332" t="s">
        <v>86</v>
      </c>
      <c r="D88" s="315"/>
      <c r="E88" s="397"/>
      <c r="F88" s="396"/>
      <c r="G88" s="359"/>
      <c r="I88" s="114"/>
      <c r="K88" s="19"/>
    </row>
    <row r="89" spans="2:11" ht="17.25" x14ac:dyDescent="0.35">
      <c r="B89" s="321"/>
      <c r="C89" s="329" t="s">
        <v>87</v>
      </c>
      <c r="D89" s="315"/>
      <c r="E89" s="397"/>
      <c r="F89" s="396"/>
      <c r="G89" s="359"/>
      <c r="I89" s="114"/>
      <c r="K89" s="19"/>
    </row>
    <row r="90" spans="2:11" ht="18" thickBot="1" x14ac:dyDescent="0.4">
      <c r="B90" s="321"/>
      <c r="C90" s="333" t="s">
        <v>88</v>
      </c>
      <c r="D90" s="318"/>
      <c r="E90" s="668"/>
      <c r="F90" s="669"/>
      <c r="G90" s="359"/>
      <c r="I90" s="114"/>
      <c r="K90" s="19"/>
    </row>
    <row r="91" spans="2:11" ht="17.25" thickBot="1" x14ac:dyDescent="0.35">
      <c r="B91" s="321"/>
      <c r="C91" s="316"/>
      <c r="D91" s="316"/>
      <c r="E91" s="316"/>
      <c r="F91" s="317"/>
      <c r="G91" s="359"/>
      <c r="I91" s="114"/>
      <c r="K91" s="19"/>
    </row>
    <row r="92" spans="2:11" ht="18" thickBot="1" x14ac:dyDescent="0.4">
      <c r="B92" s="321"/>
      <c r="C92" s="874" t="s">
        <v>194</v>
      </c>
      <c r="D92" s="875"/>
      <c r="E92" s="876"/>
      <c r="F92" s="317"/>
      <c r="G92" s="359"/>
      <c r="I92" s="114"/>
      <c r="K92" s="19"/>
    </row>
    <row r="93" spans="2:11" ht="17.25" x14ac:dyDescent="0.35">
      <c r="B93" s="326"/>
      <c r="C93" s="325"/>
      <c r="D93" s="877" t="s">
        <v>446</v>
      </c>
      <c r="E93" s="878"/>
      <c r="F93" s="398"/>
      <c r="G93" s="359"/>
      <c r="I93" s="114"/>
      <c r="K93" s="19"/>
    </row>
    <row r="94" spans="2:11" ht="21" customHeight="1" x14ac:dyDescent="0.35">
      <c r="B94" s="321"/>
      <c r="C94" s="329" t="s">
        <v>438</v>
      </c>
      <c r="D94" s="945"/>
      <c r="E94" s="946"/>
      <c r="F94" s="342"/>
      <c r="G94" s="359"/>
      <c r="I94" s="114"/>
      <c r="K94" s="19"/>
    </row>
    <row r="95" spans="2:11" ht="17.25" x14ac:dyDescent="0.35">
      <c r="B95" s="321"/>
      <c r="C95" s="332" t="s">
        <v>192</v>
      </c>
      <c r="D95" s="882"/>
      <c r="E95" s="883"/>
      <c r="F95" s="342"/>
      <c r="G95" s="359"/>
      <c r="I95" s="114"/>
      <c r="K95" s="19"/>
    </row>
    <row r="96" spans="2:11" ht="17.25" x14ac:dyDescent="0.35">
      <c r="B96" s="321"/>
      <c r="C96" s="329" t="s">
        <v>306</v>
      </c>
      <c r="D96" s="882"/>
      <c r="E96" s="883"/>
      <c r="F96" s="342"/>
      <c r="G96" s="359"/>
      <c r="I96" s="114"/>
      <c r="K96" s="19"/>
    </row>
    <row r="97" spans="1:11" ht="33" x14ac:dyDescent="0.3">
      <c r="B97" s="321"/>
      <c r="C97" s="329" t="s">
        <v>441</v>
      </c>
      <c r="D97" s="895" t="str">
        <f>IF(D94+D96=0,"",D94+D96)</f>
        <v/>
      </c>
      <c r="E97" s="896"/>
      <c r="F97" s="317"/>
      <c r="G97" s="359"/>
      <c r="I97" s="114"/>
      <c r="K97" s="19"/>
    </row>
    <row r="98" spans="1:11" x14ac:dyDescent="0.3">
      <c r="B98" s="321"/>
      <c r="C98" s="329" t="s">
        <v>191</v>
      </c>
      <c r="D98" s="882"/>
      <c r="E98" s="883"/>
      <c r="F98" s="351"/>
      <c r="G98" s="340"/>
      <c r="I98" s="114"/>
      <c r="K98" s="19"/>
    </row>
    <row r="99" spans="1:11" ht="33.75" x14ac:dyDescent="0.35">
      <c r="B99" s="321"/>
      <c r="C99" s="329" t="s">
        <v>439</v>
      </c>
      <c r="D99" s="882"/>
      <c r="E99" s="883"/>
      <c r="F99" s="342"/>
      <c r="G99" s="359"/>
      <c r="I99" s="114"/>
      <c r="K99" s="19"/>
    </row>
    <row r="100" spans="1:11" ht="17.25" x14ac:dyDescent="0.35">
      <c r="B100" s="321"/>
      <c r="C100" s="329" t="s">
        <v>189</v>
      </c>
      <c r="D100" s="882"/>
      <c r="E100" s="883"/>
      <c r="F100" s="342"/>
      <c r="G100" s="359"/>
      <c r="K100" s="19"/>
    </row>
    <row r="101" spans="1:11" ht="17.25" x14ac:dyDescent="0.35">
      <c r="B101" s="321"/>
      <c r="C101" s="332" t="s">
        <v>306</v>
      </c>
      <c r="D101" s="882"/>
      <c r="E101" s="883"/>
      <c r="F101" s="342"/>
      <c r="G101" s="359"/>
      <c r="K101" s="19"/>
    </row>
    <row r="102" spans="1:11" ht="33.75" thickBot="1" x14ac:dyDescent="0.35">
      <c r="B102" s="321"/>
      <c r="C102" s="330" t="s">
        <v>441</v>
      </c>
      <c r="D102" s="911" t="str">
        <f>IF(D99+D101=0,"",D99+D101)</f>
        <v/>
      </c>
      <c r="E102" s="912"/>
      <c r="F102" s="317"/>
      <c r="G102" s="359"/>
      <c r="K102" s="19"/>
    </row>
    <row r="103" spans="1:11" ht="17.25" thickBot="1" x14ac:dyDescent="0.35">
      <c r="B103" s="334"/>
      <c r="C103" s="319"/>
      <c r="D103" s="319"/>
      <c r="E103" s="319"/>
      <c r="F103" s="320"/>
      <c r="G103" s="359"/>
      <c r="K103" s="19"/>
    </row>
    <row r="104" spans="1:11" x14ac:dyDescent="0.3">
      <c r="K104" s="19"/>
    </row>
    <row r="105" spans="1:11" s="18" customFormat="1" x14ac:dyDescent="0.3">
      <c r="A105" s="19"/>
      <c r="B105" s="19"/>
      <c r="C105" s="19"/>
      <c r="D105" s="19"/>
      <c r="E105" s="19"/>
      <c r="F105" s="19"/>
      <c r="G105" s="19"/>
      <c r="H105" s="19"/>
      <c r="I105" s="259"/>
      <c r="J105" s="259"/>
      <c r="K105" s="259"/>
    </row>
  </sheetData>
  <sheetProtection password="D93F" sheet="1" objects="1" scenarios="1" selectLockedCells="1"/>
  <customSheetViews>
    <customSheetView guid="{2A4C6EB9-430A-44F2-86C8-15B50360FC3B}" scale="70" showGridLines="0">
      <selection activeCell="F2" sqref="F2"/>
      <pageMargins left="0.7" right="0.7" top="0.75" bottom="0.75" header="0.3" footer="0.3"/>
      <pageSetup orientation="portrait" horizontalDpi="200" verticalDpi="200" r:id="rId1"/>
    </customSheetView>
    <customSheetView guid="{B3BD5AF3-9A64-4EA7-AE1F-3CC326849B8F}" scale="70" showGridLines="0">
      <selection activeCell="K3" sqref="K3:K5"/>
      <pageMargins left="0.7" right="0.7" top="0.75" bottom="0.75" header="0.3" footer="0.3"/>
      <pageSetup orientation="portrait" horizontalDpi="200" verticalDpi="200" r:id="rId2"/>
    </customSheetView>
  </customSheetViews>
  <mergeCells count="37">
    <mergeCell ref="C92:E92"/>
    <mergeCell ref="B58:F58"/>
    <mergeCell ref="C76:D76"/>
    <mergeCell ref="C62:F62"/>
    <mergeCell ref="C70:F70"/>
    <mergeCell ref="E72:F72"/>
    <mergeCell ref="C81:F81"/>
    <mergeCell ref="E2:F2"/>
    <mergeCell ref="B2:C2"/>
    <mergeCell ref="B11:F11"/>
    <mergeCell ref="C23:F23"/>
    <mergeCell ref="C15:F15"/>
    <mergeCell ref="D55:E55"/>
    <mergeCell ref="H4:I4"/>
    <mergeCell ref="D51:E51"/>
    <mergeCell ref="D47:E47"/>
    <mergeCell ref="D48:E48"/>
    <mergeCell ref="D49:E49"/>
    <mergeCell ref="D50:E50"/>
    <mergeCell ref="C29:D29"/>
    <mergeCell ref="D52:E52"/>
    <mergeCell ref="D46:E46"/>
    <mergeCell ref="C45:E45"/>
    <mergeCell ref="D53:E53"/>
    <mergeCell ref="D54:E54"/>
    <mergeCell ref="C34:F34"/>
    <mergeCell ref="E25:F25"/>
    <mergeCell ref="D101:E101"/>
    <mergeCell ref="D102:E102"/>
    <mergeCell ref="D93:E93"/>
    <mergeCell ref="D98:E98"/>
    <mergeCell ref="D94:E94"/>
    <mergeCell ref="D95:E95"/>
    <mergeCell ref="D96:E96"/>
    <mergeCell ref="D97:E97"/>
    <mergeCell ref="D99:E99"/>
    <mergeCell ref="D100:E100"/>
  </mergeCells>
  <phoneticPr fontId="27" type="noConversion"/>
  <conditionalFormatting sqref="D47:D55 D36:D43 D25:D27 D17:D18 D31:D32 E36:F36">
    <cfRule type="expression" dxfId="58" priority="15" stopIfTrue="1">
      <formula>OR($I$5 = "Heating Only Central Heat Pump", $I$6 = "Variable-Speed")</formula>
    </cfRule>
  </conditionalFormatting>
  <conditionalFormatting sqref="D94:D102 D83:D90 D78:D79 D72:D74 D64:D65 D60">
    <cfRule type="expression" dxfId="57" priority="27" stopIfTrue="1">
      <formula>OR($I$6&lt;&gt;"Two-Speed",$I$5="Heating Only Central Heat Pump")</formula>
    </cfRule>
  </conditionalFormatting>
  <conditionalFormatting sqref="D13">
    <cfRule type="expression" dxfId="56" priority="11" stopIfTrue="1">
      <formula>OR($I$5 = "Heating Only Central Heat Pump", $I$6 = "Variable-Speed")</formula>
    </cfRule>
  </conditionalFormatting>
  <conditionalFormatting sqref="E26:F26">
    <cfRule type="expression" dxfId="55" priority="7" stopIfTrue="1">
      <formula>OR($I$5 = "Heating Only Central Heat Pump", $I$6 = "Variable-Speed")</formula>
    </cfRule>
  </conditionalFormatting>
  <conditionalFormatting sqref="E40:F40">
    <cfRule type="expression" dxfId="54" priority="9" stopIfTrue="1">
      <formula>OR($I$5 = "Heating Only Central Heat Pump", $I$6 = "Variable-Speed")</formula>
    </cfRule>
  </conditionalFormatting>
  <conditionalFormatting sqref="E27:F27">
    <cfRule type="expression" dxfId="53" priority="8" stopIfTrue="1">
      <formula>OR($I$5 = "Heating Only Central Heat Pump", $I$6 = "Variable-Speed")</formula>
    </cfRule>
  </conditionalFormatting>
  <conditionalFormatting sqref="D20:F21">
    <cfRule type="expression" dxfId="52" priority="6" stopIfTrue="1">
      <formula>OR($I$5 = "Heating Only Central Heat Pump", $I$6 = "Variable-Speed")</formula>
    </cfRule>
  </conditionalFormatting>
  <conditionalFormatting sqref="D67:F68">
    <cfRule type="expression" dxfId="51" priority="4" stopIfTrue="1">
      <formula>OR($I$6&lt;&gt;"Two-Speed",$I$5="Heating Only Central Heat Pump")</formula>
    </cfRule>
  </conditionalFormatting>
  <conditionalFormatting sqref="E73:F74">
    <cfRule type="expression" dxfId="50" priority="3" stopIfTrue="1">
      <formula>OR($I$6&lt;&gt;"Two-Speed",$I$5="Heating Only Central Heat Pump")</formula>
    </cfRule>
  </conditionalFormatting>
  <conditionalFormatting sqref="E83:F83">
    <cfRule type="expression" dxfId="49" priority="2" stopIfTrue="1">
      <formula>OR($I$6&lt;&gt;"Two-Speed",$I$5="Heating Only Central Heat Pump")</formula>
    </cfRule>
  </conditionalFormatting>
  <conditionalFormatting sqref="E87:F87">
    <cfRule type="expression" dxfId="48" priority="1" stopIfTrue="1">
      <formula>OR($I$6&lt;&gt;"Two-Speed",$I$5="Heating Only Central Heat Pump")</formula>
    </cfRule>
  </conditionalFormatting>
  <dataValidations count="1">
    <dataValidation type="list" showInputMessage="1" showErrorMessage="1" sqref="D60 D13">
      <formula1>Duration</formula1>
    </dataValidation>
  </dataValidations>
  <hyperlinks>
    <hyperlink ref="E2" location="Instructions!A1" display="Back to Instructions"/>
    <hyperlink ref="E2:F2" location="Instructions!A1" display="Back to Instructions tab"/>
  </hyperlinks>
  <pageMargins left="0.7" right="0.7" top="0.75" bottom="0.75" header="0.3" footer="0.3"/>
  <pageSetup orientation="portrait" horizontalDpi="200" verticalDpi="200"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rgb="FF0070C0"/>
  </sheetPr>
  <dimension ref="A1:K81"/>
  <sheetViews>
    <sheetView showGridLines="0" zoomScale="80" zoomScaleNormal="80" workbookViewId="0">
      <selection activeCell="E3" sqref="E3:F3"/>
    </sheetView>
  </sheetViews>
  <sheetFormatPr defaultColWidth="9.140625" defaultRowHeight="16.5" x14ac:dyDescent="0.3"/>
  <cols>
    <col min="1" max="1" width="4.7109375" style="6" customWidth="1"/>
    <col min="2" max="2" width="31.5703125" style="6" customWidth="1"/>
    <col min="3" max="3" width="67.28515625" style="6" customWidth="1"/>
    <col min="4" max="6" width="12.42578125" style="6" customWidth="1"/>
    <col min="7" max="7" width="9.28515625" style="6" customWidth="1"/>
    <col min="8" max="8" width="21.5703125" style="6" customWidth="1"/>
    <col min="9" max="9" width="21.140625" style="6" customWidth="1"/>
    <col min="10" max="10" width="6.140625" style="114" customWidth="1"/>
    <col min="11" max="11" width="6.140625" style="6" customWidth="1"/>
    <col min="12" max="16384" width="9.140625" style="6"/>
  </cols>
  <sheetData>
    <row r="1" spans="2:11" ht="17.25" thickBot="1" x14ac:dyDescent="0.35">
      <c r="J1" s="127"/>
      <c r="K1" s="19"/>
    </row>
    <row r="2" spans="2:11" s="1" customFormat="1" ht="18.75" thickBot="1" x14ac:dyDescent="0.4">
      <c r="B2" s="764" t="s">
        <v>562</v>
      </c>
      <c r="C2" s="765"/>
      <c r="E2" s="639"/>
      <c r="F2" s="639"/>
      <c r="G2" s="639"/>
      <c r="J2" s="128"/>
      <c r="K2" s="129"/>
    </row>
    <row r="3" spans="2:11" s="1" customFormat="1" ht="17.25" thickBot="1" x14ac:dyDescent="0.35">
      <c r="B3" s="297" t="s">
        <v>563</v>
      </c>
      <c r="C3" s="298" t="str">
        <f>'Version Control'!C3</f>
        <v>Residential Central Air Conditioners and Heat Pumps</v>
      </c>
      <c r="E3" s="827" t="s">
        <v>540</v>
      </c>
      <c r="F3" s="827"/>
      <c r="J3" s="128"/>
      <c r="K3" s="129"/>
    </row>
    <row r="4" spans="2:11" s="1" customFormat="1" ht="18" thickBot="1" x14ac:dyDescent="0.35">
      <c r="B4" s="299" t="s">
        <v>140</v>
      </c>
      <c r="C4" s="300" t="str">
        <f>'Version Control'!C4</f>
        <v>v2.1</v>
      </c>
      <c r="H4" s="761" t="s">
        <v>349</v>
      </c>
      <c r="I4" s="763"/>
      <c r="J4" s="128"/>
      <c r="K4" s="129"/>
    </row>
    <row r="5" spans="2:11" s="1" customFormat="1" x14ac:dyDescent="0.3">
      <c r="B5" s="299" t="s">
        <v>462</v>
      </c>
      <c r="C5" s="301">
        <f>'Version Control'!C5</f>
        <v>42653</v>
      </c>
      <c r="H5" s="55" t="s">
        <v>158</v>
      </c>
      <c r="I5" s="598">
        <f>'General Info and Test Results'!C25</f>
        <v>0</v>
      </c>
      <c r="J5" s="128"/>
      <c r="K5" s="129"/>
    </row>
    <row r="6" spans="2:11" s="1" customFormat="1" x14ac:dyDescent="0.3">
      <c r="B6" s="302" t="s">
        <v>139</v>
      </c>
      <c r="C6" s="303" t="str">
        <f ca="1">MID(CELL("filename",$A$1), FIND("]", CELL("filename", $A$1))+ 1, 255)</f>
        <v>Optional G Test Recorded Data</v>
      </c>
      <c r="H6" s="56" t="s">
        <v>153</v>
      </c>
      <c r="I6" s="599">
        <f>'General Info and Test Results'!C26</f>
        <v>0</v>
      </c>
      <c r="J6" s="128"/>
      <c r="K6" s="129"/>
    </row>
    <row r="7" spans="2:11" s="1" customFormat="1" ht="33.75" thickBot="1" x14ac:dyDescent="0.35">
      <c r="B7" s="304" t="s">
        <v>138</v>
      </c>
      <c r="C7" s="305" t="str">
        <f ca="1">MID(CELL("FILENAME",F1),FIND("[",CELL("FILENAME",F1))+1,FIND("]",CELL("FILENAME",F1))-FIND("[",CELL("FILENAME",F1))-1)</f>
        <v>Residential Central Air Conditioners and Heat Pumps - v2.1.xlsx</v>
      </c>
      <c r="H7" s="57" t="s">
        <v>199</v>
      </c>
      <c r="I7" s="600">
        <f>'General Info and Test Results'!C27</f>
        <v>0</v>
      </c>
      <c r="J7" s="128"/>
      <c r="K7" s="129"/>
    </row>
    <row r="8" spans="2:11" s="1" customFormat="1" ht="17.25" thickBot="1" x14ac:dyDescent="0.35">
      <c r="B8" s="306" t="s">
        <v>141</v>
      </c>
      <c r="C8" s="307" t="str">
        <f>'Version Control'!C8</f>
        <v>[MM/DD/YYYY]</v>
      </c>
      <c r="G8" s="14"/>
      <c r="H8" s="9"/>
      <c r="J8" s="128"/>
      <c r="K8" s="129"/>
    </row>
    <row r="9" spans="2:11" s="17" customFormat="1" ht="17.25" x14ac:dyDescent="0.35">
      <c r="B9" s="399"/>
      <c r="C9" s="367"/>
      <c r="D9" s="640"/>
      <c r="E9" s="400"/>
      <c r="F9" s="951"/>
      <c r="G9" s="951"/>
      <c r="H9" s="159" t="s">
        <v>196</v>
      </c>
      <c r="J9" s="160"/>
      <c r="K9" s="126"/>
    </row>
    <row r="10" spans="2:11" ht="18" thickBot="1" x14ac:dyDescent="0.4">
      <c r="B10" s="377"/>
      <c r="C10" s="340"/>
      <c r="D10" s="340"/>
      <c r="E10" s="340"/>
      <c r="F10" s="340"/>
      <c r="G10" s="340"/>
      <c r="H10" s="152"/>
      <c r="K10" s="19"/>
    </row>
    <row r="11" spans="2:11" ht="18.75" thickBot="1" x14ac:dyDescent="0.4">
      <c r="B11" s="902" t="s">
        <v>416</v>
      </c>
      <c r="C11" s="903"/>
      <c r="D11" s="903"/>
      <c r="E11" s="903"/>
      <c r="F11" s="903"/>
      <c r="G11" s="904"/>
      <c r="K11" s="19"/>
    </row>
    <row r="12" spans="2:11" ht="18" thickBot="1" x14ac:dyDescent="0.4">
      <c r="B12" s="326"/>
      <c r="C12" s="316"/>
      <c r="D12" s="316"/>
      <c r="E12" s="316"/>
      <c r="F12" s="344"/>
      <c r="G12" s="351"/>
      <c r="K12" s="19"/>
    </row>
    <row r="13" spans="2:11" ht="18" thickBot="1" x14ac:dyDescent="0.4">
      <c r="B13" s="321"/>
      <c r="C13" s="874" t="s">
        <v>55</v>
      </c>
      <c r="D13" s="875"/>
      <c r="E13" s="875"/>
      <c r="F13" s="876"/>
      <c r="G13" s="346"/>
      <c r="I13" s="138"/>
      <c r="J13" s="154"/>
      <c r="K13" s="19"/>
    </row>
    <row r="14" spans="2:11" ht="17.25" x14ac:dyDescent="0.35">
      <c r="B14" s="321"/>
      <c r="C14" s="325"/>
      <c r="D14" s="929" t="s">
        <v>48</v>
      </c>
      <c r="E14" s="927"/>
      <c r="F14" s="928"/>
      <c r="G14" s="346"/>
      <c r="I14" s="138"/>
      <c r="J14" s="154"/>
      <c r="K14" s="19"/>
    </row>
    <row r="15" spans="2:11" ht="17.25" x14ac:dyDescent="0.35">
      <c r="B15" s="326"/>
      <c r="C15" s="321"/>
      <c r="D15" s="327" t="s">
        <v>56</v>
      </c>
      <c r="E15" s="327" t="s">
        <v>57</v>
      </c>
      <c r="F15" s="328" t="s">
        <v>58</v>
      </c>
      <c r="G15" s="346"/>
      <c r="I15" s="138"/>
      <c r="J15" s="154"/>
      <c r="K15" s="19"/>
    </row>
    <row r="16" spans="2:11" x14ac:dyDescent="0.3">
      <c r="B16" s="321"/>
      <c r="C16" s="322" t="s">
        <v>432</v>
      </c>
      <c r="D16" s="361"/>
      <c r="E16" s="315"/>
      <c r="F16" s="313"/>
      <c r="G16" s="346"/>
      <c r="I16" s="140"/>
      <c r="J16" s="155"/>
      <c r="K16" s="19"/>
    </row>
    <row r="17" spans="2:11" x14ac:dyDescent="0.3">
      <c r="B17" s="321"/>
      <c r="C17" s="322" t="s">
        <v>433</v>
      </c>
      <c r="D17" s="315"/>
      <c r="E17" s="315"/>
      <c r="F17" s="313"/>
      <c r="G17" s="346"/>
      <c r="I17" s="140"/>
      <c r="J17" s="155"/>
      <c r="K17" s="19"/>
    </row>
    <row r="18" spans="2:11" x14ac:dyDescent="0.3">
      <c r="B18" s="321"/>
      <c r="C18" s="322" t="s">
        <v>59</v>
      </c>
      <c r="D18" s="315"/>
      <c r="E18" s="315"/>
      <c r="F18" s="313"/>
      <c r="G18" s="346"/>
      <c r="I18" s="140"/>
      <c r="J18" s="155"/>
      <c r="K18" s="19"/>
    </row>
    <row r="19" spans="2:11" x14ac:dyDescent="0.3">
      <c r="B19" s="321"/>
      <c r="C19" s="322" t="s">
        <v>60</v>
      </c>
      <c r="D19" s="315"/>
      <c r="E19" s="315"/>
      <c r="F19" s="313"/>
      <c r="G19" s="346"/>
      <c r="I19" s="140"/>
      <c r="J19" s="155"/>
      <c r="K19" s="19"/>
    </row>
    <row r="20" spans="2:11" x14ac:dyDescent="0.3">
      <c r="B20" s="321"/>
      <c r="C20" s="322" t="s">
        <v>435</v>
      </c>
      <c r="D20" s="315"/>
      <c r="E20" s="316"/>
      <c r="F20" s="317"/>
      <c r="G20" s="346"/>
      <c r="I20" s="140"/>
      <c r="J20" s="155"/>
      <c r="K20" s="19"/>
    </row>
    <row r="21" spans="2:11" ht="17.25" thickBot="1" x14ac:dyDescent="0.35">
      <c r="B21" s="321"/>
      <c r="C21" s="324" t="s">
        <v>443</v>
      </c>
      <c r="D21" s="318"/>
      <c r="E21" s="319"/>
      <c r="F21" s="320"/>
      <c r="G21" s="346"/>
      <c r="I21" s="140"/>
      <c r="J21" s="155"/>
      <c r="K21" s="19"/>
    </row>
    <row r="22" spans="2:11" ht="17.25" thickBot="1" x14ac:dyDescent="0.35">
      <c r="B22" s="321"/>
      <c r="C22" s="337"/>
      <c r="D22" s="316"/>
      <c r="E22" s="316"/>
      <c r="F22" s="316"/>
      <c r="G22" s="351"/>
      <c r="I22" s="140"/>
      <c r="J22" s="155"/>
      <c r="K22" s="19"/>
    </row>
    <row r="23" spans="2:11" ht="18" thickBot="1" x14ac:dyDescent="0.4">
      <c r="B23" s="321"/>
      <c r="C23" s="874" t="s">
        <v>61</v>
      </c>
      <c r="D23" s="875"/>
      <c r="E23" s="875"/>
      <c r="F23" s="876"/>
      <c r="G23" s="346"/>
      <c r="I23" s="140"/>
      <c r="J23" s="155"/>
      <c r="K23" s="19"/>
    </row>
    <row r="24" spans="2:11" ht="17.25" x14ac:dyDescent="0.35">
      <c r="B24" s="321"/>
      <c r="C24" s="352"/>
      <c r="D24" s="929" t="s">
        <v>48</v>
      </c>
      <c r="E24" s="927"/>
      <c r="F24" s="928"/>
      <c r="G24" s="346"/>
      <c r="I24" s="140"/>
      <c r="J24" s="155"/>
      <c r="K24" s="19"/>
    </row>
    <row r="25" spans="2:11" ht="17.25" x14ac:dyDescent="0.35">
      <c r="B25" s="326"/>
      <c r="C25" s="338"/>
      <c r="D25" s="327" t="s">
        <v>56</v>
      </c>
      <c r="E25" s="327" t="s">
        <v>57</v>
      </c>
      <c r="F25" s="328" t="s">
        <v>58</v>
      </c>
      <c r="G25" s="346"/>
      <c r="I25" s="140"/>
      <c r="J25" s="155"/>
      <c r="K25" s="19"/>
    </row>
    <row r="26" spans="2:11" x14ac:dyDescent="0.3">
      <c r="B26" s="321"/>
      <c r="C26" s="322" t="s">
        <v>62</v>
      </c>
      <c r="D26" s="315"/>
      <c r="E26" s="315"/>
      <c r="F26" s="313"/>
      <c r="G26" s="346"/>
      <c r="I26" s="140"/>
      <c r="J26" s="155"/>
      <c r="K26" s="19"/>
    </row>
    <row r="27" spans="2:11" x14ac:dyDescent="0.3">
      <c r="B27" s="321"/>
      <c r="C27" s="322" t="s">
        <v>607</v>
      </c>
      <c r="D27" s="315"/>
      <c r="E27" s="315"/>
      <c r="F27" s="313"/>
      <c r="G27" s="346"/>
      <c r="I27" s="140"/>
      <c r="J27" s="155"/>
      <c r="K27" s="19"/>
    </row>
    <row r="28" spans="2:11" x14ac:dyDescent="0.3">
      <c r="B28" s="321"/>
      <c r="C28" s="322" t="s">
        <v>608</v>
      </c>
      <c r="D28" s="315"/>
      <c r="E28" s="315"/>
      <c r="F28" s="313"/>
      <c r="G28" s="346"/>
      <c r="I28" s="140"/>
      <c r="J28" s="155"/>
      <c r="K28" s="19"/>
    </row>
    <row r="29" spans="2:11" x14ac:dyDescent="0.3">
      <c r="B29" s="321"/>
      <c r="C29" s="322" t="s">
        <v>413</v>
      </c>
      <c r="D29" s="315"/>
      <c r="E29" s="315"/>
      <c r="F29" s="313"/>
      <c r="G29" s="346"/>
      <c r="I29" s="140"/>
      <c r="J29" s="155"/>
      <c r="K29" s="19"/>
    </row>
    <row r="30" spans="2:11" ht="17.25" thickBot="1" x14ac:dyDescent="0.35">
      <c r="B30" s="321"/>
      <c r="C30" s="324" t="s">
        <v>427</v>
      </c>
      <c r="D30" s="318"/>
      <c r="E30" s="318"/>
      <c r="F30" s="314"/>
      <c r="G30" s="346"/>
      <c r="I30" s="140"/>
      <c r="J30" s="155"/>
      <c r="K30" s="19"/>
    </row>
    <row r="31" spans="2:11" ht="17.25" thickBot="1" x14ac:dyDescent="0.35">
      <c r="B31" s="321"/>
      <c r="C31" s="316"/>
      <c r="D31" s="316"/>
      <c r="E31" s="316"/>
      <c r="F31" s="316"/>
      <c r="G31" s="351"/>
      <c r="I31" s="140"/>
      <c r="J31" s="155"/>
      <c r="K31" s="19"/>
    </row>
    <row r="32" spans="2:11" ht="18" thickBot="1" x14ac:dyDescent="0.4">
      <c r="B32" s="321"/>
      <c r="C32" s="874" t="s">
        <v>63</v>
      </c>
      <c r="D32" s="875"/>
      <c r="E32" s="875"/>
      <c r="F32" s="876"/>
      <c r="G32" s="346"/>
      <c r="I32" s="140"/>
      <c r="J32" s="155"/>
      <c r="K32" s="19"/>
    </row>
    <row r="33" spans="2:11" ht="17.25" x14ac:dyDescent="0.35">
      <c r="B33" s="321"/>
      <c r="C33" s="325"/>
      <c r="D33" s="929" t="s">
        <v>48</v>
      </c>
      <c r="E33" s="927"/>
      <c r="F33" s="928"/>
      <c r="G33" s="346"/>
      <c r="I33" s="140"/>
      <c r="J33" s="155"/>
      <c r="K33" s="19"/>
    </row>
    <row r="34" spans="2:11" ht="17.25" x14ac:dyDescent="0.35">
      <c r="B34" s="326"/>
      <c r="C34" s="321"/>
      <c r="D34" s="327" t="s">
        <v>56</v>
      </c>
      <c r="E34" s="327" t="s">
        <v>57</v>
      </c>
      <c r="F34" s="328" t="s">
        <v>58</v>
      </c>
      <c r="G34" s="346"/>
      <c r="I34" s="140"/>
      <c r="J34" s="155"/>
      <c r="K34" s="19"/>
    </row>
    <row r="35" spans="2:11" x14ac:dyDescent="0.3">
      <c r="B35" s="321"/>
      <c r="C35" s="322" t="s">
        <v>64</v>
      </c>
      <c r="D35" s="315"/>
      <c r="E35" s="315"/>
      <c r="F35" s="313"/>
      <c r="G35" s="346"/>
      <c r="I35" s="140"/>
      <c r="J35" s="155"/>
      <c r="K35" s="19"/>
    </row>
    <row r="36" spans="2:11" x14ac:dyDescent="0.3">
      <c r="B36" s="321"/>
      <c r="C36" s="322" t="s">
        <v>65</v>
      </c>
      <c r="D36" s="315"/>
      <c r="E36" s="315"/>
      <c r="F36" s="313"/>
      <c r="G36" s="346"/>
      <c r="I36" s="140"/>
      <c r="J36" s="155"/>
      <c r="K36" s="19"/>
    </row>
    <row r="37" spans="2:11" x14ac:dyDescent="0.3">
      <c r="B37" s="321"/>
      <c r="C37" s="322" t="s">
        <v>66</v>
      </c>
      <c r="D37" s="315"/>
      <c r="E37" s="315"/>
      <c r="F37" s="313"/>
      <c r="G37" s="346"/>
      <c r="I37" s="140"/>
      <c r="J37" s="155"/>
      <c r="K37" s="19"/>
    </row>
    <row r="38" spans="2:11" x14ac:dyDescent="0.3">
      <c r="B38" s="321"/>
      <c r="C38" s="322" t="s">
        <v>67</v>
      </c>
      <c r="D38" s="315"/>
      <c r="E38" s="315"/>
      <c r="F38" s="313"/>
      <c r="G38" s="346"/>
      <c r="I38" s="140"/>
      <c r="J38" s="155"/>
      <c r="K38" s="19"/>
    </row>
    <row r="39" spans="2:11" x14ac:dyDescent="0.3">
      <c r="B39" s="321"/>
      <c r="C39" s="322" t="s">
        <v>68</v>
      </c>
      <c r="D39" s="315"/>
      <c r="E39" s="315"/>
      <c r="F39" s="313"/>
      <c r="G39" s="346"/>
      <c r="I39" s="140"/>
      <c r="J39" s="155"/>
      <c r="K39" s="19"/>
    </row>
    <row r="40" spans="2:11" x14ac:dyDescent="0.3">
      <c r="B40" s="321"/>
      <c r="C40" s="322" t="s">
        <v>69</v>
      </c>
      <c r="D40" s="315"/>
      <c r="E40" s="315"/>
      <c r="F40" s="313"/>
      <c r="G40" s="346"/>
      <c r="I40" s="140"/>
      <c r="J40" s="155"/>
      <c r="K40" s="19"/>
    </row>
    <row r="41" spans="2:11" x14ac:dyDescent="0.3">
      <c r="B41" s="321"/>
      <c r="C41" s="322" t="s">
        <v>70</v>
      </c>
      <c r="D41" s="315"/>
      <c r="E41" s="315"/>
      <c r="F41" s="313"/>
      <c r="G41" s="346"/>
      <c r="I41" s="140"/>
      <c r="J41" s="155"/>
      <c r="K41" s="19"/>
    </row>
    <row r="42" spans="2:11" x14ac:dyDescent="0.3">
      <c r="B42" s="321"/>
      <c r="C42" s="322" t="s">
        <v>71</v>
      </c>
      <c r="D42" s="315"/>
      <c r="E42" s="315"/>
      <c r="F42" s="313"/>
      <c r="G42" s="346"/>
      <c r="I42" s="140"/>
      <c r="J42" s="155"/>
      <c r="K42" s="19"/>
    </row>
    <row r="43" spans="2:11" x14ac:dyDescent="0.3">
      <c r="B43" s="321"/>
      <c r="C43" s="322" t="s">
        <v>72</v>
      </c>
      <c r="D43" s="315"/>
      <c r="E43" s="315"/>
      <c r="F43" s="313"/>
      <c r="G43" s="346"/>
      <c r="I43" s="140"/>
      <c r="J43" s="155"/>
      <c r="K43" s="19"/>
    </row>
    <row r="44" spans="2:11" x14ac:dyDescent="0.3">
      <c r="B44" s="321"/>
      <c r="C44" s="322" t="s">
        <v>73</v>
      </c>
      <c r="D44" s="315"/>
      <c r="E44" s="315"/>
      <c r="F44" s="313"/>
      <c r="G44" s="346"/>
      <c r="I44" s="140"/>
      <c r="J44" s="155"/>
      <c r="K44" s="19"/>
    </row>
    <row r="45" spans="2:11" ht="17.25" thickBot="1" x14ac:dyDescent="0.35">
      <c r="B45" s="321"/>
      <c r="C45" s="324" t="s">
        <v>74</v>
      </c>
      <c r="D45" s="318"/>
      <c r="E45" s="318"/>
      <c r="F45" s="314"/>
      <c r="G45" s="346"/>
      <c r="I45" s="140"/>
      <c r="J45" s="155"/>
      <c r="K45" s="19"/>
    </row>
    <row r="46" spans="2:11" ht="17.25" thickBot="1" x14ac:dyDescent="0.35">
      <c r="B46" s="321"/>
      <c r="C46" s="316"/>
      <c r="D46" s="316"/>
      <c r="E46" s="316"/>
      <c r="F46" s="316"/>
      <c r="G46" s="351"/>
      <c r="I46" s="140"/>
      <c r="J46" s="155"/>
      <c r="K46" s="19"/>
    </row>
    <row r="47" spans="2:11" ht="18" thickBot="1" x14ac:dyDescent="0.4">
      <c r="B47" s="321"/>
      <c r="C47" s="874" t="s">
        <v>75</v>
      </c>
      <c r="D47" s="875"/>
      <c r="E47" s="875"/>
      <c r="F47" s="876"/>
      <c r="G47" s="346"/>
      <c r="I47" s="140"/>
      <c r="J47" s="155"/>
      <c r="K47" s="19"/>
    </row>
    <row r="48" spans="2:11" ht="17.25" x14ac:dyDescent="0.35">
      <c r="B48" s="321"/>
      <c r="C48" s="325"/>
      <c r="D48" s="929" t="s">
        <v>48</v>
      </c>
      <c r="E48" s="927"/>
      <c r="F48" s="928"/>
      <c r="G48" s="346"/>
      <c r="I48" s="140"/>
      <c r="J48" s="155"/>
      <c r="K48" s="19"/>
    </row>
    <row r="49" spans="2:11" ht="17.25" x14ac:dyDescent="0.35">
      <c r="B49" s="326"/>
      <c r="C49" s="321"/>
      <c r="D49" s="327" t="s">
        <v>56</v>
      </c>
      <c r="E49" s="327" t="s">
        <v>57</v>
      </c>
      <c r="F49" s="328" t="s">
        <v>58</v>
      </c>
      <c r="G49" s="346"/>
      <c r="I49" s="140"/>
      <c r="J49" s="155"/>
      <c r="K49" s="19"/>
    </row>
    <row r="50" spans="2:11" x14ac:dyDescent="0.3">
      <c r="B50" s="321"/>
      <c r="C50" s="322" t="s">
        <v>304</v>
      </c>
      <c r="D50" s="315"/>
      <c r="E50" s="315"/>
      <c r="F50" s="313"/>
      <c r="G50" s="346"/>
      <c r="I50" s="140"/>
      <c r="J50" s="155"/>
      <c r="K50" s="19"/>
    </row>
    <row r="51" spans="2:11" x14ac:dyDescent="0.3">
      <c r="B51" s="321"/>
      <c r="C51" s="322" t="s">
        <v>305</v>
      </c>
      <c r="D51" s="315"/>
      <c r="E51" s="315"/>
      <c r="F51" s="313"/>
      <c r="G51" s="346"/>
      <c r="I51" s="140"/>
      <c r="J51" s="155"/>
      <c r="K51" s="19"/>
    </row>
    <row r="52" spans="2:11" x14ac:dyDescent="0.3">
      <c r="B52" s="321"/>
      <c r="C52" s="322" t="s">
        <v>78</v>
      </c>
      <c r="D52" s="315"/>
      <c r="E52" s="315"/>
      <c r="F52" s="313"/>
      <c r="G52" s="346"/>
      <c r="I52" s="140"/>
      <c r="J52" s="155"/>
      <c r="K52" s="19"/>
    </row>
    <row r="53" spans="2:11" x14ac:dyDescent="0.3">
      <c r="B53" s="321"/>
      <c r="C53" s="322" t="s">
        <v>79</v>
      </c>
      <c r="D53" s="315"/>
      <c r="E53" s="315"/>
      <c r="F53" s="313"/>
      <c r="G53" s="346"/>
      <c r="I53" s="140"/>
      <c r="J53" s="155"/>
      <c r="K53" s="19"/>
    </row>
    <row r="54" spans="2:11" ht="17.25" thickBot="1" x14ac:dyDescent="0.35">
      <c r="B54" s="321"/>
      <c r="C54" s="330" t="s">
        <v>428</v>
      </c>
      <c r="D54" s="318"/>
      <c r="E54" s="318"/>
      <c r="F54" s="314"/>
      <c r="G54" s="346"/>
      <c r="K54" s="19"/>
    </row>
    <row r="55" spans="2:11" ht="17.25" thickBot="1" x14ac:dyDescent="0.35">
      <c r="B55" s="321"/>
      <c r="C55" s="316"/>
      <c r="D55" s="316"/>
      <c r="E55" s="316"/>
      <c r="F55" s="316"/>
      <c r="G55" s="351"/>
      <c r="I55" s="140"/>
      <c r="J55" s="155"/>
      <c r="K55" s="19"/>
    </row>
    <row r="56" spans="2:11" ht="18" thickBot="1" x14ac:dyDescent="0.4">
      <c r="B56" s="321"/>
      <c r="C56" s="874" t="s">
        <v>80</v>
      </c>
      <c r="D56" s="875"/>
      <c r="E56" s="875"/>
      <c r="F56" s="876"/>
      <c r="G56" s="346"/>
      <c r="I56" s="140"/>
      <c r="J56" s="155"/>
      <c r="K56" s="19"/>
    </row>
    <row r="57" spans="2:11" ht="17.25" x14ac:dyDescent="0.35">
      <c r="B57" s="321"/>
      <c r="C57" s="325"/>
      <c r="D57" s="929" t="s">
        <v>48</v>
      </c>
      <c r="E57" s="927"/>
      <c r="F57" s="928"/>
      <c r="G57" s="346"/>
      <c r="I57" s="140"/>
      <c r="J57" s="155"/>
      <c r="K57" s="19"/>
    </row>
    <row r="58" spans="2:11" ht="17.25" x14ac:dyDescent="0.35">
      <c r="B58" s="331"/>
      <c r="C58" s="321"/>
      <c r="D58" s="327" t="s">
        <v>56</v>
      </c>
      <c r="E58" s="327" t="s">
        <v>57</v>
      </c>
      <c r="F58" s="328" t="s">
        <v>58</v>
      </c>
      <c r="G58" s="346"/>
      <c r="I58" s="140"/>
      <c r="J58" s="155"/>
      <c r="K58" s="19"/>
    </row>
    <row r="59" spans="2:11" x14ac:dyDescent="0.3">
      <c r="B59" s="321"/>
      <c r="C59" s="322" t="s">
        <v>81</v>
      </c>
      <c r="D59" s="315"/>
      <c r="E59" s="315"/>
      <c r="F59" s="313"/>
      <c r="G59" s="346"/>
      <c r="I59" s="140"/>
      <c r="J59" s="155"/>
      <c r="K59" s="19"/>
    </row>
    <row r="60" spans="2:11" x14ac:dyDescent="0.3">
      <c r="B60" s="321"/>
      <c r="C60" s="322" t="s">
        <v>82</v>
      </c>
      <c r="D60" s="315"/>
      <c r="E60" s="315"/>
      <c r="F60" s="313"/>
      <c r="G60" s="346"/>
      <c r="I60" s="140"/>
      <c r="J60" s="155"/>
      <c r="K60" s="19"/>
    </row>
    <row r="61" spans="2:11" x14ac:dyDescent="0.3">
      <c r="B61" s="321"/>
      <c r="C61" s="322" t="s">
        <v>83</v>
      </c>
      <c r="D61" s="315"/>
      <c r="E61" s="315"/>
      <c r="F61" s="313"/>
      <c r="G61" s="346"/>
      <c r="I61" s="140"/>
      <c r="J61" s="155"/>
      <c r="K61" s="19"/>
    </row>
    <row r="62" spans="2:11" x14ac:dyDescent="0.3">
      <c r="B62" s="321"/>
      <c r="C62" s="322" t="s">
        <v>84</v>
      </c>
      <c r="D62" s="315"/>
      <c r="E62" s="315"/>
      <c r="F62" s="313"/>
      <c r="G62" s="346"/>
      <c r="I62" s="140"/>
      <c r="J62" s="155"/>
      <c r="K62" s="19"/>
    </row>
    <row r="63" spans="2:11" x14ac:dyDescent="0.3">
      <c r="B63" s="321"/>
      <c r="C63" s="322" t="s">
        <v>85</v>
      </c>
      <c r="D63" s="315"/>
      <c r="E63" s="315"/>
      <c r="F63" s="313"/>
      <c r="G63" s="346"/>
      <c r="I63" s="140"/>
      <c r="J63" s="155"/>
      <c r="K63" s="19"/>
    </row>
    <row r="64" spans="2:11" x14ac:dyDescent="0.3">
      <c r="B64" s="321"/>
      <c r="C64" s="322" t="s">
        <v>86</v>
      </c>
      <c r="D64" s="315"/>
      <c r="E64" s="315"/>
      <c r="F64" s="313"/>
      <c r="G64" s="346"/>
      <c r="I64" s="140"/>
      <c r="J64" s="155"/>
      <c r="K64" s="19"/>
    </row>
    <row r="65" spans="2:11" x14ac:dyDescent="0.3">
      <c r="B65" s="321"/>
      <c r="C65" s="322" t="s">
        <v>87</v>
      </c>
      <c r="D65" s="315"/>
      <c r="E65" s="315"/>
      <c r="F65" s="313"/>
      <c r="G65" s="346"/>
      <c r="I65" s="140"/>
      <c r="J65" s="155"/>
      <c r="K65" s="19"/>
    </row>
    <row r="66" spans="2:11" ht="17.25" thickBot="1" x14ac:dyDescent="0.35">
      <c r="B66" s="321"/>
      <c r="C66" s="324" t="s">
        <v>88</v>
      </c>
      <c r="D66" s="318"/>
      <c r="E66" s="318"/>
      <c r="F66" s="314"/>
      <c r="G66" s="346"/>
      <c r="I66" s="140"/>
      <c r="J66" s="155"/>
      <c r="K66" s="19"/>
    </row>
    <row r="67" spans="2:11" ht="17.25" thickBot="1" x14ac:dyDescent="0.35">
      <c r="B67" s="321"/>
      <c r="C67" s="316"/>
      <c r="D67" s="316"/>
      <c r="E67" s="316"/>
      <c r="F67" s="316"/>
      <c r="G67" s="351"/>
      <c r="I67" s="140"/>
      <c r="J67" s="155"/>
      <c r="K67" s="19"/>
    </row>
    <row r="68" spans="2:11" ht="18" thickBot="1" x14ac:dyDescent="0.4">
      <c r="B68" s="321"/>
      <c r="C68" s="874" t="s">
        <v>194</v>
      </c>
      <c r="D68" s="875"/>
      <c r="E68" s="875"/>
      <c r="F68" s="876"/>
      <c r="G68" s="346"/>
      <c r="I68" s="140"/>
      <c r="J68" s="155"/>
      <c r="K68" s="19"/>
    </row>
    <row r="69" spans="2:11" ht="17.25" x14ac:dyDescent="0.35">
      <c r="B69" s="326"/>
      <c r="C69" s="325"/>
      <c r="D69" s="929" t="s">
        <v>48</v>
      </c>
      <c r="E69" s="927"/>
      <c r="F69" s="928"/>
      <c r="G69" s="351"/>
      <c r="I69" s="140"/>
      <c r="J69" s="155"/>
      <c r="K69" s="19"/>
    </row>
    <row r="70" spans="2:11" x14ac:dyDescent="0.3">
      <c r="B70" s="321"/>
      <c r="C70" s="322" t="s">
        <v>193</v>
      </c>
      <c r="D70" s="882"/>
      <c r="E70" s="882"/>
      <c r="F70" s="883"/>
      <c r="G70" s="351"/>
      <c r="I70" s="140"/>
      <c r="J70" s="155"/>
      <c r="K70" s="19"/>
    </row>
    <row r="71" spans="2:11" x14ac:dyDescent="0.3">
      <c r="B71" s="321"/>
      <c r="C71" s="322" t="s">
        <v>192</v>
      </c>
      <c r="D71" s="882"/>
      <c r="E71" s="882"/>
      <c r="F71" s="883"/>
      <c r="G71" s="351"/>
      <c r="I71" s="140"/>
      <c r="J71" s="155"/>
      <c r="K71" s="19"/>
    </row>
    <row r="72" spans="2:11" x14ac:dyDescent="0.3">
      <c r="B72" s="321"/>
      <c r="C72" s="322" t="s">
        <v>306</v>
      </c>
      <c r="D72" s="882"/>
      <c r="E72" s="882"/>
      <c r="F72" s="883"/>
      <c r="G72" s="351"/>
      <c r="I72" s="140"/>
      <c r="J72" s="155"/>
      <c r="K72" s="19"/>
    </row>
    <row r="73" spans="2:11" x14ac:dyDescent="0.3">
      <c r="B73" s="321"/>
      <c r="C73" s="322" t="s">
        <v>92</v>
      </c>
      <c r="D73" s="895" t="str">
        <f>IF(D70+D72=0,"",D70+D72)</f>
        <v/>
      </c>
      <c r="E73" s="895"/>
      <c r="F73" s="896"/>
      <c r="G73" s="351"/>
      <c r="I73" s="146"/>
      <c r="J73" s="156"/>
      <c r="K73" s="19"/>
    </row>
    <row r="74" spans="2:11" x14ac:dyDescent="0.3">
      <c r="B74" s="321"/>
      <c r="C74" s="322" t="s">
        <v>191</v>
      </c>
      <c r="D74" s="882"/>
      <c r="E74" s="882"/>
      <c r="F74" s="883"/>
      <c r="G74" s="351"/>
      <c r="I74" s="146"/>
      <c r="J74" s="156"/>
      <c r="K74" s="19"/>
    </row>
    <row r="75" spans="2:11" x14ac:dyDescent="0.3">
      <c r="B75" s="321"/>
      <c r="C75" s="322" t="s">
        <v>190</v>
      </c>
      <c r="D75" s="882"/>
      <c r="E75" s="882"/>
      <c r="F75" s="883"/>
      <c r="G75" s="351"/>
      <c r="I75" s="146"/>
      <c r="J75" s="156"/>
      <c r="K75" s="19"/>
    </row>
    <row r="76" spans="2:11" x14ac:dyDescent="0.3">
      <c r="B76" s="321"/>
      <c r="C76" s="322" t="s">
        <v>189</v>
      </c>
      <c r="D76" s="882"/>
      <c r="E76" s="882"/>
      <c r="F76" s="883"/>
      <c r="G76" s="351"/>
      <c r="I76" s="146"/>
      <c r="J76" s="156"/>
      <c r="K76" s="19"/>
    </row>
    <row r="77" spans="2:11" x14ac:dyDescent="0.3">
      <c r="B77" s="321"/>
      <c r="C77" s="322" t="s">
        <v>306</v>
      </c>
      <c r="D77" s="882"/>
      <c r="E77" s="882"/>
      <c r="F77" s="883"/>
      <c r="G77" s="351"/>
      <c r="I77" s="146"/>
      <c r="J77" s="156"/>
      <c r="K77" s="19"/>
    </row>
    <row r="78" spans="2:11" ht="17.25" thickBot="1" x14ac:dyDescent="0.35">
      <c r="B78" s="321"/>
      <c r="C78" s="324" t="s">
        <v>92</v>
      </c>
      <c r="D78" s="911" t="str">
        <f>IF(D75+D77=0,"",D75+D77)</f>
        <v/>
      </c>
      <c r="E78" s="911"/>
      <c r="F78" s="912"/>
      <c r="G78" s="351"/>
      <c r="I78" s="147"/>
      <c r="J78" s="155"/>
      <c r="K78" s="19"/>
    </row>
    <row r="79" spans="2:11" ht="17.25" thickBot="1" x14ac:dyDescent="0.35">
      <c r="B79" s="334"/>
      <c r="C79" s="319"/>
      <c r="D79" s="319"/>
      <c r="E79" s="319"/>
      <c r="F79" s="319"/>
      <c r="G79" s="356"/>
      <c r="I79" s="147"/>
      <c r="J79" s="155"/>
      <c r="K79" s="19"/>
    </row>
    <row r="80" spans="2:11" ht="17.25" x14ac:dyDescent="0.35">
      <c r="B80" s="377"/>
      <c r="C80" s="359"/>
      <c r="D80" s="359"/>
      <c r="E80" s="359"/>
      <c r="F80" s="359"/>
      <c r="G80" s="359"/>
      <c r="H80" s="9"/>
      <c r="K80" s="19"/>
    </row>
    <row r="81" spans="1:11" s="18" customFormat="1" x14ac:dyDescent="0.3">
      <c r="A81" s="19"/>
      <c r="B81" s="401"/>
      <c r="C81" s="402"/>
      <c r="D81" s="402"/>
      <c r="E81" s="402"/>
      <c r="F81" s="402"/>
      <c r="G81" s="402"/>
      <c r="H81" s="161"/>
      <c r="I81" s="19"/>
      <c r="J81" s="19"/>
      <c r="K81" s="19"/>
    </row>
  </sheetData>
  <sheetProtection password="D93F" sheet="1" objects="1" scenarios="1" selectLockedCells="1"/>
  <customSheetViews>
    <customSheetView guid="{2A4C6EB9-430A-44F2-86C8-15B50360FC3B}" scale="70" showGridLines="0">
      <selection activeCell="F2" sqref="F2"/>
      <pageMargins left="0.7" right="0.7" top="0.75" bottom="0.75" header="0.3" footer="0.3"/>
      <pageSetup orientation="portrait" horizontalDpi="200" verticalDpi="200" r:id="rId1"/>
    </customSheetView>
    <customSheetView guid="{B3BD5AF3-9A64-4EA7-AE1F-3CC326849B8F}" scale="70" showGridLines="0">
      <selection activeCell="K3" sqref="K3:K5"/>
      <pageMargins left="0.7" right="0.7" top="0.75" bottom="0.75" header="0.3" footer="0.3"/>
      <pageSetup orientation="portrait" horizontalDpi="200" verticalDpi="200" r:id="rId2"/>
    </customSheetView>
  </customSheetViews>
  <mergeCells count="26">
    <mergeCell ref="D78:F78"/>
    <mergeCell ref="D71:F71"/>
    <mergeCell ref="D72:F72"/>
    <mergeCell ref="D73:F73"/>
    <mergeCell ref="C23:F23"/>
    <mergeCell ref="C32:F32"/>
    <mergeCell ref="C47:F47"/>
    <mergeCell ref="C56:F56"/>
    <mergeCell ref="C68:F68"/>
    <mergeCell ref="E3:F3"/>
    <mergeCell ref="B2:C2"/>
    <mergeCell ref="C13:F13"/>
    <mergeCell ref="D76:F76"/>
    <mergeCell ref="D77:F77"/>
    <mergeCell ref="H4:I4"/>
    <mergeCell ref="B11:G11"/>
    <mergeCell ref="D75:F75"/>
    <mergeCell ref="D74:F74"/>
    <mergeCell ref="D24:F24"/>
    <mergeCell ref="D14:F14"/>
    <mergeCell ref="D33:F33"/>
    <mergeCell ref="D48:F48"/>
    <mergeCell ref="D57:F57"/>
    <mergeCell ref="D69:F69"/>
    <mergeCell ref="F9:G9"/>
    <mergeCell ref="D70:F70"/>
  </mergeCells>
  <phoneticPr fontId="27" type="noConversion"/>
  <conditionalFormatting sqref="D70:D78 D26:F30 D35:F45 D50:F54 D59:F66 E16:F19 D16:D21">
    <cfRule type="expression" dxfId="47" priority="4" stopIfTrue="1">
      <formula>OR($I$5 = "Heating Only Central Heat Pump", $I$6 &lt;&gt; "Variable-Speed")</formula>
    </cfRule>
  </conditionalFormatting>
  <hyperlinks>
    <hyperlink ref="E3" location="Instructions!A1" display="Back to Instructions"/>
    <hyperlink ref="E3:F3" location="Instructions!A1" display="Back to Instructions tab"/>
  </hyperlinks>
  <pageMargins left="0.7" right="0.7" top="0.75" bottom="0.75" header="0.3" footer="0.3"/>
  <pageSetup orientation="portrait" horizontalDpi="200" verticalDpi="200"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rgb="FF0070C0"/>
  </sheetPr>
  <dimension ref="A1:K83"/>
  <sheetViews>
    <sheetView showGridLines="0" zoomScale="80" zoomScaleNormal="80" workbookViewId="0">
      <selection activeCell="E2" sqref="E2:F2"/>
    </sheetView>
  </sheetViews>
  <sheetFormatPr defaultColWidth="9.140625" defaultRowHeight="16.5" x14ac:dyDescent="0.3"/>
  <cols>
    <col min="1" max="1" width="5.7109375" style="6" customWidth="1"/>
    <col min="2" max="2" width="31" style="6" customWidth="1"/>
    <col min="3" max="3" width="69.5703125" style="6" customWidth="1"/>
    <col min="4" max="6" width="13.140625" style="6" customWidth="1"/>
    <col min="7" max="7" width="8.85546875" style="6" customWidth="1"/>
    <col min="8" max="8" width="24.42578125" style="6" customWidth="1"/>
    <col min="9" max="9" width="18" style="6" customWidth="1"/>
    <col min="10" max="10" width="7.140625" style="114" customWidth="1"/>
    <col min="11" max="11" width="6.5703125" style="6" customWidth="1"/>
    <col min="12" max="16384" width="9.140625" style="6"/>
  </cols>
  <sheetData>
    <row r="1" spans="2:11" ht="17.25" thickBot="1" x14ac:dyDescent="0.35">
      <c r="J1" s="127"/>
      <c r="K1" s="19"/>
    </row>
    <row r="2" spans="2:11" s="1" customFormat="1" ht="18.75" thickBot="1" x14ac:dyDescent="0.4">
      <c r="B2" s="764" t="s">
        <v>562</v>
      </c>
      <c r="C2" s="765"/>
      <c r="E2" s="827" t="s">
        <v>540</v>
      </c>
      <c r="F2" s="827"/>
      <c r="G2" s="639"/>
      <c r="J2" s="128"/>
      <c r="K2" s="129"/>
    </row>
    <row r="3" spans="2:11" s="1" customFormat="1" ht="17.25" thickBot="1" x14ac:dyDescent="0.35">
      <c r="B3" s="297" t="s">
        <v>563</v>
      </c>
      <c r="C3" s="298" t="str">
        <f>'Version Control'!C3</f>
        <v>Residential Central Air Conditioners and Heat Pumps</v>
      </c>
      <c r="J3" s="128"/>
      <c r="K3" s="129"/>
    </row>
    <row r="4" spans="2:11" s="1" customFormat="1" ht="18" thickBot="1" x14ac:dyDescent="0.35">
      <c r="B4" s="299" t="s">
        <v>140</v>
      </c>
      <c r="C4" s="300" t="str">
        <f>'Version Control'!C4</f>
        <v>v2.1</v>
      </c>
      <c r="H4" s="761" t="s">
        <v>349</v>
      </c>
      <c r="I4" s="763"/>
      <c r="J4" s="128"/>
      <c r="K4" s="129"/>
    </row>
    <row r="5" spans="2:11" s="1" customFormat="1" x14ac:dyDescent="0.3">
      <c r="B5" s="299" t="s">
        <v>462</v>
      </c>
      <c r="C5" s="301">
        <f>'Version Control'!C5</f>
        <v>42653</v>
      </c>
      <c r="H5" s="55" t="s">
        <v>158</v>
      </c>
      <c r="I5" s="598">
        <f>'General Info and Test Results'!C25</f>
        <v>0</v>
      </c>
      <c r="J5" s="128"/>
      <c r="K5" s="129"/>
    </row>
    <row r="6" spans="2:11" s="1" customFormat="1" x14ac:dyDescent="0.3">
      <c r="B6" s="302" t="s">
        <v>139</v>
      </c>
      <c r="C6" s="303" t="str">
        <f ca="1">MID(CELL("filename",$A$1), FIND("]", CELL("filename", $A$1))+ 1, 255)</f>
        <v>Optional I Test Recorded Data</v>
      </c>
      <c r="H6" s="56" t="s">
        <v>153</v>
      </c>
      <c r="I6" s="599">
        <f>'General Info and Test Results'!C26</f>
        <v>0</v>
      </c>
      <c r="J6" s="128"/>
      <c r="K6" s="129"/>
    </row>
    <row r="7" spans="2:11" s="1" customFormat="1" ht="33.75" thickBot="1" x14ac:dyDescent="0.35">
      <c r="B7" s="304" t="s">
        <v>138</v>
      </c>
      <c r="C7" s="305" t="str">
        <f ca="1">MID(CELL("FILENAME",F14),FIND("[",CELL("FILENAME",F14))+1,FIND("]",CELL("FILENAME",F14))-FIND("[",CELL("FILENAME",F14))-1)</f>
        <v>Residential Central Air Conditioners and Heat Pumps - v2.1.xlsx</v>
      </c>
      <c r="H7" s="57" t="s">
        <v>199</v>
      </c>
      <c r="I7" s="600">
        <f>'General Info and Test Results'!C27</f>
        <v>0</v>
      </c>
      <c r="J7" s="128"/>
      <c r="K7" s="129"/>
    </row>
    <row r="8" spans="2:11" s="1" customFormat="1" ht="17.25" thickBot="1" x14ac:dyDescent="0.35">
      <c r="B8" s="306" t="s">
        <v>141</v>
      </c>
      <c r="C8" s="307" t="str">
        <f>'Version Control'!C8</f>
        <v>[MM/DD/YYYY]</v>
      </c>
      <c r="G8" s="14"/>
      <c r="H8" s="9"/>
      <c r="J8" s="128"/>
      <c r="K8" s="129"/>
    </row>
    <row r="9" spans="2:11" s="17" customFormat="1" x14ac:dyDescent="0.3">
      <c r="B9" s="400"/>
      <c r="C9" s="367"/>
      <c r="D9" s="640"/>
      <c r="E9" s="400"/>
      <c r="F9" s="951"/>
      <c r="G9" s="951"/>
      <c r="H9" s="159" t="s">
        <v>196</v>
      </c>
      <c r="J9" s="160"/>
      <c r="K9" s="126"/>
    </row>
    <row r="10" spans="2:11" ht="17.25" thickBot="1" x14ac:dyDescent="0.35">
      <c r="B10" s="340"/>
      <c r="C10" s="400"/>
      <c r="D10" s="400"/>
      <c r="E10" s="340"/>
      <c r="F10" s="340"/>
      <c r="G10" s="340"/>
      <c r="H10" s="152"/>
      <c r="K10" s="19"/>
    </row>
    <row r="11" spans="2:11" ht="18.75" thickBot="1" x14ac:dyDescent="0.4">
      <c r="B11" s="942" t="s">
        <v>463</v>
      </c>
      <c r="C11" s="943"/>
      <c r="D11" s="943"/>
      <c r="E11" s="943"/>
      <c r="F11" s="943"/>
      <c r="G11" s="944"/>
      <c r="K11" s="19"/>
    </row>
    <row r="12" spans="2:11" ht="17.25" x14ac:dyDescent="0.35">
      <c r="B12" s="326"/>
      <c r="C12" s="316"/>
      <c r="D12" s="316"/>
      <c r="E12" s="316"/>
      <c r="F12" s="344"/>
      <c r="G12" s="351"/>
      <c r="K12" s="19"/>
    </row>
    <row r="13" spans="2:11" ht="17.25" x14ac:dyDescent="0.35">
      <c r="B13" s="326"/>
      <c r="C13" s="382" t="s">
        <v>475</v>
      </c>
      <c r="D13" s="379"/>
      <c r="E13" s="316"/>
      <c r="F13" s="316"/>
      <c r="G13" s="351"/>
      <c r="H13" s="152"/>
      <c r="K13" s="19"/>
    </row>
    <row r="14" spans="2:11" ht="17.25" thickBot="1" x14ac:dyDescent="0.35">
      <c r="B14" s="321"/>
      <c r="C14" s="316"/>
      <c r="D14" s="316"/>
      <c r="E14" s="316"/>
      <c r="F14" s="319"/>
      <c r="G14" s="351"/>
      <c r="H14" s="152"/>
      <c r="K14" s="19"/>
    </row>
    <row r="15" spans="2:11" ht="18" thickBot="1" x14ac:dyDescent="0.4">
      <c r="B15" s="321"/>
      <c r="C15" s="874" t="s">
        <v>55</v>
      </c>
      <c r="D15" s="875"/>
      <c r="E15" s="875"/>
      <c r="F15" s="876"/>
      <c r="G15" s="346"/>
      <c r="H15" s="152"/>
      <c r="K15" s="19"/>
    </row>
    <row r="16" spans="2:11" ht="17.25" x14ac:dyDescent="0.35">
      <c r="B16" s="321"/>
      <c r="C16" s="325"/>
      <c r="D16" s="929" t="s">
        <v>48</v>
      </c>
      <c r="E16" s="927"/>
      <c r="F16" s="928"/>
      <c r="G16" s="346"/>
      <c r="I16" s="138"/>
      <c r="J16" s="154"/>
      <c r="K16" s="19"/>
    </row>
    <row r="17" spans="2:11" ht="17.25" x14ac:dyDescent="0.35">
      <c r="B17" s="326"/>
      <c r="C17" s="321"/>
      <c r="D17" s="327" t="s">
        <v>56</v>
      </c>
      <c r="E17" s="327" t="s">
        <v>57</v>
      </c>
      <c r="F17" s="328" t="s">
        <v>58</v>
      </c>
      <c r="G17" s="346"/>
      <c r="I17" s="138"/>
      <c r="J17" s="154"/>
      <c r="K17" s="19"/>
    </row>
    <row r="18" spans="2:11" x14ac:dyDescent="0.3">
      <c r="B18" s="321"/>
      <c r="C18" s="322" t="s">
        <v>432</v>
      </c>
      <c r="D18" s="361"/>
      <c r="E18" s="315"/>
      <c r="F18" s="313"/>
      <c r="G18" s="346"/>
      <c r="I18" s="140"/>
      <c r="J18" s="155"/>
      <c r="K18" s="19"/>
    </row>
    <row r="19" spans="2:11" x14ac:dyDescent="0.3">
      <c r="B19" s="321"/>
      <c r="C19" s="322" t="s">
        <v>433</v>
      </c>
      <c r="D19" s="315"/>
      <c r="E19" s="315"/>
      <c r="F19" s="313"/>
      <c r="G19" s="346"/>
      <c r="I19" s="140"/>
      <c r="J19" s="155"/>
      <c r="K19" s="19"/>
    </row>
    <row r="20" spans="2:11" x14ac:dyDescent="0.3">
      <c r="B20" s="321"/>
      <c r="C20" s="322" t="s">
        <v>59</v>
      </c>
      <c r="D20" s="315"/>
      <c r="E20" s="315"/>
      <c r="F20" s="313"/>
      <c r="G20" s="346"/>
      <c r="I20" s="140"/>
      <c r="J20" s="155"/>
      <c r="K20" s="19"/>
    </row>
    <row r="21" spans="2:11" x14ac:dyDescent="0.3">
      <c r="B21" s="321"/>
      <c r="C21" s="322" t="s">
        <v>60</v>
      </c>
      <c r="D21" s="315"/>
      <c r="E21" s="315"/>
      <c r="F21" s="313"/>
      <c r="G21" s="346"/>
      <c r="I21" s="140"/>
      <c r="J21" s="155"/>
      <c r="K21" s="19"/>
    </row>
    <row r="22" spans="2:11" x14ac:dyDescent="0.3">
      <c r="B22" s="321"/>
      <c r="C22" s="322" t="s">
        <v>435</v>
      </c>
      <c r="D22" s="315"/>
      <c r="E22" s="316"/>
      <c r="F22" s="317"/>
      <c r="G22" s="346"/>
      <c r="I22" s="140"/>
      <c r="J22" s="155"/>
      <c r="K22" s="19"/>
    </row>
    <row r="23" spans="2:11" ht="17.25" thickBot="1" x14ac:dyDescent="0.35">
      <c r="B23" s="321"/>
      <c r="C23" s="324" t="s">
        <v>443</v>
      </c>
      <c r="D23" s="318"/>
      <c r="E23" s="319"/>
      <c r="F23" s="320"/>
      <c r="G23" s="346"/>
      <c r="I23" s="140"/>
      <c r="J23" s="155"/>
      <c r="K23" s="19"/>
    </row>
    <row r="24" spans="2:11" ht="17.25" thickBot="1" x14ac:dyDescent="0.35">
      <c r="B24" s="321"/>
      <c r="C24" s="337"/>
      <c r="D24" s="316"/>
      <c r="E24" s="316"/>
      <c r="F24" s="316"/>
      <c r="G24" s="351"/>
      <c r="I24" s="140"/>
      <c r="J24" s="155"/>
      <c r="K24" s="19"/>
    </row>
    <row r="25" spans="2:11" ht="18" thickBot="1" x14ac:dyDescent="0.4">
      <c r="B25" s="321"/>
      <c r="C25" s="874" t="s">
        <v>61</v>
      </c>
      <c r="D25" s="875"/>
      <c r="E25" s="875"/>
      <c r="F25" s="876"/>
      <c r="G25" s="346"/>
      <c r="I25" s="140"/>
      <c r="J25" s="155"/>
      <c r="K25" s="19"/>
    </row>
    <row r="26" spans="2:11" ht="17.25" x14ac:dyDescent="0.35">
      <c r="B26" s="321"/>
      <c r="C26" s="352"/>
      <c r="D26" s="929" t="s">
        <v>48</v>
      </c>
      <c r="E26" s="927"/>
      <c r="F26" s="928"/>
      <c r="G26" s="346"/>
      <c r="I26" s="140"/>
      <c r="J26" s="155"/>
      <c r="K26" s="19"/>
    </row>
    <row r="27" spans="2:11" ht="17.25" x14ac:dyDescent="0.35">
      <c r="B27" s="326"/>
      <c r="C27" s="338"/>
      <c r="D27" s="327" t="s">
        <v>56</v>
      </c>
      <c r="E27" s="327" t="s">
        <v>57</v>
      </c>
      <c r="F27" s="328" t="s">
        <v>58</v>
      </c>
      <c r="G27" s="346"/>
      <c r="I27" s="140"/>
      <c r="J27" s="155"/>
      <c r="K27" s="19"/>
    </row>
    <row r="28" spans="2:11" x14ac:dyDescent="0.3">
      <c r="B28" s="321"/>
      <c r="C28" s="322" t="s">
        <v>62</v>
      </c>
      <c r="D28" s="315"/>
      <c r="E28" s="315"/>
      <c r="F28" s="313"/>
      <c r="G28" s="346"/>
      <c r="I28" s="140"/>
      <c r="J28" s="155"/>
      <c r="K28" s="19"/>
    </row>
    <row r="29" spans="2:11" x14ac:dyDescent="0.3">
      <c r="B29" s="321"/>
      <c r="C29" s="322" t="s">
        <v>607</v>
      </c>
      <c r="D29" s="315"/>
      <c r="E29" s="315"/>
      <c r="F29" s="313"/>
      <c r="G29" s="346"/>
      <c r="I29" s="140"/>
      <c r="J29" s="155"/>
      <c r="K29" s="19"/>
    </row>
    <row r="30" spans="2:11" x14ac:dyDescent="0.3">
      <c r="B30" s="321"/>
      <c r="C30" s="322" t="s">
        <v>608</v>
      </c>
      <c r="D30" s="315"/>
      <c r="E30" s="315"/>
      <c r="F30" s="313"/>
      <c r="G30" s="346"/>
      <c r="I30" s="140"/>
      <c r="J30" s="155"/>
      <c r="K30" s="19"/>
    </row>
    <row r="31" spans="2:11" x14ac:dyDescent="0.3">
      <c r="B31" s="321"/>
      <c r="C31" s="322" t="s">
        <v>413</v>
      </c>
      <c r="D31" s="315"/>
      <c r="E31" s="315"/>
      <c r="F31" s="313"/>
      <c r="G31" s="346"/>
      <c r="I31" s="140"/>
      <c r="J31" s="155"/>
      <c r="K31" s="19"/>
    </row>
    <row r="32" spans="2:11" ht="17.25" thickBot="1" x14ac:dyDescent="0.35">
      <c r="B32" s="321"/>
      <c r="C32" s="324" t="s">
        <v>427</v>
      </c>
      <c r="D32" s="318"/>
      <c r="E32" s="318"/>
      <c r="F32" s="314"/>
      <c r="G32" s="346"/>
      <c r="I32" s="140"/>
      <c r="J32" s="155"/>
      <c r="K32" s="19"/>
    </row>
    <row r="33" spans="2:11" ht="17.25" thickBot="1" x14ac:dyDescent="0.35">
      <c r="B33" s="321"/>
      <c r="C33" s="316"/>
      <c r="D33" s="316"/>
      <c r="E33" s="316"/>
      <c r="F33" s="339"/>
      <c r="G33" s="351"/>
      <c r="I33" s="140"/>
      <c r="J33" s="155"/>
      <c r="K33" s="19"/>
    </row>
    <row r="34" spans="2:11" ht="18" thickBot="1" x14ac:dyDescent="0.4">
      <c r="B34" s="321"/>
      <c r="C34" s="874" t="s">
        <v>63</v>
      </c>
      <c r="D34" s="875"/>
      <c r="E34" s="875"/>
      <c r="F34" s="876"/>
      <c r="G34" s="346"/>
      <c r="I34" s="140"/>
      <c r="J34" s="155"/>
      <c r="K34" s="19"/>
    </row>
    <row r="35" spans="2:11" ht="17.25" x14ac:dyDescent="0.35">
      <c r="B35" s="321"/>
      <c r="C35" s="325"/>
      <c r="D35" s="929" t="s">
        <v>48</v>
      </c>
      <c r="E35" s="927"/>
      <c r="F35" s="928"/>
      <c r="G35" s="346"/>
      <c r="I35" s="140"/>
      <c r="J35" s="155"/>
      <c r="K35" s="19"/>
    </row>
    <row r="36" spans="2:11" ht="17.25" x14ac:dyDescent="0.35">
      <c r="B36" s="326"/>
      <c r="C36" s="321"/>
      <c r="D36" s="327" t="s">
        <v>56</v>
      </c>
      <c r="E36" s="327" t="s">
        <v>57</v>
      </c>
      <c r="F36" s="328" t="s">
        <v>58</v>
      </c>
      <c r="G36" s="346"/>
      <c r="I36" s="140"/>
      <c r="J36" s="155"/>
      <c r="K36" s="19"/>
    </row>
    <row r="37" spans="2:11" x14ac:dyDescent="0.3">
      <c r="B37" s="321"/>
      <c r="C37" s="322" t="s">
        <v>64</v>
      </c>
      <c r="D37" s="315"/>
      <c r="E37" s="315"/>
      <c r="F37" s="313"/>
      <c r="G37" s="346"/>
      <c r="I37" s="140"/>
      <c r="J37" s="155"/>
      <c r="K37" s="19"/>
    </row>
    <row r="38" spans="2:11" x14ac:dyDescent="0.3">
      <c r="B38" s="321"/>
      <c r="C38" s="322" t="s">
        <v>65</v>
      </c>
      <c r="D38" s="315"/>
      <c r="E38" s="315"/>
      <c r="F38" s="313"/>
      <c r="G38" s="346"/>
      <c r="I38" s="140"/>
      <c r="J38" s="155"/>
      <c r="K38" s="19"/>
    </row>
    <row r="39" spans="2:11" x14ac:dyDescent="0.3">
      <c r="B39" s="321"/>
      <c r="C39" s="322" t="s">
        <v>66</v>
      </c>
      <c r="D39" s="315"/>
      <c r="E39" s="315"/>
      <c r="F39" s="313"/>
      <c r="G39" s="346"/>
      <c r="I39" s="140"/>
      <c r="J39" s="155"/>
      <c r="K39" s="19"/>
    </row>
    <row r="40" spans="2:11" x14ac:dyDescent="0.3">
      <c r="B40" s="321"/>
      <c r="C40" s="322" t="s">
        <v>67</v>
      </c>
      <c r="D40" s="315"/>
      <c r="E40" s="315"/>
      <c r="F40" s="313"/>
      <c r="G40" s="346"/>
      <c r="I40" s="140"/>
      <c r="J40" s="155"/>
      <c r="K40" s="19"/>
    </row>
    <row r="41" spans="2:11" x14ac:dyDescent="0.3">
      <c r="B41" s="321"/>
      <c r="C41" s="322" t="s">
        <v>68</v>
      </c>
      <c r="D41" s="315"/>
      <c r="E41" s="315"/>
      <c r="F41" s="313"/>
      <c r="G41" s="346"/>
      <c r="I41" s="140"/>
      <c r="J41" s="155"/>
      <c r="K41" s="19"/>
    </row>
    <row r="42" spans="2:11" x14ac:dyDescent="0.3">
      <c r="B42" s="321"/>
      <c r="C42" s="322" t="s">
        <v>69</v>
      </c>
      <c r="D42" s="315"/>
      <c r="E42" s="315"/>
      <c r="F42" s="313"/>
      <c r="G42" s="346"/>
      <c r="I42" s="140"/>
      <c r="J42" s="155"/>
      <c r="K42" s="19"/>
    </row>
    <row r="43" spans="2:11" x14ac:dyDescent="0.3">
      <c r="B43" s="321"/>
      <c r="C43" s="322" t="s">
        <v>70</v>
      </c>
      <c r="D43" s="315"/>
      <c r="E43" s="315"/>
      <c r="F43" s="313"/>
      <c r="G43" s="346"/>
      <c r="I43" s="140"/>
      <c r="J43" s="155"/>
      <c r="K43" s="19"/>
    </row>
    <row r="44" spans="2:11" x14ac:dyDescent="0.3">
      <c r="B44" s="321"/>
      <c r="C44" s="322" t="s">
        <v>71</v>
      </c>
      <c r="D44" s="315"/>
      <c r="E44" s="315"/>
      <c r="F44" s="313"/>
      <c r="G44" s="346"/>
      <c r="I44" s="140"/>
      <c r="J44" s="155"/>
      <c r="K44" s="19"/>
    </row>
    <row r="45" spans="2:11" x14ac:dyDescent="0.3">
      <c r="B45" s="321"/>
      <c r="C45" s="322" t="s">
        <v>72</v>
      </c>
      <c r="D45" s="315"/>
      <c r="E45" s="315"/>
      <c r="F45" s="313"/>
      <c r="G45" s="346"/>
      <c r="I45" s="140"/>
      <c r="J45" s="155"/>
      <c r="K45" s="19"/>
    </row>
    <row r="46" spans="2:11" x14ac:dyDescent="0.3">
      <c r="B46" s="321"/>
      <c r="C46" s="322" t="s">
        <v>73</v>
      </c>
      <c r="D46" s="315"/>
      <c r="E46" s="315"/>
      <c r="F46" s="313"/>
      <c r="G46" s="346"/>
      <c r="I46" s="140"/>
      <c r="J46" s="155"/>
      <c r="K46" s="19"/>
    </row>
    <row r="47" spans="2:11" ht="17.25" thickBot="1" x14ac:dyDescent="0.35">
      <c r="B47" s="321"/>
      <c r="C47" s="324" t="s">
        <v>74</v>
      </c>
      <c r="D47" s="318"/>
      <c r="E47" s="318"/>
      <c r="F47" s="314"/>
      <c r="G47" s="346"/>
      <c r="I47" s="140"/>
      <c r="J47" s="155"/>
      <c r="K47" s="19"/>
    </row>
    <row r="48" spans="2:11" ht="17.25" thickBot="1" x14ac:dyDescent="0.35">
      <c r="B48" s="321"/>
      <c r="C48" s="316"/>
      <c r="D48" s="316"/>
      <c r="E48" s="316"/>
      <c r="F48" s="316"/>
      <c r="G48" s="351"/>
      <c r="I48" s="140"/>
      <c r="J48" s="155"/>
      <c r="K48" s="19"/>
    </row>
    <row r="49" spans="2:11" ht="18" thickBot="1" x14ac:dyDescent="0.4">
      <c r="B49" s="321"/>
      <c r="C49" s="874" t="s">
        <v>75</v>
      </c>
      <c r="D49" s="875"/>
      <c r="E49" s="875"/>
      <c r="F49" s="876"/>
      <c r="G49" s="346"/>
      <c r="I49" s="140"/>
      <c r="J49" s="155"/>
      <c r="K49" s="19"/>
    </row>
    <row r="50" spans="2:11" ht="17.25" x14ac:dyDescent="0.35">
      <c r="B50" s="321"/>
      <c r="C50" s="325"/>
      <c r="D50" s="929" t="s">
        <v>48</v>
      </c>
      <c r="E50" s="927"/>
      <c r="F50" s="928"/>
      <c r="G50" s="346"/>
      <c r="I50" s="140"/>
      <c r="J50" s="155"/>
      <c r="K50" s="19"/>
    </row>
    <row r="51" spans="2:11" ht="17.25" x14ac:dyDescent="0.35">
      <c r="B51" s="326"/>
      <c r="C51" s="321"/>
      <c r="D51" s="327" t="s">
        <v>56</v>
      </c>
      <c r="E51" s="327" t="s">
        <v>57</v>
      </c>
      <c r="F51" s="328" t="s">
        <v>58</v>
      </c>
      <c r="G51" s="346"/>
      <c r="I51" s="140"/>
      <c r="J51" s="155"/>
      <c r="K51" s="19"/>
    </row>
    <row r="52" spans="2:11" x14ac:dyDescent="0.3">
      <c r="B52" s="321"/>
      <c r="C52" s="322" t="s">
        <v>304</v>
      </c>
      <c r="D52" s="315"/>
      <c r="E52" s="315"/>
      <c r="F52" s="313"/>
      <c r="G52" s="346"/>
      <c r="I52" s="140"/>
      <c r="J52" s="155"/>
      <c r="K52" s="19"/>
    </row>
    <row r="53" spans="2:11" x14ac:dyDescent="0.3">
      <c r="B53" s="321"/>
      <c r="C53" s="322" t="s">
        <v>305</v>
      </c>
      <c r="D53" s="315"/>
      <c r="E53" s="315"/>
      <c r="F53" s="313"/>
      <c r="G53" s="346"/>
      <c r="I53" s="140"/>
      <c r="J53" s="155"/>
      <c r="K53" s="19"/>
    </row>
    <row r="54" spans="2:11" x14ac:dyDescent="0.3">
      <c r="B54" s="321"/>
      <c r="C54" s="322" t="s">
        <v>78</v>
      </c>
      <c r="D54" s="315"/>
      <c r="E54" s="315"/>
      <c r="F54" s="313"/>
      <c r="G54" s="346"/>
      <c r="I54" s="140"/>
      <c r="J54" s="155"/>
      <c r="K54" s="19"/>
    </row>
    <row r="55" spans="2:11" x14ac:dyDescent="0.3">
      <c r="B55" s="321"/>
      <c r="C55" s="322" t="s">
        <v>79</v>
      </c>
      <c r="D55" s="315"/>
      <c r="E55" s="315"/>
      <c r="F55" s="313"/>
      <c r="G55" s="346"/>
      <c r="I55" s="140"/>
      <c r="J55" s="155"/>
      <c r="K55" s="19"/>
    </row>
    <row r="56" spans="2:11" ht="17.25" thickBot="1" x14ac:dyDescent="0.35">
      <c r="B56" s="321"/>
      <c r="C56" s="330" t="s">
        <v>428</v>
      </c>
      <c r="D56" s="318"/>
      <c r="E56" s="318"/>
      <c r="F56" s="314"/>
      <c r="G56" s="346"/>
      <c r="K56" s="19"/>
    </row>
    <row r="57" spans="2:11" ht="17.25" thickBot="1" x14ac:dyDescent="0.35">
      <c r="B57" s="321"/>
      <c r="C57" s="316"/>
      <c r="D57" s="316"/>
      <c r="E57" s="316"/>
      <c r="F57" s="339"/>
      <c r="G57" s="351"/>
      <c r="I57" s="140"/>
      <c r="J57" s="155"/>
      <c r="K57" s="19"/>
    </row>
    <row r="58" spans="2:11" ht="18" thickBot="1" x14ac:dyDescent="0.4">
      <c r="B58" s="321"/>
      <c r="C58" s="874" t="s">
        <v>80</v>
      </c>
      <c r="D58" s="875"/>
      <c r="E58" s="875"/>
      <c r="F58" s="876"/>
      <c r="G58" s="346"/>
      <c r="I58" s="140"/>
      <c r="J58" s="155"/>
      <c r="K58" s="19"/>
    </row>
    <row r="59" spans="2:11" ht="17.25" x14ac:dyDescent="0.35">
      <c r="B59" s="321"/>
      <c r="C59" s="325"/>
      <c r="D59" s="929" t="s">
        <v>48</v>
      </c>
      <c r="E59" s="927"/>
      <c r="F59" s="928"/>
      <c r="G59" s="346"/>
      <c r="I59" s="140"/>
      <c r="J59" s="155"/>
      <c r="K59" s="19"/>
    </row>
    <row r="60" spans="2:11" ht="17.25" x14ac:dyDescent="0.35">
      <c r="B60" s="331"/>
      <c r="C60" s="321"/>
      <c r="D60" s="327" t="s">
        <v>56</v>
      </c>
      <c r="E60" s="327" t="s">
        <v>57</v>
      </c>
      <c r="F60" s="328" t="s">
        <v>58</v>
      </c>
      <c r="G60" s="346"/>
      <c r="I60" s="140"/>
      <c r="J60" s="155"/>
      <c r="K60" s="19"/>
    </row>
    <row r="61" spans="2:11" x14ac:dyDescent="0.3">
      <c r="B61" s="321"/>
      <c r="C61" s="322" t="s">
        <v>81</v>
      </c>
      <c r="D61" s="315"/>
      <c r="E61" s="315"/>
      <c r="F61" s="313"/>
      <c r="G61" s="346"/>
      <c r="I61" s="140"/>
      <c r="J61" s="155"/>
      <c r="K61" s="19"/>
    </row>
    <row r="62" spans="2:11" x14ac:dyDescent="0.3">
      <c r="B62" s="321"/>
      <c r="C62" s="322" t="s">
        <v>82</v>
      </c>
      <c r="D62" s="315"/>
      <c r="E62" s="315"/>
      <c r="F62" s="313"/>
      <c r="G62" s="346"/>
      <c r="I62" s="140"/>
      <c r="J62" s="155"/>
      <c r="K62" s="19"/>
    </row>
    <row r="63" spans="2:11" x14ac:dyDescent="0.3">
      <c r="B63" s="321"/>
      <c r="C63" s="322" t="s">
        <v>83</v>
      </c>
      <c r="D63" s="315"/>
      <c r="E63" s="315"/>
      <c r="F63" s="313"/>
      <c r="G63" s="346"/>
      <c r="I63" s="140"/>
      <c r="J63" s="155"/>
      <c r="K63" s="19"/>
    </row>
    <row r="64" spans="2:11" x14ac:dyDescent="0.3">
      <c r="B64" s="321"/>
      <c r="C64" s="322" t="s">
        <v>84</v>
      </c>
      <c r="D64" s="315"/>
      <c r="E64" s="315"/>
      <c r="F64" s="313"/>
      <c r="G64" s="346"/>
      <c r="I64" s="140"/>
      <c r="J64" s="155"/>
      <c r="K64" s="19"/>
    </row>
    <row r="65" spans="2:11" x14ac:dyDescent="0.3">
      <c r="B65" s="321"/>
      <c r="C65" s="322" t="s">
        <v>85</v>
      </c>
      <c r="D65" s="315"/>
      <c r="E65" s="315"/>
      <c r="F65" s="313"/>
      <c r="G65" s="346"/>
      <c r="I65" s="140"/>
      <c r="J65" s="155"/>
      <c r="K65" s="19"/>
    </row>
    <row r="66" spans="2:11" x14ac:dyDescent="0.3">
      <c r="B66" s="321"/>
      <c r="C66" s="322" t="s">
        <v>86</v>
      </c>
      <c r="D66" s="315"/>
      <c r="E66" s="315"/>
      <c r="F66" s="313"/>
      <c r="G66" s="346"/>
      <c r="I66" s="140"/>
      <c r="J66" s="155"/>
      <c r="K66" s="19"/>
    </row>
    <row r="67" spans="2:11" x14ac:dyDescent="0.3">
      <c r="B67" s="321"/>
      <c r="C67" s="322" t="s">
        <v>87</v>
      </c>
      <c r="D67" s="315"/>
      <c r="E67" s="315"/>
      <c r="F67" s="313"/>
      <c r="G67" s="346"/>
      <c r="I67" s="140"/>
      <c r="J67" s="155"/>
      <c r="K67" s="19"/>
    </row>
    <row r="68" spans="2:11" ht="17.25" thickBot="1" x14ac:dyDescent="0.35">
      <c r="B68" s="321"/>
      <c r="C68" s="324" t="s">
        <v>88</v>
      </c>
      <c r="D68" s="318"/>
      <c r="E68" s="318"/>
      <c r="F68" s="314"/>
      <c r="G68" s="346"/>
      <c r="I68" s="140"/>
      <c r="J68" s="155"/>
      <c r="K68" s="19"/>
    </row>
    <row r="69" spans="2:11" ht="17.25" thickBot="1" x14ac:dyDescent="0.35">
      <c r="B69" s="321"/>
      <c r="C69" s="316"/>
      <c r="D69" s="316"/>
      <c r="E69" s="316"/>
      <c r="F69" s="316"/>
      <c r="G69" s="351"/>
      <c r="I69" s="140"/>
      <c r="J69" s="155"/>
      <c r="K69" s="19"/>
    </row>
    <row r="70" spans="2:11" ht="18" thickBot="1" x14ac:dyDescent="0.4">
      <c r="B70" s="321"/>
      <c r="C70" s="874" t="s">
        <v>194</v>
      </c>
      <c r="D70" s="875"/>
      <c r="E70" s="875"/>
      <c r="F70" s="876"/>
      <c r="G70" s="346"/>
      <c r="I70" s="140"/>
      <c r="J70" s="155"/>
      <c r="K70" s="19"/>
    </row>
    <row r="71" spans="2:11" ht="17.25" x14ac:dyDescent="0.35">
      <c r="B71" s="326"/>
      <c r="C71" s="325"/>
      <c r="D71" s="929" t="s">
        <v>48</v>
      </c>
      <c r="E71" s="927"/>
      <c r="F71" s="928"/>
      <c r="G71" s="351"/>
      <c r="I71" s="140"/>
      <c r="J71" s="155"/>
      <c r="K71" s="19"/>
    </row>
    <row r="72" spans="2:11" x14ac:dyDescent="0.3">
      <c r="B72" s="321"/>
      <c r="C72" s="322" t="s">
        <v>193</v>
      </c>
      <c r="D72" s="882"/>
      <c r="E72" s="882"/>
      <c r="F72" s="883"/>
      <c r="G72" s="351"/>
      <c r="I72" s="140"/>
      <c r="J72" s="155"/>
      <c r="K72" s="19"/>
    </row>
    <row r="73" spans="2:11" x14ac:dyDescent="0.3">
      <c r="B73" s="321"/>
      <c r="C73" s="322" t="s">
        <v>192</v>
      </c>
      <c r="D73" s="882"/>
      <c r="E73" s="882"/>
      <c r="F73" s="883"/>
      <c r="G73" s="351"/>
      <c r="I73" s="140"/>
      <c r="J73" s="155"/>
      <c r="K73" s="19"/>
    </row>
    <row r="74" spans="2:11" x14ac:dyDescent="0.3">
      <c r="B74" s="321"/>
      <c r="C74" s="322" t="s">
        <v>306</v>
      </c>
      <c r="D74" s="882"/>
      <c r="E74" s="882"/>
      <c r="F74" s="883"/>
      <c r="G74" s="351"/>
      <c r="I74" s="140"/>
      <c r="J74" s="155"/>
      <c r="K74" s="19"/>
    </row>
    <row r="75" spans="2:11" x14ac:dyDescent="0.3">
      <c r="B75" s="321"/>
      <c r="C75" s="322" t="s">
        <v>92</v>
      </c>
      <c r="D75" s="895" t="str">
        <f>IF(D72+D74=0,"",D72+D74)</f>
        <v/>
      </c>
      <c r="E75" s="895"/>
      <c r="F75" s="896"/>
      <c r="G75" s="351"/>
      <c r="I75" s="146"/>
      <c r="J75" s="156"/>
      <c r="K75" s="19"/>
    </row>
    <row r="76" spans="2:11" x14ac:dyDescent="0.3">
      <c r="B76" s="321"/>
      <c r="C76" s="322" t="s">
        <v>191</v>
      </c>
      <c r="D76" s="882"/>
      <c r="E76" s="882"/>
      <c r="F76" s="883"/>
      <c r="G76" s="351"/>
      <c r="I76" s="146"/>
      <c r="J76" s="156"/>
      <c r="K76" s="19"/>
    </row>
    <row r="77" spans="2:11" x14ac:dyDescent="0.3">
      <c r="B77" s="321"/>
      <c r="C77" s="322" t="s">
        <v>190</v>
      </c>
      <c r="D77" s="882"/>
      <c r="E77" s="882"/>
      <c r="F77" s="883"/>
      <c r="G77" s="351"/>
      <c r="I77" s="146"/>
      <c r="J77" s="156"/>
      <c r="K77" s="19"/>
    </row>
    <row r="78" spans="2:11" x14ac:dyDescent="0.3">
      <c r="B78" s="321"/>
      <c r="C78" s="322" t="s">
        <v>189</v>
      </c>
      <c r="D78" s="882"/>
      <c r="E78" s="882"/>
      <c r="F78" s="883"/>
      <c r="G78" s="351"/>
      <c r="I78" s="146"/>
      <c r="J78" s="156"/>
      <c r="K78" s="19"/>
    </row>
    <row r="79" spans="2:11" x14ac:dyDescent="0.3">
      <c r="B79" s="321"/>
      <c r="C79" s="322" t="s">
        <v>306</v>
      </c>
      <c r="D79" s="882"/>
      <c r="E79" s="882"/>
      <c r="F79" s="883"/>
      <c r="G79" s="351"/>
      <c r="I79" s="146"/>
      <c r="J79" s="156"/>
      <c r="K79" s="19"/>
    </row>
    <row r="80" spans="2:11" ht="17.25" thickBot="1" x14ac:dyDescent="0.35">
      <c r="B80" s="321"/>
      <c r="C80" s="324" t="s">
        <v>92</v>
      </c>
      <c r="D80" s="911" t="str">
        <f>IF(D77+D79=0,"",D77+D79)</f>
        <v/>
      </c>
      <c r="E80" s="911"/>
      <c r="F80" s="912"/>
      <c r="G80" s="351"/>
      <c r="I80" s="147"/>
      <c r="J80" s="155"/>
      <c r="K80" s="19"/>
    </row>
    <row r="81" spans="1:11" ht="17.25" thickBot="1" x14ac:dyDescent="0.35">
      <c r="B81" s="334"/>
      <c r="C81" s="319"/>
      <c r="D81" s="319"/>
      <c r="E81" s="319"/>
      <c r="F81" s="319"/>
      <c r="G81" s="356"/>
      <c r="I81" s="147"/>
      <c r="J81" s="155"/>
      <c r="K81" s="19"/>
    </row>
    <row r="82" spans="1:11" ht="17.25" x14ac:dyDescent="0.35">
      <c r="B82" s="7"/>
      <c r="C82" s="9"/>
      <c r="D82" s="162"/>
      <c r="E82" s="9"/>
      <c r="F82" s="9"/>
      <c r="G82" s="9"/>
      <c r="H82" s="9"/>
      <c r="K82" s="19"/>
    </row>
    <row r="83" spans="1:11" s="18" customFormat="1" ht="17.25" x14ac:dyDescent="0.35">
      <c r="A83" s="19"/>
      <c r="B83" s="20"/>
      <c r="C83" s="161"/>
      <c r="D83" s="164"/>
      <c r="E83" s="164"/>
      <c r="F83" s="164"/>
      <c r="G83" s="161"/>
      <c r="H83" s="161"/>
      <c r="I83" s="19"/>
      <c r="J83" s="19"/>
      <c r="K83" s="19"/>
    </row>
  </sheetData>
  <sheetProtection password="D93F" sheet="1" objects="1" scenarios="1" selectLockedCells="1"/>
  <customSheetViews>
    <customSheetView guid="{2A4C6EB9-430A-44F2-86C8-15B50360FC3B}" scale="70" showGridLines="0">
      <selection activeCell="F2" sqref="F2"/>
      <pageMargins left="0.7" right="0.7" top="0.75" bottom="0.75" header="0.3" footer="0.3"/>
      <pageSetup orientation="portrait" horizontalDpi="200" verticalDpi="200" r:id="rId1"/>
    </customSheetView>
    <customSheetView guid="{B3BD5AF3-9A64-4EA7-AE1F-3CC326849B8F}" scale="70" showGridLines="0">
      <selection activeCell="K3" sqref="K3:K5"/>
      <pageMargins left="0.7" right="0.7" top="0.75" bottom="0.75" header="0.3" footer="0.3"/>
      <pageSetup orientation="portrait" horizontalDpi="200" verticalDpi="200" r:id="rId2"/>
    </customSheetView>
  </customSheetViews>
  <mergeCells count="26">
    <mergeCell ref="H4:I4"/>
    <mergeCell ref="B2:C2"/>
    <mergeCell ref="C15:F15"/>
    <mergeCell ref="C25:F25"/>
    <mergeCell ref="C34:F34"/>
    <mergeCell ref="F9:G9"/>
    <mergeCell ref="B11:G11"/>
    <mergeCell ref="E2:F2"/>
    <mergeCell ref="D16:F16"/>
    <mergeCell ref="D26:F26"/>
    <mergeCell ref="D35:F35"/>
    <mergeCell ref="D50:F50"/>
    <mergeCell ref="D59:F59"/>
    <mergeCell ref="D77:F77"/>
    <mergeCell ref="D78:F78"/>
    <mergeCell ref="D71:F71"/>
    <mergeCell ref="D74:F74"/>
    <mergeCell ref="D75:F75"/>
    <mergeCell ref="C49:F49"/>
    <mergeCell ref="C58:F58"/>
    <mergeCell ref="C70:F70"/>
    <mergeCell ref="D79:F79"/>
    <mergeCell ref="D80:F80"/>
    <mergeCell ref="D72:F72"/>
    <mergeCell ref="D73:F73"/>
    <mergeCell ref="D76:F76"/>
  </mergeCells>
  <phoneticPr fontId="27" type="noConversion"/>
  <conditionalFormatting sqref="D72:D80 D28:F32 D37:F47 D52:F56 D61:F68 D22:D23 D13 D18:F21">
    <cfRule type="expression" dxfId="46" priority="3" stopIfTrue="1">
      <formula>OR($I$5 = "Heating Only Central Heat Pump", $I$6 &lt;&gt; "Variable-Speed")</formula>
    </cfRule>
  </conditionalFormatting>
  <dataValidations count="1">
    <dataValidation type="list" showInputMessage="1" showErrorMessage="1" sqref="D13">
      <formula1>Duration</formula1>
    </dataValidation>
  </dataValidations>
  <hyperlinks>
    <hyperlink ref="E2" location="Instructions!A1" display="Back to Instructions"/>
    <hyperlink ref="E2:F2" location="Instructions!A1" display="Back to Instructions tab"/>
  </hyperlinks>
  <pageMargins left="0.7" right="0.7" top="0.75" bottom="0.75" header="0.3" footer="0.3"/>
  <pageSetup orientation="portrait" horizontalDpi="200" verticalDpi="200"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rgb="FF0070C0"/>
  </sheetPr>
  <dimension ref="A1:K81"/>
  <sheetViews>
    <sheetView showGridLines="0" zoomScale="80" zoomScaleNormal="80" workbookViewId="0">
      <selection activeCell="E2" sqref="E2:F2"/>
    </sheetView>
  </sheetViews>
  <sheetFormatPr defaultColWidth="9.140625" defaultRowHeight="16.5" x14ac:dyDescent="0.3"/>
  <cols>
    <col min="1" max="1" width="4.7109375" style="17" customWidth="1"/>
    <col min="2" max="2" width="31" style="17" customWidth="1"/>
    <col min="3" max="3" width="67.85546875" style="17" customWidth="1"/>
    <col min="4" max="6" width="13.5703125" style="17" customWidth="1"/>
    <col min="7" max="7" width="7" style="17" customWidth="1"/>
    <col min="8" max="8" width="23.85546875" style="17" customWidth="1"/>
    <col min="9" max="9" width="21.42578125" style="17" customWidth="1"/>
    <col min="10" max="10" width="8.42578125" style="160" customWidth="1"/>
    <col min="11" max="11" width="5.42578125" style="17" customWidth="1"/>
    <col min="12" max="16384" width="9.140625" style="17"/>
  </cols>
  <sheetData>
    <row r="1" spans="2:11" ht="17.25" thickBot="1" x14ac:dyDescent="0.35">
      <c r="J1" s="127"/>
      <c r="K1" s="126"/>
    </row>
    <row r="2" spans="2:11" s="124" customFormat="1" ht="18" thickBot="1" x14ac:dyDescent="0.35">
      <c r="B2" s="764" t="s">
        <v>562</v>
      </c>
      <c r="C2" s="765"/>
      <c r="E2" s="827" t="s">
        <v>540</v>
      </c>
      <c r="F2" s="827"/>
      <c r="J2" s="165"/>
      <c r="K2" s="166"/>
    </row>
    <row r="3" spans="2:11" s="124" customFormat="1" ht="17.25" customHeight="1" thickBot="1" x14ac:dyDescent="0.35">
      <c r="B3" s="297" t="s">
        <v>563</v>
      </c>
      <c r="C3" s="298" t="str">
        <f>'Version Control'!C3</f>
        <v>Residential Central Air Conditioners and Heat Pumps</v>
      </c>
      <c r="J3" s="165"/>
      <c r="K3" s="166"/>
    </row>
    <row r="4" spans="2:11" s="124" customFormat="1" ht="18" thickBot="1" x14ac:dyDescent="0.35">
      <c r="B4" s="299" t="s">
        <v>140</v>
      </c>
      <c r="C4" s="300" t="str">
        <f>'Version Control'!C4</f>
        <v>v2.1</v>
      </c>
      <c r="H4" s="961" t="s">
        <v>349</v>
      </c>
      <c r="I4" s="962"/>
      <c r="J4" s="165"/>
      <c r="K4" s="166"/>
    </row>
    <row r="5" spans="2:11" s="124" customFormat="1" x14ac:dyDescent="0.3">
      <c r="B5" s="299" t="s">
        <v>462</v>
      </c>
      <c r="C5" s="301">
        <f>'Version Control'!C5</f>
        <v>42653</v>
      </c>
      <c r="H5" s="59" t="s">
        <v>158</v>
      </c>
      <c r="I5" s="602">
        <f>'General Info and Test Results'!C25</f>
        <v>0</v>
      </c>
      <c r="J5" s="165"/>
      <c r="K5" s="166"/>
    </row>
    <row r="6" spans="2:11" s="124" customFormat="1" x14ac:dyDescent="0.3">
      <c r="B6" s="302" t="s">
        <v>139</v>
      </c>
      <c r="C6" s="303" t="str">
        <f ca="1">MID(CELL("filename",$A$1), FIND("]", CELL("filename", $A$1))+ 1, 255)</f>
        <v>H0-1 Test Recorded Data</v>
      </c>
      <c r="H6" s="60" t="s">
        <v>153</v>
      </c>
      <c r="I6" s="603">
        <f>'General Info and Test Results'!C26</f>
        <v>0</v>
      </c>
      <c r="J6" s="165"/>
      <c r="K6" s="166"/>
    </row>
    <row r="7" spans="2:11" s="124" customFormat="1" ht="33.75" thickBot="1" x14ac:dyDescent="0.35">
      <c r="B7" s="304" t="s">
        <v>138</v>
      </c>
      <c r="C7" s="305" t="str">
        <f ca="1">MID(CELL("FILENAME",F14),FIND("[",CELL("FILENAME",F14))+1,FIND("]",CELL("FILENAME",F14))-FIND("[",CELL("FILENAME",F14))-1)</f>
        <v>Residential Central Air Conditioners and Heat Pumps - v2.1.xlsx</v>
      </c>
      <c r="H7" s="57" t="s">
        <v>199</v>
      </c>
      <c r="I7" s="604">
        <f>'General Info and Test Results'!C27</f>
        <v>0</v>
      </c>
      <c r="J7" s="165"/>
      <c r="K7" s="166"/>
    </row>
    <row r="8" spans="2:11" s="124" customFormat="1" ht="17.25" thickBot="1" x14ac:dyDescent="0.35">
      <c r="B8" s="306" t="s">
        <v>141</v>
      </c>
      <c r="C8" s="307" t="str">
        <f>'Version Control'!C8</f>
        <v>[MM/DD/YYYY]</v>
      </c>
      <c r="G8" s="14"/>
      <c r="H8" s="163"/>
      <c r="J8" s="165"/>
      <c r="K8" s="166"/>
    </row>
    <row r="9" spans="2:11" s="124" customFormat="1" x14ac:dyDescent="0.3">
      <c r="B9" s="61"/>
      <c r="C9" s="262"/>
      <c r="G9" s="14"/>
      <c r="H9" s="17"/>
      <c r="J9" s="165"/>
      <c r="K9" s="166"/>
    </row>
    <row r="10" spans="2:11" ht="17.25" thickBot="1" x14ac:dyDescent="0.35">
      <c r="B10" s="400"/>
      <c r="C10" s="400"/>
      <c r="D10" s="400"/>
      <c r="E10" s="400"/>
      <c r="F10" s="400"/>
      <c r="G10" s="400"/>
      <c r="K10" s="126"/>
    </row>
    <row r="11" spans="2:11" s="158" customFormat="1" ht="18.75" thickBot="1" x14ac:dyDescent="0.4">
      <c r="B11" s="902" t="s">
        <v>480</v>
      </c>
      <c r="C11" s="903"/>
      <c r="D11" s="903"/>
      <c r="E11" s="903"/>
      <c r="F11" s="903"/>
      <c r="G11" s="904"/>
      <c r="J11" s="167"/>
      <c r="K11" s="168"/>
    </row>
    <row r="12" spans="2:11" ht="18" thickBot="1" x14ac:dyDescent="0.4">
      <c r="B12" s="404"/>
      <c r="C12" s="405"/>
      <c r="D12" s="405"/>
      <c r="E12" s="405"/>
      <c r="F12" s="405"/>
      <c r="G12" s="406"/>
      <c r="K12" s="126"/>
    </row>
    <row r="13" spans="2:11" ht="18" thickBot="1" x14ac:dyDescent="0.4">
      <c r="B13" s="407"/>
      <c r="C13" s="958" t="s">
        <v>55</v>
      </c>
      <c r="D13" s="959"/>
      <c r="E13" s="959"/>
      <c r="F13" s="960"/>
      <c r="G13" s="408"/>
      <c r="K13" s="126"/>
    </row>
    <row r="14" spans="2:11" ht="15" customHeight="1" x14ac:dyDescent="0.35">
      <c r="B14" s="409"/>
      <c r="C14" s="410"/>
      <c r="D14" s="929" t="s">
        <v>48</v>
      </c>
      <c r="E14" s="927"/>
      <c r="F14" s="928"/>
      <c r="G14" s="408"/>
      <c r="I14" s="169"/>
      <c r="J14" s="170"/>
      <c r="K14" s="126"/>
    </row>
    <row r="15" spans="2:11" ht="17.25" x14ac:dyDescent="0.35">
      <c r="B15" s="407"/>
      <c r="C15" s="409"/>
      <c r="D15" s="327" t="s">
        <v>56</v>
      </c>
      <c r="E15" s="327" t="s">
        <v>57</v>
      </c>
      <c r="F15" s="328" t="s">
        <v>58</v>
      </c>
      <c r="G15" s="408"/>
      <c r="I15" s="169"/>
      <c r="J15" s="170"/>
      <c r="K15" s="126"/>
    </row>
    <row r="16" spans="2:11" x14ac:dyDescent="0.3">
      <c r="B16" s="409"/>
      <c r="C16" s="322" t="s">
        <v>432</v>
      </c>
      <c r="D16" s="411"/>
      <c r="E16" s="411"/>
      <c r="F16" s="412"/>
      <c r="G16" s="408"/>
      <c r="I16" s="171"/>
      <c r="J16" s="172"/>
      <c r="K16" s="126"/>
    </row>
    <row r="17" spans="2:11" x14ac:dyDescent="0.3">
      <c r="B17" s="409"/>
      <c r="C17" s="322" t="s">
        <v>433</v>
      </c>
      <c r="D17" s="411"/>
      <c r="E17" s="411"/>
      <c r="F17" s="412"/>
      <c r="G17" s="408"/>
      <c r="I17" s="171"/>
      <c r="J17" s="172"/>
      <c r="K17" s="126"/>
    </row>
    <row r="18" spans="2:11" x14ac:dyDescent="0.3">
      <c r="B18" s="409"/>
      <c r="C18" s="329" t="s">
        <v>59</v>
      </c>
      <c r="D18" s="411"/>
      <c r="E18" s="411"/>
      <c r="F18" s="412"/>
      <c r="G18" s="408"/>
      <c r="I18" s="171"/>
      <c r="J18" s="172"/>
      <c r="K18" s="126"/>
    </row>
    <row r="19" spans="2:11" x14ac:dyDescent="0.3">
      <c r="B19" s="409"/>
      <c r="C19" s="329" t="s">
        <v>60</v>
      </c>
      <c r="D19" s="411"/>
      <c r="E19" s="411"/>
      <c r="F19" s="412"/>
      <c r="G19" s="408"/>
      <c r="I19" s="171"/>
      <c r="J19" s="172"/>
      <c r="K19" s="126"/>
    </row>
    <row r="20" spans="2:11" x14ac:dyDescent="0.3">
      <c r="B20" s="409"/>
      <c r="C20" s="322" t="s">
        <v>435</v>
      </c>
      <c r="D20" s="411"/>
      <c r="E20" s="367"/>
      <c r="F20" s="413"/>
      <c r="G20" s="408"/>
      <c r="I20" s="171"/>
      <c r="J20" s="172"/>
      <c r="K20" s="126"/>
    </row>
    <row r="21" spans="2:11" ht="17.25" thickBot="1" x14ac:dyDescent="0.35">
      <c r="B21" s="409"/>
      <c r="C21" s="324" t="s">
        <v>443</v>
      </c>
      <c r="D21" s="414"/>
      <c r="E21" s="415"/>
      <c r="F21" s="416"/>
      <c r="G21" s="408"/>
      <c r="I21" s="171"/>
      <c r="J21" s="172"/>
      <c r="K21" s="126"/>
    </row>
    <row r="22" spans="2:11" ht="17.25" thickBot="1" x14ac:dyDescent="0.35">
      <c r="B22" s="409"/>
      <c r="C22" s="417"/>
      <c r="D22" s="367"/>
      <c r="E22" s="367"/>
      <c r="F22" s="367"/>
      <c r="G22" s="418"/>
      <c r="I22" s="171"/>
      <c r="J22" s="172"/>
      <c r="K22" s="126"/>
    </row>
    <row r="23" spans="2:11" ht="18" thickBot="1" x14ac:dyDescent="0.4">
      <c r="B23" s="409"/>
      <c r="C23" s="958" t="s">
        <v>61</v>
      </c>
      <c r="D23" s="959"/>
      <c r="E23" s="959"/>
      <c r="F23" s="960"/>
      <c r="G23" s="408"/>
      <c r="I23" s="171"/>
      <c r="J23" s="172"/>
      <c r="K23" s="126"/>
    </row>
    <row r="24" spans="2:11" ht="15" customHeight="1" x14ac:dyDescent="0.35">
      <c r="B24" s="409"/>
      <c r="C24" s="419"/>
      <c r="D24" s="929" t="s">
        <v>48</v>
      </c>
      <c r="E24" s="927"/>
      <c r="F24" s="928"/>
      <c r="G24" s="408"/>
      <c r="I24" s="171"/>
      <c r="J24" s="172"/>
      <c r="K24" s="126"/>
    </row>
    <row r="25" spans="2:11" ht="17.25" x14ac:dyDescent="0.35">
      <c r="B25" s="407"/>
      <c r="C25" s="420"/>
      <c r="D25" s="327" t="s">
        <v>56</v>
      </c>
      <c r="E25" s="327" t="s">
        <v>57</v>
      </c>
      <c r="F25" s="328" t="s">
        <v>58</v>
      </c>
      <c r="G25" s="408"/>
      <c r="I25" s="171"/>
      <c r="J25" s="172"/>
      <c r="K25" s="126"/>
    </row>
    <row r="26" spans="2:11" x14ac:dyDescent="0.3">
      <c r="B26" s="409"/>
      <c r="C26" s="329" t="s">
        <v>62</v>
      </c>
      <c r="D26" s="411"/>
      <c r="E26" s="411"/>
      <c r="F26" s="412"/>
      <c r="G26" s="408"/>
      <c r="I26" s="171"/>
      <c r="J26" s="172"/>
      <c r="K26" s="126"/>
    </row>
    <row r="27" spans="2:11" x14ac:dyDescent="0.3">
      <c r="B27" s="409"/>
      <c r="C27" s="329" t="s">
        <v>607</v>
      </c>
      <c r="D27" s="411"/>
      <c r="E27" s="411"/>
      <c r="F27" s="412"/>
      <c r="G27" s="408"/>
      <c r="I27" s="171"/>
      <c r="J27" s="172"/>
      <c r="K27" s="126"/>
    </row>
    <row r="28" spans="2:11" x14ac:dyDescent="0.3">
      <c r="B28" s="409"/>
      <c r="C28" s="329" t="s">
        <v>608</v>
      </c>
      <c r="D28" s="411"/>
      <c r="E28" s="411"/>
      <c r="F28" s="412"/>
      <c r="G28" s="408"/>
      <c r="I28" s="171"/>
      <c r="J28" s="172"/>
      <c r="K28" s="126"/>
    </row>
    <row r="29" spans="2:11" x14ac:dyDescent="0.3">
      <c r="B29" s="409"/>
      <c r="C29" s="329" t="s">
        <v>413</v>
      </c>
      <c r="D29" s="411"/>
      <c r="E29" s="411"/>
      <c r="F29" s="412"/>
      <c r="G29" s="408"/>
      <c r="I29" s="171"/>
      <c r="J29" s="172"/>
      <c r="K29" s="126"/>
    </row>
    <row r="30" spans="2:11" ht="17.25" thickBot="1" x14ac:dyDescent="0.35">
      <c r="B30" s="409"/>
      <c r="C30" s="324" t="s">
        <v>427</v>
      </c>
      <c r="D30" s="414"/>
      <c r="E30" s="414"/>
      <c r="F30" s="421"/>
      <c r="G30" s="408"/>
      <c r="I30" s="171"/>
      <c r="J30" s="172"/>
      <c r="K30" s="126"/>
    </row>
    <row r="31" spans="2:11" ht="17.25" thickBot="1" x14ac:dyDescent="0.35">
      <c r="B31" s="409"/>
      <c r="C31" s="367"/>
      <c r="D31" s="367"/>
      <c r="E31" s="367"/>
      <c r="F31" s="367"/>
      <c r="G31" s="418"/>
      <c r="I31" s="171"/>
      <c r="J31" s="172"/>
      <c r="K31" s="126"/>
    </row>
    <row r="32" spans="2:11" ht="18" thickBot="1" x14ac:dyDescent="0.4">
      <c r="B32" s="409"/>
      <c r="C32" s="874" t="s">
        <v>63</v>
      </c>
      <c r="D32" s="875"/>
      <c r="E32" s="875"/>
      <c r="F32" s="876"/>
      <c r="G32" s="408"/>
      <c r="I32" s="171"/>
      <c r="J32" s="172"/>
      <c r="K32" s="126"/>
    </row>
    <row r="33" spans="2:11" ht="17.25" x14ac:dyDescent="0.35">
      <c r="B33" s="409"/>
      <c r="C33" s="410"/>
      <c r="D33" s="929" t="s">
        <v>48</v>
      </c>
      <c r="E33" s="927"/>
      <c r="F33" s="928"/>
      <c r="G33" s="408"/>
      <c r="I33" s="171"/>
      <c r="J33" s="172"/>
      <c r="K33" s="126"/>
    </row>
    <row r="34" spans="2:11" ht="17.25" x14ac:dyDescent="0.35">
      <c r="B34" s="407"/>
      <c r="C34" s="409"/>
      <c r="D34" s="327" t="s">
        <v>56</v>
      </c>
      <c r="E34" s="327" t="s">
        <v>57</v>
      </c>
      <c r="F34" s="328" t="s">
        <v>58</v>
      </c>
      <c r="G34" s="408"/>
      <c r="I34" s="171"/>
      <c r="J34" s="172"/>
      <c r="K34" s="126"/>
    </row>
    <row r="35" spans="2:11" x14ac:dyDescent="0.3">
      <c r="B35" s="409"/>
      <c r="C35" s="329" t="s">
        <v>64</v>
      </c>
      <c r="D35" s="411"/>
      <c r="E35" s="411"/>
      <c r="F35" s="412"/>
      <c r="G35" s="408"/>
      <c r="I35" s="171"/>
      <c r="J35" s="172"/>
      <c r="K35" s="126"/>
    </row>
    <row r="36" spans="2:11" x14ac:dyDescent="0.3">
      <c r="B36" s="409"/>
      <c r="C36" s="329" t="s">
        <v>65</v>
      </c>
      <c r="D36" s="411"/>
      <c r="E36" s="411"/>
      <c r="F36" s="412"/>
      <c r="G36" s="408"/>
      <c r="I36" s="171"/>
      <c r="J36" s="172"/>
      <c r="K36" s="126"/>
    </row>
    <row r="37" spans="2:11" x14ac:dyDescent="0.3">
      <c r="B37" s="409"/>
      <c r="C37" s="329" t="s">
        <v>66</v>
      </c>
      <c r="D37" s="411"/>
      <c r="E37" s="411"/>
      <c r="F37" s="412"/>
      <c r="G37" s="408"/>
      <c r="I37" s="171"/>
      <c r="J37" s="172"/>
      <c r="K37" s="126"/>
    </row>
    <row r="38" spans="2:11" x14ac:dyDescent="0.3">
      <c r="B38" s="409"/>
      <c r="C38" s="329" t="s">
        <v>67</v>
      </c>
      <c r="D38" s="411"/>
      <c r="E38" s="411"/>
      <c r="F38" s="412"/>
      <c r="G38" s="408"/>
      <c r="I38" s="171"/>
      <c r="J38" s="172"/>
      <c r="K38" s="126"/>
    </row>
    <row r="39" spans="2:11" x14ac:dyDescent="0.3">
      <c r="B39" s="409"/>
      <c r="C39" s="329" t="s">
        <v>68</v>
      </c>
      <c r="D39" s="411"/>
      <c r="E39" s="411"/>
      <c r="F39" s="412"/>
      <c r="G39" s="408"/>
      <c r="I39" s="171"/>
      <c r="J39" s="172"/>
      <c r="K39" s="126"/>
    </row>
    <row r="40" spans="2:11" x14ac:dyDescent="0.3">
      <c r="B40" s="409"/>
      <c r="C40" s="329" t="s">
        <v>69</v>
      </c>
      <c r="D40" s="411"/>
      <c r="E40" s="411"/>
      <c r="F40" s="412"/>
      <c r="G40" s="408"/>
      <c r="I40" s="171"/>
      <c r="J40" s="172"/>
      <c r="K40" s="126"/>
    </row>
    <row r="41" spans="2:11" x14ac:dyDescent="0.3">
      <c r="B41" s="409"/>
      <c r="C41" s="329" t="s">
        <v>70</v>
      </c>
      <c r="D41" s="411"/>
      <c r="E41" s="411"/>
      <c r="F41" s="412"/>
      <c r="G41" s="408"/>
      <c r="I41" s="171"/>
      <c r="J41" s="172"/>
      <c r="K41" s="126"/>
    </row>
    <row r="42" spans="2:11" x14ac:dyDescent="0.3">
      <c r="B42" s="409"/>
      <c r="C42" s="329" t="s">
        <v>71</v>
      </c>
      <c r="D42" s="411"/>
      <c r="E42" s="411"/>
      <c r="F42" s="412"/>
      <c r="G42" s="408"/>
      <c r="I42" s="171"/>
      <c r="J42" s="172"/>
      <c r="K42" s="126"/>
    </row>
    <row r="43" spans="2:11" x14ac:dyDescent="0.3">
      <c r="B43" s="409"/>
      <c r="C43" s="329" t="s">
        <v>72</v>
      </c>
      <c r="D43" s="411"/>
      <c r="E43" s="411"/>
      <c r="F43" s="412"/>
      <c r="G43" s="408"/>
      <c r="I43" s="171"/>
      <c r="J43" s="172"/>
      <c r="K43" s="126"/>
    </row>
    <row r="44" spans="2:11" x14ac:dyDescent="0.3">
      <c r="B44" s="409"/>
      <c r="C44" s="329" t="s">
        <v>73</v>
      </c>
      <c r="D44" s="411"/>
      <c r="E44" s="411"/>
      <c r="F44" s="412"/>
      <c r="G44" s="408"/>
      <c r="I44" s="171"/>
      <c r="J44" s="172"/>
      <c r="K44" s="126"/>
    </row>
    <row r="45" spans="2:11" ht="17.25" thickBot="1" x14ac:dyDescent="0.35">
      <c r="B45" s="409"/>
      <c r="C45" s="330" t="s">
        <v>74</v>
      </c>
      <c r="D45" s="414"/>
      <c r="E45" s="414"/>
      <c r="F45" s="421"/>
      <c r="G45" s="408"/>
      <c r="I45" s="171"/>
      <c r="J45" s="172"/>
      <c r="K45" s="126"/>
    </row>
    <row r="46" spans="2:11" ht="17.25" thickBot="1" x14ac:dyDescent="0.35">
      <c r="B46" s="409"/>
      <c r="C46" s="367"/>
      <c r="D46" s="367"/>
      <c r="E46" s="367"/>
      <c r="F46" s="367"/>
      <c r="G46" s="418"/>
      <c r="I46" s="171"/>
      <c r="J46" s="172"/>
      <c r="K46" s="126"/>
    </row>
    <row r="47" spans="2:11" ht="18" thickBot="1" x14ac:dyDescent="0.4">
      <c r="B47" s="409"/>
      <c r="C47" s="958" t="s">
        <v>75</v>
      </c>
      <c r="D47" s="959"/>
      <c r="E47" s="959"/>
      <c r="F47" s="960"/>
      <c r="G47" s="408"/>
      <c r="I47" s="171"/>
      <c r="J47" s="172"/>
      <c r="K47" s="126"/>
    </row>
    <row r="48" spans="2:11" ht="15" customHeight="1" x14ac:dyDescent="0.35">
      <c r="B48" s="409"/>
      <c r="C48" s="410"/>
      <c r="D48" s="929" t="s">
        <v>48</v>
      </c>
      <c r="E48" s="927"/>
      <c r="F48" s="928"/>
      <c r="G48" s="408"/>
      <c r="I48" s="171"/>
      <c r="J48" s="172"/>
      <c r="K48" s="126"/>
    </row>
    <row r="49" spans="2:11" ht="17.25" x14ac:dyDescent="0.35">
      <c r="B49" s="407"/>
      <c r="C49" s="409"/>
      <c r="D49" s="327" t="s">
        <v>56</v>
      </c>
      <c r="E49" s="327" t="s">
        <v>57</v>
      </c>
      <c r="F49" s="328" t="s">
        <v>58</v>
      </c>
      <c r="G49" s="408"/>
      <c r="I49" s="171"/>
      <c r="J49" s="172"/>
      <c r="K49" s="126"/>
    </row>
    <row r="50" spans="2:11" x14ac:dyDescent="0.3">
      <c r="B50" s="409"/>
      <c r="C50" s="329" t="s">
        <v>304</v>
      </c>
      <c r="D50" s="411"/>
      <c r="E50" s="411"/>
      <c r="F50" s="412"/>
      <c r="G50" s="408"/>
      <c r="I50" s="171"/>
      <c r="J50" s="172"/>
      <c r="K50" s="126"/>
    </row>
    <row r="51" spans="2:11" x14ac:dyDescent="0.3">
      <c r="B51" s="409"/>
      <c r="C51" s="329" t="s">
        <v>305</v>
      </c>
      <c r="D51" s="411"/>
      <c r="E51" s="411"/>
      <c r="F51" s="412"/>
      <c r="G51" s="408"/>
      <c r="I51" s="171"/>
      <c r="J51" s="172"/>
      <c r="K51" s="126"/>
    </row>
    <row r="52" spans="2:11" x14ac:dyDescent="0.3">
      <c r="B52" s="409"/>
      <c r="C52" s="329" t="s">
        <v>78</v>
      </c>
      <c r="D52" s="411"/>
      <c r="E52" s="411"/>
      <c r="F52" s="412"/>
      <c r="G52" s="408"/>
      <c r="I52" s="171"/>
      <c r="J52" s="172"/>
      <c r="K52" s="126"/>
    </row>
    <row r="53" spans="2:11" x14ac:dyDescent="0.3">
      <c r="B53" s="409"/>
      <c r="C53" s="329" t="s">
        <v>79</v>
      </c>
      <c r="D53" s="411"/>
      <c r="E53" s="411"/>
      <c r="F53" s="412"/>
      <c r="G53" s="408"/>
      <c r="I53" s="171"/>
      <c r="J53" s="172"/>
      <c r="K53" s="126"/>
    </row>
    <row r="54" spans="2:11" ht="17.25" thickBot="1" x14ac:dyDescent="0.35">
      <c r="B54" s="409"/>
      <c r="C54" s="330" t="s">
        <v>428</v>
      </c>
      <c r="D54" s="414"/>
      <c r="E54" s="414"/>
      <c r="F54" s="421"/>
      <c r="G54" s="408"/>
      <c r="I54" s="171"/>
      <c r="J54" s="172"/>
      <c r="K54" s="126"/>
    </row>
    <row r="55" spans="2:11" ht="17.25" thickBot="1" x14ac:dyDescent="0.35">
      <c r="B55" s="409"/>
      <c r="C55" s="367"/>
      <c r="D55" s="367"/>
      <c r="E55" s="367"/>
      <c r="F55" s="367"/>
      <c r="G55" s="418"/>
      <c r="I55" s="171"/>
      <c r="J55" s="172"/>
      <c r="K55" s="126"/>
    </row>
    <row r="56" spans="2:11" ht="18" thickBot="1" x14ac:dyDescent="0.4">
      <c r="B56" s="409"/>
      <c r="C56" s="958" t="s">
        <v>80</v>
      </c>
      <c r="D56" s="959"/>
      <c r="E56" s="959"/>
      <c r="F56" s="960"/>
      <c r="G56" s="408"/>
      <c r="I56" s="171"/>
      <c r="J56" s="172"/>
      <c r="K56" s="126"/>
    </row>
    <row r="57" spans="2:11" ht="15" customHeight="1" x14ac:dyDescent="0.35">
      <c r="B57" s="409"/>
      <c r="C57" s="410"/>
      <c r="D57" s="929" t="s">
        <v>48</v>
      </c>
      <c r="E57" s="927"/>
      <c r="F57" s="928"/>
      <c r="G57" s="408"/>
      <c r="I57" s="171"/>
      <c r="J57" s="172"/>
      <c r="K57" s="126"/>
    </row>
    <row r="58" spans="2:11" ht="17.25" x14ac:dyDescent="0.35">
      <c r="B58" s="422"/>
      <c r="C58" s="409"/>
      <c r="D58" s="327" t="s">
        <v>56</v>
      </c>
      <c r="E58" s="327" t="s">
        <v>57</v>
      </c>
      <c r="F58" s="328" t="s">
        <v>58</v>
      </c>
      <c r="G58" s="408"/>
      <c r="I58" s="171"/>
      <c r="J58" s="172"/>
      <c r="K58" s="126"/>
    </row>
    <row r="59" spans="2:11" x14ac:dyDescent="0.3">
      <c r="B59" s="409"/>
      <c r="C59" s="329" t="s">
        <v>81</v>
      </c>
      <c r="D59" s="411"/>
      <c r="E59" s="411"/>
      <c r="F59" s="412"/>
      <c r="G59" s="408"/>
      <c r="I59" s="171"/>
      <c r="J59" s="172"/>
      <c r="K59" s="126"/>
    </row>
    <row r="60" spans="2:11" x14ac:dyDescent="0.3">
      <c r="B60" s="409"/>
      <c r="C60" s="329" t="s">
        <v>82</v>
      </c>
      <c r="D60" s="411"/>
      <c r="E60" s="411"/>
      <c r="F60" s="412"/>
      <c r="G60" s="408"/>
      <c r="I60" s="171"/>
      <c r="J60" s="172"/>
      <c r="K60" s="126"/>
    </row>
    <row r="61" spans="2:11" x14ac:dyDescent="0.3">
      <c r="B61" s="409"/>
      <c r="C61" s="329" t="s">
        <v>83</v>
      </c>
      <c r="D61" s="411"/>
      <c r="E61" s="411"/>
      <c r="F61" s="412"/>
      <c r="G61" s="408"/>
      <c r="I61" s="171"/>
      <c r="J61" s="172"/>
      <c r="K61" s="126"/>
    </row>
    <row r="62" spans="2:11" x14ac:dyDescent="0.3">
      <c r="B62" s="409"/>
      <c r="C62" s="329" t="s">
        <v>84</v>
      </c>
      <c r="D62" s="411"/>
      <c r="E62" s="411"/>
      <c r="F62" s="412"/>
      <c r="G62" s="408"/>
      <c r="I62" s="171"/>
      <c r="J62" s="172"/>
      <c r="K62" s="126"/>
    </row>
    <row r="63" spans="2:11" x14ac:dyDescent="0.3">
      <c r="B63" s="409"/>
      <c r="C63" s="329" t="s">
        <v>85</v>
      </c>
      <c r="D63" s="411"/>
      <c r="E63" s="411"/>
      <c r="F63" s="412"/>
      <c r="G63" s="408"/>
      <c r="I63" s="171"/>
      <c r="J63" s="172"/>
      <c r="K63" s="126"/>
    </row>
    <row r="64" spans="2:11" x14ac:dyDescent="0.3">
      <c r="B64" s="409"/>
      <c r="C64" s="329" t="s">
        <v>86</v>
      </c>
      <c r="D64" s="411"/>
      <c r="E64" s="411"/>
      <c r="F64" s="412"/>
      <c r="G64" s="408"/>
      <c r="I64" s="171"/>
      <c r="J64" s="172"/>
      <c r="K64" s="126"/>
    </row>
    <row r="65" spans="2:11" x14ac:dyDescent="0.3">
      <c r="B65" s="409"/>
      <c r="C65" s="329" t="s">
        <v>87</v>
      </c>
      <c r="D65" s="411"/>
      <c r="E65" s="411"/>
      <c r="F65" s="412"/>
      <c r="G65" s="408"/>
      <c r="I65" s="171"/>
      <c r="J65" s="172"/>
      <c r="K65" s="126"/>
    </row>
    <row r="66" spans="2:11" ht="17.25" thickBot="1" x14ac:dyDescent="0.35">
      <c r="B66" s="409"/>
      <c r="C66" s="330" t="s">
        <v>88</v>
      </c>
      <c r="D66" s="414"/>
      <c r="E66" s="414"/>
      <c r="F66" s="421"/>
      <c r="G66" s="408"/>
      <c r="I66" s="171"/>
      <c r="J66" s="172"/>
      <c r="K66" s="126"/>
    </row>
    <row r="67" spans="2:11" ht="17.25" thickBot="1" x14ac:dyDescent="0.35">
      <c r="B67" s="409"/>
      <c r="C67" s="367"/>
      <c r="D67" s="367"/>
      <c r="E67" s="367"/>
      <c r="F67" s="367"/>
      <c r="G67" s="418"/>
      <c r="I67" s="171"/>
      <c r="J67" s="172"/>
      <c r="K67" s="126"/>
    </row>
    <row r="68" spans="2:11" ht="18" thickBot="1" x14ac:dyDescent="0.4">
      <c r="B68" s="409"/>
      <c r="C68" s="958" t="s">
        <v>89</v>
      </c>
      <c r="D68" s="959"/>
      <c r="E68" s="959"/>
      <c r="F68" s="960"/>
      <c r="G68" s="408"/>
      <c r="I68" s="171"/>
      <c r="J68" s="172"/>
      <c r="K68" s="126"/>
    </row>
    <row r="69" spans="2:11" ht="17.25" x14ac:dyDescent="0.35">
      <c r="B69" s="407"/>
      <c r="C69" s="410"/>
      <c r="D69" s="929" t="s">
        <v>48</v>
      </c>
      <c r="E69" s="927"/>
      <c r="F69" s="928"/>
      <c r="G69" s="418"/>
      <c r="I69" s="171"/>
      <c r="J69" s="172"/>
      <c r="K69" s="126"/>
    </row>
    <row r="70" spans="2:11" x14ac:dyDescent="0.3">
      <c r="B70" s="409"/>
      <c r="C70" s="329" t="s">
        <v>90</v>
      </c>
      <c r="D70" s="954"/>
      <c r="E70" s="954"/>
      <c r="F70" s="955"/>
      <c r="G70" s="418"/>
      <c r="I70" s="171"/>
      <c r="J70" s="172"/>
      <c r="K70" s="126"/>
    </row>
    <row r="71" spans="2:11" x14ac:dyDescent="0.3">
      <c r="B71" s="409"/>
      <c r="C71" s="329" t="s">
        <v>91</v>
      </c>
      <c r="D71" s="954"/>
      <c r="E71" s="954"/>
      <c r="F71" s="955"/>
      <c r="G71" s="418"/>
      <c r="I71" s="171"/>
      <c r="J71" s="172"/>
      <c r="K71" s="126"/>
    </row>
    <row r="72" spans="2:11" x14ac:dyDescent="0.3">
      <c r="B72" s="409"/>
      <c r="C72" s="329" t="s">
        <v>306</v>
      </c>
      <c r="D72" s="954"/>
      <c r="E72" s="954"/>
      <c r="F72" s="955"/>
      <c r="G72" s="418"/>
      <c r="I72" s="171"/>
      <c r="J72" s="172"/>
      <c r="K72" s="126"/>
    </row>
    <row r="73" spans="2:11" x14ac:dyDescent="0.3">
      <c r="B73" s="409"/>
      <c r="C73" s="329" t="s">
        <v>92</v>
      </c>
      <c r="D73" s="956" t="str">
        <f>IF(D70+D72=0,"",D70+D72)</f>
        <v/>
      </c>
      <c r="E73" s="956"/>
      <c r="F73" s="957"/>
      <c r="G73" s="418"/>
      <c r="I73" s="173"/>
      <c r="J73" s="174"/>
      <c r="K73" s="126"/>
    </row>
    <row r="74" spans="2:11" x14ac:dyDescent="0.3">
      <c r="B74" s="409"/>
      <c r="C74" s="329" t="s">
        <v>93</v>
      </c>
      <c r="D74" s="954"/>
      <c r="E74" s="954"/>
      <c r="F74" s="955"/>
      <c r="G74" s="418"/>
      <c r="I74" s="173"/>
      <c r="J74" s="174"/>
      <c r="K74" s="126"/>
    </row>
    <row r="75" spans="2:11" x14ac:dyDescent="0.3">
      <c r="B75" s="409"/>
      <c r="C75" s="329" t="s">
        <v>94</v>
      </c>
      <c r="D75" s="954"/>
      <c r="E75" s="954"/>
      <c r="F75" s="955"/>
      <c r="G75" s="418"/>
      <c r="I75" s="173"/>
      <c r="J75" s="174"/>
      <c r="K75" s="126"/>
    </row>
    <row r="76" spans="2:11" x14ac:dyDescent="0.3">
      <c r="B76" s="409"/>
      <c r="C76" s="329" t="s">
        <v>95</v>
      </c>
      <c r="D76" s="954"/>
      <c r="E76" s="954"/>
      <c r="F76" s="955"/>
      <c r="G76" s="418"/>
      <c r="I76" s="173"/>
      <c r="J76" s="174"/>
      <c r="K76" s="126"/>
    </row>
    <row r="77" spans="2:11" x14ac:dyDescent="0.3">
      <c r="B77" s="409"/>
      <c r="C77" s="329" t="s">
        <v>306</v>
      </c>
      <c r="D77" s="954"/>
      <c r="E77" s="954"/>
      <c r="F77" s="955"/>
      <c r="G77" s="418"/>
      <c r="I77" s="173"/>
      <c r="J77" s="174"/>
      <c r="K77" s="126"/>
    </row>
    <row r="78" spans="2:11" ht="17.25" thickBot="1" x14ac:dyDescent="0.35">
      <c r="B78" s="409"/>
      <c r="C78" s="330" t="s">
        <v>92</v>
      </c>
      <c r="D78" s="952" t="str">
        <f>IF(D75+D77=0,"",D75+D77)</f>
        <v/>
      </c>
      <c r="E78" s="952"/>
      <c r="F78" s="953"/>
      <c r="G78" s="418"/>
      <c r="I78" s="175"/>
      <c r="J78" s="172"/>
      <c r="K78" s="126"/>
    </row>
    <row r="79" spans="2:11" ht="17.25" thickBot="1" x14ac:dyDescent="0.35">
      <c r="B79" s="423"/>
      <c r="C79" s="415"/>
      <c r="D79" s="415"/>
      <c r="E79" s="415"/>
      <c r="F79" s="415"/>
      <c r="G79" s="424"/>
      <c r="I79" s="175"/>
      <c r="J79" s="172"/>
      <c r="K79" s="126"/>
    </row>
    <row r="80" spans="2:11" x14ac:dyDescent="0.3">
      <c r="K80" s="126"/>
    </row>
    <row r="81" spans="1:11" s="176" customFormat="1" x14ac:dyDescent="0.3">
      <c r="A81" s="126"/>
      <c r="B81" s="126"/>
      <c r="C81" s="126"/>
      <c r="D81" s="126"/>
      <c r="E81" s="126"/>
      <c r="F81" s="126"/>
      <c r="G81" s="126"/>
      <c r="H81" s="126"/>
      <c r="I81" s="126"/>
      <c r="J81" s="126"/>
      <c r="K81" s="126"/>
    </row>
  </sheetData>
  <sheetProtection password="D93F" sheet="1" objects="1" scenarios="1" selectLockedCells="1"/>
  <customSheetViews>
    <customSheetView guid="{2A4C6EB9-430A-44F2-86C8-15B50360FC3B}" scale="70" showGridLines="0">
      <selection activeCell="F2" sqref="F2"/>
      <pageMargins left="0.7" right="0.7" top="0.75" bottom="0.75" header="0.3" footer="0.3"/>
      <pageSetup orientation="portrait" horizontalDpi="200" verticalDpi="200" r:id="rId1"/>
    </customSheetView>
    <customSheetView guid="{B3BD5AF3-9A64-4EA7-AE1F-3CC326849B8F}" scale="70" showGridLines="0">
      <selection activeCell="K3" sqref="K3:K5"/>
      <pageMargins left="0.7" right="0.7" top="0.75" bottom="0.75" header="0.3" footer="0.3"/>
      <pageSetup orientation="portrait" horizontalDpi="200" verticalDpi="200" r:id="rId2"/>
    </customSheetView>
  </customSheetViews>
  <mergeCells count="25">
    <mergeCell ref="D33:F33"/>
    <mergeCell ref="H4:I4"/>
    <mergeCell ref="B2:C2"/>
    <mergeCell ref="C13:F13"/>
    <mergeCell ref="C23:F23"/>
    <mergeCell ref="C32:F32"/>
    <mergeCell ref="E2:F2"/>
    <mergeCell ref="D14:F14"/>
    <mergeCell ref="D24:F24"/>
    <mergeCell ref="D78:F78"/>
    <mergeCell ref="B11:G11"/>
    <mergeCell ref="D70:F70"/>
    <mergeCell ref="D48:F48"/>
    <mergeCell ref="D71:F71"/>
    <mergeCell ref="D76:F76"/>
    <mergeCell ref="D77:F77"/>
    <mergeCell ref="D72:F72"/>
    <mergeCell ref="D73:F73"/>
    <mergeCell ref="D57:F57"/>
    <mergeCell ref="D69:F69"/>
    <mergeCell ref="C47:F47"/>
    <mergeCell ref="C56:F56"/>
    <mergeCell ref="C68:F68"/>
    <mergeCell ref="D74:F74"/>
    <mergeCell ref="D75:F75"/>
  </mergeCells>
  <phoneticPr fontId="27" type="noConversion"/>
  <conditionalFormatting sqref="D70:D78 D26:F30 D35:F45 D50:F54 D59:F66 D20:D21 D16:F19">
    <cfRule type="expression" dxfId="45" priority="3" stopIfTrue="1">
      <formula>OR($I$5 = "Central Air Conditioner", $I$6 = "Single-Speed")</formula>
    </cfRule>
  </conditionalFormatting>
  <hyperlinks>
    <hyperlink ref="E2" location="Instructions!A1" display="Back to Instructions"/>
    <hyperlink ref="E2:F2" location="Instructions!A1" display="Back to Instructions tab"/>
  </hyperlinks>
  <pageMargins left="0.7" right="0.7" top="0.75" bottom="0.75" header="0.3" footer="0.3"/>
  <pageSetup orientation="portrait" horizontalDpi="200" verticalDpi="200"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rgb="FF0070C0"/>
  </sheetPr>
  <dimension ref="A1:K221"/>
  <sheetViews>
    <sheetView showGridLines="0" zoomScale="80" zoomScaleNormal="80" workbookViewId="0">
      <selection activeCell="E2" sqref="E2:F2"/>
    </sheetView>
  </sheetViews>
  <sheetFormatPr defaultColWidth="9.140625" defaultRowHeight="16.5" x14ac:dyDescent="0.3"/>
  <cols>
    <col min="1" max="1" width="4.85546875" style="6" customWidth="1"/>
    <col min="2" max="2" width="31.7109375" style="6" customWidth="1"/>
    <col min="3" max="3" width="68.7109375" style="6" customWidth="1"/>
    <col min="4" max="6" width="15.42578125" style="6" customWidth="1"/>
    <col min="7" max="7" width="6.85546875" style="6" customWidth="1"/>
    <col min="8" max="8" width="28.5703125" style="6" customWidth="1"/>
    <col min="9" max="9" width="18.42578125" style="6" customWidth="1"/>
    <col min="10" max="10" width="6.7109375" style="114" customWidth="1"/>
    <col min="11" max="11" width="5.140625" style="6" customWidth="1"/>
    <col min="12" max="16384" width="9.140625" style="6"/>
  </cols>
  <sheetData>
    <row r="1" spans="1:11" ht="17.25" thickBot="1" x14ac:dyDescent="0.35">
      <c r="A1" s="8"/>
      <c r="J1" s="127"/>
      <c r="K1" s="19"/>
    </row>
    <row r="2" spans="1:11" s="1" customFormat="1" ht="18" thickBot="1" x14ac:dyDescent="0.35">
      <c r="B2" s="764" t="s">
        <v>562</v>
      </c>
      <c r="C2" s="765"/>
      <c r="E2" s="827" t="s">
        <v>540</v>
      </c>
      <c r="F2" s="827"/>
      <c r="J2" s="128"/>
      <c r="K2" s="129"/>
    </row>
    <row r="3" spans="1:11" s="1" customFormat="1" ht="17.25" thickBot="1" x14ac:dyDescent="0.35">
      <c r="B3" s="297" t="s">
        <v>563</v>
      </c>
      <c r="C3" s="298" t="str">
        <f>'Version Control'!C3</f>
        <v>Residential Central Air Conditioners and Heat Pumps</v>
      </c>
      <c r="J3" s="128"/>
      <c r="K3" s="129"/>
    </row>
    <row r="4" spans="1:11" s="1" customFormat="1" ht="18" thickBot="1" x14ac:dyDescent="0.35">
      <c r="B4" s="299" t="s">
        <v>140</v>
      </c>
      <c r="C4" s="300" t="str">
        <f>'Version Control'!C4</f>
        <v>v2.1</v>
      </c>
      <c r="H4" s="761" t="s">
        <v>349</v>
      </c>
      <c r="I4" s="763"/>
      <c r="J4" s="128"/>
      <c r="K4" s="129"/>
    </row>
    <row r="5" spans="1:11" s="1" customFormat="1" x14ac:dyDescent="0.3">
      <c r="B5" s="299" t="s">
        <v>462</v>
      </c>
      <c r="C5" s="301">
        <f>'Version Control'!C5</f>
        <v>42653</v>
      </c>
      <c r="H5" s="55" t="s">
        <v>158</v>
      </c>
      <c r="I5" s="598">
        <f>'General Info and Test Results'!C25</f>
        <v>0</v>
      </c>
      <c r="J5" s="128"/>
      <c r="K5" s="129"/>
    </row>
    <row r="6" spans="1:11" s="1" customFormat="1" x14ac:dyDescent="0.3">
      <c r="B6" s="302" t="s">
        <v>139</v>
      </c>
      <c r="C6" s="303" t="str">
        <f ca="1">MID(CELL("filename",$A$1), FIND("]", CELL("filename", $A$1))+ 1, 255)</f>
        <v>H1 Test Recorded Data</v>
      </c>
      <c r="H6" s="56" t="s">
        <v>153</v>
      </c>
      <c r="I6" s="599">
        <f>'General Info and Test Results'!C26</f>
        <v>0</v>
      </c>
      <c r="J6" s="128"/>
      <c r="K6" s="129"/>
    </row>
    <row r="7" spans="1:11" s="1" customFormat="1" ht="33.75" thickBot="1" x14ac:dyDescent="0.35">
      <c r="B7" s="304" t="s">
        <v>138</v>
      </c>
      <c r="C7" s="305" t="str">
        <f ca="1">MID(CELL("FILENAME",F14),FIND("[",CELL("FILENAME",F14))+1,FIND("]",CELL("FILENAME",F14))-FIND("[",CELL("FILENAME",F14))-1)</f>
        <v>Residential Central Air Conditioners and Heat Pumps - v2.1.xlsx</v>
      </c>
      <c r="H7" s="57" t="s">
        <v>199</v>
      </c>
      <c r="I7" s="600">
        <f>'General Info and Test Results'!C27</f>
        <v>0</v>
      </c>
      <c r="J7" s="128"/>
      <c r="K7" s="129"/>
    </row>
    <row r="8" spans="1:11" s="1" customFormat="1" ht="17.25" thickBot="1" x14ac:dyDescent="0.35">
      <c r="B8" s="306" t="s">
        <v>141</v>
      </c>
      <c r="C8" s="307" t="str">
        <f>'Version Control'!C8</f>
        <v>[MM/DD/YYYY]</v>
      </c>
      <c r="G8" s="14"/>
      <c r="H8" s="9"/>
      <c r="J8" s="128"/>
      <c r="K8" s="129"/>
    </row>
    <row r="9" spans="1:11" s="1" customFormat="1" x14ac:dyDescent="0.3">
      <c r="B9" s="4"/>
      <c r="G9" s="14"/>
      <c r="H9" s="6"/>
      <c r="J9" s="128"/>
      <c r="K9" s="129"/>
    </row>
    <row r="10" spans="1:11" ht="17.25" thickBot="1" x14ac:dyDescent="0.35">
      <c r="B10" s="340"/>
      <c r="C10" s="340"/>
      <c r="D10" s="340"/>
      <c r="E10" s="340"/>
      <c r="F10" s="340"/>
      <c r="G10" s="340"/>
      <c r="K10" s="19"/>
    </row>
    <row r="11" spans="1:11" s="7" customFormat="1" ht="18.75" thickBot="1" x14ac:dyDescent="0.4">
      <c r="B11" s="902" t="s">
        <v>417</v>
      </c>
      <c r="C11" s="903"/>
      <c r="D11" s="903"/>
      <c r="E11" s="903"/>
      <c r="F11" s="903"/>
      <c r="G11" s="904"/>
      <c r="J11" s="115"/>
      <c r="K11" s="20"/>
    </row>
    <row r="12" spans="1:11" ht="18" thickBot="1" x14ac:dyDescent="0.4">
      <c r="B12" s="357"/>
      <c r="C12" s="344"/>
      <c r="D12" s="344"/>
      <c r="E12" s="344"/>
      <c r="F12" s="344"/>
      <c r="G12" s="345"/>
      <c r="K12" s="19"/>
    </row>
    <row r="13" spans="1:11" ht="18" thickBot="1" x14ac:dyDescent="0.4">
      <c r="B13" s="326"/>
      <c r="C13" s="874" t="s">
        <v>55</v>
      </c>
      <c r="D13" s="875"/>
      <c r="E13" s="875"/>
      <c r="F13" s="876"/>
      <c r="G13" s="346"/>
      <c r="K13" s="19"/>
    </row>
    <row r="14" spans="1:11" ht="17.25" x14ac:dyDescent="0.35">
      <c r="B14" s="321"/>
      <c r="C14" s="325"/>
      <c r="D14" s="929" t="s">
        <v>48</v>
      </c>
      <c r="E14" s="927"/>
      <c r="F14" s="928"/>
      <c r="G14" s="346"/>
      <c r="I14" s="138"/>
      <c r="J14" s="154"/>
      <c r="K14" s="19"/>
    </row>
    <row r="15" spans="1:11" ht="17.25" x14ac:dyDescent="0.35">
      <c r="B15" s="326"/>
      <c r="C15" s="321"/>
      <c r="D15" s="327" t="s">
        <v>56</v>
      </c>
      <c r="E15" s="327" t="s">
        <v>57</v>
      </c>
      <c r="F15" s="328" t="s">
        <v>58</v>
      </c>
      <c r="G15" s="346"/>
      <c r="I15" s="138"/>
      <c r="J15" s="154"/>
      <c r="K15" s="19"/>
    </row>
    <row r="16" spans="1:11" x14ac:dyDescent="0.3">
      <c r="B16" s="321"/>
      <c r="C16" s="322" t="s">
        <v>432</v>
      </c>
      <c r="D16" s="353"/>
      <c r="E16" s="353"/>
      <c r="F16" s="354"/>
      <c r="G16" s="346"/>
      <c r="I16" s="140"/>
      <c r="J16" s="155"/>
      <c r="K16" s="19"/>
    </row>
    <row r="17" spans="2:11" x14ac:dyDescent="0.3">
      <c r="B17" s="321"/>
      <c r="C17" s="322" t="s">
        <v>433</v>
      </c>
      <c r="D17" s="353"/>
      <c r="E17" s="353"/>
      <c r="F17" s="354"/>
      <c r="G17" s="346"/>
      <c r="I17" s="140"/>
      <c r="J17" s="155"/>
      <c r="K17" s="19"/>
    </row>
    <row r="18" spans="2:11" x14ac:dyDescent="0.3">
      <c r="B18" s="321"/>
      <c r="C18" s="332" t="s">
        <v>59</v>
      </c>
      <c r="D18" s="353"/>
      <c r="E18" s="353"/>
      <c r="F18" s="354"/>
      <c r="G18" s="346"/>
      <c r="I18" s="140"/>
      <c r="J18" s="155"/>
      <c r="K18" s="19"/>
    </row>
    <row r="19" spans="2:11" x14ac:dyDescent="0.3">
      <c r="B19" s="321"/>
      <c r="C19" s="332" t="s">
        <v>60</v>
      </c>
      <c r="D19" s="353"/>
      <c r="E19" s="353"/>
      <c r="F19" s="354"/>
      <c r="G19" s="346"/>
      <c r="I19" s="140"/>
      <c r="J19" s="155"/>
      <c r="K19" s="19"/>
    </row>
    <row r="20" spans="2:11" x14ac:dyDescent="0.3">
      <c r="B20" s="321"/>
      <c r="C20" s="322" t="s">
        <v>435</v>
      </c>
      <c r="D20" s="353"/>
      <c r="E20" s="316"/>
      <c r="F20" s="317"/>
      <c r="G20" s="346"/>
      <c r="I20" s="140"/>
      <c r="J20" s="155"/>
      <c r="K20" s="19"/>
    </row>
    <row r="21" spans="2:11" ht="17.25" thickBot="1" x14ac:dyDescent="0.35">
      <c r="B21" s="321"/>
      <c r="C21" s="324" t="s">
        <v>443</v>
      </c>
      <c r="D21" s="350"/>
      <c r="E21" s="319"/>
      <c r="F21" s="320"/>
      <c r="G21" s="346"/>
      <c r="I21" s="140"/>
      <c r="J21" s="155"/>
      <c r="K21" s="19"/>
    </row>
    <row r="22" spans="2:11" ht="17.25" thickBot="1" x14ac:dyDescent="0.35">
      <c r="B22" s="321"/>
      <c r="C22" s="337"/>
      <c r="D22" s="316"/>
      <c r="E22" s="316"/>
      <c r="F22" s="316"/>
      <c r="G22" s="351"/>
      <c r="I22" s="140"/>
      <c r="J22" s="155"/>
      <c r="K22" s="19"/>
    </row>
    <row r="23" spans="2:11" ht="18" thickBot="1" x14ac:dyDescent="0.4">
      <c r="B23" s="321"/>
      <c r="C23" s="874" t="s">
        <v>61</v>
      </c>
      <c r="D23" s="875"/>
      <c r="E23" s="875"/>
      <c r="F23" s="876"/>
      <c r="G23" s="346"/>
      <c r="I23" s="140"/>
      <c r="J23" s="155"/>
      <c r="K23" s="19"/>
    </row>
    <row r="24" spans="2:11" ht="17.25" x14ac:dyDescent="0.35">
      <c r="B24" s="321"/>
      <c r="C24" s="352"/>
      <c r="D24" s="929" t="s">
        <v>48</v>
      </c>
      <c r="E24" s="927"/>
      <c r="F24" s="928"/>
      <c r="G24" s="346"/>
      <c r="I24" s="140"/>
      <c r="J24" s="155"/>
      <c r="K24" s="19"/>
    </row>
    <row r="25" spans="2:11" ht="17.25" x14ac:dyDescent="0.35">
      <c r="B25" s="326"/>
      <c r="C25" s="338"/>
      <c r="D25" s="327" t="s">
        <v>56</v>
      </c>
      <c r="E25" s="327" t="s">
        <v>57</v>
      </c>
      <c r="F25" s="328" t="s">
        <v>58</v>
      </c>
      <c r="G25" s="346"/>
      <c r="I25" s="140"/>
      <c r="J25" s="155"/>
      <c r="K25" s="19"/>
    </row>
    <row r="26" spans="2:11" x14ac:dyDescent="0.3">
      <c r="B26" s="321"/>
      <c r="C26" s="332" t="s">
        <v>62</v>
      </c>
      <c r="D26" s="353"/>
      <c r="E26" s="353"/>
      <c r="F26" s="354"/>
      <c r="G26" s="346"/>
      <c r="I26" s="140"/>
      <c r="J26" s="155"/>
      <c r="K26" s="19"/>
    </row>
    <row r="27" spans="2:11" x14ac:dyDescent="0.3">
      <c r="B27" s="321"/>
      <c r="C27" s="332" t="s">
        <v>607</v>
      </c>
      <c r="D27" s="353"/>
      <c r="E27" s="353"/>
      <c r="F27" s="354"/>
      <c r="G27" s="346"/>
      <c r="I27" s="140"/>
      <c r="J27" s="155"/>
      <c r="K27" s="19"/>
    </row>
    <row r="28" spans="2:11" x14ac:dyDescent="0.3">
      <c r="B28" s="321"/>
      <c r="C28" s="332" t="s">
        <v>608</v>
      </c>
      <c r="D28" s="353"/>
      <c r="E28" s="353"/>
      <c r="F28" s="354"/>
      <c r="G28" s="346"/>
      <c r="I28" s="140"/>
      <c r="J28" s="155"/>
      <c r="K28" s="19"/>
    </row>
    <row r="29" spans="2:11" x14ac:dyDescent="0.3">
      <c r="B29" s="321"/>
      <c r="C29" s="332" t="s">
        <v>413</v>
      </c>
      <c r="D29" s="353"/>
      <c r="E29" s="353"/>
      <c r="F29" s="354"/>
      <c r="G29" s="346"/>
      <c r="I29" s="140"/>
      <c r="J29" s="155"/>
      <c r="K29" s="19"/>
    </row>
    <row r="30" spans="2:11" ht="17.25" thickBot="1" x14ac:dyDescent="0.35">
      <c r="B30" s="321"/>
      <c r="C30" s="324" t="s">
        <v>427</v>
      </c>
      <c r="D30" s="350"/>
      <c r="E30" s="350"/>
      <c r="F30" s="355"/>
      <c r="G30" s="346"/>
      <c r="I30" s="140"/>
      <c r="J30" s="155"/>
      <c r="K30" s="19"/>
    </row>
    <row r="31" spans="2:11" ht="17.25" thickBot="1" x14ac:dyDescent="0.35">
      <c r="B31" s="321"/>
      <c r="C31" s="316"/>
      <c r="D31" s="316"/>
      <c r="E31" s="316"/>
      <c r="F31" s="316"/>
      <c r="G31" s="351"/>
      <c r="I31" s="140"/>
      <c r="J31" s="155"/>
      <c r="K31" s="19"/>
    </row>
    <row r="32" spans="2:11" ht="18" thickBot="1" x14ac:dyDescent="0.4">
      <c r="B32" s="321"/>
      <c r="C32" s="874" t="s">
        <v>63</v>
      </c>
      <c r="D32" s="875"/>
      <c r="E32" s="875"/>
      <c r="F32" s="876"/>
      <c r="G32" s="346"/>
      <c r="I32" s="140"/>
      <c r="J32" s="155"/>
      <c r="K32" s="19"/>
    </row>
    <row r="33" spans="2:11" ht="17.25" x14ac:dyDescent="0.35">
      <c r="B33" s="321"/>
      <c r="C33" s="325"/>
      <c r="D33" s="929" t="s">
        <v>48</v>
      </c>
      <c r="E33" s="927"/>
      <c r="F33" s="928"/>
      <c r="G33" s="346"/>
      <c r="I33" s="140"/>
      <c r="J33" s="155"/>
      <c r="K33" s="19"/>
    </row>
    <row r="34" spans="2:11" ht="17.25" x14ac:dyDescent="0.35">
      <c r="B34" s="326"/>
      <c r="C34" s="321"/>
      <c r="D34" s="327" t="s">
        <v>56</v>
      </c>
      <c r="E34" s="327" t="s">
        <v>57</v>
      </c>
      <c r="F34" s="328" t="s">
        <v>58</v>
      </c>
      <c r="G34" s="346"/>
      <c r="I34" s="140"/>
      <c r="J34" s="155"/>
      <c r="K34" s="19"/>
    </row>
    <row r="35" spans="2:11" x14ac:dyDescent="0.3">
      <c r="B35" s="321"/>
      <c r="C35" s="332" t="s">
        <v>64</v>
      </c>
      <c r="D35" s="353"/>
      <c r="E35" s="353"/>
      <c r="F35" s="354"/>
      <c r="G35" s="346"/>
      <c r="I35" s="140"/>
      <c r="J35" s="155"/>
      <c r="K35" s="19"/>
    </row>
    <row r="36" spans="2:11" x14ac:dyDescent="0.3">
      <c r="B36" s="321"/>
      <c r="C36" s="332" t="s">
        <v>65</v>
      </c>
      <c r="D36" s="353"/>
      <c r="E36" s="353"/>
      <c r="F36" s="354"/>
      <c r="G36" s="346"/>
      <c r="I36" s="140"/>
      <c r="J36" s="155"/>
      <c r="K36" s="19"/>
    </row>
    <row r="37" spans="2:11" x14ac:dyDescent="0.3">
      <c r="B37" s="321"/>
      <c r="C37" s="332" t="s">
        <v>66</v>
      </c>
      <c r="D37" s="353"/>
      <c r="E37" s="353"/>
      <c r="F37" s="354"/>
      <c r="G37" s="346"/>
      <c r="I37" s="140"/>
      <c r="J37" s="155"/>
      <c r="K37" s="19"/>
    </row>
    <row r="38" spans="2:11" x14ac:dyDescent="0.3">
      <c r="B38" s="321"/>
      <c r="C38" s="332" t="s">
        <v>67</v>
      </c>
      <c r="D38" s="353"/>
      <c r="E38" s="353"/>
      <c r="F38" s="354"/>
      <c r="G38" s="346"/>
      <c r="I38" s="140"/>
      <c r="J38" s="155"/>
      <c r="K38" s="19"/>
    </row>
    <row r="39" spans="2:11" x14ac:dyDescent="0.3">
      <c r="B39" s="321"/>
      <c r="C39" s="332" t="s">
        <v>68</v>
      </c>
      <c r="D39" s="353"/>
      <c r="E39" s="353"/>
      <c r="F39" s="354"/>
      <c r="G39" s="346"/>
      <c r="I39" s="140"/>
      <c r="J39" s="155"/>
      <c r="K39" s="19"/>
    </row>
    <row r="40" spans="2:11" x14ac:dyDescent="0.3">
      <c r="B40" s="321"/>
      <c r="C40" s="332" t="s">
        <v>69</v>
      </c>
      <c r="D40" s="353"/>
      <c r="E40" s="353"/>
      <c r="F40" s="354"/>
      <c r="G40" s="346"/>
      <c r="I40" s="140"/>
      <c r="J40" s="155"/>
      <c r="K40" s="19"/>
    </row>
    <row r="41" spans="2:11" x14ac:dyDescent="0.3">
      <c r="B41" s="321"/>
      <c r="C41" s="332" t="s">
        <v>70</v>
      </c>
      <c r="D41" s="353"/>
      <c r="E41" s="353"/>
      <c r="F41" s="354"/>
      <c r="G41" s="346"/>
      <c r="I41" s="140"/>
      <c r="J41" s="155"/>
      <c r="K41" s="19"/>
    </row>
    <row r="42" spans="2:11" x14ac:dyDescent="0.3">
      <c r="B42" s="321"/>
      <c r="C42" s="332" t="s">
        <v>71</v>
      </c>
      <c r="D42" s="353"/>
      <c r="E42" s="353"/>
      <c r="F42" s="354"/>
      <c r="G42" s="346"/>
      <c r="I42" s="140"/>
      <c r="J42" s="155"/>
      <c r="K42" s="19"/>
    </row>
    <row r="43" spans="2:11" x14ac:dyDescent="0.3">
      <c r="B43" s="321"/>
      <c r="C43" s="332" t="s">
        <v>72</v>
      </c>
      <c r="D43" s="353"/>
      <c r="E43" s="353"/>
      <c r="F43" s="354"/>
      <c r="G43" s="346"/>
      <c r="I43" s="140"/>
      <c r="J43" s="155"/>
      <c r="K43" s="19"/>
    </row>
    <row r="44" spans="2:11" x14ac:dyDescent="0.3">
      <c r="B44" s="321"/>
      <c r="C44" s="332" t="s">
        <v>73</v>
      </c>
      <c r="D44" s="353"/>
      <c r="E44" s="353"/>
      <c r="F44" s="354"/>
      <c r="G44" s="346"/>
      <c r="I44" s="140"/>
      <c r="J44" s="155"/>
      <c r="K44" s="19"/>
    </row>
    <row r="45" spans="2:11" ht="17.25" thickBot="1" x14ac:dyDescent="0.35">
      <c r="B45" s="321"/>
      <c r="C45" s="333" t="s">
        <v>74</v>
      </c>
      <c r="D45" s="350"/>
      <c r="E45" s="350"/>
      <c r="F45" s="355"/>
      <c r="G45" s="346"/>
      <c r="I45" s="140"/>
      <c r="J45" s="155"/>
      <c r="K45" s="19"/>
    </row>
    <row r="46" spans="2:11" ht="17.25" thickBot="1" x14ac:dyDescent="0.35">
      <c r="B46" s="321"/>
      <c r="C46" s="316"/>
      <c r="D46" s="316"/>
      <c r="E46" s="316"/>
      <c r="F46" s="316"/>
      <c r="G46" s="351"/>
      <c r="I46" s="140"/>
      <c r="J46" s="155"/>
      <c r="K46" s="19"/>
    </row>
    <row r="47" spans="2:11" ht="18" thickBot="1" x14ac:dyDescent="0.4">
      <c r="B47" s="321"/>
      <c r="C47" s="874" t="s">
        <v>75</v>
      </c>
      <c r="D47" s="875"/>
      <c r="E47" s="875"/>
      <c r="F47" s="876"/>
      <c r="G47" s="346"/>
      <c r="I47" s="140"/>
      <c r="J47" s="155"/>
      <c r="K47" s="19"/>
    </row>
    <row r="48" spans="2:11" ht="17.25" x14ac:dyDescent="0.35">
      <c r="B48" s="321"/>
      <c r="C48" s="325"/>
      <c r="D48" s="929" t="s">
        <v>48</v>
      </c>
      <c r="E48" s="927"/>
      <c r="F48" s="928"/>
      <c r="G48" s="346"/>
      <c r="I48" s="140"/>
      <c r="J48" s="155"/>
      <c r="K48" s="19"/>
    </row>
    <row r="49" spans="2:11" ht="17.25" x14ac:dyDescent="0.35">
      <c r="B49" s="326"/>
      <c r="C49" s="321"/>
      <c r="D49" s="327" t="s">
        <v>56</v>
      </c>
      <c r="E49" s="327" t="s">
        <v>57</v>
      </c>
      <c r="F49" s="328" t="s">
        <v>58</v>
      </c>
      <c r="G49" s="346"/>
      <c r="I49" s="140"/>
      <c r="J49" s="155"/>
      <c r="K49" s="19"/>
    </row>
    <row r="50" spans="2:11" x14ac:dyDescent="0.3">
      <c r="B50" s="321"/>
      <c r="C50" s="332" t="s">
        <v>76</v>
      </c>
      <c r="D50" s="353"/>
      <c r="E50" s="353"/>
      <c r="F50" s="354"/>
      <c r="G50" s="346"/>
      <c r="I50" s="140"/>
      <c r="J50" s="155"/>
      <c r="K50" s="19"/>
    </row>
    <row r="51" spans="2:11" x14ac:dyDescent="0.3">
      <c r="B51" s="321"/>
      <c r="C51" s="332" t="s">
        <v>77</v>
      </c>
      <c r="D51" s="353"/>
      <c r="E51" s="353"/>
      <c r="F51" s="354"/>
      <c r="G51" s="346"/>
      <c r="I51" s="140"/>
      <c r="J51" s="155"/>
      <c r="K51" s="19"/>
    </row>
    <row r="52" spans="2:11" x14ac:dyDescent="0.3">
      <c r="B52" s="321"/>
      <c r="C52" s="332" t="s">
        <v>78</v>
      </c>
      <c r="D52" s="353"/>
      <c r="E52" s="353"/>
      <c r="F52" s="354"/>
      <c r="G52" s="346"/>
      <c r="I52" s="140"/>
      <c r="J52" s="155"/>
      <c r="K52" s="19"/>
    </row>
    <row r="53" spans="2:11" x14ac:dyDescent="0.3">
      <c r="B53" s="321"/>
      <c r="C53" s="332" t="s">
        <v>79</v>
      </c>
      <c r="D53" s="353"/>
      <c r="E53" s="353"/>
      <c r="F53" s="354"/>
      <c r="G53" s="346"/>
      <c r="I53" s="140"/>
      <c r="J53" s="155"/>
      <c r="K53" s="19"/>
    </row>
    <row r="54" spans="2:11" ht="17.25" thickBot="1" x14ac:dyDescent="0.35">
      <c r="B54" s="321"/>
      <c r="C54" s="330" t="s">
        <v>428</v>
      </c>
      <c r="D54" s="350"/>
      <c r="E54" s="350"/>
      <c r="F54" s="355"/>
      <c r="G54" s="346"/>
      <c r="I54" s="140"/>
      <c r="J54" s="155"/>
      <c r="K54" s="19"/>
    </row>
    <row r="55" spans="2:11" ht="17.25" thickBot="1" x14ac:dyDescent="0.35">
      <c r="B55" s="321"/>
      <c r="C55" s="316"/>
      <c r="D55" s="316"/>
      <c r="E55" s="316"/>
      <c r="F55" s="316"/>
      <c r="G55" s="351"/>
      <c r="I55" s="140"/>
      <c r="J55" s="155"/>
      <c r="K55" s="19"/>
    </row>
    <row r="56" spans="2:11" ht="18" thickBot="1" x14ac:dyDescent="0.4">
      <c r="B56" s="321"/>
      <c r="C56" s="874" t="s">
        <v>80</v>
      </c>
      <c r="D56" s="875"/>
      <c r="E56" s="875"/>
      <c r="F56" s="876"/>
      <c r="G56" s="346"/>
      <c r="I56" s="140"/>
      <c r="J56" s="155"/>
      <c r="K56" s="19"/>
    </row>
    <row r="57" spans="2:11" ht="17.25" x14ac:dyDescent="0.35">
      <c r="B57" s="321"/>
      <c r="C57" s="325"/>
      <c r="D57" s="929" t="s">
        <v>48</v>
      </c>
      <c r="E57" s="927"/>
      <c r="F57" s="928"/>
      <c r="G57" s="346"/>
      <c r="I57" s="140"/>
      <c r="J57" s="155"/>
      <c r="K57" s="19"/>
    </row>
    <row r="58" spans="2:11" ht="17.25" x14ac:dyDescent="0.35">
      <c r="B58" s="331"/>
      <c r="C58" s="321"/>
      <c r="D58" s="327" t="s">
        <v>56</v>
      </c>
      <c r="E58" s="327" t="s">
        <v>57</v>
      </c>
      <c r="F58" s="328" t="s">
        <v>58</v>
      </c>
      <c r="G58" s="346"/>
      <c r="I58" s="140"/>
      <c r="J58" s="155"/>
      <c r="K58" s="19"/>
    </row>
    <row r="59" spans="2:11" x14ac:dyDescent="0.3">
      <c r="B59" s="321"/>
      <c r="C59" s="332" t="s">
        <v>81</v>
      </c>
      <c r="D59" s="353"/>
      <c r="E59" s="353"/>
      <c r="F59" s="354"/>
      <c r="G59" s="346"/>
      <c r="I59" s="140"/>
      <c r="J59" s="155"/>
      <c r="K59" s="19"/>
    </row>
    <row r="60" spans="2:11" x14ac:dyDescent="0.3">
      <c r="B60" s="321"/>
      <c r="C60" s="332" t="s">
        <v>82</v>
      </c>
      <c r="D60" s="353"/>
      <c r="E60" s="353"/>
      <c r="F60" s="354"/>
      <c r="G60" s="346"/>
      <c r="I60" s="140"/>
      <c r="J60" s="155"/>
      <c r="K60" s="19"/>
    </row>
    <row r="61" spans="2:11" x14ac:dyDescent="0.3">
      <c r="B61" s="321"/>
      <c r="C61" s="332" t="s">
        <v>83</v>
      </c>
      <c r="D61" s="353"/>
      <c r="E61" s="353"/>
      <c r="F61" s="354"/>
      <c r="G61" s="346"/>
      <c r="I61" s="140"/>
      <c r="J61" s="155"/>
      <c r="K61" s="19"/>
    </row>
    <row r="62" spans="2:11" x14ac:dyDescent="0.3">
      <c r="B62" s="321"/>
      <c r="C62" s="332" t="s">
        <v>84</v>
      </c>
      <c r="D62" s="353"/>
      <c r="E62" s="353"/>
      <c r="F62" s="354"/>
      <c r="G62" s="346"/>
      <c r="I62" s="140"/>
      <c r="J62" s="155"/>
      <c r="K62" s="19"/>
    </row>
    <row r="63" spans="2:11" x14ac:dyDescent="0.3">
      <c r="B63" s="321"/>
      <c r="C63" s="332" t="s">
        <v>85</v>
      </c>
      <c r="D63" s="353"/>
      <c r="E63" s="353"/>
      <c r="F63" s="354"/>
      <c r="G63" s="346"/>
      <c r="I63" s="140"/>
      <c r="J63" s="155"/>
      <c r="K63" s="19"/>
    </row>
    <row r="64" spans="2:11" x14ac:dyDescent="0.3">
      <c r="B64" s="321"/>
      <c r="C64" s="332" t="s">
        <v>86</v>
      </c>
      <c r="D64" s="353"/>
      <c r="E64" s="353"/>
      <c r="F64" s="354"/>
      <c r="G64" s="346"/>
      <c r="I64" s="140"/>
      <c r="J64" s="155"/>
      <c r="K64" s="19"/>
    </row>
    <row r="65" spans="2:11" x14ac:dyDescent="0.3">
      <c r="B65" s="321"/>
      <c r="C65" s="332" t="s">
        <v>87</v>
      </c>
      <c r="D65" s="353"/>
      <c r="E65" s="353"/>
      <c r="F65" s="354"/>
      <c r="G65" s="346"/>
      <c r="I65" s="140"/>
      <c r="J65" s="155"/>
      <c r="K65" s="19"/>
    </row>
    <row r="66" spans="2:11" ht="17.25" thickBot="1" x14ac:dyDescent="0.35">
      <c r="B66" s="321"/>
      <c r="C66" s="333" t="s">
        <v>88</v>
      </c>
      <c r="D66" s="350"/>
      <c r="E66" s="350"/>
      <c r="F66" s="355"/>
      <c r="G66" s="346"/>
      <c r="I66" s="140"/>
      <c r="J66" s="155"/>
      <c r="K66" s="19"/>
    </row>
    <row r="67" spans="2:11" ht="17.25" thickBot="1" x14ac:dyDescent="0.35">
      <c r="B67" s="321"/>
      <c r="C67" s="316"/>
      <c r="D67" s="316"/>
      <c r="E67" s="316"/>
      <c r="F67" s="316"/>
      <c r="G67" s="351"/>
      <c r="I67" s="140"/>
      <c r="J67" s="155"/>
      <c r="K67" s="19"/>
    </row>
    <row r="68" spans="2:11" ht="18" thickBot="1" x14ac:dyDescent="0.4">
      <c r="B68" s="321"/>
      <c r="C68" s="874" t="s">
        <v>89</v>
      </c>
      <c r="D68" s="875"/>
      <c r="E68" s="875"/>
      <c r="F68" s="876"/>
      <c r="G68" s="346"/>
      <c r="I68" s="140"/>
      <c r="J68" s="155"/>
      <c r="K68" s="19"/>
    </row>
    <row r="69" spans="2:11" ht="17.25" x14ac:dyDescent="0.35">
      <c r="B69" s="326"/>
      <c r="C69" s="325"/>
      <c r="D69" s="929" t="s">
        <v>48</v>
      </c>
      <c r="E69" s="927"/>
      <c r="F69" s="928"/>
      <c r="G69" s="351"/>
      <c r="I69" s="140"/>
      <c r="J69" s="155"/>
      <c r="K69" s="19"/>
    </row>
    <row r="70" spans="2:11" x14ac:dyDescent="0.3">
      <c r="B70" s="321"/>
      <c r="C70" s="332" t="s">
        <v>90</v>
      </c>
      <c r="D70" s="907"/>
      <c r="E70" s="907"/>
      <c r="F70" s="908"/>
      <c r="G70" s="351"/>
      <c r="I70" s="140"/>
      <c r="J70" s="155"/>
      <c r="K70" s="19"/>
    </row>
    <row r="71" spans="2:11" x14ac:dyDescent="0.3">
      <c r="B71" s="321"/>
      <c r="C71" s="332" t="s">
        <v>91</v>
      </c>
      <c r="D71" s="907"/>
      <c r="E71" s="907"/>
      <c r="F71" s="908"/>
      <c r="G71" s="351"/>
      <c r="I71" s="140"/>
      <c r="J71" s="155"/>
      <c r="K71" s="19"/>
    </row>
    <row r="72" spans="2:11" x14ac:dyDescent="0.3">
      <c r="B72" s="321"/>
      <c r="C72" s="332" t="s">
        <v>306</v>
      </c>
      <c r="D72" s="907"/>
      <c r="E72" s="907"/>
      <c r="F72" s="908"/>
      <c r="G72" s="351"/>
      <c r="I72" s="140"/>
      <c r="J72" s="155"/>
      <c r="K72" s="19"/>
    </row>
    <row r="73" spans="2:11" x14ac:dyDescent="0.3">
      <c r="B73" s="321"/>
      <c r="C73" s="332" t="s">
        <v>92</v>
      </c>
      <c r="D73" s="895" t="str">
        <f>IF(D70+D72=0,"",D70+D72)</f>
        <v/>
      </c>
      <c r="E73" s="895"/>
      <c r="F73" s="896"/>
      <c r="G73" s="351"/>
      <c r="I73" s="146"/>
      <c r="J73" s="156"/>
      <c r="K73" s="19"/>
    </row>
    <row r="74" spans="2:11" x14ac:dyDescent="0.3">
      <c r="B74" s="321"/>
      <c r="C74" s="332" t="s">
        <v>93</v>
      </c>
      <c r="D74" s="907"/>
      <c r="E74" s="907"/>
      <c r="F74" s="908"/>
      <c r="G74" s="351"/>
      <c r="I74" s="146"/>
      <c r="J74" s="156"/>
      <c r="K74" s="19"/>
    </row>
    <row r="75" spans="2:11" x14ac:dyDescent="0.3">
      <c r="B75" s="321"/>
      <c r="C75" s="332" t="s">
        <v>94</v>
      </c>
      <c r="D75" s="907"/>
      <c r="E75" s="907"/>
      <c r="F75" s="908"/>
      <c r="G75" s="351"/>
      <c r="I75" s="146"/>
      <c r="J75" s="156"/>
      <c r="K75" s="19"/>
    </row>
    <row r="76" spans="2:11" x14ac:dyDescent="0.3">
      <c r="B76" s="321"/>
      <c r="C76" s="332" t="s">
        <v>95</v>
      </c>
      <c r="D76" s="907"/>
      <c r="E76" s="907"/>
      <c r="F76" s="908"/>
      <c r="G76" s="351"/>
      <c r="I76" s="146"/>
      <c r="J76" s="156"/>
      <c r="K76" s="19"/>
    </row>
    <row r="77" spans="2:11" x14ac:dyDescent="0.3">
      <c r="B77" s="321"/>
      <c r="C77" s="332" t="s">
        <v>306</v>
      </c>
      <c r="D77" s="907"/>
      <c r="E77" s="907"/>
      <c r="F77" s="908"/>
      <c r="G77" s="351"/>
      <c r="I77" s="146"/>
      <c r="J77" s="156"/>
      <c r="K77" s="19"/>
    </row>
    <row r="78" spans="2:11" ht="17.25" thickBot="1" x14ac:dyDescent="0.35">
      <c r="B78" s="321"/>
      <c r="C78" s="333" t="s">
        <v>92</v>
      </c>
      <c r="D78" s="911" t="str">
        <f>IF(D75+D77=0,"",D75+D77)</f>
        <v/>
      </c>
      <c r="E78" s="911"/>
      <c r="F78" s="912"/>
      <c r="G78" s="351"/>
      <c r="I78" s="147"/>
      <c r="J78" s="155"/>
      <c r="K78" s="19"/>
    </row>
    <row r="79" spans="2:11" ht="17.25" thickBot="1" x14ac:dyDescent="0.35">
      <c r="B79" s="334"/>
      <c r="C79" s="319"/>
      <c r="D79" s="425"/>
      <c r="E79" s="319"/>
      <c r="F79" s="319"/>
      <c r="G79" s="356"/>
      <c r="I79" s="147"/>
      <c r="J79" s="155"/>
      <c r="K79" s="19"/>
    </row>
    <row r="80" spans="2:11" ht="17.25" thickBot="1" x14ac:dyDescent="0.35">
      <c r="B80" s="340"/>
      <c r="C80" s="340"/>
      <c r="D80" s="340"/>
      <c r="E80" s="340"/>
      <c r="F80" s="316"/>
      <c r="G80" s="359"/>
      <c r="K80" s="19"/>
    </row>
    <row r="81" spans="2:11" ht="18.75" thickBot="1" x14ac:dyDescent="0.4">
      <c r="B81" s="902" t="s">
        <v>418</v>
      </c>
      <c r="C81" s="903"/>
      <c r="D81" s="903"/>
      <c r="E81" s="903"/>
      <c r="F81" s="903"/>
      <c r="G81" s="904"/>
      <c r="K81" s="19"/>
    </row>
    <row r="82" spans="2:11" ht="18" thickBot="1" x14ac:dyDescent="0.4">
      <c r="B82" s="326"/>
      <c r="C82" s="316"/>
      <c r="D82" s="316"/>
      <c r="E82" s="316"/>
      <c r="F82" s="316"/>
      <c r="G82" s="345"/>
      <c r="K82" s="19"/>
    </row>
    <row r="83" spans="2:11" ht="18" thickBot="1" x14ac:dyDescent="0.4">
      <c r="B83" s="326"/>
      <c r="C83" s="874" t="s">
        <v>55</v>
      </c>
      <c r="D83" s="875"/>
      <c r="E83" s="875"/>
      <c r="F83" s="876"/>
      <c r="G83" s="346"/>
      <c r="K83" s="19"/>
    </row>
    <row r="84" spans="2:11" ht="17.25" x14ac:dyDescent="0.35">
      <c r="B84" s="321"/>
      <c r="C84" s="325"/>
      <c r="D84" s="929" t="s">
        <v>48</v>
      </c>
      <c r="E84" s="927"/>
      <c r="F84" s="928"/>
      <c r="G84" s="346"/>
      <c r="K84" s="19"/>
    </row>
    <row r="85" spans="2:11" ht="17.25" x14ac:dyDescent="0.35">
      <c r="B85" s="326"/>
      <c r="C85" s="321"/>
      <c r="D85" s="327" t="s">
        <v>56</v>
      </c>
      <c r="E85" s="327" t="s">
        <v>57</v>
      </c>
      <c r="F85" s="328" t="s">
        <v>58</v>
      </c>
      <c r="G85" s="346"/>
      <c r="K85" s="19"/>
    </row>
    <row r="86" spans="2:11" x14ac:dyDescent="0.3">
      <c r="B86" s="321"/>
      <c r="C86" s="322" t="s">
        <v>432</v>
      </c>
      <c r="D86" s="353"/>
      <c r="E86" s="353"/>
      <c r="F86" s="354"/>
      <c r="G86" s="346"/>
      <c r="K86" s="19"/>
    </row>
    <row r="87" spans="2:11" x14ac:dyDescent="0.3">
      <c r="B87" s="321"/>
      <c r="C87" s="322" t="s">
        <v>433</v>
      </c>
      <c r="D87" s="353"/>
      <c r="E87" s="353"/>
      <c r="F87" s="354"/>
      <c r="G87" s="346"/>
      <c r="K87" s="19"/>
    </row>
    <row r="88" spans="2:11" x14ac:dyDescent="0.3">
      <c r="B88" s="321"/>
      <c r="C88" s="332" t="s">
        <v>59</v>
      </c>
      <c r="D88" s="353"/>
      <c r="E88" s="353"/>
      <c r="F88" s="354"/>
      <c r="G88" s="346"/>
      <c r="K88" s="19"/>
    </row>
    <row r="89" spans="2:11" x14ac:dyDescent="0.3">
      <c r="B89" s="321"/>
      <c r="C89" s="332" t="s">
        <v>60</v>
      </c>
      <c r="D89" s="353"/>
      <c r="E89" s="353"/>
      <c r="F89" s="354"/>
      <c r="G89" s="346"/>
      <c r="K89" s="19"/>
    </row>
    <row r="90" spans="2:11" x14ac:dyDescent="0.3">
      <c r="B90" s="321"/>
      <c r="C90" s="322" t="s">
        <v>435</v>
      </c>
      <c r="D90" s="353"/>
      <c r="E90" s="316"/>
      <c r="F90" s="317"/>
      <c r="G90" s="346"/>
      <c r="I90" s="140"/>
      <c r="J90" s="155"/>
      <c r="K90" s="19"/>
    </row>
    <row r="91" spans="2:11" ht="17.25" thickBot="1" x14ac:dyDescent="0.35">
      <c r="B91" s="321"/>
      <c r="C91" s="324" t="s">
        <v>443</v>
      </c>
      <c r="D91" s="350"/>
      <c r="E91" s="319"/>
      <c r="F91" s="320"/>
      <c r="G91" s="346"/>
      <c r="K91" s="19"/>
    </row>
    <row r="92" spans="2:11" ht="17.25" thickBot="1" x14ac:dyDescent="0.35">
      <c r="B92" s="321"/>
      <c r="C92" s="337"/>
      <c r="D92" s="316"/>
      <c r="E92" s="316"/>
      <c r="F92" s="316"/>
      <c r="G92" s="351"/>
      <c r="K92" s="19"/>
    </row>
    <row r="93" spans="2:11" ht="18" thickBot="1" x14ac:dyDescent="0.4">
      <c r="B93" s="321"/>
      <c r="C93" s="874" t="s">
        <v>61</v>
      </c>
      <c r="D93" s="875"/>
      <c r="E93" s="875"/>
      <c r="F93" s="876"/>
      <c r="G93" s="346"/>
      <c r="K93" s="19"/>
    </row>
    <row r="94" spans="2:11" ht="17.25" x14ac:dyDescent="0.35">
      <c r="B94" s="321"/>
      <c r="C94" s="352"/>
      <c r="D94" s="929" t="s">
        <v>48</v>
      </c>
      <c r="E94" s="927"/>
      <c r="F94" s="928"/>
      <c r="G94" s="346"/>
      <c r="K94" s="19"/>
    </row>
    <row r="95" spans="2:11" ht="17.25" x14ac:dyDescent="0.35">
      <c r="B95" s="326"/>
      <c r="C95" s="338"/>
      <c r="D95" s="327" t="s">
        <v>56</v>
      </c>
      <c r="E95" s="327" t="s">
        <v>57</v>
      </c>
      <c r="F95" s="328" t="s">
        <v>58</v>
      </c>
      <c r="G95" s="346"/>
      <c r="K95" s="19"/>
    </row>
    <row r="96" spans="2:11" x14ac:dyDescent="0.3">
      <c r="B96" s="321"/>
      <c r="C96" s="332" t="s">
        <v>62</v>
      </c>
      <c r="D96" s="353"/>
      <c r="E96" s="353"/>
      <c r="F96" s="354"/>
      <c r="G96" s="346"/>
      <c r="K96" s="19"/>
    </row>
    <row r="97" spans="2:11" x14ac:dyDescent="0.3">
      <c r="B97" s="321"/>
      <c r="C97" s="332" t="s">
        <v>607</v>
      </c>
      <c r="D97" s="353"/>
      <c r="E97" s="353"/>
      <c r="F97" s="354"/>
      <c r="G97" s="346"/>
      <c r="K97" s="19"/>
    </row>
    <row r="98" spans="2:11" x14ac:dyDescent="0.3">
      <c r="B98" s="321"/>
      <c r="C98" s="332" t="s">
        <v>608</v>
      </c>
      <c r="D98" s="353"/>
      <c r="E98" s="353"/>
      <c r="F98" s="354"/>
      <c r="G98" s="346"/>
      <c r="K98" s="19"/>
    </row>
    <row r="99" spans="2:11" x14ac:dyDescent="0.3">
      <c r="B99" s="321"/>
      <c r="C99" s="332" t="s">
        <v>413</v>
      </c>
      <c r="D99" s="353"/>
      <c r="E99" s="353"/>
      <c r="F99" s="354"/>
      <c r="G99" s="346"/>
      <c r="K99" s="19"/>
    </row>
    <row r="100" spans="2:11" ht="17.25" thickBot="1" x14ac:dyDescent="0.35">
      <c r="B100" s="321"/>
      <c r="C100" s="324" t="s">
        <v>427</v>
      </c>
      <c r="D100" s="350"/>
      <c r="E100" s="350"/>
      <c r="F100" s="355"/>
      <c r="G100" s="346"/>
      <c r="K100" s="19"/>
    </row>
    <row r="101" spans="2:11" ht="17.25" thickBot="1" x14ac:dyDescent="0.35">
      <c r="B101" s="321"/>
      <c r="C101" s="316"/>
      <c r="D101" s="316"/>
      <c r="E101" s="316"/>
      <c r="F101" s="339"/>
      <c r="G101" s="351"/>
      <c r="K101" s="19"/>
    </row>
    <row r="102" spans="2:11" ht="18" thickBot="1" x14ac:dyDescent="0.4">
      <c r="B102" s="321"/>
      <c r="C102" s="874" t="s">
        <v>63</v>
      </c>
      <c r="D102" s="875"/>
      <c r="E102" s="875"/>
      <c r="F102" s="876"/>
      <c r="G102" s="346"/>
      <c r="K102" s="19"/>
    </row>
    <row r="103" spans="2:11" ht="17.25" x14ac:dyDescent="0.35">
      <c r="B103" s="321"/>
      <c r="C103" s="325"/>
      <c r="D103" s="929" t="s">
        <v>48</v>
      </c>
      <c r="E103" s="927"/>
      <c r="F103" s="928"/>
      <c r="G103" s="346"/>
      <c r="K103" s="19"/>
    </row>
    <row r="104" spans="2:11" ht="17.25" x14ac:dyDescent="0.35">
      <c r="B104" s="326"/>
      <c r="C104" s="321"/>
      <c r="D104" s="327" t="s">
        <v>56</v>
      </c>
      <c r="E104" s="327" t="s">
        <v>57</v>
      </c>
      <c r="F104" s="328" t="s">
        <v>58</v>
      </c>
      <c r="G104" s="346"/>
      <c r="K104" s="19"/>
    </row>
    <row r="105" spans="2:11" x14ac:dyDescent="0.3">
      <c r="B105" s="321"/>
      <c r="C105" s="332" t="s">
        <v>64</v>
      </c>
      <c r="D105" s="353"/>
      <c r="E105" s="353"/>
      <c r="F105" s="354"/>
      <c r="G105" s="346"/>
      <c r="K105" s="19"/>
    </row>
    <row r="106" spans="2:11" x14ac:dyDescent="0.3">
      <c r="B106" s="321"/>
      <c r="C106" s="332" t="s">
        <v>65</v>
      </c>
      <c r="D106" s="353"/>
      <c r="E106" s="353"/>
      <c r="F106" s="354"/>
      <c r="G106" s="346"/>
      <c r="K106" s="19"/>
    </row>
    <row r="107" spans="2:11" x14ac:dyDescent="0.3">
      <c r="B107" s="321"/>
      <c r="C107" s="332" t="s">
        <v>66</v>
      </c>
      <c r="D107" s="353"/>
      <c r="E107" s="353"/>
      <c r="F107" s="354"/>
      <c r="G107" s="346"/>
      <c r="K107" s="19"/>
    </row>
    <row r="108" spans="2:11" x14ac:dyDescent="0.3">
      <c r="B108" s="321"/>
      <c r="C108" s="332" t="s">
        <v>67</v>
      </c>
      <c r="D108" s="353"/>
      <c r="E108" s="353"/>
      <c r="F108" s="354"/>
      <c r="G108" s="346"/>
      <c r="K108" s="19"/>
    </row>
    <row r="109" spans="2:11" x14ac:dyDescent="0.3">
      <c r="B109" s="321"/>
      <c r="C109" s="332" t="s">
        <v>68</v>
      </c>
      <c r="D109" s="353"/>
      <c r="E109" s="353"/>
      <c r="F109" s="354"/>
      <c r="G109" s="346"/>
      <c r="K109" s="19"/>
    </row>
    <row r="110" spans="2:11" x14ac:dyDescent="0.3">
      <c r="B110" s="321"/>
      <c r="C110" s="332" t="s">
        <v>69</v>
      </c>
      <c r="D110" s="353"/>
      <c r="E110" s="353"/>
      <c r="F110" s="354"/>
      <c r="G110" s="346"/>
      <c r="K110" s="19"/>
    </row>
    <row r="111" spans="2:11" x14ac:dyDescent="0.3">
      <c r="B111" s="321"/>
      <c r="C111" s="332" t="s">
        <v>70</v>
      </c>
      <c r="D111" s="353"/>
      <c r="E111" s="353"/>
      <c r="F111" s="354"/>
      <c r="G111" s="346"/>
      <c r="K111" s="19"/>
    </row>
    <row r="112" spans="2:11" x14ac:dyDescent="0.3">
      <c r="B112" s="321"/>
      <c r="C112" s="332" t="s">
        <v>71</v>
      </c>
      <c r="D112" s="353"/>
      <c r="E112" s="353"/>
      <c r="F112" s="354"/>
      <c r="G112" s="346"/>
      <c r="K112" s="19"/>
    </row>
    <row r="113" spans="2:11" x14ac:dyDescent="0.3">
      <c r="B113" s="321"/>
      <c r="C113" s="332" t="s">
        <v>72</v>
      </c>
      <c r="D113" s="353"/>
      <c r="E113" s="353"/>
      <c r="F113" s="354"/>
      <c r="G113" s="346"/>
      <c r="K113" s="19"/>
    </row>
    <row r="114" spans="2:11" x14ac:dyDescent="0.3">
      <c r="B114" s="321"/>
      <c r="C114" s="332" t="s">
        <v>73</v>
      </c>
      <c r="D114" s="353"/>
      <c r="E114" s="353"/>
      <c r="F114" s="354"/>
      <c r="G114" s="346"/>
      <c r="K114" s="19"/>
    </row>
    <row r="115" spans="2:11" ht="17.25" thickBot="1" x14ac:dyDescent="0.35">
      <c r="B115" s="321"/>
      <c r="C115" s="333" t="s">
        <v>74</v>
      </c>
      <c r="D115" s="350"/>
      <c r="E115" s="350"/>
      <c r="F115" s="355"/>
      <c r="G115" s="346"/>
      <c r="K115" s="19"/>
    </row>
    <row r="116" spans="2:11" ht="17.25" thickBot="1" x14ac:dyDescent="0.35">
      <c r="B116" s="321"/>
      <c r="C116" s="316"/>
      <c r="D116" s="316"/>
      <c r="E116" s="316"/>
      <c r="F116" s="316"/>
      <c r="G116" s="351"/>
      <c r="K116" s="19"/>
    </row>
    <row r="117" spans="2:11" ht="18" thickBot="1" x14ac:dyDescent="0.4">
      <c r="B117" s="321"/>
      <c r="C117" s="874" t="s">
        <v>75</v>
      </c>
      <c r="D117" s="875"/>
      <c r="E117" s="875"/>
      <c r="F117" s="876"/>
      <c r="G117" s="346"/>
      <c r="K117" s="19"/>
    </row>
    <row r="118" spans="2:11" ht="17.25" x14ac:dyDescent="0.35">
      <c r="B118" s="321"/>
      <c r="C118" s="325"/>
      <c r="D118" s="929" t="s">
        <v>48</v>
      </c>
      <c r="E118" s="927"/>
      <c r="F118" s="928"/>
      <c r="G118" s="346"/>
      <c r="K118" s="19"/>
    </row>
    <row r="119" spans="2:11" ht="17.25" x14ac:dyDescent="0.35">
      <c r="B119" s="326"/>
      <c r="C119" s="321"/>
      <c r="D119" s="327" t="s">
        <v>56</v>
      </c>
      <c r="E119" s="327" t="s">
        <v>57</v>
      </c>
      <c r="F119" s="328" t="s">
        <v>58</v>
      </c>
      <c r="G119" s="346"/>
      <c r="K119" s="19"/>
    </row>
    <row r="120" spans="2:11" x14ac:dyDescent="0.3">
      <c r="B120" s="321"/>
      <c r="C120" s="332" t="s">
        <v>76</v>
      </c>
      <c r="D120" s="353"/>
      <c r="E120" s="353"/>
      <c r="F120" s="354"/>
      <c r="G120" s="346"/>
      <c r="K120" s="19"/>
    </row>
    <row r="121" spans="2:11" x14ac:dyDescent="0.3">
      <c r="B121" s="321"/>
      <c r="C121" s="332" t="s">
        <v>77</v>
      </c>
      <c r="D121" s="353"/>
      <c r="E121" s="353"/>
      <c r="F121" s="354"/>
      <c r="G121" s="346"/>
      <c r="K121" s="19"/>
    </row>
    <row r="122" spans="2:11" x14ac:dyDescent="0.3">
      <c r="B122" s="321"/>
      <c r="C122" s="332" t="s">
        <v>78</v>
      </c>
      <c r="D122" s="353"/>
      <c r="E122" s="353"/>
      <c r="F122" s="354"/>
      <c r="G122" s="346"/>
      <c r="K122" s="19"/>
    </row>
    <row r="123" spans="2:11" x14ac:dyDescent="0.3">
      <c r="B123" s="321"/>
      <c r="C123" s="332" t="s">
        <v>79</v>
      </c>
      <c r="D123" s="353"/>
      <c r="E123" s="353"/>
      <c r="F123" s="354"/>
      <c r="G123" s="346"/>
      <c r="K123" s="19"/>
    </row>
    <row r="124" spans="2:11" ht="17.25" thickBot="1" x14ac:dyDescent="0.35">
      <c r="B124" s="321"/>
      <c r="C124" s="330" t="s">
        <v>428</v>
      </c>
      <c r="D124" s="350"/>
      <c r="E124" s="350"/>
      <c r="F124" s="355"/>
      <c r="G124" s="346"/>
      <c r="K124" s="19"/>
    </row>
    <row r="125" spans="2:11" ht="17.25" thickBot="1" x14ac:dyDescent="0.35">
      <c r="B125" s="321"/>
      <c r="C125" s="316"/>
      <c r="D125" s="316"/>
      <c r="E125" s="316"/>
      <c r="F125" s="316"/>
      <c r="G125" s="351"/>
      <c r="K125" s="19"/>
    </row>
    <row r="126" spans="2:11" ht="18" thickBot="1" x14ac:dyDescent="0.4">
      <c r="B126" s="321"/>
      <c r="C126" s="874" t="s">
        <v>80</v>
      </c>
      <c r="D126" s="875"/>
      <c r="E126" s="875"/>
      <c r="F126" s="876"/>
      <c r="G126" s="346"/>
      <c r="K126" s="19"/>
    </row>
    <row r="127" spans="2:11" ht="17.25" x14ac:dyDescent="0.35">
      <c r="B127" s="321"/>
      <c r="C127" s="325"/>
      <c r="D127" s="929" t="s">
        <v>48</v>
      </c>
      <c r="E127" s="927"/>
      <c r="F127" s="928"/>
      <c r="G127" s="346"/>
      <c r="K127" s="19"/>
    </row>
    <row r="128" spans="2:11" ht="17.25" x14ac:dyDescent="0.35">
      <c r="B128" s="331"/>
      <c r="C128" s="321"/>
      <c r="D128" s="327" t="s">
        <v>56</v>
      </c>
      <c r="E128" s="327" t="s">
        <v>57</v>
      </c>
      <c r="F128" s="328" t="s">
        <v>58</v>
      </c>
      <c r="G128" s="346"/>
      <c r="K128" s="19"/>
    </row>
    <row r="129" spans="2:11" x14ac:dyDescent="0.3">
      <c r="B129" s="321"/>
      <c r="C129" s="332" t="s">
        <v>81</v>
      </c>
      <c r="D129" s="353"/>
      <c r="E129" s="353"/>
      <c r="F129" s="354"/>
      <c r="G129" s="346"/>
      <c r="K129" s="19"/>
    </row>
    <row r="130" spans="2:11" x14ac:dyDescent="0.3">
      <c r="B130" s="321"/>
      <c r="C130" s="332" t="s">
        <v>82</v>
      </c>
      <c r="D130" s="353"/>
      <c r="E130" s="353"/>
      <c r="F130" s="354"/>
      <c r="G130" s="346"/>
      <c r="K130" s="19"/>
    </row>
    <row r="131" spans="2:11" x14ac:dyDescent="0.3">
      <c r="B131" s="321"/>
      <c r="C131" s="332" t="s">
        <v>83</v>
      </c>
      <c r="D131" s="353"/>
      <c r="E131" s="353"/>
      <c r="F131" s="354"/>
      <c r="G131" s="346"/>
      <c r="K131" s="19"/>
    </row>
    <row r="132" spans="2:11" x14ac:dyDescent="0.3">
      <c r="B132" s="321"/>
      <c r="C132" s="332" t="s">
        <v>84</v>
      </c>
      <c r="D132" s="353"/>
      <c r="E132" s="353"/>
      <c r="F132" s="354"/>
      <c r="G132" s="346"/>
      <c r="K132" s="19"/>
    </row>
    <row r="133" spans="2:11" x14ac:dyDescent="0.3">
      <c r="B133" s="321"/>
      <c r="C133" s="332" t="s">
        <v>85</v>
      </c>
      <c r="D133" s="353"/>
      <c r="E133" s="353"/>
      <c r="F133" s="354"/>
      <c r="G133" s="346"/>
      <c r="K133" s="19"/>
    </row>
    <row r="134" spans="2:11" x14ac:dyDescent="0.3">
      <c r="B134" s="321"/>
      <c r="C134" s="332" t="s">
        <v>86</v>
      </c>
      <c r="D134" s="353"/>
      <c r="E134" s="353"/>
      <c r="F134" s="354"/>
      <c r="G134" s="346"/>
      <c r="K134" s="19"/>
    </row>
    <row r="135" spans="2:11" x14ac:dyDescent="0.3">
      <c r="B135" s="321"/>
      <c r="C135" s="332" t="s">
        <v>87</v>
      </c>
      <c r="D135" s="353"/>
      <c r="E135" s="353"/>
      <c r="F135" s="354"/>
      <c r="G135" s="346"/>
      <c r="K135" s="19"/>
    </row>
    <row r="136" spans="2:11" ht="17.25" thickBot="1" x14ac:dyDescent="0.35">
      <c r="B136" s="321"/>
      <c r="C136" s="333" t="s">
        <v>88</v>
      </c>
      <c r="D136" s="350"/>
      <c r="E136" s="350"/>
      <c r="F136" s="355"/>
      <c r="G136" s="346"/>
      <c r="K136" s="19"/>
    </row>
    <row r="137" spans="2:11" ht="17.25" thickBot="1" x14ac:dyDescent="0.35">
      <c r="B137" s="321"/>
      <c r="C137" s="316"/>
      <c r="D137" s="316"/>
      <c r="E137" s="316"/>
      <c r="F137" s="316"/>
      <c r="G137" s="351"/>
      <c r="K137" s="19"/>
    </row>
    <row r="138" spans="2:11" ht="18" thickBot="1" x14ac:dyDescent="0.4">
      <c r="B138" s="321"/>
      <c r="C138" s="874" t="s">
        <v>89</v>
      </c>
      <c r="D138" s="875"/>
      <c r="E138" s="875"/>
      <c r="F138" s="876"/>
      <c r="G138" s="346"/>
      <c r="K138" s="19"/>
    </row>
    <row r="139" spans="2:11" ht="17.25" x14ac:dyDescent="0.35">
      <c r="B139" s="326"/>
      <c r="C139" s="325"/>
      <c r="D139" s="929" t="s">
        <v>48</v>
      </c>
      <c r="E139" s="927"/>
      <c r="F139" s="928"/>
      <c r="G139" s="351"/>
      <c r="K139" s="19"/>
    </row>
    <row r="140" spans="2:11" x14ac:dyDescent="0.3">
      <c r="B140" s="321"/>
      <c r="C140" s="332" t="s">
        <v>90</v>
      </c>
      <c r="D140" s="907"/>
      <c r="E140" s="907"/>
      <c r="F140" s="908"/>
      <c r="G140" s="351"/>
      <c r="K140" s="19"/>
    </row>
    <row r="141" spans="2:11" x14ac:dyDescent="0.3">
      <c r="B141" s="321"/>
      <c r="C141" s="332" t="s">
        <v>91</v>
      </c>
      <c r="D141" s="907"/>
      <c r="E141" s="907"/>
      <c r="F141" s="908"/>
      <c r="G141" s="351"/>
      <c r="K141" s="19"/>
    </row>
    <row r="142" spans="2:11" x14ac:dyDescent="0.3">
      <c r="B142" s="321"/>
      <c r="C142" s="332" t="s">
        <v>306</v>
      </c>
      <c r="D142" s="907"/>
      <c r="E142" s="907"/>
      <c r="F142" s="908"/>
      <c r="G142" s="351"/>
      <c r="K142" s="19"/>
    </row>
    <row r="143" spans="2:11" x14ac:dyDescent="0.3">
      <c r="B143" s="321"/>
      <c r="C143" s="332" t="s">
        <v>92</v>
      </c>
      <c r="D143" s="895" t="str">
        <f>IF(D140+D142=0,"",D140+D142)</f>
        <v/>
      </c>
      <c r="E143" s="895"/>
      <c r="F143" s="896"/>
      <c r="G143" s="351"/>
      <c r="K143" s="19"/>
    </row>
    <row r="144" spans="2:11" x14ac:dyDescent="0.3">
      <c r="B144" s="321"/>
      <c r="C144" s="332" t="s">
        <v>93</v>
      </c>
      <c r="D144" s="907"/>
      <c r="E144" s="907"/>
      <c r="F144" s="908"/>
      <c r="G144" s="351"/>
      <c r="K144" s="19"/>
    </row>
    <row r="145" spans="2:11" x14ac:dyDescent="0.3">
      <c r="B145" s="321"/>
      <c r="C145" s="332" t="s">
        <v>94</v>
      </c>
      <c r="D145" s="907"/>
      <c r="E145" s="907"/>
      <c r="F145" s="908"/>
      <c r="G145" s="351"/>
      <c r="K145" s="19"/>
    </row>
    <row r="146" spans="2:11" x14ac:dyDescent="0.3">
      <c r="B146" s="321"/>
      <c r="C146" s="332" t="s">
        <v>95</v>
      </c>
      <c r="D146" s="907"/>
      <c r="E146" s="907"/>
      <c r="F146" s="908"/>
      <c r="G146" s="351"/>
      <c r="K146" s="19"/>
    </row>
    <row r="147" spans="2:11" x14ac:dyDescent="0.3">
      <c r="B147" s="321"/>
      <c r="C147" s="332" t="s">
        <v>306</v>
      </c>
      <c r="D147" s="907"/>
      <c r="E147" s="907"/>
      <c r="F147" s="908"/>
      <c r="G147" s="351"/>
      <c r="K147" s="19"/>
    </row>
    <row r="148" spans="2:11" ht="17.25" thickBot="1" x14ac:dyDescent="0.35">
      <c r="B148" s="321"/>
      <c r="C148" s="333" t="s">
        <v>92</v>
      </c>
      <c r="D148" s="911" t="str">
        <f>IF(D145+D147=0,"",D145+D147)</f>
        <v/>
      </c>
      <c r="E148" s="911"/>
      <c r="F148" s="912"/>
      <c r="G148" s="351"/>
      <c r="K148" s="19"/>
    </row>
    <row r="149" spans="2:11" ht="17.25" thickBot="1" x14ac:dyDescent="0.35">
      <c r="B149" s="334"/>
      <c r="C149" s="319"/>
      <c r="D149" s="319"/>
      <c r="E149" s="319"/>
      <c r="F149" s="319"/>
      <c r="G149" s="356"/>
      <c r="K149" s="19"/>
    </row>
    <row r="150" spans="2:11" ht="17.25" thickBot="1" x14ac:dyDescent="0.35">
      <c r="B150" s="340"/>
      <c r="C150" s="340"/>
      <c r="D150" s="340"/>
      <c r="E150" s="340"/>
      <c r="F150" s="316"/>
      <c r="G150" s="359"/>
      <c r="K150" s="19"/>
    </row>
    <row r="151" spans="2:11" ht="18.75" thickBot="1" x14ac:dyDescent="0.4">
      <c r="B151" s="902" t="s">
        <v>419</v>
      </c>
      <c r="C151" s="903"/>
      <c r="D151" s="903"/>
      <c r="E151" s="903"/>
      <c r="F151" s="903"/>
      <c r="G151" s="904"/>
      <c r="K151" s="19"/>
    </row>
    <row r="152" spans="2:11" ht="18" thickBot="1" x14ac:dyDescent="0.4">
      <c r="B152" s="357"/>
      <c r="C152" s="344"/>
      <c r="D152" s="344"/>
      <c r="E152" s="344"/>
      <c r="F152" s="344"/>
      <c r="G152" s="345"/>
      <c r="K152" s="19"/>
    </row>
    <row r="153" spans="2:11" ht="18" thickBot="1" x14ac:dyDescent="0.4">
      <c r="B153" s="326"/>
      <c r="C153" s="874" t="s">
        <v>55</v>
      </c>
      <c r="D153" s="875"/>
      <c r="E153" s="875"/>
      <c r="F153" s="876"/>
      <c r="G153" s="346"/>
      <c r="K153" s="19"/>
    </row>
    <row r="154" spans="2:11" ht="17.25" x14ac:dyDescent="0.35">
      <c r="B154" s="321"/>
      <c r="C154" s="325"/>
      <c r="D154" s="929" t="s">
        <v>48</v>
      </c>
      <c r="E154" s="927"/>
      <c r="F154" s="928"/>
      <c r="G154" s="346"/>
      <c r="K154" s="19"/>
    </row>
    <row r="155" spans="2:11" ht="17.25" x14ac:dyDescent="0.35">
      <c r="B155" s="326"/>
      <c r="C155" s="321"/>
      <c r="D155" s="327" t="s">
        <v>56</v>
      </c>
      <c r="E155" s="327" t="s">
        <v>57</v>
      </c>
      <c r="F155" s="328" t="s">
        <v>58</v>
      </c>
      <c r="G155" s="346"/>
      <c r="K155" s="19"/>
    </row>
    <row r="156" spans="2:11" x14ac:dyDescent="0.3">
      <c r="B156" s="321"/>
      <c r="C156" s="322" t="s">
        <v>432</v>
      </c>
      <c r="D156" s="353"/>
      <c r="E156" s="353"/>
      <c r="F156" s="354"/>
      <c r="G156" s="346"/>
      <c r="K156" s="19"/>
    </row>
    <row r="157" spans="2:11" x14ac:dyDescent="0.3">
      <c r="B157" s="321"/>
      <c r="C157" s="322" t="s">
        <v>433</v>
      </c>
      <c r="D157" s="353"/>
      <c r="E157" s="353"/>
      <c r="F157" s="354"/>
      <c r="G157" s="346"/>
      <c r="K157" s="19"/>
    </row>
    <row r="158" spans="2:11" x14ac:dyDescent="0.3">
      <c r="B158" s="321"/>
      <c r="C158" s="332" t="s">
        <v>59</v>
      </c>
      <c r="D158" s="353"/>
      <c r="E158" s="353"/>
      <c r="F158" s="354"/>
      <c r="G158" s="346"/>
      <c r="K158" s="19"/>
    </row>
    <row r="159" spans="2:11" x14ac:dyDescent="0.3">
      <c r="B159" s="321"/>
      <c r="C159" s="332" t="s">
        <v>60</v>
      </c>
      <c r="D159" s="353"/>
      <c r="E159" s="353"/>
      <c r="F159" s="354"/>
      <c r="G159" s="346"/>
      <c r="K159" s="19"/>
    </row>
    <row r="160" spans="2:11" x14ac:dyDescent="0.3">
      <c r="B160" s="321"/>
      <c r="C160" s="322" t="s">
        <v>435</v>
      </c>
      <c r="D160" s="353"/>
      <c r="E160" s="316"/>
      <c r="F160" s="317"/>
      <c r="G160" s="346"/>
      <c r="I160" s="140"/>
      <c r="J160" s="155"/>
      <c r="K160" s="19"/>
    </row>
    <row r="161" spans="2:11" ht="17.25" thickBot="1" x14ac:dyDescent="0.35">
      <c r="B161" s="321"/>
      <c r="C161" s="324" t="s">
        <v>443</v>
      </c>
      <c r="D161" s="350"/>
      <c r="E161" s="319"/>
      <c r="F161" s="320"/>
      <c r="G161" s="346"/>
      <c r="K161" s="19"/>
    </row>
    <row r="162" spans="2:11" ht="17.25" thickBot="1" x14ac:dyDescent="0.35">
      <c r="B162" s="321"/>
      <c r="C162" s="337"/>
      <c r="D162" s="316"/>
      <c r="E162" s="316"/>
      <c r="F162" s="316"/>
      <c r="G162" s="351"/>
      <c r="K162" s="19"/>
    </row>
    <row r="163" spans="2:11" ht="18" thickBot="1" x14ac:dyDescent="0.4">
      <c r="B163" s="321"/>
      <c r="C163" s="874" t="s">
        <v>61</v>
      </c>
      <c r="D163" s="875"/>
      <c r="E163" s="875"/>
      <c r="F163" s="876"/>
      <c r="G163" s="346"/>
      <c r="K163" s="19"/>
    </row>
    <row r="164" spans="2:11" ht="17.25" x14ac:dyDescent="0.35">
      <c r="B164" s="321"/>
      <c r="C164" s="352"/>
      <c r="D164" s="929" t="s">
        <v>48</v>
      </c>
      <c r="E164" s="927"/>
      <c r="F164" s="928"/>
      <c r="G164" s="346"/>
      <c r="K164" s="19"/>
    </row>
    <row r="165" spans="2:11" ht="17.25" x14ac:dyDescent="0.35">
      <c r="B165" s="326"/>
      <c r="C165" s="338"/>
      <c r="D165" s="327" t="s">
        <v>56</v>
      </c>
      <c r="E165" s="327" t="s">
        <v>57</v>
      </c>
      <c r="F165" s="328" t="s">
        <v>58</v>
      </c>
      <c r="G165" s="346"/>
      <c r="K165" s="19"/>
    </row>
    <row r="166" spans="2:11" x14ac:dyDescent="0.3">
      <c r="B166" s="321"/>
      <c r="C166" s="332" t="s">
        <v>62</v>
      </c>
      <c r="D166" s="353"/>
      <c r="E166" s="353"/>
      <c r="F166" s="354"/>
      <c r="G166" s="346"/>
      <c r="K166" s="19"/>
    </row>
    <row r="167" spans="2:11" x14ac:dyDescent="0.3">
      <c r="B167" s="321"/>
      <c r="C167" s="332" t="s">
        <v>607</v>
      </c>
      <c r="D167" s="353"/>
      <c r="E167" s="353"/>
      <c r="F167" s="354"/>
      <c r="G167" s="346"/>
      <c r="K167" s="19"/>
    </row>
    <row r="168" spans="2:11" x14ac:dyDescent="0.3">
      <c r="B168" s="321"/>
      <c r="C168" s="332" t="s">
        <v>608</v>
      </c>
      <c r="D168" s="353"/>
      <c r="E168" s="353"/>
      <c r="F168" s="354"/>
      <c r="G168" s="346"/>
      <c r="K168" s="19"/>
    </row>
    <row r="169" spans="2:11" x14ac:dyDescent="0.3">
      <c r="B169" s="321"/>
      <c r="C169" s="332" t="s">
        <v>413</v>
      </c>
      <c r="D169" s="353"/>
      <c r="E169" s="353"/>
      <c r="F169" s="354"/>
      <c r="G169" s="346"/>
      <c r="K169" s="19"/>
    </row>
    <row r="170" spans="2:11" ht="17.25" thickBot="1" x14ac:dyDescent="0.35">
      <c r="B170" s="321"/>
      <c r="C170" s="324" t="s">
        <v>427</v>
      </c>
      <c r="D170" s="350"/>
      <c r="E170" s="350"/>
      <c r="F170" s="355"/>
      <c r="G170" s="346"/>
      <c r="K170" s="19"/>
    </row>
    <row r="171" spans="2:11" ht="17.25" thickBot="1" x14ac:dyDescent="0.35">
      <c r="B171" s="321"/>
      <c r="C171" s="316"/>
      <c r="D171" s="316"/>
      <c r="E171" s="316"/>
      <c r="F171" s="316"/>
      <c r="G171" s="351"/>
      <c r="K171" s="19"/>
    </row>
    <row r="172" spans="2:11" ht="18" thickBot="1" x14ac:dyDescent="0.4">
      <c r="B172" s="321"/>
      <c r="C172" s="874" t="s">
        <v>63</v>
      </c>
      <c r="D172" s="875"/>
      <c r="E172" s="875"/>
      <c r="F172" s="876"/>
      <c r="G172" s="346"/>
      <c r="K172" s="19"/>
    </row>
    <row r="173" spans="2:11" ht="17.25" x14ac:dyDescent="0.35">
      <c r="B173" s="321"/>
      <c r="C173" s="325"/>
      <c r="D173" s="929" t="s">
        <v>48</v>
      </c>
      <c r="E173" s="927"/>
      <c r="F173" s="928"/>
      <c r="G173" s="346"/>
      <c r="K173" s="19"/>
    </row>
    <row r="174" spans="2:11" ht="17.25" x14ac:dyDescent="0.35">
      <c r="B174" s="326"/>
      <c r="C174" s="321"/>
      <c r="D174" s="327" t="s">
        <v>56</v>
      </c>
      <c r="E174" s="327" t="s">
        <v>57</v>
      </c>
      <c r="F174" s="328" t="s">
        <v>58</v>
      </c>
      <c r="G174" s="346"/>
      <c r="K174" s="19"/>
    </row>
    <row r="175" spans="2:11" x14ac:dyDescent="0.3">
      <c r="B175" s="321"/>
      <c r="C175" s="332" t="s">
        <v>64</v>
      </c>
      <c r="D175" s="353"/>
      <c r="E175" s="353"/>
      <c r="F175" s="354"/>
      <c r="G175" s="346"/>
      <c r="K175" s="19"/>
    </row>
    <row r="176" spans="2:11" x14ac:dyDescent="0.3">
      <c r="B176" s="321"/>
      <c r="C176" s="332" t="s">
        <v>65</v>
      </c>
      <c r="D176" s="353"/>
      <c r="E176" s="353"/>
      <c r="F176" s="354"/>
      <c r="G176" s="346"/>
      <c r="K176" s="19"/>
    </row>
    <row r="177" spans="2:11" x14ac:dyDescent="0.3">
      <c r="B177" s="321"/>
      <c r="C177" s="332" t="s">
        <v>66</v>
      </c>
      <c r="D177" s="353"/>
      <c r="E177" s="353"/>
      <c r="F177" s="354"/>
      <c r="G177" s="346"/>
      <c r="K177" s="19"/>
    </row>
    <row r="178" spans="2:11" x14ac:dyDescent="0.3">
      <c r="B178" s="321"/>
      <c r="C178" s="332" t="s">
        <v>67</v>
      </c>
      <c r="D178" s="353"/>
      <c r="E178" s="353"/>
      <c r="F178" s="354"/>
      <c r="G178" s="346"/>
      <c r="K178" s="19"/>
    </row>
    <row r="179" spans="2:11" x14ac:dyDescent="0.3">
      <c r="B179" s="321"/>
      <c r="C179" s="332" t="s">
        <v>68</v>
      </c>
      <c r="D179" s="353"/>
      <c r="E179" s="353"/>
      <c r="F179" s="354"/>
      <c r="G179" s="346"/>
      <c r="K179" s="19"/>
    </row>
    <row r="180" spans="2:11" x14ac:dyDescent="0.3">
      <c r="B180" s="321"/>
      <c r="C180" s="332" t="s">
        <v>69</v>
      </c>
      <c r="D180" s="353"/>
      <c r="E180" s="353"/>
      <c r="F180" s="354"/>
      <c r="G180" s="346"/>
      <c r="K180" s="19"/>
    </row>
    <row r="181" spans="2:11" x14ac:dyDescent="0.3">
      <c r="B181" s="321"/>
      <c r="C181" s="332" t="s">
        <v>70</v>
      </c>
      <c r="D181" s="353"/>
      <c r="E181" s="353"/>
      <c r="F181" s="354"/>
      <c r="G181" s="346"/>
      <c r="K181" s="19"/>
    </row>
    <row r="182" spans="2:11" x14ac:dyDescent="0.3">
      <c r="B182" s="321"/>
      <c r="C182" s="332" t="s">
        <v>71</v>
      </c>
      <c r="D182" s="353"/>
      <c r="E182" s="353"/>
      <c r="F182" s="354"/>
      <c r="G182" s="346"/>
      <c r="K182" s="19"/>
    </row>
    <row r="183" spans="2:11" x14ac:dyDescent="0.3">
      <c r="B183" s="321"/>
      <c r="C183" s="332" t="s">
        <v>72</v>
      </c>
      <c r="D183" s="353"/>
      <c r="E183" s="353"/>
      <c r="F183" s="354"/>
      <c r="G183" s="346"/>
      <c r="K183" s="19"/>
    </row>
    <row r="184" spans="2:11" x14ac:dyDescent="0.3">
      <c r="B184" s="321"/>
      <c r="C184" s="332" t="s">
        <v>73</v>
      </c>
      <c r="D184" s="353"/>
      <c r="E184" s="353"/>
      <c r="F184" s="354"/>
      <c r="G184" s="346"/>
      <c r="K184" s="19"/>
    </row>
    <row r="185" spans="2:11" ht="17.25" thickBot="1" x14ac:dyDescent="0.35">
      <c r="B185" s="321"/>
      <c r="C185" s="333" t="s">
        <v>74</v>
      </c>
      <c r="D185" s="350"/>
      <c r="E185" s="350"/>
      <c r="F185" s="355"/>
      <c r="G185" s="346"/>
      <c r="K185" s="19"/>
    </row>
    <row r="186" spans="2:11" ht="17.25" thickBot="1" x14ac:dyDescent="0.35">
      <c r="B186" s="321"/>
      <c r="C186" s="316"/>
      <c r="D186" s="316"/>
      <c r="E186" s="316"/>
      <c r="F186" s="316"/>
      <c r="G186" s="351"/>
      <c r="K186" s="19"/>
    </row>
    <row r="187" spans="2:11" ht="18" thickBot="1" x14ac:dyDescent="0.4">
      <c r="B187" s="321"/>
      <c r="C187" s="874" t="s">
        <v>75</v>
      </c>
      <c r="D187" s="875"/>
      <c r="E187" s="875"/>
      <c r="F187" s="876"/>
      <c r="G187" s="346"/>
      <c r="K187" s="19"/>
    </row>
    <row r="188" spans="2:11" ht="17.25" x14ac:dyDescent="0.35">
      <c r="B188" s="321"/>
      <c r="C188" s="325"/>
      <c r="D188" s="929" t="s">
        <v>48</v>
      </c>
      <c r="E188" s="927"/>
      <c r="F188" s="928"/>
      <c r="G188" s="346"/>
      <c r="K188" s="19"/>
    </row>
    <row r="189" spans="2:11" ht="17.25" x14ac:dyDescent="0.35">
      <c r="B189" s="326"/>
      <c r="C189" s="321"/>
      <c r="D189" s="327" t="s">
        <v>56</v>
      </c>
      <c r="E189" s="327" t="s">
        <v>57</v>
      </c>
      <c r="F189" s="328" t="s">
        <v>58</v>
      </c>
      <c r="G189" s="346"/>
      <c r="K189" s="19"/>
    </row>
    <row r="190" spans="2:11" x14ac:dyDescent="0.3">
      <c r="B190" s="321"/>
      <c r="C190" s="332" t="s">
        <v>304</v>
      </c>
      <c r="D190" s="353"/>
      <c r="E190" s="353"/>
      <c r="F190" s="354"/>
      <c r="G190" s="346"/>
      <c r="K190" s="19"/>
    </row>
    <row r="191" spans="2:11" x14ac:dyDescent="0.3">
      <c r="B191" s="321"/>
      <c r="C191" s="332" t="s">
        <v>305</v>
      </c>
      <c r="D191" s="353"/>
      <c r="E191" s="353"/>
      <c r="F191" s="354"/>
      <c r="G191" s="346"/>
      <c r="K191" s="19"/>
    </row>
    <row r="192" spans="2:11" x14ac:dyDescent="0.3">
      <c r="B192" s="321"/>
      <c r="C192" s="332" t="s">
        <v>78</v>
      </c>
      <c r="D192" s="353"/>
      <c r="E192" s="353"/>
      <c r="F192" s="354"/>
      <c r="G192" s="346"/>
      <c r="K192" s="19"/>
    </row>
    <row r="193" spans="2:11" x14ac:dyDescent="0.3">
      <c r="B193" s="321"/>
      <c r="C193" s="332" t="s">
        <v>79</v>
      </c>
      <c r="D193" s="353"/>
      <c r="E193" s="353"/>
      <c r="F193" s="354"/>
      <c r="G193" s="346"/>
      <c r="K193" s="19"/>
    </row>
    <row r="194" spans="2:11" ht="17.25" thickBot="1" x14ac:dyDescent="0.35">
      <c r="B194" s="321"/>
      <c r="C194" s="330" t="s">
        <v>428</v>
      </c>
      <c r="D194" s="350"/>
      <c r="E194" s="350"/>
      <c r="F194" s="355"/>
      <c r="G194" s="346"/>
      <c r="K194" s="19"/>
    </row>
    <row r="195" spans="2:11" ht="17.25" thickBot="1" x14ac:dyDescent="0.35">
      <c r="B195" s="321"/>
      <c r="C195" s="316"/>
      <c r="D195" s="316"/>
      <c r="E195" s="316"/>
      <c r="F195" s="316"/>
      <c r="G195" s="351"/>
      <c r="K195" s="19"/>
    </row>
    <row r="196" spans="2:11" ht="18" thickBot="1" x14ac:dyDescent="0.4">
      <c r="B196" s="321"/>
      <c r="C196" s="874" t="s">
        <v>80</v>
      </c>
      <c r="D196" s="875"/>
      <c r="E196" s="875"/>
      <c r="F196" s="876"/>
      <c r="G196" s="346"/>
      <c r="K196" s="19"/>
    </row>
    <row r="197" spans="2:11" ht="17.25" x14ac:dyDescent="0.35">
      <c r="B197" s="321"/>
      <c r="C197" s="325"/>
      <c r="D197" s="929" t="s">
        <v>48</v>
      </c>
      <c r="E197" s="927"/>
      <c r="F197" s="928"/>
      <c r="G197" s="346"/>
      <c r="K197" s="19"/>
    </row>
    <row r="198" spans="2:11" ht="17.25" x14ac:dyDescent="0.35">
      <c r="B198" s="331"/>
      <c r="C198" s="321"/>
      <c r="D198" s="327" t="s">
        <v>56</v>
      </c>
      <c r="E198" s="327" t="s">
        <v>57</v>
      </c>
      <c r="F198" s="328" t="s">
        <v>58</v>
      </c>
      <c r="G198" s="346"/>
      <c r="K198" s="19"/>
    </row>
    <row r="199" spans="2:11" x14ac:dyDescent="0.3">
      <c r="B199" s="321"/>
      <c r="C199" s="332" t="s">
        <v>81</v>
      </c>
      <c r="D199" s="353"/>
      <c r="E199" s="353"/>
      <c r="F199" s="354"/>
      <c r="G199" s="346"/>
      <c r="K199" s="19"/>
    </row>
    <row r="200" spans="2:11" x14ac:dyDescent="0.3">
      <c r="B200" s="321"/>
      <c r="C200" s="332" t="s">
        <v>82</v>
      </c>
      <c r="D200" s="353"/>
      <c r="E200" s="353"/>
      <c r="F200" s="354"/>
      <c r="G200" s="346"/>
      <c r="K200" s="19"/>
    </row>
    <row r="201" spans="2:11" x14ac:dyDescent="0.3">
      <c r="B201" s="321"/>
      <c r="C201" s="332" t="s">
        <v>83</v>
      </c>
      <c r="D201" s="353"/>
      <c r="E201" s="353"/>
      <c r="F201" s="354"/>
      <c r="G201" s="346"/>
      <c r="K201" s="19"/>
    </row>
    <row r="202" spans="2:11" x14ac:dyDescent="0.3">
      <c r="B202" s="321"/>
      <c r="C202" s="332" t="s">
        <v>84</v>
      </c>
      <c r="D202" s="353"/>
      <c r="E202" s="353"/>
      <c r="F202" s="354"/>
      <c r="G202" s="346"/>
      <c r="K202" s="19"/>
    </row>
    <row r="203" spans="2:11" x14ac:dyDescent="0.3">
      <c r="B203" s="321"/>
      <c r="C203" s="332" t="s">
        <v>85</v>
      </c>
      <c r="D203" s="353"/>
      <c r="E203" s="353"/>
      <c r="F203" s="354"/>
      <c r="G203" s="346"/>
      <c r="K203" s="19"/>
    </row>
    <row r="204" spans="2:11" x14ac:dyDescent="0.3">
      <c r="B204" s="321"/>
      <c r="C204" s="332" t="s">
        <v>86</v>
      </c>
      <c r="D204" s="353"/>
      <c r="E204" s="353"/>
      <c r="F204" s="354"/>
      <c r="G204" s="346"/>
      <c r="K204" s="19"/>
    </row>
    <row r="205" spans="2:11" x14ac:dyDescent="0.3">
      <c r="B205" s="321"/>
      <c r="C205" s="332" t="s">
        <v>87</v>
      </c>
      <c r="D205" s="353"/>
      <c r="E205" s="353"/>
      <c r="F205" s="354"/>
      <c r="G205" s="346"/>
      <c r="K205" s="19"/>
    </row>
    <row r="206" spans="2:11" ht="17.25" thickBot="1" x14ac:dyDescent="0.35">
      <c r="B206" s="321"/>
      <c r="C206" s="333" t="s">
        <v>88</v>
      </c>
      <c r="D206" s="350"/>
      <c r="E206" s="350"/>
      <c r="F206" s="355"/>
      <c r="G206" s="346"/>
      <c r="K206" s="19"/>
    </row>
    <row r="207" spans="2:11" ht="17.25" thickBot="1" x14ac:dyDescent="0.35">
      <c r="B207" s="321"/>
      <c r="C207" s="316"/>
      <c r="D207" s="316"/>
      <c r="E207" s="316"/>
      <c r="F207" s="316"/>
      <c r="G207" s="351"/>
      <c r="K207" s="19"/>
    </row>
    <row r="208" spans="2:11" ht="18" thickBot="1" x14ac:dyDescent="0.4">
      <c r="B208" s="321"/>
      <c r="C208" s="874" t="s">
        <v>89</v>
      </c>
      <c r="D208" s="875"/>
      <c r="E208" s="875"/>
      <c r="F208" s="876"/>
      <c r="G208" s="346"/>
      <c r="K208" s="19"/>
    </row>
    <row r="209" spans="1:11" ht="17.25" x14ac:dyDescent="0.35">
      <c r="B209" s="326"/>
      <c r="C209" s="325"/>
      <c r="D209" s="929" t="s">
        <v>48</v>
      </c>
      <c r="E209" s="927"/>
      <c r="F209" s="928"/>
      <c r="G209" s="351"/>
      <c r="K209" s="19"/>
    </row>
    <row r="210" spans="1:11" x14ac:dyDescent="0.3">
      <c r="B210" s="321"/>
      <c r="C210" s="332" t="s">
        <v>90</v>
      </c>
      <c r="D210" s="907"/>
      <c r="E210" s="907"/>
      <c r="F210" s="908"/>
      <c r="G210" s="351"/>
      <c r="K210" s="19"/>
    </row>
    <row r="211" spans="1:11" x14ac:dyDescent="0.3">
      <c r="B211" s="321"/>
      <c r="C211" s="332" t="s">
        <v>91</v>
      </c>
      <c r="D211" s="907"/>
      <c r="E211" s="907"/>
      <c r="F211" s="908"/>
      <c r="G211" s="351"/>
      <c r="K211" s="19"/>
    </row>
    <row r="212" spans="1:11" x14ac:dyDescent="0.3">
      <c r="B212" s="321"/>
      <c r="C212" s="332" t="s">
        <v>306</v>
      </c>
      <c r="D212" s="907"/>
      <c r="E212" s="907"/>
      <c r="F212" s="908"/>
      <c r="G212" s="351"/>
      <c r="K212" s="19"/>
    </row>
    <row r="213" spans="1:11" x14ac:dyDescent="0.3">
      <c r="B213" s="321"/>
      <c r="C213" s="332" t="s">
        <v>92</v>
      </c>
      <c r="D213" s="895" t="str">
        <f>IF(D210+D212=0,"",D210+D212)</f>
        <v/>
      </c>
      <c r="E213" s="895"/>
      <c r="F213" s="896"/>
      <c r="G213" s="351"/>
      <c r="K213" s="19"/>
    </row>
    <row r="214" spans="1:11" x14ac:dyDescent="0.3">
      <c r="B214" s="321"/>
      <c r="C214" s="332" t="s">
        <v>93</v>
      </c>
      <c r="D214" s="907"/>
      <c r="E214" s="907"/>
      <c r="F214" s="908"/>
      <c r="G214" s="351"/>
      <c r="K214" s="19"/>
    </row>
    <row r="215" spans="1:11" x14ac:dyDescent="0.3">
      <c r="B215" s="321"/>
      <c r="C215" s="332" t="s">
        <v>94</v>
      </c>
      <c r="D215" s="907"/>
      <c r="E215" s="907"/>
      <c r="F215" s="908"/>
      <c r="G215" s="351"/>
      <c r="K215" s="19"/>
    </row>
    <row r="216" spans="1:11" x14ac:dyDescent="0.3">
      <c r="B216" s="321"/>
      <c r="C216" s="332" t="s">
        <v>95</v>
      </c>
      <c r="D216" s="907"/>
      <c r="E216" s="907"/>
      <c r="F216" s="908"/>
      <c r="G216" s="351"/>
      <c r="K216" s="19"/>
    </row>
    <row r="217" spans="1:11" x14ac:dyDescent="0.3">
      <c r="B217" s="321"/>
      <c r="C217" s="332" t="s">
        <v>306</v>
      </c>
      <c r="D217" s="907"/>
      <c r="E217" s="907"/>
      <c r="F217" s="908"/>
      <c r="G217" s="351"/>
      <c r="K217" s="19"/>
    </row>
    <row r="218" spans="1:11" ht="17.25" thickBot="1" x14ac:dyDescent="0.35">
      <c r="B218" s="321"/>
      <c r="C218" s="333" t="s">
        <v>92</v>
      </c>
      <c r="D218" s="911" t="str">
        <f>IF(D215+D217=0,"",D215+D217)</f>
        <v/>
      </c>
      <c r="E218" s="911"/>
      <c r="F218" s="912"/>
      <c r="G218" s="351"/>
      <c r="K218" s="19"/>
    </row>
    <row r="219" spans="1:11" ht="17.25" thickBot="1" x14ac:dyDescent="0.35">
      <c r="B219" s="334"/>
      <c r="C219" s="319"/>
      <c r="D219" s="319"/>
      <c r="E219" s="319"/>
      <c r="F219" s="319"/>
      <c r="G219" s="356"/>
      <c r="K219" s="19"/>
    </row>
    <row r="220" spans="1:11" x14ac:dyDescent="0.3">
      <c r="K220" s="19"/>
    </row>
    <row r="221" spans="1:11" s="18" customFormat="1" x14ac:dyDescent="0.3">
      <c r="A221" s="19"/>
      <c r="B221" s="19"/>
      <c r="C221" s="19"/>
      <c r="D221" s="19"/>
      <c r="E221" s="19"/>
      <c r="F221" s="19"/>
      <c r="G221" s="19"/>
      <c r="H221" s="19"/>
      <c r="I221" s="19"/>
      <c r="J221" s="19"/>
      <c r="K221" s="19"/>
    </row>
  </sheetData>
  <sheetProtection password="D93F" sheet="1" objects="1" scenarios="1" selectLockedCells="1"/>
  <customSheetViews>
    <customSheetView guid="{2A4C6EB9-430A-44F2-86C8-15B50360FC3B}" scale="70" showGridLines="0">
      <selection activeCell="F2" sqref="F2"/>
      <pageMargins left="0.7" right="0.7" top="0.75" bottom="0.75" header="0.3" footer="0.3"/>
      <pageSetup orientation="portrait" horizontalDpi="200" verticalDpi="200" r:id="rId1"/>
    </customSheetView>
    <customSheetView guid="{B3BD5AF3-9A64-4EA7-AE1F-3CC326849B8F}" scale="70" showGridLines="0">
      <selection activeCell="K3" sqref="K3:K5"/>
      <pageMargins left="0.7" right="0.7" top="0.75" bottom="0.75" header="0.3" footer="0.3"/>
      <pageSetup orientation="portrait" horizontalDpi="200" verticalDpi="200" r:id="rId2"/>
    </customSheetView>
  </customSheetViews>
  <mergeCells count="69">
    <mergeCell ref="D148:F148"/>
    <mergeCell ref="B151:G151"/>
    <mergeCell ref="D145:F145"/>
    <mergeCell ref="D146:F146"/>
    <mergeCell ref="D147:F147"/>
    <mergeCell ref="D140:F140"/>
    <mergeCell ref="D141:F141"/>
    <mergeCell ref="D142:F142"/>
    <mergeCell ref="D143:F143"/>
    <mergeCell ref="D144:F144"/>
    <mergeCell ref="C68:F68"/>
    <mergeCell ref="C83:F83"/>
    <mergeCell ref="C93:F93"/>
    <mergeCell ref="C102:F102"/>
    <mergeCell ref="C117:F117"/>
    <mergeCell ref="D69:F69"/>
    <mergeCell ref="D70:F70"/>
    <mergeCell ref="D71:F71"/>
    <mergeCell ref="H4:I4"/>
    <mergeCell ref="C13:F13"/>
    <mergeCell ref="B2:C2"/>
    <mergeCell ref="C23:F23"/>
    <mergeCell ref="C32:F32"/>
    <mergeCell ref="D217:F217"/>
    <mergeCell ref="D218:F218"/>
    <mergeCell ref="D214:F214"/>
    <mergeCell ref="D213:F213"/>
    <mergeCell ref="D188:F188"/>
    <mergeCell ref="D197:F197"/>
    <mergeCell ref="D209:F209"/>
    <mergeCell ref="D210:F210"/>
    <mergeCell ref="D211:F211"/>
    <mergeCell ref="D212:F212"/>
    <mergeCell ref="D215:F215"/>
    <mergeCell ref="D216:F216"/>
    <mergeCell ref="C187:F187"/>
    <mergeCell ref="C196:F196"/>
    <mergeCell ref="C208:F208"/>
    <mergeCell ref="C153:F153"/>
    <mergeCell ref="C163:F163"/>
    <mergeCell ref="C172:F172"/>
    <mergeCell ref="D173:F173"/>
    <mergeCell ref="D154:F154"/>
    <mergeCell ref="D164:F164"/>
    <mergeCell ref="D139:F139"/>
    <mergeCell ref="D72:F72"/>
    <mergeCell ref="D73:F73"/>
    <mergeCell ref="D76:F76"/>
    <mergeCell ref="D77:F77"/>
    <mergeCell ref="D75:F75"/>
    <mergeCell ref="D127:F127"/>
    <mergeCell ref="C126:F126"/>
    <mergeCell ref="C138:F138"/>
    <mergeCell ref="D84:F84"/>
    <mergeCell ref="D94:F94"/>
    <mergeCell ref="D103:F103"/>
    <mergeCell ref="D118:F118"/>
    <mergeCell ref="D74:F74"/>
    <mergeCell ref="D78:F78"/>
    <mergeCell ref="B81:G81"/>
    <mergeCell ref="D57:F57"/>
    <mergeCell ref="E2:F2"/>
    <mergeCell ref="D14:F14"/>
    <mergeCell ref="D24:F24"/>
    <mergeCell ref="D33:F33"/>
    <mergeCell ref="D48:F48"/>
    <mergeCell ref="B11:G11"/>
    <mergeCell ref="C47:F47"/>
    <mergeCell ref="C56:F56"/>
  </mergeCells>
  <phoneticPr fontId="27" type="noConversion"/>
  <conditionalFormatting sqref="D26:F30 D35:F45 D50:F54 D59:F66 D20:D21 D16:F19 D70:D78 D140:D141 D86:D91 D96:F100 D105:D111 D120:F121 D129:F136 D144:D146">
    <cfRule type="expression" dxfId="44" priority="6" stopIfTrue="1">
      <formula>$I$5 = "Central Air Conditioner"</formula>
    </cfRule>
  </conditionalFormatting>
  <conditionalFormatting sqref="E86:F89 E105:F115 D112:D115 D122:F124 D142:D143 D147:D148">
    <cfRule type="expression" dxfId="43" priority="18" stopIfTrue="1">
      <formula>OR($I$5 = "Central Air Conditioner", AND($I$6 = "Single-Speed", $I$7 = "Fixed Speed"))</formula>
    </cfRule>
  </conditionalFormatting>
  <conditionalFormatting sqref="D166:F170 D175:F185 D190:F194 D199:F206 D210:D218 E156:F159 D156:D161">
    <cfRule type="expression" dxfId="42" priority="26" stopIfTrue="1">
      <formula>OR($I$5 = "Central Air Conditioner", $I$6 &lt;&gt; "Variable-Speed")</formula>
    </cfRule>
  </conditionalFormatting>
  <hyperlinks>
    <hyperlink ref="E2" location="Instructions!A1" display="Back to Instructions"/>
    <hyperlink ref="E2:F2" location="Instructions!A1" display="Back to Instructions tab"/>
  </hyperlinks>
  <pageMargins left="0.7" right="0.7" top="0.75" bottom="0.75" header="0.3" footer="0.3"/>
  <pageSetup orientation="portrait" horizontalDpi="200" verticalDpi="200" r:id="rId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rgb="FF0070C0"/>
  </sheetPr>
  <dimension ref="A1:K236"/>
  <sheetViews>
    <sheetView showGridLines="0" zoomScale="80" zoomScaleNormal="80" workbookViewId="0">
      <selection activeCell="E2" sqref="E2:F2"/>
    </sheetView>
  </sheetViews>
  <sheetFormatPr defaultColWidth="9.140625" defaultRowHeight="16.5" x14ac:dyDescent="0.3"/>
  <cols>
    <col min="1" max="1" width="5.5703125" style="6" customWidth="1"/>
    <col min="2" max="2" width="32.7109375" style="6" customWidth="1"/>
    <col min="3" max="3" width="68.85546875" style="6" customWidth="1"/>
    <col min="4" max="4" width="15" style="6" customWidth="1"/>
    <col min="5" max="5" width="18" style="6" customWidth="1"/>
    <col min="6" max="6" width="17" style="6" customWidth="1"/>
    <col min="7" max="7" width="6.42578125" style="6" customWidth="1"/>
    <col min="8" max="8" width="24.7109375" style="6" customWidth="1"/>
    <col min="9" max="9" width="22.42578125" style="6" customWidth="1"/>
    <col min="10" max="10" width="6.28515625" style="114" customWidth="1"/>
    <col min="11" max="11" width="5" style="6" customWidth="1"/>
    <col min="12" max="16384" width="9.140625" style="6"/>
  </cols>
  <sheetData>
    <row r="1" spans="2:11" ht="17.25" thickBot="1" x14ac:dyDescent="0.35">
      <c r="J1" s="127"/>
      <c r="K1" s="19"/>
    </row>
    <row r="2" spans="2:11" s="1" customFormat="1" ht="18" thickBot="1" x14ac:dyDescent="0.35">
      <c r="B2" s="764" t="s">
        <v>562</v>
      </c>
      <c r="C2" s="765"/>
      <c r="E2" s="827" t="s">
        <v>540</v>
      </c>
      <c r="F2" s="827"/>
      <c r="J2" s="128"/>
      <c r="K2" s="129"/>
    </row>
    <row r="3" spans="2:11" s="1" customFormat="1" ht="17.25" thickBot="1" x14ac:dyDescent="0.35">
      <c r="B3" s="297" t="s">
        <v>563</v>
      </c>
      <c r="C3" s="298" t="str">
        <f>'Version Control'!C3</f>
        <v>Residential Central Air Conditioners and Heat Pumps</v>
      </c>
      <c r="J3" s="128"/>
      <c r="K3" s="129"/>
    </row>
    <row r="4" spans="2:11" s="1" customFormat="1" ht="18" thickBot="1" x14ac:dyDescent="0.35">
      <c r="B4" s="299" t="s">
        <v>140</v>
      </c>
      <c r="C4" s="300" t="str">
        <f>'Version Control'!C4</f>
        <v>v2.1</v>
      </c>
      <c r="H4" s="761" t="s">
        <v>349</v>
      </c>
      <c r="I4" s="763"/>
      <c r="J4" s="128"/>
      <c r="K4" s="129"/>
    </row>
    <row r="5" spans="2:11" s="1" customFormat="1" x14ac:dyDescent="0.3">
      <c r="B5" s="299" t="s">
        <v>462</v>
      </c>
      <c r="C5" s="301">
        <f>'Version Control'!C5</f>
        <v>42653</v>
      </c>
      <c r="H5" s="55" t="s">
        <v>158</v>
      </c>
      <c r="I5" s="598">
        <f>'General Info and Test Results'!C25</f>
        <v>0</v>
      </c>
      <c r="J5" s="128"/>
      <c r="K5" s="129"/>
    </row>
    <row r="6" spans="2:11" s="1" customFormat="1" x14ac:dyDescent="0.3">
      <c r="B6" s="302" t="s">
        <v>139</v>
      </c>
      <c r="C6" s="303" t="str">
        <f ca="1">MID(CELL("filename",$A$1), FIND("]", CELL("filename", $A$1))+ 1, 255)</f>
        <v>H2 Test Recorded Data</v>
      </c>
      <c r="H6" s="56" t="s">
        <v>153</v>
      </c>
      <c r="I6" s="599">
        <f>'General Info and Test Results'!C26</f>
        <v>0</v>
      </c>
      <c r="J6" s="128"/>
      <c r="K6" s="129"/>
    </row>
    <row r="7" spans="2:11" s="1" customFormat="1" ht="33.75" thickBot="1" x14ac:dyDescent="0.35">
      <c r="B7" s="304" t="s">
        <v>138</v>
      </c>
      <c r="C7" s="305" t="str">
        <f ca="1">MID(CELL("FILENAME",F17),FIND("[",CELL("FILENAME",F17))+1,FIND("]",CELL("FILENAME",F17))-FIND("[",CELL("FILENAME",F17))-1)</f>
        <v>Residential Central Air Conditioners and Heat Pumps - v2.1.xlsx</v>
      </c>
      <c r="H7" s="57" t="s">
        <v>199</v>
      </c>
      <c r="I7" s="600">
        <f>'General Info and Test Results'!C27</f>
        <v>0</v>
      </c>
      <c r="J7" s="128"/>
      <c r="K7" s="129"/>
    </row>
    <row r="8" spans="2:11" s="1" customFormat="1" ht="17.25" thickBot="1" x14ac:dyDescent="0.35">
      <c r="B8" s="306" t="s">
        <v>141</v>
      </c>
      <c r="C8" s="307" t="str">
        <f>'Version Control'!C8</f>
        <v>[MM/DD/YYYY]</v>
      </c>
      <c r="G8" s="14"/>
      <c r="H8" s="9"/>
      <c r="J8" s="128"/>
      <c r="K8" s="129"/>
    </row>
    <row r="9" spans="2:11" s="1" customFormat="1" x14ac:dyDescent="0.3">
      <c r="B9" s="4"/>
      <c r="C9" s="262"/>
      <c r="G9" s="14"/>
      <c r="H9" s="9"/>
      <c r="J9" s="128"/>
      <c r="K9" s="129"/>
    </row>
    <row r="10" spans="2:11" s="1" customFormat="1" x14ac:dyDescent="0.3">
      <c r="B10" s="4"/>
      <c r="C10" s="262"/>
      <c r="G10" s="14"/>
      <c r="H10" s="9"/>
      <c r="J10" s="128"/>
      <c r="K10" s="129"/>
    </row>
    <row r="11" spans="2:11" s="1" customFormat="1" x14ac:dyDescent="0.3">
      <c r="B11" s="116"/>
      <c r="C11" s="374" t="s">
        <v>474</v>
      </c>
      <c r="D11" s="426"/>
      <c r="E11" s="373"/>
      <c r="F11" s="373"/>
      <c r="G11" s="403"/>
      <c r="H11" s="6"/>
      <c r="J11" s="128"/>
      <c r="K11" s="129"/>
    </row>
    <row r="12" spans="2:11" s="177" customFormat="1" x14ac:dyDescent="0.3">
      <c r="B12" s="427"/>
      <c r="C12" s="428" t="s">
        <v>129</v>
      </c>
      <c r="D12" s="429"/>
      <c r="E12" s="427"/>
      <c r="F12" s="913"/>
      <c r="G12" s="913"/>
      <c r="J12" s="178"/>
      <c r="K12" s="179"/>
    </row>
    <row r="13" spans="2:11" s="7" customFormat="1" ht="18" thickBot="1" x14ac:dyDescent="0.4">
      <c r="B13" s="377"/>
      <c r="C13" s="377"/>
      <c r="D13" s="377"/>
      <c r="E13" s="377"/>
      <c r="F13" s="377"/>
      <c r="G13" s="377"/>
      <c r="J13" s="115"/>
      <c r="K13" s="20"/>
    </row>
    <row r="14" spans="2:11" ht="18.75" thickBot="1" x14ac:dyDescent="0.4">
      <c r="B14" s="902" t="s">
        <v>420</v>
      </c>
      <c r="C14" s="903"/>
      <c r="D14" s="903"/>
      <c r="E14" s="903"/>
      <c r="F14" s="903"/>
      <c r="G14" s="904"/>
      <c r="K14" s="19"/>
    </row>
    <row r="15" spans="2:11" ht="18" thickBot="1" x14ac:dyDescent="0.4">
      <c r="B15" s="357"/>
      <c r="C15" s="344"/>
      <c r="D15" s="344"/>
      <c r="E15" s="344"/>
      <c r="F15" s="344"/>
      <c r="G15" s="345"/>
      <c r="K15" s="19"/>
    </row>
    <row r="16" spans="2:11" ht="18" thickBot="1" x14ac:dyDescent="0.4">
      <c r="B16" s="326"/>
      <c r="C16" s="874" t="s">
        <v>55</v>
      </c>
      <c r="D16" s="875"/>
      <c r="E16" s="875"/>
      <c r="F16" s="876"/>
      <c r="G16" s="351"/>
      <c r="K16" s="19"/>
    </row>
    <row r="17" spans="2:11" ht="17.25" x14ac:dyDescent="0.35">
      <c r="B17" s="321"/>
      <c r="C17" s="325"/>
      <c r="D17" s="929" t="s">
        <v>48</v>
      </c>
      <c r="E17" s="927"/>
      <c r="F17" s="928"/>
      <c r="G17" s="351"/>
      <c r="I17" s="138"/>
      <c r="J17" s="154"/>
      <c r="K17" s="19"/>
    </row>
    <row r="18" spans="2:11" ht="17.25" x14ac:dyDescent="0.35">
      <c r="B18" s="326"/>
      <c r="C18" s="321"/>
      <c r="D18" s="327" t="s">
        <v>56</v>
      </c>
      <c r="E18" s="327" t="s">
        <v>57</v>
      </c>
      <c r="F18" s="328" t="s">
        <v>58</v>
      </c>
      <c r="G18" s="351"/>
      <c r="I18" s="138"/>
      <c r="J18" s="154"/>
      <c r="K18" s="19"/>
    </row>
    <row r="19" spans="2:11" x14ac:dyDescent="0.3">
      <c r="B19" s="321"/>
      <c r="C19" s="322" t="s">
        <v>571</v>
      </c>
      <c r="D19" s="315"/>
      <c r="E19" s="315"/>
      <c r="F19" s="313"/>
      <c r="G19" s="346"/>
      <c r="I19" s="140"/>
      <c r="J19" s="155"/>
      <c r="K19" s="19"/>
    </row>
    <row r="20" spans="2:11" x14ac:dyDescent="0.3">
      <c r="B20" s="321"/>
      <c r="C20" s="322" t="s">
        <v>572</v>
      </c>
      <c r="D20" s="315"/>
      <c r="E20" s="315"/>
      <c r="F20" s="313"/>
      <c r="G20" s="346"/>
      <c r="I20" s="140"/>
      <c r="J20" s="155"/>
      <c r="K20" s="19"/>
    </row>
    <row r="21" spans="2:11" x14ac:dyDescent="0.3">
      <c r="B21" s="321"/>
      <c r="C21" s="322" t="s">
        <v>573</v>
      </c>
      <c r="D21" s="315"/>
      <c r="E21" s="315"/>
      <c r="F21" s="313"/>
      <c r="G21" s="346"/>
      <c r="I21" s="140"/>
      <c r="J21" s="155"/>
      <c r="K21" s="19"/>
    </row>
    <row r="22" spans="2:11" x14ac:dyDescent="0.3">
      <c r="B22" s="321"/>
      <c r="C22" s="322" t="s">
        <v>572</v>
      </c>
      <c r="D22" s="315"/>
      <c r="E22" s="315"/>
      <c r="F22" s="313"/>
      <c r="G22" s="346"/>
      <c r="I22" s="140"/>
      <c r="J22" s="155"/>
      <c r="K22" s="19"/>
    </row>
    <row r="23" spans="2:11" x14ac:dyDescent="0.3">
      <c r="B23" s="321"/>
      <c r="C23" s="322" t="s">
        <v>59</v>
      </c>
      <c r="D23" s="315"/>
      <c r="E23" s="315"/>
      <c r="F23" s="313"/>
      <c r="G23" s="346"/>
      <c r="I23" s="140"/>
      <c r="J23" s="155"/>
      <c r="K23" s="19"/>
    </row>
    <row r="24" spans="2:11" x14ac:dyDescent="0.3">
      <c r="B24" s="321"/>
      <c r="C24" s="322" t="s">
        <v>60</v>
      </c>
      <c r="D24" s="315"/>
      <c r="E24" s="315"/>
      <c r="F24" s="313"/>
      <c r="G24" s="346"/>
      <c r="I24" s="140"/>
      <c r="J24" s="155"/>
      <c r="K24" s="19"/>
    </row>
    <row r="25" spans="2:11" x14ac:dyDescent="0.3">
      <c r="B25" s="321"/>
      <c r="C25" s="322" t="s">
        <v>435</v>
      </c>
      <c r="D25" s="315"/>
      <c r="E25" s="316"/>
      <c r="F25" s="317"/>
      <c r="G25" s="346"/>
      <c r="I25" s="140"/>
      <c r="J25" s="155"/>
      <c r="K25" s="19"/>
    </row>
    <row r="26" spans="2:11" ht="17.25" thickBot="1" x14ac:dyDescent="0.35">
      <c r="B26" s="321"/>
      <c r="C26" s="324" t="s">
        <v>443</v>
      </c>
      <c r="D26" s="318"/>
      <c r="E26" s="319"/>
      <c r="F26" s="320"/>
      <c r="G26" s="346"/>
      <c r="I26" s="140"/>
      <c r="J26" s="155"/>
      <c r="K26" s="19"/>
    </row>
    <row r="27" spans="2:11" ht="17.25" thickBot="1" x14ac:dyDescent="0.35">
      <c r="B27" s="321"/>
      <c r="C27" s="337"/>
      <c r="D27" s="316"/>
      <c r="E27" s="316"/>
      <c r="F27" s="316"/>
      <c r="G27" s="351"/>
      <c r="I27" s="140"/>
      <c r="J27" s="155"/>
      <c r="K27" s="19"/>
    </row>
    <row r="28" spans="2:11" ht="18" thickBot="1" x14ac:dyDescent="0.4">
      <c r="B28" s="321"/>
      <c r="C28" s="874" t="s">
        <v>61</v>
      </c>
      <c r="D28" s="875"/>
      <c r="E28" s="875"/>
      <c r="F28" s="876"/>
      <c r="G28" s="346"/>
      <c r="I28" s="140"/>
      <c r="J28" s="155"/>
      <c r="K28" s="19"/>
    </row>
    <row r="29" spans="2:11" ht="17.25" x14ac:dyDescent="0.35">
      <c r="B29" s="321"/>
      <c r="C29" s="352"/>
      <c r="D29" s="929" t="s">
        <v>48</v>
      </c>
      <c r="E29" s="927"/>
      <c r="F29" s="928"/>
      <c r="G29" s="346"/>
      <c r="I29" s="140"/>
      <c r="J29" s="155"/>
      <c r="K29" s="19"/>
    </row>
    <row r="30" spans="2:11" ht="17.25" x14ac:dyDescent="0.35">
      <c r="B30" s="326"/>
      <c r="C30" s="338"/>
      <c r="D30" s="327" t="s">
        <v>56</v>
      </c>
      <c r="E30" s="327" t="s">
        <v>57</v>
      </c>
      <c r="F30" s="328" t="s">
        <v>58</v>
      </c>
      <c r="G30" s="346"/>
      <c r="I30" s="140"/>
      <c r="J30" s="155"/>
      <c r="K30" s="19"/>
    </row>
    <row r="31" spans="2:11" x14ac:dyDescent="0.3">
      <c r="B31" s="321"/>
      <c r="C31" s="322" t="s">
        <v>62</v>
      </c>
      <c r="D31" s="315"/>
      <c r="E31" s="315"/>
      <c r="F31" s="313"/>
      <c r="G31" s="346"/>
      <c r="I31" s="140"/>
      <c r="J31" s="155"/>
      <c r="K31" s="19"/>
    </row>
    <row r="32" spans="2:11" x14ac:dyDescent="0.3">
      <c r="B32" s="321"/>
      <c r="C32" s="322" t="s">
        <v>607</v>
      </c>
      <c r="D32" s="315"/>
      <c r="E32" s="315"/>
      <c r="F32" s="313"/>
      <c r="G32" s="346"/>
      <c r="I32" s="140"/>
      <c r="J32" s="155"/>
      <c r="K32" s="19"/>
    </row>
    <row r="33" spans="2:11" x14ac:dyDescent="0.3">
      <c r="B33" s="321"/>
      <c r="C33" s="322" t="s">
        <v>608</v>
      </c>
      <c r="D33" s="315"/>
      <c r="E33" s="315"/>
      <c r="F33" s="313"/>
      <c r="G33" s="346"/>
      <c r="I33" s="140"/>
      <c r="J33" s="155"/>
      <c r="K33" s="19"/>
    </row>
    <row r="34" spans="2:11" x14ac:dyDescent="0.3">
      <c r="B34" s="321"/>
      <c r="C34" s="322" t="s">
        <v>413</v>
      </c>
      <c r="D34" s="315"/>
      <c r="E34" s="315"/>
      <c r="F34" s="313"/>
      <c r="G34" s="346"/>
      <c r="I34" s="140"/>
      <c r="J34" s="155"/>
      <c r="K34" s="19"/>
    </row>
    <row r="35" spans="2:11" ht="17.25" thickBot="1" x14ac:dyDescent="0.35">
      <c r="B35" s="321"/>
      <c r="C35" s="324" t="s">
        <v>602</v>
      </c>
      <c r="D35" s="318"/>
      <c r="E35" s="318"/>
      <c r="F35" s="314"/>
      <c r="G35" s="346"/>
      <c r="I35" s="140"/>
      <c r="J35" s="155"/>
      <c r="K35" s="19"/>
    </row>
    <row r="36" spans="2:11" ht="17.25" thickBot="1" x14ac:dyDescent="0.35">
      <c r="B36" s="321"/>
      <c r="C36" s="316"/>
      <c r="D36" s="316"/>
      <c r="E36" s="316"/>
      <c r="F36" s="316"/>
      <c r="G36" s="351"/>
      <c r="I36" s="140"/>
      <c r="J36" s="155"/>
      <c r="K36" s="19"/>
    </row>
    <row r="37" spans="2:11" ht="18" thickBot="1" x14ac:dyDescent="0.4">
      <c r="B37" s="321"/>
      <c r="C37" s="874" t="s">
        <v>63</v>
      </c>
      <c r="D37" s="875"/>
      <c r="E37" s="875"/>
      <c r="F37" s="876"/>
      <c r="G37" s="346"/>
      <c r="I37" s="140"/>
      <c r="J37" s="155"/>
      <c r="K37" s="19"/>
    </row>
    <row r="38" spans="2:11" ht="17.25" x14ac:dyDescent="0.35">
      <c r="B38" s="321"/>
      <c r="C38" s="325"/>
      <c r="D38" s="929" t="s">
        <v>48</v>
      </c>
      <c r="E38" s="927"/>
      <c r="F38" s="928"/>
      <c r="G38" s="346"/>
      <c r="I38" s="140"/>
      <c r="J38" s="155"/>
      <c r="K38" s="19"/>
    </row>
    <row r="39" spans="2:11" ht="17.25" x14ac:dyDescent="0.35">
      <c r="B39" s="326"/>
      <c r="C39" s="321"/>
      <c r="D39" s="327" t="s">
        <v>56</v>
      </c>
      <c r="E39" s="327" t="s">
        <v>57</v>
      </c>
      <c r="F39" s="328" t="s">
        <v>58</v>
      </c>
      <c r="G39" s="346"/>
      <c r="I39" s="140"/>
      <c r="J39" s="155"/>
      <c r="K39" s="19"/>
    </row>
    <row r="40" spans="2:11" x14ac:dyDescent="0.3">
      <c r="B40" s="321"/>
      <c r="C40" s="322" t="s">
        <v>64</v>
      </c>
      <c r="D40" s="315"/>
      <c r="E40" s="315"/>
      <c r="F40" s="313"/>
      <c r="G40" s="346"/>
      <c r="I40" s="140"/>
      <c r="J40" s="155"/>
      <c r="K40" s="19"/>
    </row>
    <row r="41" spans="2:11" x14ac:dyDescent="0.3">
      <c r="B41" s="321"/>
      <c r="C41" s="322" t="s">
        <v>65</v>
      </c>
      <c r="D41" s="315"/>
      <c r="E41" s="315"/>
      <c r="F41" s="313"/>
      <c r="G41" s="346"/>
      <c r="I41" s="140"/>
      <c r="J41" s="155"/>
      <c r="K41" s="19"/>
    </row>
    <row r="42" spans="2:11" x14ac:dyDescent="0.3">
      <c r="B42" s="321"/>
      <c r="C42" s="322" t="s">
        <v>66</v>
      </c>
      <c r="D42" s="315"/>
      <c r="E42" s="315"/>
      <c r="F42" s="313"/>
      <c r="G42" s="346"/>
      <c r="I42" s="140"/>
      <c r="J42" s="155"/>
      <c r="K42" s="19"/>
    </row>
    <row r="43" spans="2:11" x14ac:dyDescent="0.3">
      <c r="B43" s="321"/>
      <c r="C43" s="322" t="s">
        <v>67</v>
      </c>
      <c r="D43" s="315"/>
      <c r="E43" s="315"/>
      <c r="F43" s="313"/>
      <c r="G43" s="346"/>
      <c r="I43" s="140"/>
      <c r="J43" s="155"/>
      <c r="K43" s="19"/>
    </row>
    <row r="44" spans="2:11" x14ac:dyDescent="0.3">
      <c r="B44" s="321"/>
      <c r="C44" s="322" t="s">
        <v>68</v>
      </c>
      <c r="D44" s="315"/>
      <c r="E44" s="315"/>
      <c r="F44" s="313"/>
      <c r="G44" s="346"/>
      <c r="I44" s="140"/>
      <c r="J44" s="155"/>
      <c r="K44" s="19"/>
    </row>
    <row r="45" spans="2:11" x14ac:dyDescent="0.3">
      <c r="B45" s="321"/>
      <c r="C45" s="322" t="s">
        <v>69</v>
      </c>
      <c r="D45" s="315"/>
      <c r="E45" s="315"/>
      <c r="F45" s="313"/>
      <c r="G45" s="346"/>
      <c r="I45" s="140"/>
      <c r="J45" s="155"/>
      <c r="K45" s="19"/>
    </row>
    <row r="46" spans="2:11" x14ac:dyDescent="0.3">
      <c r="B46" s="321"/>
      <c r="C46" s="322" t="s">
        <v>70</v>
      </c>
      <c r="D46" s="315"/>
      <c r="E46" s="315"/>
      <c r="F46" s="313"/>
      <c r="G46" s="346"/>
      <c r="I46" s="140"/>
      <c r="J46" s="155"/>
      <c r="K46" s="19"/>
    </row>
    <row r="47" spans="2:11" x14ac:dyDescent="0.3">
      <c r="B47" s="321"/>
      <c r="C47" s="322" t="s">
        <v>71</v>
      </c>
      <c r="D47" s="315"/>
      <c r="E47" s="315"/>
      <c r="F47" s="313"/>
      <c r="G47" s="346"/>
      <c r="I47" s="140"/>
      <c r="J47" s="155"/>
      <c r="K47" s="19"/>
    </row>
    <row r="48" spans="2:11" x14ac:dyDescent="0.3">
      <c r="B48" s="321"/>
      <c r="C48" s="322" t="s">
        <v>72</v>
      </c>
      <c r="D48" s="315"/>
      <c r="E48" s="315"/>
      <c r="F48" s="313"/>
      <c r="G48" s="346"/>
      <c r="I48" s="140"/>
      <c r="J48" s="155"/>
      <c r="K48" s="19"/>
    </row>
    <row r="49" spans="2:11" x14ac:dyDescent="0.3">
      <c r="B49" s="321"/>
      <c r="C49" s="322" t="s">
        <v>73</v>
      </c>
      <c r="D49" s="315"/>
      <c r="E49" s="315"/>
      <c r="F49" s="313"/>
      <c r="G49" s="346"/>
      <c r="I49" s="140"/>
      <c r="J49" s="155"/>
      <c r="K49" s="19"/>
    </row>
    <row r="50" spans="2:11" ht="17.25" thickBot="1" x14ac:dyDescent="0.35">
      <c r="B50" s="321"/>
      <c r="C50" s="324" t="s">
        <v>74</v>
      </c>
      <c r="D50" s="318"/>
      <c r="E50" s="318"/>
      <c r="F50" s="314"/>
      <c r="G50" s="346"/>
      <c r="I50" s="140"/>
      <c r="J50" s="155"/>
      <c r="K50" s="19"/>
    </row>
    <row r="51" spans="2:11" ht="17.25" thickBot="1" x14ac:dyDescent="0.35">
      <c r="B51" s="321"/>
      <c r="C51" s="316"/>
      <c r="D51" s="316"/>
      <c r="E51" s="316"/>
      <c r="F51" s="316"/>
      <c r="G51" s="351"/>
      <c r="I51" s="140"/>
      <c r="J51" s="155"/>
      <c r="K51" s="19"/>
    </row>
    <row r="52" spans="2:11" ht="18" thickBot="1" x14ac:dyDescent="0.4">
      <c r="B52" s="321"/>
      <c r="C52" s="874" t="s">
        <v>75</v>
      </c>
      <c r="D52" s="875"/>
      <c r="E52" s="875"/>
      <c r="F52" s="876"/>
      <c r="G52" s="346"/>
      <c r="I52" s="140"/>
      <c r="J52" s="155"/>
      <c r="K52" s="19"/>
    </row>
    <row r="53" spans="2:11" ht="17.25" x14ac:dyDescent="0.35">
      <c r="B53" s="321"/>
      <c r="C53" s="325"/>
      <c r="D53" s="929" t="s">
        <v>48</v>
      </c>
      <c r="E53" s="927"/>
      <c r="F53" s="928"/>
      <c r="G53" s="346"/>
      <c r="I53" s="140"/>
      <c r="J53" s="155"/>
      <c r="K53" s="19"/>
    </row>
    <row r="54" spans="2:11" ht="17.25" x14ac:dyDescent="0.35">
      <c r="B54" s="326"/>
      <c r="C54" s="321"/>
      <c r="D54" s="327" t="s">
        <v>56</v>
      </c>
      <c r="E54" s="327" t="s">
        <v>57</v>
      </c>
      <c r="F54" s="328" t="s">
        <v>58</v>
      </c>
      <c r="G54" s="346"/>
      <c r="I54" s="140"/>
      <c r="J54" s="155"/>
      <c r="K54" s="19"/>
    </row>
    <row r="55" spans="2:11" x14ac:dyDescent="0.3">
      <c r="B55" s="321"/>
      <c r="C55" s="322" t="s">
        <v>76</v>
      </c>
      <c r="D55" s="315"/>
      <c r="E55" s="315"/>
      <c r="F55" s="313"/>
      <c r="G55" s="346"/>
      <c r="I55" s="140"/>
      <c r="J55" s="155"/>
      <c r="K55" s="19"/>
    </row>
    <row r="56" spans="2:11" x14ac:dyDescent="0.3">
      <c r="B56" s="321"/>
      <c r="C56" s="322" t="s">
        <v>77</v>
      </c>
      <c r="D56" s="315"/>
      <c r="E56" s="315"/>
      <c r="F56" s="313"/>
      <c r="G56" s="346"/>
      <c r="I56" s="140"/>
      <c r="J56" s="155"/>
      <c r="K56" s="19"/>
    </row>
    <row r="57" spans="2:11" x14ac:dyDescent="0.3">
      <c r="B57" s="321"/>
      <c r="C57" s="322" t="s">
        <v>78</v>
      </c>
      <c r="D57" s="315"/>
      <c r="E57" s="315"/>
      <c r="F57" s="313"/>
      <c r="G57" s="346"/>
      <c r="I57" s="140"/>
      <c r="J57" s="155"/>
      <c r="K57" s="19"/>
    </row>
    <row r="58" spans="2:11" x14ac:dyDescent="0.3">
      <c r="B58" s="321"/>
      <c r="C58" s="322" t="s">
        <v>79</v>
      </c>
      <c r="D58" s="315"/>
      <c r="E58" s="315"/>
      <c r="F58" s="313"/>
      <c r="G58" s="346"/>
      <c r="I58" s="140"/>
      <c r="J58" s="155"/>
      <c r="K58" s="19"/>
    </row>
    <row r="59" spans="2:11" ht="17.25" thickBot="1" x14ac:dyDescent="0.35">
      <c r="B59" s="321"/>
      <c r="C59" s="330" t="s">
        <v>428</v>
      </c>
      <c r="D59" s="318"/>
      <c r="E59" s="318"/>
      <c r="F59" s="314"/>
      <c r="G59" s="346"/>
      <c r="I59" s="140"/>
      <c r="J59" s="155"/>
      <c r="K59" s="19"/>
    </row>
    <row r="60" spans="2:11" ht="17.25" thickBot="1" x14ac:dyDescent="0.35">
      <c r="B60" s="321"/>
      <c r="C60" s="316"/>
      <c r="D60" s="316"/>
      <c r="E60" s="316"/>
      <c r="F60" s="316"/>
      <c r="G60" s="351"/>
      <c r="I60" s="140"/>
      <c r="J60" s="155"/>
      <c r="K60" s="19"/>
    </row>
    <row r="61" spans="2:11" ht="18" thickBot="1" x14ac:dyDescent="0.4">
      <c r="B61" s="321"/>
      <c r="C61" s="874" t="s">
        <v>80</v>
      </c>
      <c r="D61" s="875"/>
      <c r="E61" s="875"/>
      <c r="F61" s="876"/>
      <c r="G61" s="346"/>
      <c r="I61" s="140"/>
      <c r="J61" s="155"/>
      <c r="K61" s="19"/>
    </row>
    <row r="62" spans="2:11" ht="17.25" x14ac:dyDescent="0.35">
      <c r="B62" s="321"/>
      <c r="C62" s="325"/>
      <c r="D62" s="929" t="s">
        <v>48</v>
      </c>
      <c r="E62" s="927"/>
      <c r="F62" s="928"/>
      <c r="G62" s="346"/>
      <c r="I62" s="140"/>
      <c r="J62" s="155"/>
      <c r="K62" s="19"/>
    </row>
    <row r="63" spans="2:11" ht="17.25" x14ac:dyDescent="0.35">
      <c r="B63" s="331"/>
      <c r="C63" s="321"/>
      <c r="D63" s="327" t="s">
        <v>56</v>
      </c>
      <c r="E63" s="327" t="s">
        <v>57</v>
      </c>
      <c r="F63" s="328" t="s">
        <v>58</v>
      </c>
      <c r="G63" s="346"/>
      <c r="I63" s="140"/>
      <c r="J63" s="155"/>
      <c r="K63" s="19"/>
    </row>
    <row r="64" spans="2:11" x14ac:dyDescent="0.3">
      <c r="B64" s="321"/>
      <c r="C64" s="322" t="s">
        <v>574</v>
      </c>
      <c r="D64" s="315"/>
      <c r="E64" s="315"/>
      <c r="F64" s="313"/>
      <c r="G64" s="346"/>
      <c r="I64" s="140"/>
      <c r="J64" s="155"/>
      <c r="K64" s="19"/>
    </row>
    <row r="65" spans="2:11" x14ac:dyDescent="0.3">
      <c r="B65" s="321"/>
      <c r="C65" s="322" t="s">
        <v>575</v>
      </c>
      <c r="D65" s="315"/>
      <c r="E65" s="315"/>
      <c r="F65" s="313"/>
      <c r="G65" s="346"/>
      <c r="I65" s="140"/>
      <c r="J65" s="155"/>
      <c r="K65" s="19"/>
    </row>
    <row r="66" spans="2:11" x14ac:dyDescent="0.3">
      <c r="B66" s="321"/>
      <c r="C66" s="322" t="s">
        <v>576</v>
      </c>
      <c r="D66" s="315"/>
      <c r="E66" s="315"/>
      <c r="F66" s="313"/>
      <c r="G66" s="346"/>
      <c r="I66" s="140"/>
      <c r="J66" s="155"/>
      <c r="K66" s="19"/>
    </row>
    <row r="67" spans="2:11" x14ac:dyDescent="0.3">
      <c r="B67" s="321"/>
      <c r="C67" s="322" t="s">
        <v>83</v>
      </c>
      <c r="D67" s="315"/>
      <c r="E67" s="315"/>
      <c r="F67" s="313"/>
      <c r="G67" s="346"/>
      <c r="I67" s="140"/>
      <c r="J67" s="155"/>
      <c r="K67" s="19"/>
    </row>
    <row r="68" spans="2:11" x14ac:dyDescent="0.3">
      <c r="B68" s="321"/>
      <c r="C68" s="322" t="s">
        <v>84</v>
      </c>
      <c r="D68" s="315"/>
      <c r="E68" s="315"/>
      <c r="F68" s="313"/>
      <c r="G68" s="346"/>
      <c r="I68" s="140"/>
      <c r="J68" s="155"/>
      <c r="K68" s="19"/>
    </row>
    <row r="69" spans="2:11" x14ac:dyDescent="0.3">
      <c r="B69" s="321"/>
      <c r="C69" s="322" t="s">
        <v>577</v>
      </c>
      <c r="D69" s="315"/>
      <c r="E69" s="315"/>
      <c r="F69" s="313"/>
      <c r="G69" s="346"/>
      <c r="I69" s="140"/>
      <c r="J69" s="155"/>
      <c r="K69" s="19"/>
    </row>
    <row r="70" spans="2:11" x14ac:dyDescent="0.3">
      <c r="B70" s="321"/>
      <c r="C70" s="322" t="s">
        <v>578</v>
      </c>
      <c r="D70" s="315"/>
      <c r="E70" s="315"/>
      <c r="F70" s="313"/>
      <c r="G70" s="346"/>
      <c r="I70" s="140"/>
      <c r="J70" s="155"/>
      <c r="K70" s="19"/>
    </row>
    <row r="71" spans="2:11" x14ac:dyDescent="0.3">
      <c r="B71" s="321"/>
      <c r="C71" s="322" t="s">
        <v>579</v>
      </c>
      <c r="D71" s="315"/>
      <c r="E71" s="315"/>
      <c r="F71" s="313"/>
      <c r="G71" s="346"/>
      <c r="I71" s="140"/>
      <c r="J71" s="155"/>
      <c r="K71" s="19"/>
    </row>
    <row r="72" spans="2:11" x14ac:dyDescent="0.3">
      <c r="B72" s="321"/>
      <c r="C72" s="322" t="s">
        <v>87</v>
      </c>
      <c r="D72" s="315"/>
      <c r="E72" s="315"/>
      <c r="F72" s="313"/>
      <c r="G72" s="346"/>
      <c r="I72" s="140"/>
      <c r="J72" s="155"/>
      <c r="K72" s="19"/>
    </row>
    <row r="73" spans="2:11" ht="17.25" thickBot="1" x14ac:dyDescent="0.35">
      <c r="B73" s="321"/>
      <c r="C73" s="324" t="s">
        <v>88</v>
      </c>
      <c r="D73" s="318"/>
      <c r="E73" s="318"/>
      <c r="F73" s="314"/>
      <c r="G73" s="346"/>
      <c r="I73" s="140"/>
      <c r="J73" s="155"/>
      <c r="K73" s="19"/>
    </row>
    <row r="74" spans="2:11" ht="17.25" thickBot="1" x14ac:dyDescent="0.35">
      <c r="B74" s="321"/>
      <c r="C74" s="316"/>
      <c r="D74" s="316"/>
      <c r="E74" s="316"/>
      <c r="F74" s="316"/>
      <c r="G74" s="351"/>
      <c r="I74" s="140"/>
      <c r="J74" s="155"/>
      <c r="K74" s="19"/>
    </row>
    <row r="75" spans="2:11" ht="18" thickBot="1" x14ac:dyDescent="0.4">
      <c r="B75" s="321"/>
      <c r="C75" s="874" t="s">
        <v>89</v>
      </c>
      <c r="D75" s="875"/>
      <c r="E75" s="875"/>
      <c r="F75" s="876"/>
      <c r="G75" s="346"/>
      <c r="I75" s="140"/>
      <c r="J75" s="155"/>
      <c r="K75" s="19"/>
    </row>
    <row r="76" spans="2:11" ht="17.25" x14ac:dyDescent="0.35">
      <c r="B76" s="326"/>
      <c r="C76" s="325"/>
      <c r="D76" s="929" t="s">
        <v>48</v>
      </c>
      <c r="E76" s="927"/>
      <c r="F76" s="928"/>
      <c r="G76" s="351"/>
      <c r="I76" s="140"/>
      <c r="J76" s="155"/>
      <c r="K76" s="19"/>
    </row>
    <row r="77" spans="2:11" x14ac:dyDescent="0.3">
      <c r="B77" s="321"/>
      <c r="C77" s="322" t="s">
        <v>90</v>
      </c>
      <c r="D77" s="882"/>
      <c r="E77" s="882"/>
      <c r="F77" s="883"/>
      <c r="G77" s="351"/>
      <c r="I77" s="140"/>
      <c r="J77" s="155"/>
      <c r="K77" s="19"/>
    </row>
    <row r="78" spans="2:11" x14ac:dyDescent="0.3">
      <c r="B78" s="321"/>
      <c r="C78" s="322" t="s">
        <v>91</v>
      </c>
      <c r="D78" s="882"/>
      <c r="E78" s="882"/>
      <c r="F78" s="883"/>
      <c r="G78" s="351"/>
      <c r="I78" s="140"/>
      <c r="J78" s="155"/>
      <c r="K78" s="19"/>
    </row>
    <row r="79" spans="2:11" x14ac:dyDescent="0.3">
      <c r="B79" s="321"/>
      <c r="C79" s="322" t="s">
        <v>306</v>
      </c>
      <c r="D79" s="882"/>
      <c r="E79" s="882"/>
      <c r="F79" s="883"/>
      <c r="G79" s="351"/>
      <c r="I79" s="140"/>
      <c r="J79" s="155"/>
      <c r="K79" s="19"/>
    </row>
    <row r="80" spans="2:11" x14ac:dyDescent="0.3">
      <c r="B80" s="321"/>
      <c r="C80" s="322" t="s">
        <v>92</v>
      </c>
      <c r="D80" s="895" t="str">
        <f>IF(D77+D79=0,"",D77+D79)</f>
        <v/>
      </c>
      <c r="E80" s="895"/>
      <c r="F80" s="896"/>
      <c r="G80" s="351"/>
      <c r="I80" s="146"/>
      <c r="J80" s="156"/>
      <c r="K80" s="19"/>
    </row>
    <row r="81" spans="2:11" x14ac:dyDescent="0.3">
      <c r="B81" s="321"/>
      <c r="C81" s="322" t="s">
        <v>93</v>
      </c>
      <c r="D81" s="882"/>
      <c r="E81" s="882"/>
      <c r="F81" s="883"/>
      <c r="G81" s="351"/>
      <c r="I81" s="146"/>
      <c r="J81" s="156"/>
      <c r="K81" s="19"/>
    </row>
    <row r="82" spans="2:11" x14ac:dyDescent="0.3">
      <c r="B82" s="321"/>
      <c r="C82" s="322" t="s">
        <v>94</v>
      </c>
      <c r="D82" s="882"/>
      <c r="E82" s="882"/>
      <c r="F82" s="883"/>
      <c r="G82" s="351"/>
      <c r="I82" s="146"/>
      <c r="J82" s="156"/>
      <c r="K82" s="19"/>
    </row>
    <row r="83" spans="2:11" x14ac:dyDescent="0.3">
      <c r="B83" s="321"/>
      <c r="C83" s="322" t="s">
        <v>95</v>
      </c>
      <c r="D83" s="882"/>
      <c r="E83" s="882"/>
      <c r="F83" s="883"/>
      <c r="G83" s="351"/>
      <c r="I83" s="146"/>
      <c r="J83" s="156"/>
      <c r="K83" s="19"/>
    </row>
    <row r="84" spans="2:11" x14ac:dyDescent="0.3">
      <c r="B84" s="321"/>
      <c r="C84" s="322" t="s">
        <v>306</v>
      </c>
      <c r="D84" s="882"/>
      <c r="E84" s="882"/>
      <c r="F84" s="883"/>
      <c r="G84" s="351"/>
      <c r="I84" s="146"/>
      <c r="J84" s="156"/>
      <c r="K84" s="19"/>
    </row>
    <row r="85" spans="2:11" ht="17.25" thickBot="1" x14ac:dyDescent="0.35">
      <c r="B85" s="321"/>
      <c r="C85" s="324" t="s">
        <v>92</v>
      </c>
      <c r="D85" s="911" t="str">
        <f>IF(D82+D84=0,"",D82+D84)</f>
        <v/>
      </c>
      <c r="E85" s="911"/>
      <c r="F85" s="912"/>
      <c r="G85" s="351"/>
      <c r="I85" s="147"/>
      <c r="J85" s="155"/>
      <c r="K85" s="19"/>
    </row>
    <row r="86" spans="2:11" ht="17.25" thickBot="1" x14ac:dyDescent="0.35">
      <c r="B86" s="334"/>
      <c r="C86" s="319"/>
      <c r="D86" s="319"/>
      <c r="E86" s="319"/>
      <c r="F86" s="319"/>
      <c r="G86" s="356"/>
      <c r="I86" s="147"/>
      <c r="J86" s="155"/>
      <c r="K86" s="19"/>
    </row>
    <row r="87" spans="2:11" ht="17.25" thickBot="1" x14ac:dyDescent="0.35">
      <c r="B87" s="340"/>
      <c r="C87" s="340"/>
      <c r="D87" s="340"/>
      <c r="E87" s="340"/>
      <c r="F87" s="316"/>
      <c r="G87" s="359"/>
      <c r="K87" s="19"/>
    </row>
    <row r="88" spans="2:11" ht="18.75" thickBot="1" x14ac:dyDescent="0.4">
      <c r="B88" s="902" t="s">
        <v>421</v>
      </c>
      <c r="C88" s="903"/>
      <c r="D88" s="903"/>
      <c r="E88" s="903"/>
      <c r="F88" s="903"/>
      <c r="G88" s="904"/>
      <c r="K88" s="19"/>
    </row>
    <row r="89" spans="2:11" ht="18" thickBot="1" x14ac:dyDescent="0.4">
      <c r="B89" s="357"/>
      <c r="C89" s="344"/>
      <c r="D89" s="344"/>
      <c r="E89" s="344"/>
      <c r="F89" s="344"/>
      <c r="G89" s="345"/>
      <c r="K89" s="19"/>
    </row>
    <row r="90" spans="2:11" ht="18" thickBot="1" x14ac:dyDescent="0.4">
      <c r="B90" s="326"/>
      <c r="C90" s="874" t="s">
        <v>55</v>
      </c>
      <c r="D90" s="875"/>
      <c r="E90" s="875"/>
      <c r="F90" s="876"/>
      <c r="G90" s="346"/>
      <c r="K90" s="19"/>
    </row>
    <row r="91" spans="2:11" ht="17.25" x14ac:dyDescent="0.35">
      <c r="B91" s="321"/>
      <c r="C91" s="325"/>
      <c r="D91" s="929" t="s">
        <v>48</v>
      </c>
      <c r="E91" s="927"/>
      <c r="F91" s="928"/>
      <c r="G91" s="346"/>
      <c r="K91" s="19"/>
    </row>
    <row r="92" spans="2:11" ht="17.25" x14ac:dyDescent="0.35">
      <c r="B92" s="326"/>
      <c r="C92" s="321"/>
      <c r="D92" s="327" t="s">
        <v>56</v>
      </c>
      <c r="E92" s="327" t="s">
        <v>57</v>
      </c>
      <c r="F92" s="328" t="s">
        <v>58</v>
      </c>
      <c r="G92" s="346"/>
      <c r="K92" s="19"/>
    </row>
    <row r="93" spans="2:11" x14ac:dyDescent="0.3">
      <c r="B93" s="321"/>
      <c r="C93" s="322" t="s">
        <v>571</v>
      </c>
      <c r="D93" s="315"/>
      <c r="E93" s="315"/>
      <c r="F93" s="313"/>
      <c r="G93" s="346"/>
      <c r="K93" s="19"/>
    </row>
    <row r="94" spans="2:11" x14ac:dyDescent="0.3">
      <c r="B94" s="321"/>
      <c r="C94" s="322" t="s">
        <v>572</v>
      </c>
      <c r="D94" s="315"/>
      <c r="E94" s="315"/>
      <c r="F94" s="313"/>
      <c r="G94" s="346"/>
      <c r="K94" s="19"/>
    </row>
    <row r="95" spans="2:11" x14ac:dyDescent="0.3">
      <c r="B95" s="321"/>
      <c r="C95" s="322" t="s">
        <v>573</v>
      </c>
      <c r="D95" s="315"/>
      <c r="E95" s="315"/>
      <c r="F95" s="313"/>
      <c r="G95" s="346"/>
      <c r="K95" s="19"/>
    </row>
    <row r="96" spans="2:11" x14ac:dyDescent="0.3">
      <c r="B96" s="321"/>
      <c r="C96" s="322" t="s">
        <v>572</v>
      </c>
      <c r="D96" s="315"/>
      <c r="E96" s="315"/>
      <c r="F96" s="313"/>
      <c r="G96" s="346"/>
      <c r="K96" s="19"/>
    </row>
    <row r="97" spans="2:11" x14ac:dyDescent="0.3">
      <c r="B97" s="321"/>
      <c r="C97" s="322" t="s">
        <v>59</v>
      </c>
      <c r="D97" s="315"/>
      <c r="E97" s="315"/>
      <c r="F97" s="313"/>
      <c r="G97" s="346"/>
      <c r="K97" s="19"/>
    </row>
    <row r="98" spans="2:11" x14ac:dyDescent="0.3">
      <c r="B98" s="321"/>
      <c r="C98" s="322" t="s">
        <v>60</v>
      </c>
      <c r="D98" s="315"/>
      <c r="E98" s="315"/>
      <c r="F98" s="313"/>
      <c r="G98" s="346"/>
      <c r="K98" s="19"/>
    </row>
    <row r="99" spans="2:11" x14ac:dyDescent="0.3">
      <c r="B99" s="321"/>
      <c r="C99" s="322" t="s">
        <v>435</v>
      </c>
      <c r="D99" s="315"/>
      <c r="E99" s="316"/>
      <c r="F99" s="317"/>
      <c r="G99" s="346"/>
      <c r="I99" s="140"/>
      <c r="J99" s="155"/>
      <c r="K99" s="19"/>
    </row>
    <row r="100" spans="2:11" ht="17.25" thickBot="1" x14ac:dyDescent="0.35">
      <c r="B100" s="321"/>
      <c r="C100" s="324" t="s">
        <v>443</v>
      </c>
      <c r="D100" s="318"/>
      <c r="E100" s="319"/>
      <c r="F100" s="320"/>
      <c r="G100" s="346"/>
      <c r="K100" s="19"/>
    </row>
    <row r="101" spans="2:11" ht="17.25" thickBot="1" x14ac:dyDescent="0.35">
      <c r="B101" s="321"/>
      <c r="C101" s="337"/>
      <c r="D101" s="316"/>
      <c r="E101" s="316"/>
      <c r="F101" s="339"/>
      <c r="G101" s="351"/>
      <c r="K101" s="19"/>
    </row>
    <row r="102" spans="2:11" ht="18" thickBot="1" x14ac:dyDescent="0.4">
      <c r="B102" s="321"/>
      <c r="C102" s="874" t="s">
        <v>61</v>
      </c>
      <c r="D102" s="875"/>
      <c r="E102" s="875"/>
      <c r="F102" s="876"/>
      <c r="G102" s="346"/>
      <c r="K102" s="19"/>
    </row>
    <row r="103" spans="2:11" ht="17.25" x14ac:dyDescent="0.35">
      <c r="B103" s="321"/>
      <c r="C103" s="352"/>
      <c r="D103" s="929" t="s">
        <v>48</v>
      </c>
      <c r="E103" s="927"/>
      <c r="F103" s="928"/>
      <c r="G103" s="346"/>
      <c r="K103" s="19"/>
    </row>
    <row r="104" spans="2:11" ht="17.25" x14ac:dyDescent="0.35">
      <c r="B104" s="326"/>
      <c r="C104" s="338"/>
      <c r="D104" s="327" t="s">
        <v>56</v>
      </c>
      <c r="E104" s="327" t="s">
        <v>57</v>
      </c>
      <c r="F104" s="328" t="s">
        <v>58</v>
      </c>
      <c r="G104" s="346"/>
      <c r="K104" s="19"/>
    </row>
    <row r="105" spans="2:11" x14ac:dyDescent="0.3">
      <c r="B105" s="321"/>
      <c r="C105" s="322" t="s">
        <v>62</v>
      </c>
      <c r="D105" s="315"/>
      <c r="E105" s="315"/>
      <c r="F105" s="313"/>
      <c r="G105" s="346"/>
      <c r="K105" s="19"/>
    </row>
    <row r="106" spans="2:11" x14ac:dyDescent="0.3">
      <c r="B106" s="321"/>
      <c r="C106" s="322" t="s">
        <v>607</v>
      </c>
      <c r="D106" s="315"/>
      <c r="E106" s="315"/>
      <c r="F106" s="313"/>
      <c r="G106" s="346"/>
      <c r="K106" s="19"/>
    </row>
    <row r="107" spans="2:11" x14ac:dyDescent="0.3">
      <c r="B107" s="321"/>
      <c r="C107" s="322" t="s">
        <v>608</v>
      </c>
      <c r="D107" s="315"/>
      <c r="E107" s="315"/>
      <c r="F107" s="313"/>
      <c r="G107" s="346"/>
      <c r="K107" s="19"/>
    </row>
    <row r="108" spans="2:11" x14ac:dyDescent="0.3">
      <c r="B108" s="321"/>
      <c r="C108" s="322" t="s">
        <v>413</v>
      </c>
      <c r="D108" s="315"/>
      <c r="E108" s="315"/>
      <c r="F108" s="313"/>
      <c r="G108" s="346"/>
      <c r="K108" s="19"/>
    </row>
    <row r="109" spans="2:11" ht="17.25" thickBot="1" x14ac:dyDescent="0.35">
      <c r="B109" s="321"/>
      <c r="C109" s="324" t="s">
        <v>602</v>
      </c>
      <c r="D109" s="318"/>
      <c r="E109" s="318"/>
      <c r="F109" s="314"/>
      <c r="G109" s="346"/>
      <c r="K109" s="19"/>
    </row>
    <row r="110" spans="2:11" ht="17.25" thickBot="1" x14ac:dyDescent="0.35">
      <c r="B110" s="321"/>
      <c r="C110" s="316"/>
      <c r="D110" s="316"/>
      <c r="E110" s="316"/>
      <c r="F110" s="316"/>
      <c r="G110" s="351"/>
      <c r="K110" s="19"/>
    </row>
    <row r="111" spans="2:11" ht="18" thickBot="1" x14ac:dyDescent="0.4">
      <c r="B111" s="321"/>
      <c r="C111" s="874" t="s">
        <v>63</v>
      </c>
      <c r="D111" s="875"/>
      <c r="E111" s="875"/>
      <c r="F111" s="876"/>
      <c r="G111" s="346"/>
      <c r="K111" s="19"/>
    </row>
    <row r="112" spans="2:11" ht="17.25" x14ac:dyDescent="0.35">
      <c r="B112" s="321"/>
      <c r="C112" s="325"/>
      <c r="D112" s="929" t="s">
        <v>48</v>
      </c>
      <c r="E112" s="927"/>
      <c r="F112" s="928"/>
      <c r="G112" s="346"/>
      <c r="K112" s="19"/>
    </row>
    <row r="113" spans="2:11" ht="17.25" x14ac:dyDescent="0.35">
      <c r="B113" s="326"/>
      <c r="C113" s="321"/>
      <c r="D113" s="327" t="s">
        <v>56</v>
      </c>
      <c r="E113" s="327" t="s">
        <v>57</v>
      </c>
      <c r="F113" s="328" t="s">
        <v>58</v>
      </c>
      <c r="G113" s="346"/>
      <c r="K113" s="19"/>
    </row>
    <row r="114" spans="2:11" x14ac:dyDescent="0.3">
      <c r="B114" s="321"/>
      <c r="C114" s="322" t="s">
        <v>64</v>
      </c>
      <c r="D114" s="315"/>
      <c r="E114" s="315"/>
      <c r="F114" s="313"/>
      <c r="G114" s="346"/>
      <c r="K114" s="19"/>
    </row>
    <row r="115" spans="2:11" x14ac:dyDescent="0.3">
      <c r="B115" s="321"/>
      <c r="C115" s="322" t="s">
        <v>65</v>
      </c>
      <c r="D115" s="315"/>
      <c r="E115" s="315"/>
      <c r="F115" s="313"/>
      <c r="G115" s="346"/>
      <c r="K115" s="19"/>
    </row>
    <row r="116" spans="2:11" x14ac:dyDescent="0.3">
      <c r="B116" s="321"/>
      <c r="C116" s="322" t="s">
        <v>66</v>
      </c>
      <c r="D116" s="315"/>
      <c r="E116" s="315"/>
      <c r="F116" s="313"/>
      <c r="G116" s="346"/>
      <c r="K116" s="19"/>
    </row>
    <row r="117" spans="2:11" x14ac:dyDescent="0.3">
      <c r="B117" s="321"/>
      <c r="C117" s="322" t="s">
        <v>67</v>
      </c>
      <c r="D117" s="315"/>
      <c r="E117" s="315"/>
      <c r="F117" s="313"/>
      <c r="G117" s="346"/>
      <c r="K117" s="19"/>
    </row>
    <row r="118" spans="2:11" x14ac:dyDescent="0.3">
      <c r="B118" s="321"/>
      <c r="C118" s="322" t="s">
        <v>68</v>
      </c>
      <c r="D118" s="315"/>
      <c r="E118" s="315"/>
      <c r="F118" s="313"/>
      <c r="G118" s="346"/>
      <c r="K118" s="19"/>
    </row>
    <row r="119" spans="2:11" x14ac:dyDescent="0.3">
      <c r="B119" s="321"/>
      <c r="C119" s="322" t="s">
        <v>69</v>
      </c>
      <c r="D119" s="315"/>
      <c r="E119" s="315"/>
      <c r="F119" s="313"/>
      <c r="G119" s="346"/>
      <c r="K119" s="19"/>
    </row>
    <row r="120" spans="2:11" x14ac:dyDescent="0.3">
      <c r="B120" s="321"/>
      <c r="C120" s="322" t="s">
        <v>70</v>
      </c>
      <c r="D120" s="315"/>
      <c r="E120" s="315"/>
      <c r="F120" s="313"/>
      <c r="G120" s="346"/>
      <c r="K120" s="19"/>
    </row>
    <row r="121" spans="2:11" x14ac:dyDescent="0.3">
      <c r="B121" s="321"/>
      <c r="C121" s="322" t="s">
        <v>71</v>
      </c>
      <c r="D121" s="315"/>
      <c r="E121" s="315"/>
      <c r="F121" s="313"/>
      <c r="G121" s="346"/>
      <c r="K121" s="19"/>
    </row>
    <row r="122" spans="2:11" x14ac:dyDescent="0.3">
      <c r="B122" s="321"/>
      <c r="C122" s="322" t="s">
        <v>72</v>
      </c>
      <c r="D122" s="315"/>
      <c r="E122" s="315"/>
      <c r="F122" s="313"/>
      <c r="G122" s="346"/>
      <c r="K122" s="19"/>
    </row>
    <row r="123" spans="2:11" x14ac:dyDescent="0.3">
      <c r="B123" s="321"/>
      <c r="C123" s="322" t="s">
        <v>73</v>
      </c>
      <c r="D123" s="315"/>
      <c r="E123" s="315"/>
      <c r="F123" s="313"/>
      <c r="G123" s="346"/>
      <c r="K123" s="19"/>
    </row>
    <row r="124" spans="2:11" ht="17.25" thickBot="1" x14ac:dyDescent="0.35">
      <c r="B124" s="321"/>
      <c r="C124" s="324" t="s">
        <v>74</v>
      </c>
      <c r="D124" s="318"/>
      <c r="E124" s="318"/>
      <c r="F124" s="314"/>
      <c r="G124" s="346"/>
      <c r="K124" s="19"/>
    </row>
    <row r="125" spans="2:11" ht="17.25" thickBot="1" x14ac:dyDescent="0.35">
      <c r="B125" s="321"/>
      <c r="C125" s="316"/>
      <c r="D125" s="316"/>
      <c r="E125" s="316"/>
      <c r="F125" s="316"/>
      <c r="G125" s="351"/>
      <c r="K125" s="19"/>
    </row>
    <row r="126" spans="2:11" ht="18" thickBot="1" x14ac:dyDescent="0.4">
      <c r="B126" s="321"/>
      <c r="C126" s="874" t="s">
        <v>75</v>
      </c>
      <c r="D126" s="875"/>
      <c r="E126" s="875"/>
      <c r="F126" s="876"/>
      <c r="G126" s="346"/>
      <c r="K126" s="19"/>
    </row>
    <row r="127" spans="2:11" ht="17.25" x14ac:dyDescent="0.35">
      <c r="B127" s="321"/>
      <c r="C127" s="325"/>
      <c r="D127" s="929" t="s">
        <v>48</v>
      </c>
      <c r="E127" s="927"/>
      <c r="F127" s="928"/>
      <c r="G127" s="346"/>
      <c r="K127" s="19"/>
    </row>
    <row r="128" spans="2:11" ht="17.25" x14ac:dyDescent="0.35">
      <c r="B128" s="326"/>
      <c r="C128" s="321"/>
      <c r="D128" s="327" t="s">
        <v>56</v>
      </c>
      <c r="E128" s="327" t="s">
        <v>57</v>
      </c>
      <c r="F128" s="328" t="s">
        <v>58</v>
      </c>
      <c r="G128" s="346"/>
      <c r="K128" s="19"/>
    </row>
    <row r="129" spans="2:11" x14ac:dyDescent="0.3">
      <c r="B129" s="321"/>
      <c r="C129" s="322" t="s">
        <v>76</v>
      </c>
      <c r="D129" s="315"/>
      <c r="E129" s="315"/>
      <c r="F129" s="313"/>
      <c r="G129" s="346"/>
      <c r="K129" s="19"/>
    </row>
    <row r="130" spans="2:11" x14ac:dyDescent="0.3">
      <c r="B130" s="321"/>
      <c r="C130" s="322" t="s">
        <v>77</v>
      </c>
      <c r="D130" s="315"/>
      <c r="E130" s="315"/>
      <c r="F130" s="313"/>
      <c r="G130" s="346"/>
      <c r="K130" s="19"/>
    </row>
    <row r="131" spans="2:11" x14ac:dyDescent="0.3">
      <c r="B131" s="321"/>
      <c r="C131" s="322" t="s">
        <v>78</v>
      </c>
      <c r="D131" s="315"/>
      <c r="E131" s="315"/>
      <c r="F131" s="313"/>
      <c r="G131" s="346"/>
      <c r="K131" s="19"/>
    </row>
    <row r="132" spans="2:11" x14ac:dyDescent="0.3">
      <c r="B132" s="321"/>
      <c r="C132" s="322" t="s">
        <v>79</v>
      </c>
      <c r="D132" s="315"/>
      <c r="E132" s="315"/>
      <c r="F132" s="313"/>
      <c r="G132" s="346"/>
      <c r="K132" s="19"/>
    </row>
    <row r="133" spans="2:11" ht="17.25" thickBot="1" x14ac:dyDescent="0.35">
      <c r="B133" s="321"/>
      <c r="C133" s="330" t="s">
        <v>428</v>
      </c>
      <c r="D133" s="318"/>
      <c r="E133" s="318"/>
      <c r="F133" s="314"/>
      <c r="G133" s="346"/>
      <c r="K133" s="19"/>
    </row>
    <row r="134" spans="2:11" ht="17.25" thickBot="1" x14ac:dyDescent="0.35">
      <c r="B134" s="321"/>
      <c r="C134" s="316"/>
      <c r="D134" s="316"/>
      <c r="E134" s="316"/>
      <c r="F134" s="316"/>
      <c r="G134" s="351"/>
      <c r="K134" s="19"/>
    </row>
    <row r="135" spans="2:11" ht="18" thickBot="1" x14ac:dyDescent="0.4">
      <c r="B135" s="321"/>
      <c r="C135" s="874" t="s">
        <v>80</v>
      </c>
      <c r="D135" s="875"/>
      <c r="E135" s="875"/>
      <c r="F135" s="876"/>
      <c r="G135" s="346"/>
      <c r="K135" s="19"/>
    </row>
    <row r="136" spans="2:11" ht="17.25" x14ac:dyDescent="0.35">
      <c r="B136" s="321"/>
      <c r="C136" s="325"/>
      <c r="D136" s="929" t="s">
        <v>48</v>
      </c>
      <c r="E136" s="927"/>
      <c r="F136" s="928"/>
      <c r="G136" s="346"/>
      <c r="K136" s="19"/>
    </row>
    <row r="137" spans="2:11" ht="17.25" x14ac:dyDescent="0.35">
      <c r="B137" s="331"/>
      <c r="C137" s="321"/>
      <c r="D137" s="327" t="s">
        <v>56</v>
      </c>
      <c r="E137" s="327" t="s">
        <v>57</v>
      </c>
      <c r="F137" s="328" t="s">
        <v>58</v>
      </c>
      <c r="G137" s="346"/>
      <c r="K137" s="19"/>
    </row>
    <row r="138" spans="2:11" x14ac:dyDescent="0.3">
      <c r="B138" s="321"/>
      <c r="C138" s="322" t="s">
        <v>574</v>
      </c>
      <c r="D138" s="315"/>
      <c r="E138" s="315"/>
      <c r="F138" s="313"/>
      <c r="G138" s="346"/>
      <c r="K138" s="19"/>
    </row>
    <row r="139" spans="2:11" x14ac:dyDescent="0.3">
      <c r="B139" s="321"/>
      <c r="C139" s="322" t="s">
        <v>575</v>
      </c>
      <c r="D139" s="315"/>
      <c r="E139" s="315"/>
      <c r="F139" s="313"/>
      <c r="G139" s="346"/>
      <c r="K139" s="19"/>
    </row>
    <row r="140" spans="2:11" x14ac:dyDescent="0.3">
      <c r="B140" s="321"/>
      <c r="C140" s="322" t="s">
        <v>576</v>
      </c>
      <c r="D140" s="315"/>
      <c r="E140" s="315"/>
      <c r="F140" s="313"/>
      <c r="G140" s="346"/>
      <c r="K140" s="19"/>
    </row>
    <row r="141" spans="2:11" x14ac:dyDescent="0.3">
      <c r="B141" s="321"/>
      <c r="C141" s="322" t="s">
        <v>83</v>
      </c>
      <c r="D141" s="315"/>
      <c r="E141" s="315"/>
      <c r="F141" s="313"/>
      <c r="G141" s="346"/>
      <c r="K141" s="19"/>
    </row>
    <row r="142" spans="2:11" x14ac:dyDescent="0.3">
      <c r="B142" s="321"/>
      <c r="C142" s="322" t="s">
        <v>84</v>
      </c>
      <c r="D142" s="315"/>
      <c r="E142" s="315"/>
      <c r="F142" s="313"/>
      <c r="G142" s="346"/>
      <c r="K142" s="19"/>
    </row>
    <row r="143" spans="2:11" x14ac:dyDescent="0.3">
      <c r="B143" s="321"/>
      <c r="C143" s="322" t="s">
        <v>577</v>
      </c>
      <c r="D143" s="315"/>
      <c r="E143" s="315"/>
      <c r="F143" s="313"/>
      <c r="G143" s="346"/>
      <c r="K143" s="19"/>
    </row>
    <row r="144" spans="2:11" x14ac:dyDescent="0.3">
      <c r="B144" s="321"/>
      <c r="C144" s="322" t="s">
        <v>578</v>
      </c>
      <c r="D144" s="315"/>
      <c r="E144" s="315"/>
      <c r="F144" s="313"/>
      <c r="G144" s="346"/>
      <c r="K144" s="19"/>
    </row>
    <row r="145" spans="2:11" x14ac:dyDescent="0.3">
      <c r="B145" s="321"/>
      <c r="C145" s="322" t="s">
        <v>579</v>
      </c>
      <c r="D145" s="315"/>
      <c r="E145" s="315"/>
      <c r="F145" s="313"/>
      <c r="G145" s="346"/>
      <c r="K145" s="19"/>
    </row>
    <row r="146" spans="2:11" x14ac:dyDescent="0.3">
      <c r="B146" s="321"/>
      <c r="C146" s="322" t="s">
        <v>87</v>
      </c>
      <c r="D146" s="315"/>
      <c r="E146" s="315"/>
      <c r="F146" s="313"/>
      <c r="G146" s="346"/>
      <c r="K146" s="19"/>
    </row>
    <row r="147" spans="2:11" ht="17.25" thickBot="1" x14ac:dyDescent="0.35">
      <c r="B147" s="321"/>
      <c r="C147" s="324" t="s">
        <v>88</v>
      </c>
      <c r="D147" s="318"/>
      <c r="E147" s="318"/>
      <c r="F147" s="314"/>
      <c r="G147" s="346"/>
      <c r="K147" s="19"/>
    </row>
    <row r="148" spans="2:11" ht="17.25" thickBot="1" x14ac:dyDescent="0.35">
      <c r="B148" s="321"/>
      <c r="C148" s="316"/>
      <c r="D148" s="316"/>
      <c r="E148" s="316"/>
      <c r="F148" s="316"/>
      <c r="G148" s="351"/>
      <c r="K148" s="19"/>
    </row>
    <row r="149" spans="2:11" ht="18" thickBot="1" x14ac:dyDescent="0.4">
      <c r="B149" s="321"/>
      <c r="C149" s="874" t="s">
        <v>89</v>
      </c>
      <c r="D149" s="875"/>
      <c r="E149" s="875"/>
      <c r="F149" s="876"/>
      <c r="G149" s="346"/>
      <c r="K149" s="19"/>
    </row>
    <row r="150" spans="2:11" ht="17.25" x14ac:dyDescent="0.35">
      <c r="B150" s="326"/>
      <c r="C150" s="325"/>
      <c r="D150" s="929" t="s">
        <v>48</v>
      </c>
      <c r="E150" s="927"/>
      <c r="F150" s="928"/>
      <c r="G150" s="351"/>
      <c r="K150" s="19"/>
    </row>
    <row r="151" spans="2:11" x14ac:dyDescent="0.3">
      <c r="B151" s="321"/>
      <c r="C151" s="322" t="s">
        <v>90</v>
      </c>
      <c r="D151" s="882"/>
      <c r="E151" s="882"/>
      <c r="F151" s="883"/>
      <c r="G151" s="351"/>
      <c r="K151" s="19"/>
    </row>
    <row r="152" spans="2:11" x14ac:dyDescent="0.3">
      <c r="B152" s="321"/>
      <c r="C152" s="322" t="s">
        <v>91</v>
      </c>
      <c r="D152" s="882"/>
      <c r="E152" s="882"/>
      <c r="F152" s="883"/>
      <c r="G152" s="351"/>
      <c r="K152" s="19"/>
    </row>
    <row r="153" spans="2:11" x14ac:dyDescent="0.3">
      <c r="B153" s="321"/>
      <c r="C153" s="322" t="s">
        <v>306</v>
      </c>
      <c r="D153" s="882"/>
      <c r="E153" s="882"/>
      <c r="F153" s="883"/>
      <c r="G153" s="351"/>
      <c r="K153" s="19"/>
    </row>
    <row r="154" spans="2:11" x14ac:dyDescent="0.3">
      <c r="B154" s="321"/>
      <c r="C154" s="322" t="s">
        <v>92</v>
      </c>
      <c r="D154" s="895" t="str">
        <f>IF(D151+D153=0,"",D151+D153)</f>
        <v/>
      </c>
      <c r="E154" s="895"/>
      <c r="F154" s="896"/>
      <c r="G154" s="351"/>
      <c r="K154" s="19"/>
    </row>
    <row r="155" spans="2:11" x14ac:dyDescent="0.3">
      <c r="B155" s="321"/>
      <c r="C155" s="322" t="s">
        <v>93</v>
      </c>
      <c r="D155" s="882"/>
      <c r="E155" s="882"/>
      <c r="F155" s="883"/>
      <c r="G155" s="351"/>
      <c r="K155" s="19"/>
    </row>
    <row r="156" spans="2:11" x14ac:dyDescent="0.3">
      <c r="B156" s="321"/>
      <c r="C156" s="322" t="s">
        <v>94</v>
      </c>
      <c r="D156" s="882"/>
      <c r="E156" s="882"/>
      <c r="F156" s="883"/>
      <c r="G156" s="351"/>
      <c r="K156" s="19"/>
    </row>
    <row r="157" spans="2:11" x14ac:dyDescent="0.3">
      <c r="B157" s="321"/>
      <c r="C157" s="322" t="s">
        <v>95</v>
      </c>
      <c r="D157" s="882"/>
      <c r="E157" s="882"/>
      <c r="F157" s="883"/>
      <c r="G157" s="351"/>
      <c r="K157" s="19"/>
    </row>
    <row r="158" spans="2:11" x14ac:dyDescent="0.3">
      <c r="B158" s="321"/>
      <c r="C158" s="322" t="s">
        <v>306</v>
      </c>
      <c r="D158" s="882"/>
      <c r="E158" s="882"/>
      <c r="F158" s="883"/>
      <c r="G158" s="351"/>
      <c r="K158" s="19"/>
    </row>
    <row r="159" spans="2:11" ht="17.25" thickBot="1" x14ac:dyDescent="0.35">
      <c r="B159" s="321"/>
      <c r="C159" s="324" t="s">
        <v>92</v>
      </c>
      <c r="D159" s="911" t="str">
        <f>IF(D156+D158=0,"",D156+D158)</f>
        <v/>
      </c>
      <c r="E159" s="911"/>
      <c r="F159" s="912"/>
      <c r="G159" s="351"/>
      <c r="K159" s="19"/>
    </row>
    <row r="160" spans="2:11" ht="17.25" thickBot="1" x14ac:dyDescent="0.35">
      <c r="B160" s="334"/>
      <c r="C160" s="319"/>
      <c r="D160" s="319"/>
      <c r="E160" s="319"/>
      <c r="F160" s="319"/>
      <c r="G160" s="356"/>
      <c r="K160" s="19"/>
    </row>
    <row r="161" spans="2:11" ht="17.25" thickBot="1" x14ac:dyDescent="0.35">
      <c r="B161" s="340"/>
      <c r="C161" s="340"/>
      <c r="D161" s="340"/>
      <c r="E161" s="340"/>
      <c r="F161" s="316"/>
      <c r="G161" s="359"/>
      <c r="K161" s="19"/>
    </row>
    <row r="162" spans="2:11" ht="18.75" thickBot="1" x14ac:dyDescent="0.4">
      <c r="B162" s="902" t="s">
        <v>422</v>
      </c>
      <c r="C162" s="903"/>
      <c r="D162" s="903"/>
      <c r="E162" s="903"/>
      <c r="F162" s="903"/>
      <c r="G162" s="904"/>
      <c r="K162" s="19"/>
    </row>
    <row r="163" spans="2:11" ht="18" thickBot="1" x14ac:dyDescent="0.4">
      <c r="B163" s="357"/>
      <c r="C163" s="344"/>
      <c r="D163" s="344"/>
      <c r="E163" s="344"/>
      <c r="F163" s="344"/>
      <c r="G163" s="345"/>
      <c r="K163" s="19"/>
    </row>
    <row r="164" spans="2:11" ht="18" thickBot="1" x14ac:dyDescent="0.4">
      <c r="B164" s="326"/>
      <c r="C164" s="874" t="s">
        <v>55</v>
      </c>
      <c r="D164" s="875"/>
      <c r="E164" s="875"/>
      <c r="F164" s="876"/>
      <c r="G164" s="346"/>
      <c r="K164" s="19"/>
    </row>
    <row r="165" spans="2:11" ht="17.25" x14ac:dyDescent="0.35">
      <c r="B165" s="321"/>
      <c r="C165" s="325"/>
      <c r="D165" s="929" t="s">
        <v>48</v>
      </c>
      <c r="E165" s="927"/>
      <c r="F165" s="928"/>
      <c r="G165" s="346"/>
      <c r="K165" s="19"/>
    </row>
    <row r="166" spans="2:11" ht="17.25" x14ac:dyDescent="0.35">
      <c r="B166" s="326"/>
      <c r="C166" s="321"/>
      <c r="D166" s="327" t="s">
        <v>56</v>
      </c>
      <c r="E166" s="327" t="s">
        <v>57</v>
      </c>
      <c r="F166" s="328" t="s">
        <v>58</v>
      </c>
      <c r="G166" s="346"/>
      <c r="K166" s="19"/>
    </row>
    <row r="167" spans="2:11" x14ac:dyDescent="0.3">
      <c r="B167" s="321"/>
      <c r="C167" s="322" t="s">
        <v>571</v>
      </c>
      <c r="D167" s="315"/>
      <c r="E167" s="315"/>
      <c r="F167" s="313"/>
      <c r="G167" s="346"/>
      <c r="K167" s="19"/>
    </row>
    <row r="168" spans="2:11" x14ac:dyDescent="0.3">
      <c r="B168" s="321"/>
      <c r="C168" s="322" t="s">
        <v>572</v>
      </c>
      <c r="D168" s="315"/>
      <c r="E168" s="315"/>
      <c r="F168" s="313"/>
      <c r="G168" s="346"/>
      <c r="K168" s="19"/>
    </row>
    <row r="169" spans="2:11" x14ac:dyDescent="0.3">
      <c r="B169" s="321"/>
      <c r="C169" s="322" t="s">
        <v>573</v>
      </c>
      <c r="D169" s="315"/>
      <c r="E169" s="315"/>
      <c r="F169" s="313"/>
      <c r="G169" s="346"/>
      <c r="K169" s="19"/>
    </row>
    <row r="170" spans="2:11" x14ac:dyDescent="0.3">
      <c r="B170" s="321"/>
      <c r="C170" s="322" t="s">
        <v>572</v>
      </c>
      <c r="D170" s="315"/>
      <c r="E170" s="315"/>
      <c r="F170" s="313"/>
      <c r="G170" s="346"/>
      <c r="K170" s="19"/>
    </row>
    <row r="171" spans="2:11" x14ac:dyDescent="0.3">
      <c r="B171" s="321"/>
      <c r="C171" s="322" t="s">
        <v>59</v>
      </c>
      <c r="D171" s="315"/>
      <c r="E171" s="315"/>
      <c r="F171" s="313"/>
      <c r="G171" s="346"/>
      <c r="K171" s="19"/>
    </row>
    <row r="172" spans="2:11" x14ac:dyDescent="0.3">
      <c r="B172" s="321"/>
      <c r="C172" s="322" t="s">
        <v>60</v>
      </c>
      <c r="D172" s="315"/>
      <c r="E172" s="315"/>
      <c r="F172" s="313"/>
      <c r="G172" s="346"/>
      <c r="K172" s="19"/>
    </row>
    <row r="173" spans="2:11" x14ac:dyDescent="0.3">
      <c r="B173" s="321"/>
      <c r="C173" s="322" t="s">
        <v>435</v>
      </c>
      <c r="D173" s="315"/>
      <c r="E173" s="316"/>
      <c r="F173" s="317"/>
      <c r="G173" s="346"/>
      <c r="I173" s="140"/>
      <c r="J173" s="155"/>
      <c r="K173" s="19"/>
    </row>
    <row r="174" spans="2:11" ht="17.25" thickBot="1" x14ac:dyDescent="0.35">
      <c r="B174" s="321"/>
      <c r="C174" s="324" t="s">
        <v>443</v>
      </c>
      <c r="D174" s="318"/>
      <c r="E174" s="319"/>
      <c r="F174" s="320"/>
      <c r="G174" s="346"/>
      <c r="K174" s="19"/>
    </row>
    <row r="175" spans="2:11" ht="17.25" thickBot="1" x14ac:dyDescent="0.35">
      <c r="B175" s="321"/>
      <c r="C175" s="337"/>
      <c r="D175" s="316"/>
      <c r="E175" s="316"/>
      <c r="F175" s="316"/>
      <c r="G175" s="351"/>
      <c r="K175" s="19"/>
    </row>
    <row r="176" spans="2:11" ht="18" thickBot="1" x14ac:dyDescent="0.4">
      <c r="B176" s="321"/>
      <c r="C176" s="874" t="s">
        <v>61</v>
      </c>
      <c r="D176" s="875"/>
      <c r="E176" s="875"/>
      <c r="F176" s="876"/>
      <c r="G176" s="346"/>
      <c r="K176" s="19"/>
    </row>
    <row r="177" spans="2:11" ht="17.25" x14ac:dyDescent="0.35">
      <c r="B177" s="321"/>
      <c r="C177" s="352"/>
      <c r="D177" s="929" t="s">
        <v>48</v>
      </c>
      <c r="E177" s="927"/>
      <c r="F177" s="928"/>
      <c r="G177" s="346"/>
      <c r="K177" s="19"/>
    </row>
    <row r="178" spans="2:11" ht="17.25" x14ac:dyDescent="0.35">
      <c r="B178" s="326"/>
      <c r="C178" s="338"/>
      <c r="D178" s="327" t="s">
        <v>56</v>
      </c>
      <c r="E178" s="327" t="s">
        <v>57</v>
      </c>
      <c r="F178" s="328" t="s">
        <v>58</v>
      </c>
      <c r="G178" s="346"/>
      <c r="K178" s="19"/>
    </row>
    <row r="179" spans="2:11" x14ac:dyDescent="0.3">
      <c r="B179" s="321"/>
      <c r="C179" s="322" t="s">
        <v>62</v>
      </c>
      <c r="D179" s="315"/>
      <c r="E179" s="315"/>
      <c r="F179" s="313"/>
      <c r="G179" s="346"/>
      <c r="K179" s="19"/>
    </row>
    <row r="180" spans="2:11" x14ac:dyDescent="0.3">
      <c r="B180" s="321"/>
      <c r="C180" s="322" t="s">
        <v>607</v>
      </c>
      <c r="D180" s="315"/>
      <c r="E180" s="315"/>
      <c r="F180" s="313"/>
      <c r="G180" s="346"/>
      <c r="K180" s="19"/>
    </row>
    <row r="181" spans="2:11" x14ac:dyDescent="0.3">
      <c r="B181" s="321"/>
      <c r="C181" s="322" t="s">
        <v>608</v>
      </c>
      <c r="D181" s="315"/>
      <c r="E181" s="315"/>
      <c r="F181" s="313"/>
      <c r="G181" s="346"/>
      <c r="K181" s="19"/>
    </row>
    <row r="182" spans="2:11" x14ac:dyDescent="0.3">
      <c r="B182" s="321"/>
      <c r="C182" s="322" t="s">
        <v>413</v>
      </c>
      <c r="D182" s="315"/>
      <c r="E182" s="315"/>
      <c r="F182" s="313"/>
      <c r="G182" s="346"/>
      <c r="K182" s="19"/>
    </row>
    <row r="183" spans="2:11" ht="17.25" thickBot="1" x14ac:dyDescent="0.35">
      <c r="B183" s="321"/>
      <c r="C183" s="324" t="s">
        <v>602</v>
      </c>
      <c r="D183" s="318"/>
      <c r="E183" s="318"/>
      <c r="F183" s="314"/>
      <c r="G183" s="346"/>
      <c r="K183" s="19"/>
    </row>
    <row r="184" spans="2:11" ht="17.25" thickBot="1" x14ac:dyDescent="0.35">
      <c r="B184" s="321"/>
      <c r="C184" s="316"/>
      <c r="D184" s="316"/>
      <c r="E184" s="316"/>
      <c r="F184" s="316"/>
      <c r="G184" s="351"/>
      <c r="K184" s="19"/>
    </row>
    <row r="185" spans="2:11" ht="18" thickBot="1" x14ac:dyDescent="0.4">
      <c r="B185" s="321"/>
      <c r="C185" s="874" t="s">
        <v>63</v>
      </c>
      <c r="D185" s="875"/>
      <c r="E185" s="875"/>
      <c r="F185" s="876"/>
      <c r="G185" s="346"/>
      <c r="K185" s="19"/>
    </row>
    <row r="186" spans="2:11" ht="17.25" x14ac:dyDescent="0.35">
      <c r="B186" s="321"/>
      <c r="C186" s="325"/>
      <c r="D186" s="929" t="s">
        <v>48</v>
      </c>
      <c r="E186" s="927"/>
      <c r="F186" s="928"/>
      <c r="G186" s="346"/>
      <c r="K186" s="19"/>
    </row>
    <row r="187" spans="2:11" ht="17.25" x14ac:dyDescent="0.35">
      <c r="B187" s="326"/>
      <c r="C187" s="321"/>
      <c r="D187" s="327" t="s">
        <v>56</v>
      </c>
      <c r="E187" s="327" t="s">
        <v>57</v>
      </c>
      <c r="F187" s="328" t="s">
        <v>58</v>
      </c>
      <c r="G187" s="346"/>
      <c r="K187" s="19"/>
    </row>
    <row r="188" spans="2:11" x14ac:dyDescent="0.3">
      <c r="B188" s="321"/>
      <c r="C188" s="322" t="s">
        <v>64</v>
      </c>
      <c r="D188" s="315"/>
      <c r="E188" s="315"/>
      <c r="F188" s="313"/>
      <c r="G188" s="346"/>
      <c r="K188" s="19"/>
    </row>
    <row r="189" spans="2:11" x14ac:dyDescent="0.3">
      <c r="B189" s="321"/>
      <c r="C189" s="322" t="s">
        <v>65</v>
      </c>
      <c r="D189" s="315"/>
      <c r="E189" s="315"/>
      <c r="F189" s="313"/>
      <c r="G189" s="346"/>
      <c r="K189" s="19"/>
    </row>
    <row r="190" spans="2:11" x14ac:dyDescent="0.3">
      <c r="B190" s="321"/>
      <c r="C190" s="322" t="s">
        <v>66</v>
      </c>
      <c r="D190" s="315"/>
      <c r="E190" s="315"/>
      <c r="F190" s="313"/>
      <c r="G190" s="346"/>
      <c r="K190" s="19"/>
    </row>
    <row r="191" spans="2:11" x14ac:dyDescent="0.3">
      <c r="B191" s="321"/>
      <c r="C191" s="322" t="s">
        <v>67</v>
      </c>
      <c r="D191" s="315"/>
      <c r="E191" s="315"/>
      <c r="F191" s="313"/>
      <c r="G191" s="346"/>
      <c r="K191" s="19"/>
    </row>
    <row r="192" spans="2:11" x14ac:dyDescent="0.3">
      <c r="B192" s="321"/>
      <c r="C192" s="322" t="s">
        <v>68</v>
      </c>
      <c r="D192" s="315"/>
      <c r="E192" s="315"/>
      <c r="F192" s="313"/>
      <c r="G192" s="346"/>
      <c r="K192" s="19"/>
    </row>
    <row r="193" spans="2:11" x14ac:dyDescent="0.3">
      <c r="B193" s="321"/>
      <c r="C193" s="322" t="s">
        <v>69</v>
      </c>
      <c r="D193" s="315"/>
      <c r="E193" s="315"/>
      <c r="F193" s="313"/>
      <c r="G193" s="346"/>
      <c r="K193" s="19"/>
    </row>
    <row r="194" spans="2:11" x14ac:dyDescent="0.3">
      <c r="B194" s="321"/>
      <c r="C194" s="322" t="s">
        <v>70</v>
      </c>
      <c r="D194" s="315"/>
      <c r="E194" s="315"/>
      <c r="F194" s="313"/>
      <c r="G194" s="346"/>
      <c r="K194" s="19"/>
    </row>
    <row r="195" spans="2:11" x14ac:dyDescent="0.3">
      <c r="B195" s="321"/>
      <c r="C195" s="322" t="s">
        <v>71</v>
      </c>
      <c r="D195" s="315"/>
      <c r="E195" s="315"/>
      <c r="F195" s="313"/>
      <c r="G195" s="346"/>
      <c r="K195" s="19"/>
    </row>
    <row r="196" spans="2:11" x14ac:dyDescent="0.3">
      <c r="B196" s="321"/>
      <c r="C196" s="322" t="s">
        <v>72</v>
      </c>
      <c r="D196" s="315"/>
      <c r="E196" s="315"/>
      <c r="F196" s="313"/>
      <c r="G196" s="346"/>
      <c r="K196" s="19"/>
    </row>
    <row r="197" spans="2:11" x14ac:dyDescent="0.3">
      <c r="B197" s="321"/>
      <c r="C197" s="322" t="s">
        <v>73</v>
      </c>
      <c r="D197" s="315"/>
      <c r="E197" s="315"/>
      <c r="F197" s="313"/>
      <c r="G197" s="346"/>
      <c r="K197" s="19"/>
    </row>
    <row r="198" spans="2:11" ht="17.25" thickBot="1" x14ac:dyDescent="0.35">
      <c r="B198" s="321"/>
      <c r="C198" s="324" t="s">
        <v>74</v>
      </c>
      <c r="D198" s="318"/>
      <c r="E198" s="318"/>
      <c r="F198" s="314"/>
      <c r="G198" s="346"/>
      <c r="K198" s="19"/>
    </row>
    <row r="199" spans="2:11" ht="17.25" thickBot="1" x14ac:dyDescent="0.35">
      <c r="B199" s="321"/>
      <c r="C199" s="316"/>
      <c r="D199" s="316"/>
      <c r="E199" s="316"/>
      <c r="F199" s="339"/>
      <c r="G199" s="351"/>
      <c r="K199" s="19"/>
    </row>
    <row r="200" spans="2:11" ht="18" thickBot="1" x14ac:dyDescent="0.4">
      <c r="B200" s="321"/>
      <c r="C200" s="874" t="s">
        <v>75</v>
      </c>
      <c r="D200" s="875"/>
      <c r="E200" s="875"/>
      <c r="F200" s="876"/>
      <c r="G200" s="346"/>
      <c r="K200" s="19"/>
    </row>
    <row r="201" spans="2:11" ht="17.25" x14ac:dyDescent="0.35">
      <c r="B201" s="321"/>
      <c r="C201" s="325"/>
      <c r="D201" s="929" t="s">
        <v>48</v>
      </c>
      <c r="E201" s="927"/>
      <c r="F201" s="928"/>
      <c r="G201" s="346"/>
      <c r="K201" s="19"/>
    </row>
    <row r="202" spans="2:11" ht="17.25" x14ac:dyDescent="0.35">
      <c r="B202" s="326"/>
      <c r="C202" s="321"/>
      <c r="D202" s="327" t="s">
        <v>56</v>
      </c>
      <c r="E202" s="327" t="s">
        <v>57</v>
      </c>
      <c r="F202" s="328" t="s">
        <v>58</v>
      </c>
      <c r="G202" s="346"/>
      <c r="K202" s="19"/>
    </row>
    <row r="203" spans="2:11" x14ac:dyDescent="0.3">
      <c r="B203" s="321"/>
      <c r="C203" s="322" t="s">
        <v>304</v>
      </c>
      <c r="D203" s="315"/>
      <c r="E203" s="315"/>
      <c r="F203" s="313"/>
      <c r="G203" s="346"/>
      <c r="K203" s="19"/>
    </row>
    <row r="204" spans="2:11" x14ac:dyDescent="0.3">
      <c r="B204" s="321"/>
      <c r="C204" s="322" t="s">
        <v>305</v>
      </c>
      <c r="D204" s="315"/>
      <c r="E204" s="315"/>
      <c r="F204" s="313"/>
      <c r="G204" s="346"/>
      <c r="K204" s="19"/>
    </row>
    <row r="205" spans="2:11" x14ac:dyDescent="0.3">
      <c r="B205" s="321"/>
      <c r="C205" s="322" t="s">
        <v>78</v>
      </c>
      <c r="D205" s="315"/>
      <c r="E205" s="315"/>
      <c r="F205" s="313"/>
      <c r="G205" s="346"/>
      <c r="K205" s="19"/>
    </row>
    <row r="206" spans="2:11" x14ac:dyDescent="0.3">
      <c r="B206" s="321"/>
      <c r="C206" s="322" t="s">
        <v>79</v>
      </c>
      <c r="D206" s="315"/>
      <c r="E206" s="315"/>
      <c r="F206" s="313"/>
      <c r="G206" s="346"/>
      <c r="K206" s="19"/>
    </row>
    <row r="207" spans="2:11" ht="17.25" thickBot="1" x14ac:dyDescent="0.35">
      <c r="B207" s="321"/>
      <c r="C207" s="330" t="s">
        <v>428</v>
      </c>
      <c r="D207" s="318"/>
      <c r="E207" s="318"/>
      <c r="F207" s="314"/>
      <c r="G207" s="346"/>
      <c r="K207" s="19"/>
    </row>
    <row r="208" spans="2:11" ht="17.25" thickBot="1" x14ac:dyDescent="0.35">
      <c r="B208" s="321"/>
      <c r="C208" s="316"/>
      <c r="D208" s="316"/>
      <c r="E208" s="316"/>
      <c r="F208" s="339"/>
      <c r="G208" s="351"/>
      <c r="K208" s="19"/>
    </row>
    <row r="209" spans="2:11" ht="18" thickBot="1" x14ac:dyDescent="0.4">
      <c r="B209" s="321"/>
      <c r="C209" s="874" t="s">
        <v>80</v>
      </c>
      <c r="D209" s="875"/>
      <c r="E209" s="875"/>
      <c r="F209" s="876"/>
      <c r="G209" s="346"/>
      <c r="K209" s="19"/>
    </row>
    <row r="210" spans="2:11" ht="17.25" x14ac:dyDescent="0.35">
      <c r="B210" s="321"/>
      <c r="C210" s="325"/>
      <c r="D210" s="929" t="s">
        <v>48</v>
      </c>
      <c r="E210" s="927"/>
      <c r="F210" s="928"/>
      <c r="G210" s="346"/>
      <c r="K210" s="19"/>
    </row>
    <row r="211" spans="2:11" ht="17.25" x14ac:dyDescent="0.35">
      <c r="B211" s="331"/>
      <c r="C211" s="321"/>
      <c r="D211" s="327" t="s">
        <v>56</v>
      </c>
      <c r="E211" s="327" t="s">
        <v>57</v>
      </c>
      <c r="F211" s="328" t="s">
        <v>58</v>
      </c>
      <c r="G211" s="346"/>
      <c r="K211" s="19"/>
    </row>
    <row r="212" spans="2:11" x14ac:dyDescent="0.3">
      <c r="B212" s="321"/>
      <c r="C212" s="322" t="s">
        <v>574</v>
      </c>
      <c r="D212" s="315"/>
      <c r="E212" s="315"/>
      <c r="F212" s="313"/>
      <c r="G212" s="346"/>
      <c r="K212" s="19"/>
    </row>
    <row r="213" spans="2:11" x14ac:dyDescent="0.3">
      <c r="B213" s="321"/>
      <c r="C213" s="322" t="s">
        <v>575</v>
      </c>
      <c r="D213" s="315"/>
      <c r="E213" s="315"/>
      <c r="F213" s="313"/>
      <c r="G213" s="346"/>
      <c r="K213" s="19"/>
    </row>
    <row r="214" spans="2:11" x14ac:dyDescent="0.3">
      <c r="B214" s="321"/>
      <c r="C214" s="322" t="s">
        <v>576</v>
      </c>
      <c r="D214" s="315"/>
      <c r="E214" s="315"/>
      <c r="F214" s="313"/>
      <c r="G214" s="346"/>
      <c r="K214" s="19"/>
    </row>
    <row r="215" spans="2:11" x14ac:dyDescent="0.3">
      <c r="B215" s="321"/>
      <c r="C215" s="322" t="s">
        <v>83</v>
      </c>
      <c r="D215" s="315"/>
      <c r="E215" s="315"/>
      <c r="F215" s="313"/>
      <c r="G215" s="346"/>
      <c r="K215" s="19"/>
    </row>
    <row r="216" spans="2:11" x14ac:dyDescent="0.3">
      <c r="B216" s="321"/>
      <c r="C216" s="322" t="s">
        <v>84</v>
      </c>
      <c r="D216" s="315"/>
      <c r="E216" s="315"/>
      <c r="F216" s="313"/>
      <c r="G216" s="346"/>
      <c r="K216" s="19"/>
    </row>
    <row r="217" spans="2:11" x14ac:dyDescent="0.3">
      <c r="B217" s="321"/>
      <c r="C217" s="322" t="s">
        <v>577</v>
      </c>
      <c r="D217" s="315"/>
      <c r="E217" s="315"/>
      <c r="F217" s="313"/>
      <c r="G217" s="346"/>
      <c r="K217" s="19"/>
    </row>
    <row r="218" spans="2:11" x14ac:dyDescent="0.3">
      <c r="B218" s="321"/>
      <c r="C218" s="322" t="s">
        <v>578</v>
      </c>
      <c r="D218" s="315"/>
      <c r="E218" s="315"/>
      <c r="F218" s="313"/>
      <c r="G218" s="346"/>
      <c r="K218" s="19"/>
    </row>
    <row r="219" spans="2:11" x14ac:dyDescent="0.3">
      <c r="B219" s="321"/>
      <c r="C219" s="322" t="s">
        <v>579</v>
      </c>
      <c r="D219" s="315"/>
      <c r="E219" s="315"/>
      <c r="F219" s="313"/>
      <c r="G219" s="346"/>
      <c r="K219" s="19"/>
    </row>
    <row r="220" spans="2:11" x14ac:dyDescent="0.3">
      <c r="B220" s="321"/>
      <c r="C220" s="322" t="s">
        <v>87</v>
      </c>
      <c r="D220" s="315"/>
      <c r="E220" s="315"/>
      <c r="F220" s="313"/>
      <c r="G220" s="346"/>
      <c r="K220" s="19"/>
    </row>
    <row r="221" spans="2:11" ht="17.25" thickBot="1" x14ac:dyDescent="0.35">
      <c r="B221" s="321"/>
      <c r="C221" s="324" t="s">
        <v>88</v>
      </c>
      <c r="D221" s="318"/>
      <c r="E221" s="318"/>
      <c r="F221" s="314"/>
      <c r="G221" s="346"/>
      <c r="K221" s="19"/>
    </row>
    <row r="222" spans="2:11" ht="17.25" thickBot="1" x14ac:dyDescent="0.35">
      <c r="B222" s="321"/>
      <c r="C222" s="316"/>
      <c r="D222" s="316"/>
      <c r="E222" s="316"/>
      <c r="F222" s="316"/>
      <c r="G222" s="351"/>
      <c r="K222" s="19"/>
    </row>
    <row r="223" spans="2:11" ht="18" thickBot="1" x14ac:dyDescent="0.4">
      <c r="B223" s="321"/>
      <c r="C223" s="874" t="s">
        <v>89</v>
      </c>
      <c r="D223" s="875"/>
      <c r="E223" s="875"/>
      <c r="F223" s="876"/>
      <c r="G223" s="346"/>
      <c r="K223" s="19"/>
    </row>
    <row r="224" spans="2:11" ht="17.25" x14ac:dyDescent="0.35">
      <c r="B224" s="326"/>
      <c r="C224" s="325"/>
      <c r="D224" s="929" t="s">
        <v>48</v>
      </c>
      <c r="E224" s="927"/>
      <c r="F224" s="928"/>
      <c r="G224" s="351"/>
      <c r="K224" s="19"/>
    </row>
    <row r="225" spans="1:11" x14ac:dyDescent="0.3">
      <c r="B225" s="321"/>
      <c r="C225" s="322" t="s">
        <v>90</v>
      </c>
      <c r="D225" s="882"/>
      <c r="E225" s="882"/>
      <c r="F225" s="883"/>
      <c r="G225" s="351"/>
      <c r="K225" s="19"/>
    </row>
    <row r="226" spans="1:11" x14ac:dyDescent="0.3">
      <c r="B226" s="321"/>
      <c r="C226" s="322" t="s">
        <v>91</v>
      </c>
      <c r="D226" s="882"/>
      <c r="E226" s="882"/>
      <c r="F226" s="883"/>
      <c r="G226" s="351"/>
      <c r="K226" s="19"/>
    </row>
    <row r="227" spans="1:11" x14ac:dyDescent="0.3">
      <c r="B227" s="321"/>
      <c r="C227" s="322" t="s">
        <v>306</v>
      </c>
      <c r="D227" s="882"/>
      <c r="E227" s="882"/>
      <c r="F227" s="883"/>
      <c r="G227" s="351"/>
      <c r="K227" s="19"/>
    </row>
    <row r="228" spans="1:11" x14ac:dyDescent="0.3">
      <c r="B228" s="321"/>
      <c r="C228" s="322" t="s">
        <v>92</v>
      </c>
      <c r="D228" s="895" t="str">
        <f>IF(D225+D227=0,"",D225+D227)</f>
        <v/>
      </c>
      <c r="E228" s="895"/>
      <c r="F228" s="896"/>
      <c r="G228" s="351"/>
      <c r="K228" s="19"/>
    </row>
    <row r="229" spans="1:11" x14ac:dyDescent="0.3">
      <c r="B229" s="321"/>
      <c r="C229" s="322" t="s">
        <v>93</v>
      </c>
      <c r="D229" s="882"/>
      <c r="E229" s="882"/>
      <c r="F229" s="883"/>
      <c r="G229" s="351"/>
      <c r="K229" s="19"/>
    </row>
    <row r="230" spans="1:11" x14ac:dyDescent="0.3">
      <c r="B230" s="321"/>
      <c r="C230" s="322" t="s">
        <v>94</v>
      </c>
      <c r="D230" s="882"/>
      <c r="E230" s="882"/>
      <c r="F230" s="883"/>
      <c r="G230" s="351"/>
      <c r="K230" s="19"/>
    </row>
    <row r="231" spans="1:11" x14ac:dyDescent="0.3">
      <c r="B231" s="321"/>
      <c r="C231" s="322" t="s">
        <v>95</v>
      </c>
      <c r="D231" s="882"/>
      <c r="E231" s="882"/>
      <c r="F231" s="883"/>
      <c r="G231" s="351"/>
      <c r="K231" s="19"/>
    </row>
    <row r="232" spans="1:11" x14ac:dyDescent="0.3">
      <c r="B232" s="321"/>
      <c r="C232" s="322" t="s">
        <v>306</v>
      </c>
      <c r="D232" s="882"/>
      <c r="E232" s="882"/>
      <c r="F232" s="883"/>
      <c r="G232" s="351"/>
      <c r="K232" s="19"/>
    </row>
    <row r="233" spans="1:11" ht="17.25" thickBot="1" x14ac:dyDescent="0.35">
      <c r="B233" s="321"/>
      <c r="C233" s="324" t="s">
        <v>92</v>
      </c>
      <c r="D233" s="911" t="str">
        <f>IF(D230+D232=0,"",D230+D232)</f>
        <v/>
      </c>
      <c r="E233" s="911"/>
      <c r="F233" s="912"/>
      <c r="G233" s="351"/>
      <c r="K233" s="19"/>
    </row>
    <row r="234" spans="1:11" ht="17.25" thickBot="1" x14ac:dyDescent="0.35">
      <c r="B234" s="334"/>
      <c r="C234" s="319"/>
      <c r="D234" s="319"/>
      <c r="E234" s="319"/>
      <c r="F234" s="319"/>
      <c r="G234" s="356"/>
      <c r="K234" s="19"/>
    </row>
    <row r="235" spans="1:11" x14ac:dyDescent="0.3">
      <c r="K235" s="19"/>
    </row>
    <row r="236" spans="1:11" s="18" customFormat="1" x14ac:dyDescent="0.3">
      <c r="A236" s="19"/>
      <c r="B236" s="19"/>
      <c r="C236" s="19"/>
      <c r="D236" s="19"/>
      <c r="E236" s="19"/>
      <c r="F236" s="19"/>
      <c r="G236" s="19"/>
      <c r="H236" s="19"/>
      <c r="I236" s="19"/>
      <c r="J236" s="19"/>
      <c r="K236" s="19"/>
    </row>
  </sheetData>
  <sheetProtection password="D93F" sheet="1" objects="1" scenarios="1" selectLockedCells="1"/>
  <customSheetViews>
    <customSheetView guid="{2A4C6EB9-430A-44F2-86C8-15B50360FC3B}" scale="70" showGridLines="0">
      <selection activeCell="F2" sqref="F2"/>
      <pageMargins left="0.7" right="0.7" top="0.75" bottom="0.75" header="0.3" footer="0.3"/>
      <pageSetup orientation="portrait" horizontalDpi="200" verticalDpi="200" r:id="rId1"/>
    </customSheetView>
    <customSheetView guid="{B3BD5AF3-9A64-4EA7-AE1F-3CC326849B8F}" scale="70" showGridLines="0">
      <selection activeCell="K3" sqref="K3:K5"/>
      <pageMargins left="0.7" right="0.7" top="0.75" bottom="0.75" header="0.3" footer="0.3"/>
      <pageSetup orientation="portrait" horizontalDpi="200" verticalDpi="200" r:id="rId2"/>
    </customSheetView>
  </customSheetViews>
  <mergeCells count="70">
    <mergeCell ref="B2:C2"/>
    <mergeCell ref="C126:F126"/>
    <mergeCell ref="C135:F135"/>
    <mergeCell ref="C149:F149"/>
    <mergeCell ref="C164:F164"/>
    <mergeCell ref="D78:F78"/>
    <mergeCell ref="D79:F79"/>
    <mergeCell ref="D91:F91"/>
    <mergeCell ref="D80:F80"/>
    <mergeCell ref="D82:F82"/>
    <mergeCell ref="D83:F83"/>
    <mergeCell ref="D84:F84"/>
    <mergeCell ref="E2:F2"/>
    <mergeCell ref="D136:F136"/>
    <mergeCell ref="D127:F127"/>
    <mergeCell ref="D112:F112"/>
    <mergeCell ref="D152:F152"/>
    <mergeCell ref="D151:F151"/>
    <mergeCell ref="D155:F155"/>
    <mergeCell ref="D81:F81"/>
    <mergeCell ref="D77:F77"/>
    <mergeCell ref="D103:F103"/>
    <mergeCell ref="D157:F157"/>
    <mergeCell ref="D158:F158"/>
    <mergeCell ref="D156:F156"/>
    <mergeCell ref="D154:F154"/>
    <mergeCell ref="D153:F153"/>
    <mergeCell ref="H4:I4"/>
    <mergeCell ref="C16:F16"/>
    <mergeCell ref="C28:F28"/>
    <mergeCell ref="C37:F37"/>
    <mergeCell ref="C52:F52"/>
    <mergeCell ref="D38:F38"/>
    <mergeCell ref="F12:G12"/>
    <mergeCell ref="D29:F29"/>
    <mergeCell ref="D17:F17"/>
    <mergeCell ref="B14:G14"/>
    <mergeCell ref="D233:F233"/>
    <mergeCell ref="D159:F159"/>
    <mergeCell ref="B162:G162"/>
    <mergeCell ref="D230:F230"/>
    <mergeCell ref="D231:F231"/>
    <mergeCell ref="D229:F229"/>
    <mergeCell ref="D227:F227"/>
    <mergeCell ref="D228:F228"/>
    <mergeCell ref="D232:F232"/>
    <mergeCell ref="C185:F185"/>
    <mergeCell ref="C200:F200"/>
    <mergeCell ref="C209:F209"/>
    <mergeCell ref="C223:F223"/>
    <mergeCell ref="D224:F224"/>
    <mergeCell ref="D225:F225"/>
    <mergeCell ref="D226:F226"/>
    <mergeCell ref="D165:F165"/>
    <mergeCell ref="D210:F210"/>
    <mergeCell ref="D177:F177"/>
    <mergeCell ref="D186:F186"/>
    <mergeCell ref="D201:F201"/>
    <mergeCell ref="C176:F176"/>
    <mergeCell ref="D62:F62"/>
    <mergeCell ref="D53:F53"/>
    <mergeCell ref="D150:F150"/>
    <mergeCell ref="D76:F76"/>
    <mergeCell ref="D85:F85"/>
    <mergeCell ref="B88:G88"/>
    <mergeCell ref="C61:F61"/>
    <mergeCell ref="C75:F75"/>
    <mergeCell ref="C90:F90"/>
    <mergeCell ref="C102:F102"/>
    <mergeCell ref="C111:F111"/>
  </mergeCells>
  <phoneticPr fontId="27" type="noConversion"/>
  <conditionalFormatting sqref="D105:F109 D31:F35 D40:F50 D55:F59 D77:D85 E19:F24 D19:D26 D64:F73">
    <cfRule type="expression" dxfId="41" priority="9" stopIfTrue="1">
      <formula>OR($I$5 = "Central Air Conditioner", $I$6 = "Variable-Speed")</formula>
    </cfRule>
  </conditionalFormatting>
  <conditionalFormatting sqref="D93:F98 D99:D100 D114:F124 D138:F147 D129:F133 D151:D159">
    <cfRule type="expression" dxfId="40" priority="17" stopIfTrue="1">
      <formula>OR($I$5 = "Central Air Conditioner", AND($I$6 = "Single-Speed", $I$7 = "Fixed Speed"))</formula>
    </cfRule>
  </conditionalFormatting>
  <conditionalFormatting sqref="D179:F183 D188:F198 D203:F207 D212:F221 D225:D233 E167:F172 D167:D174">
    <cfRule type="expression" dxfId="39" priority="25" stopIfTrue="1">
      <formula>OR($I$5 = "Central Air Conditioner", $I$6 &lt;&gt; "Variable-Speed")</formula>
    </cfRule>
  </conditionalFormatting>
  <conditionalFormatting sqref="D12">
    <cfRule type="expression" dxfId="38" priority="3" stopIfTrue="1">
      <formula>$I$5="Central Air Conditioner"</formula>
    </cfRule>
  </conditionalFormatting>
  <conditionalFormatting sqref="D11">
    <cfRule type="expression" dxfId="37" priority="1" stopIfTrue="1">
      <formula>$I$5 = "Central Air Conditioner"</formula>
    </cfRule>
  </conditionalFormatting>
  <hyperlinks>
    <hyperlink ref="E2" location="Instructions!A1" display="Back to Instructions"/>
    <hyperlink ref="E2:F2" location="Instructions!A1" display="Back to Instructions tab"/>
  </hyperlinks>
  <pageMargins left="0.7" right="0.7" top="0.75" bottom="0.75" header="0.3" footer="0.3"/>
  <pageSetup orientation="portrait" horizontalDpi="200" verticalDpi="200" r:id="rId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rgb="FF0070C0"/>
  </sheetPr>
  <dimension ref="A1:K153"/>
  <sheetViews>
    <sheetView showGridLines="0" zoomScale="80" zoomScaleNormal="80" workbookViewId="0">
      <selection activeCell="E2" sqref="E2:F2"/>
    </sheetView>
  </sheetViews>
  <sheetFormatPr defaultColWidth="9.140625" defaultRowHeight="16.5" x14ac:dyDescent="0.3"/>
  <cols>
    <col min="1" max="1" width="3.7109375" style="6" customWidth="1"/>
    <col min="2" max="2" width="31.85546875" style="6" customWidth="1"/>
    <col min="3" max="3" width="69" style="6" customWidth="1"/>
    <col min="4" max="6" width="13.5703125" style="6" customWidth="1"/>
    <col min="7" max="7" width="8.140625" style="6" customWidth="1"/>
    <col min="8" max="8" width="24" style="6" customWidth="1"/>
    <col min="9" max="9" width="19.140625" style="6" customWidth="1"/>
    <col min="10" max="10" width="9" style="114" customWidth="1"/>
    <col min="11" max="11" width="5.85546875" style="114" customWidth="1"/>
    <col min="12" max="16384" width="9.140625" style="6"/>
  </cols>
  <sheetData>
    <row r="1" spans="2:11" ht="17.25" thickBot="1" x14ac:dyDescent="0.35">
      <c r="J1" s="127"/>
      <c r="K1" s="19"/>
    </row>
    <row r="2" spans="2:11" s="1" customFormat="1" ht="18" thickBot="1" x14ac:dyDescent="0.35">
      <c r="B2" s="764" t="s">
        <v>562</v>
      </c>
      <c r="C2" s="765"/>
      <c r="E2" s="827" t="s">
        <v>540</v>
      </c>
      <c r="F2" s="827"/>
      <c r="J2" s="128"/>
      <c r="K2" s="129"/>
    </row>
    <row r="3" spans="2:11" s="1" customFormat="1" ht="17.25" thickBot="1" x14ac:dyDescent="0.35">
      <c r="B3" s="297" t="s">
        <v>563</v>
      </c>
      <c r="C3" s="298" t="str">
        <f>'Version Control'!C3</f>
        <v>Residential Central Air Conditioners and Heat Pumps</v>
      </c>
      <c r="J3" s="128"/>
      <c r="K3" s="129"/>
    </row>
    <row r="4" spans="2:11" s="1" customFormat="1" ht="18" thickBot="1" x14ac:dyDescent="0.35">
      <c r="B4" s="299" t="s">
        <v>140</v>
      </c>
      <c r="C4" s="300" t="str">
        <f>'Version Control'!C4</f>
        <v>v2.1</v>
      </c>
      <c r="H4" s="761" t="s">
        <v>349</v>
      </c>
      <c r="I4" s="763"/>
      <c r="J4" s="128"/>
      <c r="K4" s="129"/>
    </row>
    <row r="5" spans="2:11" s="1" customFormat="1" x14ac:dyDescent="0.3">
      <c r="B5" s="299" t="s">
        <v>462</v>
      </c>
      <c r="C5" s="301">
        <f>'Version Control'!C5</f>
        <v>42653</v>
      </c>
      <c r="H5" s="55" t="s">
        <v>158</v>
      </c>
      <c r="I5" s="598">
        <f>'General Info and Test Results'!C25</f>
        <v>0</v>
      </c>
      <c r="J5" s="128"/>
      <c r="K5" s="129"/>
    </row>
    <row r="6" spans="2:11" s="1" customFormat="1" x14ac:dyDescent="0.3">
      <c r="B6" s="302" t="s">
        <v>139</v>
      </c>
      <c r="C6" s="303" t="str">
        <f ca="1">MID(CELL("filename",$A$1), FIND("]", CELL("filename", $A$1))+ 1, 255)</f>
        <v>H3 Test Recorded Data</v>
      </c>
      <c r="H6" s="56" t="s">
        <v>153</v>
      </c>
      <c r="I6" s="599">
        <f>'General Info and Test Results'!C26</f>
        <v>0</v>
      </c>
      <c r="J6" s="128"/>
      <c r="K6" s="129"/>
    </row>
    <row r="7" spans="2:11" s="1" customFormat="1" ht="33.75" thickBot="1" x14ac:dyDescent="0.35">
      <c r="B7" s="304" t="s">
        <v>138</v>
      </c>
      <c r="C7" s="305" t="str">
        <f ca="1">MID(CELL("FILENAME",F16),FIND("[",CELL("FILENAME",F16))+1,FIND("]",CELL("FILENAME",F16))-FIND("[",CELL("FILENAME",F16))-1)</f>
        <v>Residential Central Air Conditioners and Heat Pumps - v2.1.xlsx</v>
      </c>
      <c r="H7" s="57" t="s">
        <v>199</v>
      </c>
      <c r="I7" s="600">
        <f>'General Info and Test Results'!C27</f>
        <v>0</v>
      </c>
      <c r="J7" s="128"/>
      <c r="K7" s="129"/>
    </row>
    <row r="8" spans="2:11" s="1" customFormat="1" ht="17.25" thickBot="1" x14ac:dyDescent="0.35">
      <c r="B8" s="306" t="s">
        <v>141</v>
      </c>
      <c r="C8" s="307" t="str">
        <f>'Version Control'!C8</f>
        <v>[MM/DD/YYYY]</v>
      </c>
      <c r="G8" s="14"/>
      <c r="H8" s="9"/>
      <c r="J8" s="128"/>
      <c r="K8" s="129"/>
    </row>
    <row r="9" spans="2:11" s="1" customFormat="1" x14ac:dyDescent="0.3">
      <c r="B9" s="4"/>
      <c r="C9" s="262"/>
      <c r="G9" s="14"/>
      <c r="H9" s="6"/>
      <c r="J9" s="128"/>
      <c r="K9" s="129"/>
    </row>
    <row r="10" spans="2:11" s="1" customFormat="1" x14ac:dyDescent="0.3">
      <c r="B10" s="116"/>
      <c r="C10" s="372"/>
      <c r="D10" s="373"/>
      <c r="E10" s="373"/>
      <c r="F10" s="373"/>
      <c r="G10" s="403"/>
      <c r="H10" s="6"/>
      <c r="J10" s="128"/>
      <c r="K10" s="129"/>
    </row>
    <row r="11" spans="2:11" s="177" customFormat="1" x14ac:dyDescent="0.3">
      <c r="B11" s="427"/>
      <c r="C11" s="428" t="s">
        <v>129</v>
      </c>
      <c r="D11" s="430"/>
      <c r="E11" s="427"/>
      <c r="F11" s="913"/>
      <c r="G11" s="913"/>
      <c r="J11" s="178"/>
      <c r="K11" s="179"/>
    </row>
    <row r="12" spans="2:11" s="7" customFormat="1" ht="18" thickBot="1" x14ac:dyDescent="0.4">
      <c r="B12" s="377"/>
      <c r="C12" s="377"/>
      <c r="D12" s="377"/>
      <c r="E12" s="377"/>
      <c r="F12" s="377"/>
      <c r="G12" s="377"/>
      <c r="J12" s="115"/>
      <c r="K12" s="20"/>
    </row>
    <row r="13" spans="2:11" ht="18.75" thickBot="1" x14ac:dyDescent="0.4">
      <c r="B13" s="902" t="s">
        <v>423</v>
      </c>
      <c r="C13" s="903"/>
      <c r="D13" s="903"/>
      <c r="E13" s="903"/>
      <c r="F13" s="903"/>
      <c r="G13" s="904"/>
      <c r="K13" s="19"/>
    </row>
    <row r="14" spans="2:11" ht="18" thickBot="1" x14ac:dyDescent="0.4">
      <c r="B14" s="357"/>
      <c r="C14" s="344"/>
      <c r="D14" s="344"/>
      <c r="E14" s="344"/>
      <c r="F14" s="344"/>
      <c r="G14" s="345"/>
      <c r="K14" s="19"/>
    </row>
    <row r="15" spans="2:11" ht="18" thickBot="1" x14ac:dyDescent="0.4">
      <c r="B15" s="326"/>
      <c r="C15" s="874" t="s">
        <v>55</v>
      </c>
      <c r="D15" s="875"/>
      <c r="E15" s="875"/>
      <c r="F15" s="876"/>
      <c r="G15" s="346"/>
      <c r="K15" s="19"/>
    </row>
    <row r="16" spans="2:11" ht="17.25" x14ac:dyDescent="0.35">
      <c r="B16" s="321"/>
      <c r="C16" s="325"/>
      <c r="D16" s="929" t="s">
        <v>48</v>
      </c>
      <c r="E16" s="927"/>
      <c r="F16" s="928"/>
      <c r="G16" s="346"/>
      <c r="I16" s="138"/>
      <c r="J16" s="154"/>
      <c r="K16" s="19"/>
    </row>
    <row r="17" spans="2:11" ht="17.25" x14ac:dyDescent="0.35">
      <c r="B17" s="326"/>
      <c r="C17" s="321"/>
      <c r="D17" s="327" t="s">
        <v>56</v>
      </c>
      <c r="E17" s="327" t="s">
        <v>57</v>
      </c>
      <c r="F17" s="328" t="s">
        <v>58</v>
      </c>
      <c r="G17" s="346"/>
      <c r="I17" s="138"/>
      <c r="J17" s="154"/>
      <c r="K17" s="19"/>
    </row>
    <row r="18" spans="2:11" x14ac:dyDescent="0.3">
      <c r="B18" s="321"/>
      <c r="C18" s="322" t="s">
        <v>432</v>
      </c>
      <c r="D18" s="431"/>
      <c r="E18" s="431"/>
      <c r="F18" s="432"/>
      <c r="G18" s="346"/>
      <c r="I18" s="140"/>
      <c r="J18" s="155"/>
      <c r="K18" s="19"/>
    </row>
    <row r="19" spans="2:11" x14ac:dyDescent="0.3">
      <c r="B19" s="321"/>
      <c r="C19" s="322" t="s">
        <v>433</v>
      </c>
      <c r="D19" s="431"/>
      <c r="E19" s="431"/>
      <c r="F19" s="432"/>
      <c r="G19" s="346"/>
      <c r="I19" s="140"/>
      <c r="J19" s="155"/>
      <c r="K19" s="19"/>
    </row>
    <row r="20" spans="2:11" x14ac:dyDescent="0.3">
      <c r="B20" s="321"/>
      <c r="C20" s="322" t="s">
        <v>59</v>
      </c>
      <c r="D20" s="431"/>
      <c r="E20" s="431"/>
      <c r="F20" s="432"/>
      <c r="G20" s="346"/>
      <c r="I20" s="140"/>
      <c r="J20" s="155"/>
      <c r="K20" s="19"/>
    </row>
    <row r="21" spans="2:11" x14ac:dyDescent="0.3">
      <c r="B21" s="321"/>
      <c r="C21" s="322" t="s">
        <v>60</v>
      </c>
      <c r="D21" s="431"/>
      <c r="E21" s="431"/>
      <c r="F21" s="432"/>
      <c r="G21" s="346"/>
      <c r="I21" s="140"/>
      <c r="J21" s="155"/>
      <c r="K21" s="19"/>
    </row>
    <row r="22" spans="2:11" x14ac:dyDescent="0.3">
      <c r="B22" s="321"/>
      <c r="C22" s="322" t="s">
        <v>435</v>
      </c>
      <c r="D22" s="431"/>
      <c r="E22" s="316"/>
      <c r="F22" s="317"/>
      <c r="G22" s="346"/>
      <c r="I22" s="140"/>
      <c r="J22" s="155"/>
      <c r="K22" s="19"/>
    </row>
    <row r="23" spans="2:11" ht="17.25" thickBot="1" x14ac:dyDescent="0.35">
      <c r="B23" s="321"/>
      <c r="C23" s="324" t="s">
        <v>443</v>
      </c>
      <c r="D23" s="433"/>
      <c r="E23" s="319"/>
      <c r="F23" s="320"/>
      <c r="G23" s="346"/>
      <c r="I23" s="140"/>
      <c r="J23" s="155"/>
      <c r="K23" s="19"/>
    </row>
    <row r="24" spans="2:11" ht="17.25" thickBot="1" x14ac:dyDescent="0.35">
      <c r="B24" s="321"/>
      <c r="C24" s="337"/>
      <c r="D24" s="316"/>
      <c r="E24" s="316"/>
      <c r="F24" s="316"/>
      <c r="G24" s="351"/>
      <c r="I24" s="140"/>
      <c r="J24" s="155"/>
      <c r="K24" s="19"/>
    </row>
    <row r="25" spans="2:11" ht="18" thickBot="1" x14ac:dyDescent="0.4">
      <c r="B25" s="321"/>
      <c r="C25" s="874" t="s">
        <v>61</v>
      </c>
      <c r="D25" s="875"/>
      <c r="E25" s="875"/>
      <c r="F25" s="876"/>
      <c r="G25" s="346"/>
      <c r="I25" s="140"/>
      <c r="J25" s="155"/>
      <c r="K25" s="19"/>
    </row>
    <row r="26" spans="2:11" ht="17.25" x14ac:dyDescent="0.35">
      <c r="B26" s="321"/>
      <c r="C26" s="352"/>
      <c r="D26" s="929" t="s">
        <v>48</v>
      </c>
      <c r="E26" s="927"/>
      <c r="F26" s="928"/>
      <c r="G26" s="346"/>
      <c r="I26" s="140"/>
      <c r="J26" s="155"/>
      <c r="K26" s="19"/>
    </row>
    <row r="27" spans="2:11" ht="17.25" x14ac:dyDescent="0.35">
      <c r="B27" s="326"/>
      <c r="C27" s="338"/>
      <c r="D27" s="327" t="s">
        <v>56</v>
      </c>
      <c r="E27" s="327" t="s">
        <v>57</v>
      </c>
      <c r="F27" s="328" t="s">
        <v>58</v>
      </c>
      <c r="G27" s="346"/>
      <c r="I27" s="140"/>
      <c r="J27" s="155"/>
      <c r="K27" s="19"/>
    </row>
    <row r="28" spans="2:11" x14ac:dyDescent="0.3">
      <c r="B28" s="321"/>
      <c r="C28" s="322" t="s">
        <v>62</v>
      </c>
      <c r="D28" s="431"/>
      <c r="E28" s="431"/>
      <c r="F28" s="432"/>
      <c r="G28" s="346"/>
      <c r="I28" s="140"/>
      <c r="J28" s="155"/>
      <c r="K28" s="19"/>
    </row>
    <row r="29" spans="2:11" x14ac:dyDescent="0.3">
      <c r="B29" s="321"/>
      <c r="C29" s="322" t="s">
        <v>607</v>
      </c>
      <c r="D29" s="431"/>
      <c r="E29" s="431"/>
      <c r="F29" s="432"/>
      <c r="G29" s="346"/>
      <c r="I29" s="140"/>
      <c r="J29" s="155"/>
      <c r="K29" s="19"/>
    </row>
    <row r="30" spans="2:11" x14ac:dyDescent="0.3">
      <c r="B30" s="321"/>
      <c r="C30" s="322" t="s">
        <v>608</v>
      </c>
      <c r="D30" s="431"/>
      <c r="E30" s="431"/>
      <c r="F30" s="432"/>
      <c r="G30" s="346"/>
      <c r="I30" s="140"/>
      <c r="J30" s="155"/>
      <c r="K30" s="19"/>
    </row>
    <row r="31" spans="2:11" x14ac:dyDescent="0.3">
      <c r="B31" s="321"/>
      <c r="C31" s="322" t="s">
        <v>413</v>
      </c>
      <c r="D31" s="431"/>
      <c r="E31" s="431"/>
      <c r="F31" s="432"/>
      <c r="G31" s="346"/>
      <c r="I31" s="140"/>
      <c r="J31" s="155"/>
      <c r="K31" s="19"/>
    </row>
    <row r="32" spans="2:11" ht="17.25" thickBot="1" x14ac:dyDescent="0.35">
      <c r="B32" s="321"/>
      <c r="C32" s="324" t="s">
        <v>427</v>
      </c>
      <c r="D32" s="433"/>
      <c r="E32" s="433"/>
      <c r="F32" s="434"/>
      <c r="G32" s="346"/>
      <c r="I32" s="140"/>
      <c r="J32" s="155"/>
      <c r="K32" s="19"/>
    </row>
    <row r="33" spans="2:11" ht="17.25" thickBot="1" x14ac:dyDescent="0.35">
      <c r="B33" s="321"/>
      <c r="C33" s="316"/>
      <c r="D33" s="316"/>
      <c r="E33" s="316"/>
      <c r="F33" s="316"/>
      <c r="G33" s="351"/>
      <c r="I33" s="140"/>
      <c r="J33" s="155"/>
      <c r="K33" s="19"/>
    </row>
    <row r="34" spans="2:11" ht="18" thickBot="1" x14ac:dyDescent="0.4">
      <c r="B34" s="321"/>
      <c r="C34" s="874" t="s">
        <v>63</v>
      </c>
      <c r="D34" s="875"/>
      <c r="E34" s="875"/>
      <c r="F34" s="876"/>
      <c r="G34" s="346"/>
      <c r="I34" s="140"/>
      <c r="J34" s="155"/>
      <c r="K34" s="19"/>
    </row>
    <row r="35" spans="2:11" ht="17.25" x14ac:dyDescent="0.35">
      <c r="B35" s="321"/>
      <c r="C35" s="325"/>
      <c r="D35" s="929" t="s">
        <v>48</v>
      </c>
      <c r="E35" s="927"/>
      <c r="F35" s="928"/>
      <c r="G35" s="346"/>
      <c r="I35" s="140"/>
      <c r="J35" s="155"/>
      <c r="K35" s="19"/>
    </row>
    <row r="36" spans="2:11" ht="17.25" x14ac:dyDescent="0.35">
      <c r="B36" s="326"/>
      <c r="C36" s="321"/>
      <c r="D36" s="327" t="s">
        <v>56</v>
      </c>
      <c r="E36" s="327" t="s">
        <v>57</v>
      </c>
      <c r="F36" s="328" t="s">
        <v>58</v>
      </c>
      <c r="G36" s="346"/>
      <c r="I36" s="140"/>
      <c r="J36" s="155"/>
      <c r="K36" s="19"/>
    </row>
    <row r="37" spans="2:11" x14ac:dyDescent="0.3">
      <c r="B37" s="321"/>
      <c r="C37" s="322" t="s">
        <v>64</v>
      </c>
      <c r="D37" s="431"/>
      <c r="E37" s="431"/>
      <c r="F37" s="432"/>
      <c r="G37" s="346"/>
      <c r="I37" s="140"/>
      <c r="J37" s="155"/>
      <c r="K37" s="19"/>
    </row>
    <row r="38" spans="2:11" x14ac:dyDescent="0.3">
      <c r="B38" s="321"/>
      <c r="C38" s="322" t="s">
        <v>65</v>
      </c>
      <c r="D38" s="431"/>
      <c r="E38" s="431"/>
      <c r="F38" s="432"/>
      <c r="G38" s="346"/>
      <c r="I38" s="140"/>
      <c r="J38" s="155"/>
      <c r="K38" s="19"/>
    </row>
    <row r="39" spans="2:11" x14ac:dyDescent="0.3">
      <c r="B39" s="321"/>
      <c r="C39" s="322" t="s">
        <v>66</v>
      </c>
      <c r="D39" s="431"/>
      <c r="E39" s="431"/>
      <c r="F39" s="432"/>
      <c r="G39" s="346"/>
      <c r="I39" s="140"/>
      <c r="J39" s="155"/>
      <c r="K39" s="19"/>
    </row>
    <row r="40" spans="2:11" x14ac:dyDescent="0.3">
      <c r="B40" s="321"/>
      <c r="C40" s="322" t="s">
        <v>67</v>
      </c>
      <c r="D40" s="431"/>
      <c r="E40" s="431"/>
      <c r="F40" s="432"/>
      <c r="G40" s="346"/>
      <c r="I40" s="140"/>
      <c r="J40" s="155"/>
      <c r="K40" s="19"/>
    </row>
    <row r="41" spans="2:11" x14ac:dyDescent="0.3">
      <c r="B41" s="321"/>
      <c r="C41" s="322" t="s">
        <v>68</v>
      </c>
      <c r="D41" s="431"/>
      <c r="E41" s="431"/>
      <c r="F41" s="432"/>
      <c r="G41" s="346"/>
      <c r="I41" s="140"/>
      <c r="J41" s="155"/>
      <c r="K41" s="19"/>
    </row>
    <row r="42" spans="2:11" x14ac:dyDescent="0.3">
      <c r="B42" s="321"/>
      <c r="C42" s="322" t="s">
        <v>69</v>
      </c>
      <c r="D42" s="431"/>
      <c r="E42" s="431"/>
      <c r="F42" s="432"/>
      <c r="G42" s="346"/>
      <c r="I42" s="140"/>
      <c r="J42" s="155"/>
      <c r="K42" s="19"/>
    </row>
    <row r="43" spans="2:11" x14ac:dyDescent="0.3">
      <c r="B43" s="321"/>
      <c r="C43" s="322" t="s">
        <v>70</v>
      </c>
      <c r="D43" s="431"/>
      <c r="E43" s="431"/>
      <c r="F43" s="432"/>
      <c r="G43" s="346"/>
      <c r="I43" s="140"/>
      <c r="J43" s="155"/>
      <c r="K43" s="19"/>
    </row>
    <row r="44" spans="2:11" x14ac:dyDescent="0.3">
      <c r="B44" s="321"/>
      <c r="C44" s="322" t="s">
        <v>71</v>
      </c>
      <c r="D44" s="431"/>
      <c r="E44" s="431"/>
      <c r="F44" s="432"/>
      <c r="G44" s="346"/>
      <c r="I44" s="140"/>
      <c r="J44" s="155"/>
      <c r="K44" s="19"/>
    </row>
    <row r="45" spans="2:11" x14ac:dyDescent="0.3">
      <c r="B45" s="321"/>
      <c r="C45" s="322" t="s">
        <v>72</v>
      </c>
      <c r="D45" s="431"/>
      <c r="E45" s="431"/>
      <c r="F45" s="432"/>
      <c r="G45" s="346"/>
      <c r="I45" s="140"/>
      <c r="J45" s="155"/>
      <c r="K45" s="19"/>
    </row>
    <row r="46" spans="2:11" x14ac:dyDescent="0.3">
      <c r="B46" s="321"/>
      <c r="C46" s="322" t="s">
        <v>73</v>
      </c>
      <c r="D46" s="431"/>
      <c r="E46" s="431"/>
      <c r="F46" s="432"/>
      <c r="G46" s="346"/>
      <c r="I46" s="140"/>
      <c r="J46" s="155"/>
      <c r="K46" s="19"/>
    </row>
    <row r="47" spans="2:11" ht="17.25" thickBot="1" x14ac:dyDescent="0.35">
      <c r="B47" s="321"/>
      <c r="C47" s="324" t="s">
        <v>74</v>
      </c>
      <c r="D47" s="433"/>
      <c r="E47" s="433"/>
      <c r="F47" s="434"/>
      <c r="G47" s="346"/>
      <c r="I47" s="140"/>
      <c r="J47" s="155"/>
      <c r="K47" s="19"/>
    </row>
    <row r="48" spans="2:11" ht="17.25" thickBot="1" x14ac:dyDescent="0.35">
      <c r="B48" s="321"/>
      <c r="C48" s="316"/>
      <c r="D48" s="316"/>
      <c r="E48" s="316"/>
      <c r="F48" s="316"/>
      <c r="G48" s="351"/>
      <c r="I48" s="140"/>
      <c r="J48" s="155"/>
      <c r="K48" s="19"/>
    </row>
    <row r="49" spans="2:11" ht="18" thickBot="1" x14ac:dyDescent="0.4">
      <c r="B49" s="321"/>
      <c r="C49" s="874" t="s">
        <v>75</v>
      </c>
      <c r="D49" s="875"/>
      <c r="E49" s="875"/>
      <c r="F49" s="876"/>
      <c r="G49" s="346"/>
      <c r="I49" s="140"/>
      <c r="J49" s="155"/>
      <c r="K49" s="19"/>
    </row>
    <row r="50" spans="2:11" ht="17.25" x14ac:dyDescent="0.35">
      <c r="B50" s="321"/>
      <c r="C50" s="325"/>
      <c r="D50" s="929" t="s">
        <v>48</v>
      </c>
      <c r="E50" s="927"/>
      <c r="F50" s="928"/>
      <c r="G50" s="346"/>
      <c r="I50" s="140"/>
      <c r="J50" s="155"/>
      <c r="K50" s="19"/>
    </row>
    <row r="51" spans="2:11" ht="17.25" x14ac:dyDescent="0.35">
      <c r="B51" s="326"/>
      <c r="C51" s="321"/>
      <c r="D51" s="327" t="s">
        <v>56</v>
      </c>
      <c r="E51" s="327" t="s">
        <v>57</v>
      </c>
      <c r="F51" s="328" t="s">
        <v>58</v>
      </c>
      <c r="G51" s="346"/>
      <c r="I51" s="140"/>
      <c r="J51" s="155"/>
      <c r="K51" s="19"/>
    </row>
    <row r="52" spans="2:11" x14ac:dyDescent="0.3">
      <c r="B52" s="321"/>
      <c r="C52" s="322" t="s">
        <v>76</v>
      </c>
      <c r="D52" s="431"/>
      <c r="E52" s="431"/>
      <c r="F52" s="432"/>
      <c r="G52" s="346"/>
      <c r="I52" s="140"/>
      <c r="J52" s="155"/>
      <c r="K52" s="19"/>
    </row>
    <row r="53" spans="2:11" x14ac:dyDescent="0.3">
      <c r="B53" s="321"/>
      <c r="C53" s="322" t="s">
        <v>77</v>
      </c>
      <c r="D53" s="431"/>
      <c r="E53" s="431"/>
      <c r="F53" s="432"/>
      <c r="G53" s="346"/>
      <c r="I53" s="140"/>
      <c r="J53" s="155"/>
      <c r="K53" s="19"/>
    </row>
    <row r="54" spans="2:11" x14ac:dyDescent="0.3">
      <c r="B54" s="321"/>
      <c r="C54" s="322" t="s">
        <v>78</v>
      </c>
      <c r="D54" s="431"/>
      <c r="E54" s="431"/>
      <c r="F54" s="432"/>
      <c r="G54" s="346"/>
      <c r="I54" s="140"/>
      <c r="J54" s="155"/>
      <c r="K54" s="19"/>
    </row>
    <row r="55" spans="2:11" x14ac:dyDescent="0.3">
      <c r="B55" s="321"/>
      <c r="C55" s="322" t="s">
        <v>79</v>
      </c>
      <c r="D55" s="431"/>
      <c r="E55" s="431"/>
      <c r="F55" s="432"/>
      <c r="G55" s="346"/>
      <c r="I55" s="140"/>
      <c r="J55" s="155"/>
      <c r="K55" s="19"/>
    </row>
    <row r="56" spans="2:11" ht="17.25" thickBot="1" x14ac:dyDescent="0.35">
      <c r="B56" s="321"/>
      <c r="C56" s="330" t="s">
        <v>428</v>
      </c>
      <c r="D56" s="433"/>
      <c r="E56" s="433"/>
      <c r="F56" s="434"/>
      <c r="G56" s="346"/>
      <c r="I56" s="140"/>
      <c r="J56" s="155"/>
      <c r="K56" s="19"/>
    </row>
    <row r="57" spans="2:11" ht="17.25" thickBot="1" x14ac:dyDescent="0.35">
      <c r="B57" s="321"/>
      <c r="C57" s="316"/>
      <c r="D57" s="316"/>
      <c r="E57" s="316"/>
      <c r="F57" s="316"/>
      <c r="G57" s="351"/>
      <c r="I57" s="140"/>
      <c r="J57" s="155"/>
      <c r="K57" s="19"/>
    </row>
    <row r="58" spans="2:11" ht="18" thickBot="1" x14ac:dyDescent="0.4">
      <c r="B58" s="321"/>
      <c r="C58" s="874" t="s">
        <v>80</v>
      </c>
      <c r="D58" s="875"/>
      <c r="E58" s="875"/>
      <c r="F58" s="876"/>
      <c r="G58" s="351"/>
      <c r="I58" s="140"/>
      <c r="J58" s="155"/>
      <c r="K58" s="19"/>
    </row>
    <row r="59" spans="2:11" ht="17.25" x14ac:dyDescent="0.35">
      <c r="B59" s="321"/>
      <c r="C59" s="325"/>
      <c r="D59" s="929" t="s">
        <v>48</v>
      </c>
      <c r="E59" s="927"/>
      <c r="F59" s="928"/>
      <c r="G59" s="351"/>
      <c r="I59" s="140"/>
      <c r="J59" s="155"/>
      <c r="K59" s="19"/>
    </row>
    <row r="60" spans="2:11" ht="17.25" x14ac:dyDescent="0.35">
      <c r="B60" s="331"/>
      <c r="C60" s="321"/>
      <c r="D60" s="327" t="s">
        <v>56</v>
      </c>
      <c r="E60" s="327" t="s">
        <v>57</v>
      </c>
      <c r="F60" s="328" t="s">
        <v>58</v>
      </c>
      <c r="G60" s="351"/>
      <c r="I60" s="140"/>
      <c r="J60" s="155"/>
      <c r="K60" s="19"/>
    </row>
    <row r="61" spans="2:11" x14ac:dyDescent="0.3">
      <c r="B61" s="321"/>
      <c r="C61" s="322" t="s">
        <v>81</v>
      </c>
      <c r="D61" s="431"/>
      <c r="E61" s="431"/>
      <c r="F61" s="432"/>
      <c r="G61" s="346"/>
      <c r="I61" s="140"/>
      <c r="J61" s="155"/>
      <c r="K61" s="19"/>
    </row>
    <row r="62" spans="2:11" x14ac:dyDescent="0.3">
      <c r="B62" s="321"/>
      <c r="C62" s="322" t="s">
        <v>82</v>
      </c>
      <c r="D62" s="431"/>
      <c r="E62" s="431"/>
      <c r="F62" s="432"/>
      <c r="G62" s="346"/>
      <c r="I62" s="140"/>
      <c r="J62" s="155"/>
      <c r="K62" s="19"/>
    </row>
    <row r="63" spans="2:11" x14ac:dyDescent="0.3">
      <c r="B63" s="321"/>
      <c r="C63" s="322" t="s">
        <v>83</v>
      </c>
      <c r="D63" s="431"/>
      <c r="E63" s="431"/>
      <c r="F63" s="432"/>
      <c r="G63" s="346"/>
      <c r="I63" s="140"/>
      <c r="J63" s="155"/>
      <c r="K63" s="19"/>
    </row>
    <row r="64" spans="2:11" x14ac:dyDescent="0.3">
      <c r="B64" s="321"/>
      <c r="C64" s="322" t="s">
        <v>84</v>
      </c>
      <c r="D64" s="431"/>
      <c r="E64" s="431"/>
      <c r="F64" s="432"/>
      <c r="G64" s="346"/>
      <c r="I64" s="140"/>
      <c r="J64" s="155"/>
      <c r="K64" s="19"/>
    </row>
    <row r="65" spans="2:11" x14ac:dyDescent="0.3">
      <c r="B65" s="321"/>
      <c r="C65" s="322" t="s">
        <v>85</v>
      </c>
      <c r="D65" s="431"/>
      <c r="E65" s="431"/>
      <c r="F65" s="432"/>
      <c r="G65" s="346"/>
      <c r="I65" s="140"/>
      <c r="J65" s="155"/>
      <c r="K65" s="19"/>
    </row>
    <row r="66" spans="2:11" x14ac:dyDescent="0.3">
      <c r="B66" s="321"/>
      <c r="C66" s="322" t="s">
        <v>86</v>
      </c>
      <c r="D66" s="431"/>
      <c r="E66" s="431"/>
      <c r="F66" s="432"/>
      <c r="G66" s="346"/>
      <c r="I66" s="140"/>
      <c r="J66" s="155"/>
      <c r="K66" s="19"/>
    </row>
    <row r="67" spans="2:11" x14ac:dyDescent="0.3">
      <c r="B67" s="321"/>
      <c r="C67" s="322" t="s">
        <v>87</v>
      </c>
      <c r="D67" s="431"/>
      <c r="E67" s="431"/>
      <c r="F67" s="432"/>
      <c r="G67" s="346"/>
      <c r="I67" s="140"/>
      <c r="J67" s="155"/>
      <c r="K67" s="19"/>
    </row>
    <row r="68" spans="2:11" ht="17.25" thickBot="1" x14ac:dyDescent="0.35">
      <c r="B68" s="321"/>
      <c r="C68" s="324" t="s">
        <v>88</v>
      </c>
      <c r="D68" s="433"/>
      <c r="E68" s="433"/>
      <c r="F68" s="434"/>
      <c r="G68" s="346"/>
      <c r="I68" s="140"/>
      <c r="J68" s="155"/>
      <c r="K68" s="19"/>
    </row>
    <row r="69" spans="2:11" ht="17.25" thickBot="1" x14ac:dyDescent="0.35">
      <c r="B69" s="321"/>
      <c r="C69" s="316"/>
      <c r="D69" s="316"/>
      <c r="E69" s="316"/>
      <c r="F69" s="316"/>
      <c r="G69" s="351"/>
      <c r="I69" s="140"/>
      <c r="J69" s="155"/>
      <c r="K69" s="19"/>
    </row>
    <row r="70" spans="2:11" ht="18" thickBot="1" x14ac:dyDescent="0.4">
      <c r="B70" s="321"/>
      <c r="C70" s="874" t="s">
        <v>89</v>
      </c>
      <c r="D70" s="875"/>
      <c r="E70" s="875"/>
      <c r="F70" s="876"/>
      <c r="G70" s="346"/>
      <c r="I70" s="140"/>
      <c r="J70" s="155"/>
      <c r="K70" s="19"/>
    </row>
    <row r="71" spans="2:11" ht="17.25" x14ac:dyDescent="0.35">
      <c r="B71" s="326"/>
      <c r="C71" s="325"/>
      <c r="D71" s="929" t="s">
        <v>48</v>
      </c>
      <c r="E71" s="927"/>
      <c r="F71" s="928"/>
      <c r="G71" s="351"/>
      <c r="I71" s="140"/>
      <c r="J71" s="155"/>
      <c r="K71" s="19"/>
    </row>
    <row r="72" spans="2:11" x14ac:dyDescent="0.3">
      <c r="B72" s="321"/>
      <c r="C72" s="322" t="s">
        <v>90</v>
      </c>
      <c r="D72" s="963"/>
      <c r="E72" s="963"/>
      <c r="F72" s="964"/>
      <c r="G72" s="351"/>
      <c r="I72" s="140"/>
      <c r="J72" s="155"/>
      <c r="K72" s="19"/>
    </row>
    <row r="73" spans="2:11" x14ac:dyDescent="0.3">
      <c r="B73" s="321"/>
      <c r="C73" s="322" t="s">
        <v>91</v>
      </c>
      <c r="D73" s="963"/>
      <c r="E73" s="963"/>
      <c r="F73" s="964"/>
      <c r="G73" s="351"/>
      <c r="I73" s="140"/>
      <c r="J73" s="155"/>
      <c r="K73" s="19"/>
    </row>
    <row r="74" spans="2:11" x14ac:dyDescent="0.3">
      <c r="B74" s="321"/>
      <c r="C74" s="322" t="s">
        <v>306</v>
      </c>
      <c r="D74" s="963"/>
      <c r="E74" s="963"/>
      <c r="F74" s="964"/>
      <c r="G74" s="351"/>
      <c r="I74" s="140"/>
      <c r="J74" s="155"/>
      <c r="K74" s="19"/>
    </row>
    <row r="75" spans="2:11" x14ac:dyDescent="0.3">
      <c r="B75" s="321"/>
      <c r="C75" s="322" t="s">
        <v>92</v>
      </c>
      <c r="D75" s="965" t="str">
        <f>IF(D72+D74=0,"",D72+D74)</f>
        <v/>
      </c>
      <c r="E75" s="965"/>
      <c r="F75" s="966"/>
      <c r="G75" s="351"/>
      <c r="I75" s="146"/>
      <c r="J75" s="156"/>
      <c r="K75" s="19"/>
    </row>
    <row r="76" spans="2:11" x14ac:dyDescent="0.3">
      <c r="B76" s="321"/>
      <c r="C76" s="322" t="s">
        <v>93</v>
      </c>
      <c r="D76" s="963"/>
      <c r="E76" s="963"/>
      <c r="F76" s="964"/>
      <c r="G76" s="351"/>
      <c r="I76" s="146"/>
      <c r="J76" s="156"/>
      <c r="K76" s="19"/>
    </row>
    <row r="77" spans="2:11" x14ac:dyDescent="0.3">
      <c r="B77" s="321"/>
      <c r="C77" s="322" t="s">
        <v>94</v>
      </c>
      <c r="D77" s="963"/>
      <c r="E77" s="963"/>
      <c r="F77" s="964"/>
      <c r="G77" s="351"/>
      <c r="I77" s="146"/>
      <c r="J77" s="156"/>
      <c r="K77" s="19"/>
    </row>
    <row r="78" spans="2:11" x14ac:dyDescent="0.3">
      <c r="B78" s="321"/>
      <c r="C78" s="322" t="s">
        <v>95</v>
      </c>
      <c r="D78" s="963"/>
      <c r="E78" s="963"/>
      <c r="F78" s="964"/>
      <c r="G78" s="351"/>
      <c r="I78" s="146"/>
      <c r="J78" s="156"/>
      <c r="K78" s="19"/>
    </row>
    <row r="79" spans="2:11" x14ac:dyDescent="0.3">
      <c r="B79" s="321"/>
      <c r="C79" s="322" t="s">
        <v>306</v>
      </c>
      <c r="D79" s="963"/>
      <c r="E79" s="963"/>
      <c r="F79" s="964"/>
      <c r="G79" s="351"/>
      <c r="I79" s="146"/>
      <c r="J79" s="156"/>
      <c r="K79" s="19"/>
    </row>
    <row r="80" spans="2:11" ht="17.25" thickBot="1" x14ac:dyDescent="0.35">
      <c r="B80" s="321"/>
      <c r="C80" s="324" t="s">
        <v>92</v>
      </c>
      <c r="D80" s="967" t="str">
        <f>IF(D77+D79=0,"",D77+D79)</f>
        <v/>
      </c>
      <c r="E80" s="967"/>
      <c r="F80" s="968"/>
      <c r="G80" s="351"/>
      <c r="I80" s="147"/>
      <c r="J80" s="155"/>
      <c r="K80" s="19"/>
    </row>
    <row r="81" spans="2:11" ht="17.25" thickBot="1" x14ac:dyDescent="0.35">
      <c r="B81" s="334"/>
      <c r="C81" s="319"/>
      <c r="D81" s="319"/>
      <c r="E81" s="319"/>
      <c r="F81" s="319"/>
      <c r="G81" s="356"/>
      <c r="I81" s="147"/>
      <c r="J81" s="155"/>
      <c r="K81" s="19"/>
    </row>
    <row r="82" spans="2:11" ht="17.25" thickBot="1" x14ac:dyDescent="0.35">
      <c r="B82" s="340"/>
      <c r="C82" s="340"/>
      <c r="D82" s="340"/>
      <c r="E82" s="340"/>
      <c r="F82" s="316"/>
      <c r="G82" s="359"/>
      <c r="K82" s="19"/>
    </row>
    <row r="83" spans="2:11" ht="18.75" thickBot="1" x14ac:dyDescent="0.4">
      <c r="B83" s="902" t="s">
        <v>424</v>
      </c>
      <c r="C83" s="903"/>
      <c r="D83" s="903"/>
      <c r="E83" s="903"/>
      <c r="F83" s="903"/>
      <c r="G83" s="904"/>
      <c r="K83" s="19"/>
    </row>
    <row r="84" spans="2:11" ht="18" thickBot="1" x14ac:dyDescent="0.4">
      <c r="B84" s="357"/>
      <c r="C84" s="344"/>
      <c r="D84" s="344"/>
      <c r="E84" s="344"/>
      <c r="F84" s="344"/>
      <c r="G84" s="345"/>
      <c r="K84" s="19"/>
    </row>
    <row r="85" spans="2:11" ht="18" thickBot="1" x14ac:dyDescent="0.4">
      <c r="B85" s="326"/>
      <c r="C85" s="874" t="s">
        <v>55</v>
      </c>
      <c r="D85" s="875"/>
      <c r="E85" s="875"/>
      <c r="F85" s="876"/>
      <c r="G85" s="346"/>
      <c r="K85" s="19"/>
    </row>
    <row r="86" spans="2:11" ht="17.25" x14ac:dyDescent="0.35">
      <c r="B86" s="321"/>
      <c r="C86" s="325"/>
      <c r="D86" s="929" t="s">
        <v>48</v>
      </c>
      <c r="E86" s="927"/>
      <c r="F86" s="928"/>
      <c r="G86" s="346"/>
      <c r="K86" s="19"/>
    </row>
    <row r="87" spans="2:11" ht="17.25" x14ac:dyDescent="0.35">
      <c r="B87" s="326"/>
      <c r="C87" s="321"/>
      <c r="D87" s="327" t="s">
        <v>56</v>
      </c>
      <c r="E87" s="327" t="s">
        <v>57</v>
      </c>
      <c r="F87" s="328" t="s">
        <v>58</v>
      </c>
      <c r="G87" s="346"/>
      <c r="K87" s="19"/>
    </row>
    <row r="88" spans="2:11" x14ac:dyDescent="0.3">
      <c r="B88" s="321"/>
      <c r="C88" s="322" t="s">
        <v>432</v>
      </c>
      <c r="D88" s="431"/>
      <c r="E88" s="431"/>
      <c r="F88" s="432"/>
      <c r="G88" s="346"/>
      <c r="K88" s="19"/>
    </row>
    <row r="89" spans="2:11" x14ac:dyDescent="0.3">
      <c r="B89" s="321"/>
      <c r="C89" s="322" t="s">
        <v>433</v>
      </c>
      <c r="D89" s="431"/>
      <c r="E89" s="431"/>
      <c r="F89" s="432"/>
      <c r="G89" s="346"/>
      <c r="K89" s="19"/>
    </row>
    <row r="90" spans="2:11" x14ac:dyDescent="0.3">
      <c r="B90" s="321"/>
      <c r="C90" s="322" t="s">
        <v>59</v>
      </c>
      <c r="D90" s="431"/>
      <c r="E90" s="431"/>
      <c r="F90" s="432"/>
      <c r="G90" s="346"/>
      <c r="K90" s="19"/>
    </row>
    <row r="91" spans="2:11" x14ac:dyDescent="0.3">
      <c r="B91" s="321"/>
      <c r="C91" s="322" t="s">
        <v>60</v>
      </c>
      <c r="D91" s="431"/>
      <c r="E91" s="431"/>
      <c r="F91" s="432"/>
      <c r="G91" s="346"/>
      <c r="K91" s="19"/>
    </row>
    <row r="92" spans="2:11" x14ac:dyDescent="0.3">
      <c r="B92" s="321"/>
      <c r="C92" s="322" t="s">
        <v>435</v>
      </c>
      <c r="D92" s="431"/>
      <c r="E92" s="316"/>
      <c r="F92" s="317"/>
      <c r="G92" s="346"/>
      <c r="I92" s="140"/>
      <c r="J92" s="155"/>
      <c r="K92" s="19"/>
    </row>
    <row r="93" spans="2:11" ht="17.25" thickBot="1" x14ac:dyDescent="0.35">
      <c r="B93" s="321"/>
      <c r="C93" s="324" t="s">
        <v>443</v>
      </c>
      <c r="D93" s="433"/>
      <c r="E93" s="319"/>
      <c r="F93" s="320"/>
      <c r="G93" s="346"/>
      <c r="K93" s="19"/>
    </row>
    <row r="94" spans="2:11" ht="17.25" thickBot="1" x14ac:dyDescent="0.35">
      <c r="B94" s="321"/>
      <c r="C94" s="337"/>
      <c r="D94" s="316"/>
      <c r="E94" s="316"/>
      <c r="F94" s="316"/>
      <c r="G94" s="351"/>
      <c r="K94" s="19"/>
    </row>
    <row r="95" spans="2:11" ht="18" thickBot="1" x14ac:dyDescent="0.4">
      <c r="B95" s="321"/>
      <c r="C95" s="874" t="s">
        <v>61</v>
      </c>
      <c r="D95" s="875"/>
      <c r="E95" s="875"/>
      <c r="F95" s="876"/>
      <c r="G95" s="346"/>
      <c r="K95" s="19"/>
    </row>
    <row r="96" spans="2:11" ht="17.25" x14ac:dyDescent="0.35">
      <c r="B96" s="321"/>
      <c r="C96" s="352"/>
      <c r="D96" s="929" t="s">
        <v>48</v>
      </c>
      <c r="E96" s="927"/>
      <c r="F96" s="928"/>
      <c r="G96" s="346"/>
      <c r="K96" s="19"/>
    </row>
    <row r="97" spans="2:11" ht="17.25" x14ac:dyDescent="0.35">
      <c r="B97" s="326"/>
      <c r="C97" s="338"/>
      <c r="D97" s="327" t="s">
        <v>56</v>
      </c>
      <c r="E97" s="327" t="s">
        <v>57</v>
      </c>
      <c r="F97" s="328" t="s">
        <v>58</v>
      </c>
      <c r="G97" s="346"/>
      <c r="K97" s="19"/>
    </row>
    <row r="98" spans="2:11" x14ac:dyDescent="0.3">
      <c r="B98" s="321"/>
      <c r="C98" s="322" t="s">
        <v>62</v>
      </c>
      <c r="D98" s="431"/>
      <c r="E98" s="431"/>
      <c r="F98" s="432"/>
      <c r="G98" s="346"/>
      <c r="K98" s="19"/>
    </row>
    <row r="99" spans="2:11" x14ac:dyDescent="0.3">
      <c r="B99" s="321"/>
      <c r="C99" s="322" t="s">
        <v>607</v>
      </c>
      <c r="D99" s="431"/>
      <c r="E99" s="431"/>
      <c r="F99" s="432"/>
      <c r="G99" s="346"/>
      <c r="K99" s="19"/>
    </row>
    <row r="100" spans="2:11" x14ac:dyDescent="0.3">
      <c r="B100" s="321"/>
      <c r="C100" s="322" t="s">
        <v>608</v>
      </c>
      <c r="D100" s="431"/>
      <c r="E100" s="431"/>
      <c r="F100" s="432"/>
      <c r="G100" s="346"/>
      <c r="K100" s="19"/>
    </row>
    <row r="101" spans="2:11" x14ac:dyDescent="0.3">
      <c r="B101" s="321"/>
      <c r="C101" s="322" t="s">
        <v>413</v>
      </c>
      <c r="D101" s="431"/>
      <c r="E101" s="431"/>
      <c r="F101" s="432"/>
      <c r="G101" s="346"/>
      <c r="K101" s="19"/>
    </row>
    <row r="102" spans="2:11" ht="17.25" thickBot="1" x14ac:dyDescent="0.35">
      <c r="B102" s="321"/>
      <c r="C102" s="324" t="s">
        <v>427</v>
      </c>
      <c r="D102" s="433"/>
      <c r="E102" s="433"/>
      <c r="F102" s="434"/>
      <c r="G102" s="346"/>
      <c r="K102" s="19"/>
    </row>
    <row r="103" spans="2:11" ht="17.25" thickBot="1" x14ac:dyDescent="0.35">
      <c r="B103" s="321"/>
      <c r="C103" s="316"/>
      <c r="D103" s="316"/>
      <c r="E103" s="316"/>
      <c r="F103" s="339"/>
      <c r="G103" s="351"/>
      <c r="K103" s="19"/>
    </row>
    <row r="104" spans="2:11" ht="18" thickBot="1" x14ac:dyDescent="0.4">
      <c r="B104" s="321"/>
      <c r="C104" s="874" t="s">
        <v>63</v>
      </c>
      <c r="D104" s="875"/>
      <c r="E104" s="875"/>
      <c r="F104" s="876"/>
      <c r="G104" s="346"/>
      <c r="K104" s="19"/>
    </row>
    <row r="105" spans="2:11" ht="17.25" x14ac:dyDescent="0.35">
      <c r="B105" s="321"/>
      <c r="C105" s="325"/>
      <c r="D105" s="929" t="s">
        <v>48</v>
      </c>
      <c r="E105" s="927"/>
      <c r="F105" s="928"/>
      <c r="G105" s="346"/>
      <c r="K105" s="19"/>
    </row>
    <row r="106" spans="2:11" ht="17.25" x14ac:dyDescent="0.35">
      <c r="B106" s="326"/>
      <c r="C106" s="321"/>
      <c r="D106" s="327" t="s">
        <v>56</v>
      </c>
      <c r="E106" s="327" t="s">
        <v>57</v>
      </c>
      <c r="F106" s="328" t="s">
        <v>58</v>
      </c>
      <c r="G106" s="346"/>
      <c r="K106" s="19"/>
    </row>
    <row r="107" spans="2:11" x14ac:dyDescent="0.3">
      <c r="B107" s="321"/>
      <c r="C107" s="322" t="s">
        <v>64</v>
      </c>
      <c r="D107" s="431"/>
      <c r="E107" s="431"/>
      <c r="F107" s="432"/>
      <c r="G107" s="346"/>
      <c r="K107" s="19"/>
    </row>
    <row r="108" spans="2:11" x14ac:dyDescent="0.3">
      <c r="B108" s="321"/>
      <c r="C108" s="322" t="s">
        <v>65</v>
      </c>
      <c r="D108" s="431"/>
      <c r="E108" s="431"/>
      <c r="F108" s="432"/>
      <c r="G108" s="346"/>
      <c r="K108" s="19"/>
    </row>
    <row r="109" spans="2:11" x14ac:dyDescent="0.3">
      <c r="B109" s="321"/>
      <c r="C109" s="322" t="s">
        <v>66</v>
      </c>
      <c r="D109" s="431"/>
      <c r="E109" s="431"/>
      <c r="F109" s="432"/>
      <c r="G109" s="346"/>
      <c r="K109" s="19"/>
    </row>
    <row r="110" spans="2:11" x14ac:dyDescent="0.3">
      <c r="B110" s="321"/>
      <c r="C110" s="322" t="s">
        <v>67</v>
      </c>
      <c r="D110" s="431"/>
      <c r="E110" s="431"/>
      <c r="F110" s="432"/>
      <c r="G110" s="346"/>
      <c r="K110" s="19"/>
    </row>
    <row r="111" spans="2:11" x14ac:dyDescent="0.3">
      <c r="B111" s="321"/>
      <c r="C111" s="322" t="s">
        <v>68</v>
      </c>
      <c r="D111" s="431"/>
      <c r="E111" s="431"/>
      <c r="F111" s="432"/>
      <c r="G111" s="346"/>
      <c r="K111" s="19"/>
    </row>
    <row r="112" spans="2:11" x14ac:dyDescent="0.3">
      <c r="B112" s="321"/>
      <c r="C112" s="322" t="s">
        <v>69</v>
      </c>
      <c r="D112" s="431"/>
      <c r="E112" s="431"/>
      <c r="F112" s="432"/>
      <c r="G112" s="346"/>
      <c r="K112" s="19"/>
    </row>
    <row r="113" spans="2:11" x14ac:dyDescent="0.3">
      <c r="B113" s="321"/>
      <c r="C113" s="322" t="s">
        <v>70</v>
      </c>
      <c r="D113" s="431"/>
      <c r="E113" s="431"/>
      <c r="F113" s="432"/>
      <c r="G113" s="346"/>
      <c r="K113" s="19"/>
    </row>
    <row r="114" spans="2:11" x14ac:dyDescent="0.3">
      <c r="B114" s="321"/>
      <c r="C114" s="322" t="s">
        <v>71</v>
      </c>
      <c r="D114" s="431"/>
      <c r="E114" s="431"/>
      <c r="F114" s="432"/>
      <c r="G114" s="346"/>
      <c r="K114" s="19"/>
    </row>
    <row r="115" spans="2:11" x14ac:dyDescent="0.3">
      <c r="B115" s="321"/>
      <c r="C115" s="322" t="s">
        <v>72</v>
      </c>
      <c r="D115" s="431"/>
      <c r="E115" s="431"/>
      <c r="F115" s="432"/>
      <c r="G115" s="346"/>
      <c r="K115" s="19"/>
    </row>
    <row r="116" spans="2:11" x14ac:dyDescent="0.3">
      <c r="B116" s="321"/>
      <c r="C116" s="322" t="s">
        <v>73</v>
      </c>
      <c r="D116" s="431"/>
      <c r="E116" s="431"/>
      <c r="F116" s="432"/>
      <c r="G116" s="346"/>
      <c r="K116" s="19"/>
    </row>
    <row r="117" spans="2:11" ht="17.25" thickBot="1" x14ac:dyDescent="0.35">
      <c r="B117" s="321"/>
      <c r="C117" s="324" t="s">
        <v>74</v>
      </c>
      <c r="D117" s="433"/>
      <c r="E117" s="433"/>
      <c r="F117" s="434"/>
      <c r="G117" s="346"/>
      <c r="K117" s="19"/>
    </row>
    <row r="118" spans="2:11" ht="17.25" thickBot="1" x14ac:dyDescent="0.35">
      <c r="B118" s="321"/>
      <c r="C118" s="316"/>
      <c r="D118" s="316"/>
      <c r="E118" s="316"/>
      <c r="F118" s="316"/>
      <c r="G118" s="351"/>
      <c r="K118" s="19"/>
    </row>
    <row r="119" spans="2:11" ht="18" thickBot="1" x14ac:dyDescent="0.4">
      <c r="B119" s="321"/>
      <c r="C119" s="874" t="s">
        <v>75</v>
      </c>
      <c r="D119" s="875"/>
      <c r="E119" s="875"/>
      <c r="F119" s="876"/>
      <c r="G119" s="346"/>
      <c r="K119" s="19"/>
    </row>
    <row r="120" spans="2:11" ht="17.25" x14ac:dyDescent="0.35">
      <c r="B120" s="321"/>
      <c r="C120" s="325"/>
      <c r="D120" s="929" t="s">
        <v>48</v>
      </c>
      <c r="E120" s="927"/>
      <c r="F120" s="928"/>
      <c r="G120" s="346"/>
      <c r="K120" s="19"/>
    </row>
    <row r="121" spans="2:11" ht="17.25" x14ac:dyDescent="0.35">
      <c r="B121" s="326"/>
      <c r="C121" s="321"/>
      <c r="D121" s="327" t="s">
        <v>56</v>
      </c>
      <c r="E121" s="327" t="s">
        <v>57</v>
      </c>
      <c r="F121" s="328" t="s">
        <v>58</v>
      </c>
      <c r="G121" s="346"/>
      <c r="K121" s="19"/>
    </row>
    <row r="122" spans="2:11" x14ac:dyDescent="0.3">
      <c r="B122" s="321"/>
      <c r="C122" s="322" t="s">
        <v>304</v>
      </c>
      <c r="D122" s="431"/>
      <c r="E122" s="431"/>
      <c r="F122" s="432"/>
      <c r="G122" s="346"/>
      <c r="K122" s="19"/>
    </row>
    <row r="123" spans="2:11" x14ac:dyDescent="0.3">
      <c r="B123" s="321"/>
      <c r="C123" s="322" t="s">
        <v>305</v>
      </c>
      <c r="D123" s="431"/>
      <c r="E123" s="431"/>
      <c r="F123" s="432"/>
      <c r="G123" s="346"/>
      <c r="K123" s="19"/>
    </row>
    <row r="124" spans="2:11" x14ac:dyDescent="0.3">
      <c r="B124" s="321"/>
      <c r="C124" s="322" t="s">
        <v>78</v>
      </c>
      <c r="D124" s="431"/>
      <c r="E124" s="431"/>
      <c r="F124" s="432"/>
      <c r="G124" s="346"/>
      <c r="K124" s="19"/>
    </row>
    <row r="125" spans="2:11" x14ac:dyDescent="0.3">
      <c r="B125" s="321"/>
      <c r="C125" s="322" t="s">
        <v>79</v>
      </c>
      <c r="D125" s="431"/>
      <c r="E125" s="431"/>
      <c r="F125" s="432"/>
      <c r="G125" s="346"/>
      <c r="K125" s="19"/>
    </row>
    <row r="126" spans="2:11" ht="17.25" thickBot="1" x14ac:dyDescent="0.35">
      <c r="B126" s="321"/>
      <c r="C126" s="330" t="s">
        <v>428</v>
      </c>
      <c r="D126" s="433"/>
      <c r="E126" s="433"/>
      <c r="F126" s="434"/>
      <c r="G126" s="346"/>
      <c r="K126" s="19"/>
    </row>
    <row r="127" spans="2:11" ht="17.25" thickBot="1" x14ac:dyDescent="0.35">
      <c r="B127" s="321"/>
      <c r="C127" s="316"/>
      <c r="D127" s="316"/>
      <c r="E127" s="316"/>
      <c r="F127" s="316"/>
      <c r="G127" s="351"/>
      <c r="K127" s="19"/>
    </row>
    <row r="128" spans="2:11" ht="18" thickBot="1" x14ac:dyDescent="0.4">
      <c r="B128" s="321"/>
      <c r="C128" s="874" t="s">
        <v>80</v>
      </c>
      <c r="D128" s="875"/>
      <c r="E128" s="875"/>
      <c r="F128" s="876"/>
      <c r="G128" s="346"/>
      <c r="K128" s="19"/>
    </row>
    <row r="129" spans="2:11" ht="17.25" x14ac:dyDescent="0.35">
      <c r="B129" s="321"/>
      <c r="C129" s="325"/>
      <c r="D129" s="929" t="s">
        <v>48</v>
      </c>
      <c r="E129" s="927"/>
      <c r="F129" s="928"/>
      <c r="G129" s="346"/>
      <c r="K129" s="19"/>
    </row>
    <row r="130" spans="2:11" ht="17.25" x14ac:dyDescent="0.35">
      <c r="B130" s="331"/>
      <c r="C130" s="321"/>
      <c r="D130" s="327" t="s">
        <v>56</v>
      </c>
      <c r="E130" s="327" t="s">
        <v>57</v>
      </c>
      <c r="F130" s="328" t="s">
        <v>58</v>
      </c>
      <c r="G130" s="346"/>
      <c r="K130" s="19"/>
    </row>
    <row r="131" spans="2:11" x14ac:dyDescent="0.3">
      <c r="B131" s="321"/>
      <c r="C131" s="322" t="s">
        <v>81</v>
      </c>
      <c r="D131" s="431"/>
      <c r="E131" s="431"/>
      <c r="F131" s="432"/>
      <c r="G131" s="346"/>
      <c r="K131" s="19"/>
    </row>
    <row r="132" spans="2:11" x14ac:dyDescent="0.3">
      <c r="B132" s="321"/>
      <c r="C132" s="322" t="s">
        <v>82</v>
      </c>
      <c r="D132" s="431"/>
      <c r="E132" s="431"/>
      <c r="F132" s="432"/>
      <c r="G132" s="346"/>
      <c r="K132" s="19"/>
    </row>
    <row r="133" spans="2:11" x14ac:dyDescent="0.3">
      <c r="B133" s="321"/>
      <c r="C133" s="322" t="s">
        <v>83</v>
      </c>
      <c r="D133" s="431"/>
      <c r="E133" s="431"/>
      <c r="F133" s="432"/>
      <c r="G133" s="346"/>
      <c r="K133" s="19"/>
    </row>
    <row r="134" spans="2:11" x14ac:dyDescent="0.3">
      <c r="B134" s="321"/>
      <c r="C134" s="322" t="s">
        <v>84</v>
      </c>
      <c r="D134" s="431"/>
      <c r="E134" s="431"/>
      <c r="F134" s="432"/>
      <c r="G134" s="346"/>
      <c r="K134" s="19"/>
    </row>
    <row r="135" spans="2:11" x14ac:dyDescent="0.3">
      <c r="B135" s="321"/>
      <c r="C135" s="322" t="s">
        <v>85</v>
      </c>
      <c r="D135" s="431"/>
      <c r="E135" s="431"/>
      <c r="F135" s="432"/>
      <c r="G135" s="346"/>
      <c r="K135" s="19"/>
    </row>
    <row r="136" spans="2:11" x14ac:dyDescent="0.3">
      <c r="B136" s="321"/>
      <c r="C136" s="322" t="s">
        <v>86</v>
      </c>
      <c r="D136" s="431"/>
      <c r="E136" s="431"/>
      <c r="F136" s="432"/>
      <c r="G136" s="346"/>
      <c r="K136" s="19"/>
    </row>
    <row r="137" spans="2:11" x14ac:dyDescent="0.3">
      <c r="B137" s="321"/>
      <c r="C137" s="322" t="s">
        <v>87</v>
      </c>
      <c r="D137" s="431"/>
      <c r="E137" s="431"/>
      <c r="F137" s="432"/>
      <c r="G137" s="346"/>
      <c r="K137" s="19"/>
    </row>
    <row r="138" spans="2:11" ht="17.25" thickBot="1" x14ac:dyDescent="0.35">
      <c r="B138" s="321"/>
      <c r="C138" s="324" t="s">
        <v>88</v>
      </c>
      <c r="D138" s="433"/>
      <c r="E138" s="433"/>
      <c r="F138" s="434"/>
      <c r="G138" s="346"/>
      <c r="K138" s="19"/>
    </row>
    <row r="139" spans="2:11" ht="17.25" thickBot="1" x14ac:dyDescent="0.35">
      <c r="B139" s="321"/>
      <c r="C139" s="316"/>
      <c r="D139" s="316"/>
      <c r="E139" s="316"/>
      <c r="F139" s="339"/>
      <c r="G139" s="351"/>
      <c r="K139" s="19"/>
    </row>
    <row r="140" spans="2:11" ht="18" thickBot="1" x14ac:dyDescent="0.4">
      <c r="B140" s="321"/>
      <c r="C140" s="874" t="s">
        <v>89</v>
      </c>
      <c r="D140" s="875"/>
      <c r="E140" s="875"/>
      <c r="F140" s="876"/>
      <c r="G140" s="346"/>
      <c r="K140" s="19"/>
    </row>
    <row r="141" spans="2:11" ht="17.25" x14ac:dyDescent="0.35">
      <c r="B141" s="326"/>
      <c r="C141" s="325"/>
      <c r="D141" s="929" t="s">
        <v>48</v>
      </c>
      <c r="E141" s="927"/>
      <c r="F141" s="928"/>
      <c r="G141" s="351"/>
      <c r="K141" s="19"/>
    </row>
    <row r="142" spans="2:11" x14ac:dyDescent="0.3">
      <c r="B142" s="321"/>
      <c r="C142" s="322" t="s">
        <v>90</v>
      </c>
      <c r="D142" s="963"/>
      <c r="E142" s="963"/>
      <c r="F142" s="964"/>
      <c r="G142" s="351"/>
      <c r="K142" s="19"/>
    </row>
    <row r="143" spans="2:11" x14ac:dyDescent="0.3">
      <c r="B143" s="321"/>
      <c r="C143" s="322" t="s">
        <v>91</v>
      </c>
      <c r="D143" s="963"/>
      <c r="E143" s="963"/>
      <c r="F143" s="964"/>
      <c r="G143" s="351"/>
      <c r="K143" s="19"/>
    </row>
    <row r="144" spans="2:11" x14ac:dyDescent="0.3">
      <c r="B144" s="321"/>
      <c r="C144" s="322" t="s">
        <v>306</v>
      </c>
      <c r="D144" s="963"/>
      <c r="E144" s="963"/>
      <c r="F144" s="964"/>
      <c r="G144" s="351"/>
      <c r="K144" s="19"/>
    </row>
    <row r="145" spans="1:11" x14ac:dyDescent="0.3">
      <c r="B145" s="321"/>
      <c r="C145" s="322" t="s">
        <v>92</v>
      </c>
      <c r="D145" s="965" t="str">
        <f>IF(D142+D144=0,"",D142+D144)</f>
        <v/>
      </c>
      <c r="E145" s="965"/>
      <c r="F145" s="966"/>
      <c r="G145" s="351"/>
      <c r="K145" s="19"/>
    </row>
    <row r="146" spans="1:11" x14ac:dyDescent="0.3">
      <c r="B146" s="321"/>
      <c r="C146" s="322" t="s">
        <v>93</v>
      </c>
      <c r="D146" s="963"/>
      <c r="E146" s="963"/>
      <c r="F146" s="964"/>
      <c r="G146" s="351"/>
      <c r="K146" s="19"/>
    </row>
    <row r="147" spans="1:11" x14ac:dyDescent="0.3">
      <c r="B147" s="321"/>
      <c r="C147" s="322" t="s">
        <v>94</v>
      </c>
      <c r="D147" s="963"/>
      <c r="E147" s="963"/>
      <c r="F147" s="964"/>
      <c r="G147" s="351"/>
      <c r="K147" s="19"/>
    </row>
    <row r="148" spans="1:11" x14ac:dyDescent="0.3">
      <c r="B148" s="321"/>
      <c r="C148" s="322" t="s">
        <v>95</v>
      </c>
      <c r="D148" s="963"/>
      <c r="E148" s="963"/>
      <c r="F148" s="964"/>
      <c r="G148" s="351"/>
      <c r="K148" s="19"/>
    </row>
    <row r="149" spans="1:11" x14ac:dyDescent="0.3">
      <c r="B149" s="321"/>
      <c r="C149" s="322" t="s">
        <v>306</v>
      </c>
      <c r="D149" s="963"/>
      <c r="E149" s="963"/>
      <c r="F149" s="964"/>
      <c r="G149" s="351"/>
      <c r="K149" s="19"/>
    </row>
    <row r="150" spans="1:11" ht="17.25" thickBot="1" x14ac:dyDescent="0.35">
      <c r="B150" s="321"/>
      <c r="C150" s="324" t="s">
        <v>92</v>
      </c>
      <c r="D150" s="967" t="str">
        <f>IF(D147+D149=0,"",D147+D149)</f>
        <v/>
      </c>
      <c r="E150" s="967"/>
      <c r="F150" s="968"/>
      <c r="G150" s="351"/>
      <c r="K150" s="19"/>
    </row>
    <row r="151" spans="1:11" ht="17.25" thickBot="1" x14ac:dyDescent="0.35">
      <c r="B151" s="334"/>
      <c r="C151" s="319"/>
      <c r="D151" s="319"/>
      <c r="E151" s="319"/>
      <c r="F151" s="319"/>
      <c r="G151" s="356"/>
      <c r="K151" s="19"/>
    </row>
    <row r="152" spans="1:11" x14ac:dyDescent="0.3">
      <c r="K152" s="19"/>
    </row>
    <row r="153" spans="1:11" s="18" customFormat="1" x14ac:dyDescent="0.3">
      <c r="A153" s="19"/>
      <c r="B153" s="19"/>
      <c r="C153" s="19"/>
      <c r="D153" s="19"/>
      <c r="E153" s="19"/>
      <c r="F153" s="19"/>
      <c r="G153" s="19"/>
      <c r="H153" s="19"/>
      <c r="I153" s="19"/>
      <c r="J153" s="19"/>
      <c r="K153" s="19"/>
    </row>
  </sheetData>
  <sheetProtection password="D93F" sheet="1" objects="1" scenarios="1" selectLockedCells="1"/>
  <customSheetViews>
    <customSheetView guid="{2A4C6EB9-430A-44F2-86C8-15B50360FC3B}" scale="70" showGridLines="0">
      <selection activeCell="F2" sqref="F2"/>
      <pageMargins left="0.7" right="0.7" top="0.75" bottom="0.75" header="0.3" footer="0.3"/>
      <pageSetup orientation="portrait" horizontalDpi="200" verticalDpi="200" r:id="rId1"/>
    </customSheetView>
    <customSheetView guid="{B3BD5AF3-9A64-4EA7-AE1F-3CC326849B8F}" scale="70" showGridLines="0">
      <selection activeCell="E10" sqref="E10"/>
      <pageMargins left="0.7" right="0.7" top="0.75" bottom="0.75" header="0.3" footer="0.3"/>
      <pageSetup orientation="portrait" horizontalDpi="200" verticalDpi="200" r:id="rId2"/>
    </customSheetView>
  </customSheetViews>
  <mergeCells count="48">
    <mergeCell ref="B2:C2"/>
    <mergeCell ref="D148:F148"/>
    <mergeCell ref="D143:F143"/>
    <mergeCell ref="H4:I4"/>
    <mergeCell ref="C15:F15"/>
    <mergeCell ref="C25:F25"/>
    <mergeCell ref="C34:F34"/>
    <mergeCell ref="C49:F49"/>
    <mergeCell ref="C58:F58"/>
    <mergeCell ref="C70:F70"/>
    <mergeCell ref="C85:F85"/>
    <mergeCell ref="C95:F95"/>
    <mergeCell ref="C104:F104"/>
    <mergeCell ref="C119:F119"/>
    <mergeCell ref="C128:F128"/>
    <mergeCell ref="C140:F140"/>
    <mergeCell ref="B13:G13"/>
    <mergeCell ref="D16:F16"/>
    <mergeCell ref="D71:F71"/>
    <mergeCell ref="D35:F35"/>
    <mergeCell ref="D150:F150"/>
    <mergeCell ref="D146:F146"/>
    <mergeCell ref="D76:F76"/>
    <mergeCell ref="D141:F141"/>
    <mergeCell ref="D145:F145"/>
    <mergeCell ref="D147:F147"/>
    <mergeCell ref="D77:F77"/>
    <mergeCell ref="D78:F78"/>
    <mergeCell ref="D79:F79"/>
    <mergeCell ref="D80:F80"/>
    <mergeCell ref="B83:G83"/>
    <mergeCell ref="D142:F142"/>
    <mergeCell ref="D26:F26"/>
    <mergeCell ref="D72:F72"/>
    <mergeCell ref="D144:F144"/>
    <mergeCell ref="D149:F149"/>
    <mergeCell ref="E2:F2"/>
    <mergeCell ref="D129:F129"/>
    <mergeCell ref="D120:F120"/>
    <mergeCell ref="D105:F105"/>
    <mergeCell ref="D96:F96"/>
    <mergeCell ref="D86:F86"/>
    <mergeCell ref="D59:F59"/>
    <mergeCell ref="D50:F50"/>
    <mergeCell ref="D73:F73"/>
    <mergeCell ref="D74:F74"/>
    <mergeCell ref="D75:F75"/>
    <mergeCell ref="F11:G11"/>
  </mergeCells>
  <phoneticPr fontId="27" type="noConversion"/>
  <conditionalFormatting sqref="D11">
    <cfRule type="expression" dxfId="36" priority="5" stopIfTrue="1">
      <formula>$I$5 = "Central Air Conditioner"</formula>
    </cfRule>
  </conditionalFormatting>
  <conditionalFormatting sqref="D28:F32 D37:F47 D52:F56 D61:F68 D18:D23 E18:F21 D72:D80">
    <cfRule type="expression" dxfId="35" priority="6" stopIfTrue="1">
      <formula>OR($I$5 = "Central Air Conditioner", $I$6 = "Variable-Speed")</formula>
    </cfRule>
  </conditionalFormatting>
  <conditionalFormatting sqref="E88:F91 E107:F117 D114:D117 D124:F126 D145 D148:D150">
    <cfRule type="expression" dxfId="34" priority="18" stopIfTrue="1">
      <formula>OR($I$5 = "Central Air Conditioner", AND($I$6 = "Single-Speed", $I$7 = "Fixed Speed"))</formula>
    </cfRule>
  </conditionalFormatting>
  <hyperlinks>
    <hyperlink ref="E2" location="Instructions!A1" display="Back to Instructions"/>
    <hyperlink ref="E2:F2" location="Instructions!A1" display="Back to Instructions tab"/>
  </hyperlinks>
  <pageMargins left="0.7" right="0.7" top="0.75" bottom="0.75" header="0.3" footer="0.3"/>
  <pageSetup orientation="portrait" horizontalDpi="200" verticalDpi="200"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rgb="FF0070C0"/>
  </sheetPr>
  <dimension ref="A1:K83"/>
  <sheetViews>
    <sheetView showGridLines="0" zoomScale="80" zoomScaleNormal="80" workbookViewId="0">
      <selection activeCell="E2" sqref="E2:F2"/>
    </sheetView>
  </sheetViews>
  <sheetFormatPr defaultColWidth="9.140625" defaultRowHeight="16.5" x14ac:dyDescent="0.3"/>
  <cols>
    <col min="1" max="1" width="6.28515625" style="6" customWidth="1"/>
    <col min="2" max="2" width="31.28515625" style="6" customWidth="1"/>
    <col min="3" max="3" width="69.42578125" style="6" customWidth="1"/>
    <col min="4" max="6" width="15.140625" style="6" customWidth="1"/>
    <col min="7" max="7" width="7.42578125" style="6" customWidth="1"/>
    <col min="8" max="8" width="25" style="6" customWidth="1"/>
    <col min="9" max="9" width="20.7109375" style="6" bestFit="1" customWidth="1"/>
    <col min="10" max="10" width="8.42578125" style="114" customWidth="1"/>
    <col min="11" max="11" width="4.7109375" style="6" customWidth="1"/>
    <col min="12" max="16384" width="9.140625" style="6"/>
  </cols>
  <sheetData>
    <row r="1" spans="2:11" ht="17.25" thickBot="1" x14ac:dyDescent="0.35">
      <c r="J1" s="127"/>
      <c r="K1" s="19"/>
    </row>
    <row r="2" spans="2:11" s="1" customFormat="1" ht="18" thickBot="1" x14ac:dyDescent="0.35">
      <c r="B2" s="764" t="s">
        <v>562</v>
      </c>
      <c r="C2" s="765"/>
      <c r="E2" s="827" t="s">
        <v>540</v>
      </c>
      <c r="F2" s="827"/>
      <c r="J2" s="128"/>
      <c r="K2" s="129"/>
    </row>
    <row r="3" spans="2:11" s="1" customFormat="1" ht="17.25" thickBot="1" x14ac:dyDescent="0.35">
      <c r="B3" s="297" t="s">
        <v>563</v>
      </c>
      <c r="C3" s="298" t="str">
        <f>'Version Control'!C3</f>
        <v>Residential Central Air Conditioners and Heat Pumps</v>
      </c>
      <c r="J3" s="128"/>
      <c r="K3" s="129"/>
    </row>
    <row r="4" spans="2:11" s="1" customFormat="1" ht="18" thickBot="1" x14ac:dyDescent="0.35">
      <c r="B4" s="299" t="s">
        <v>140</v>
      </c>
      <c r="C4" s="300" t="str">
        <f>'Version Control'!C4</f>
        <v>v2.1</v>
      </c>
      <c r="H4" s="761" t="s">
        <v>349</v>
      </c>
      <c r="I4" s="763"/>
      <c r="J4" s="128"/>
      <c r="K4" s="129"/>
    </row>
    <row r="5" spans="2:11" s="1" customFormat="1" x14ac:dyDescent="0.3">
      <c r="B5" s="299" t="s">
        <v>462</v>
      </c>
      <c r="C5" s="301">
        <f>'Version Control'!C5</f>
        <v>42653</v>
      </c>
      <c r="H5" s="55" t="s">
        <v>158</v>
      </c>
      <c r="I5" s="598">
        <f>'General Info and Test Results'!C25</f>
        <v>0</v>
      </c>
      <c r="J5" s="128"/>
      <c r="K5" s="129"/>
    </row>
    <row r="6" spans="2:11" s="1" customFormat="1" x14ac:dyDescent="0.3">
      <c r="B6" s="302" t="s">
        <v>139</v>
      </c>
      <c r="C6" s="303" t="str">
        <f ca="1">MID(CELL("filename",$A$1), FIND("]", CELL("filename", $A$1))+ 1, 255)</f>
        <v>Optional H0C Test Recorded Data</v>
      </c>
      <c r="H6" s="56" t="s">
        <v>153</v>
      </c>
      <c r="I6" s="599">
        <f>'General Info and Test Results'!C26</f>
        <v>0</v>
      </c>
      <c r="J6" s="128"/>
      <c r="K6" s="129"/>
    </row>
    <row r="7" spans="2:11" s="1" customFormat="1" ht="33.75" thickBot="1" x14ac:dyDescent="0.35">
      <c r="B7" s="304" t="s">
        <v>138</v>
      </c>
      <c r="C7" s="305" t="str">
        <f ca="1">MID(CELL("FILENAME",F14),FIND("[",CELL("FILENAME",F14))+1,FIND("]",CELL("FILENAME",F14))-FIND("[",CELL("FILENAME",F14))-1)</f>
        <v>Residential Central Air Conditioners and Heat Pumps - v2.1.xlsx</v>
      </c>
      <c r="H7" s="57" t="s">
        <v>199</v>
      </c>
      <c r="I7" s="600">
        <f>'General Info and Test Results'!C27</f>
        <v>0</v>
      </c>
      <c r="J7" s="128"/>
      <c r="K7" s="129"/>
    </row>
    <row r="8" spans="2:11" s="1" customFormat="1" ht="17.25" thickBot="1" x14ac:dyDescent="0.35">
      <c r="B8" s="306" t="s">
        <v>141</v>
      </c>
      <c r="C8" s="307" t="str">
        <f>'Version Control'!C8</f>
        <v>[MM/DD/YYYY]</v>
      </c>
      <c r="G8" s="14"/>
      <c r="H8" s="9"/>
      <c r="J8" s="128"/>
      <c r="K8" s="129"/>
    </row>
    <row r="9" spans="2:11" s="1" customFormat="1" x14ac:dyDescent="0.3">
      <c r="B9" s="4"/>
      <c r="C9" s="262"/>
      <c r="G9" s="14"/>
      <c r="H9" s="6"/>
      <c r="J9" s="128"/>
      <c r="K9" s="129"/>
    </row>
    <row r="10" spans="2:11" s="7" customFormat="1" ht="18" thickBot="1" x14ac:dyDescent="0.4">
      <c r="B10" s="377"/>
      <c r="C10" s="377"/>
      <c r="D10" s="377"/>
      <c r="E10" s="377"/>
      <c r="F10" s="377"/>
      <c r="G10" s="377"/>
      <c r="J10" s="115"/>
      <c r="K10" s="20"/>
    </row>
    <row r="11" spans="2:11" ht="18.75" thickBot="1" x14ac:dyDescent="0.4">
      <c r="B11" s="902" t="s">
        <v>425</v>
      </c>
      <c r="C11" s="903"/>
      <c r="D11" s="903"/>
      <c r="E11" s="903"/>
      <c r="F11" s="903"/>
      <c r="G11" s="904"/>
      <c r="K11" s="19"/>
    </row>
    <row r="12" spans="2:11" ht="18" x14ac:dyDescent="0.35">
      <c r="B12" s="435"/>
      <c r="C12" s="344"/>
      <c r="D12" s="344"/>
      <c r="E12" s="344"/>
      <c r="F12" s="344"/>
      <c r="G12" s="345"/>
      <c r="K12" s="19"/>
    </row>
    <row r="13" spans="2:11" ht="17.25" x14ac:dyDescent="0.35">
      <c r="B13" s="326"/>
      <c r="C13" s="382" t="s">
        <v>475</v>
      </c>
      <c r="D13" s="379"/>
      <c r="E13" s="316"/>
      <c r="F13" s="316"/>
      <c r="G13" s="351"/>
      <c r="H13" s="152"/>
      <c r="K13" s="19"/>
    </row>
    <row r="14" spans="2:11" ht="18" thickBot="1" x14ac:dyDescent="0.4">
      <c r="B14" s="326"/>
      <c r="C14" s="316"/>
      <c r="D14" s="316"/>
      <c r="E14" s="316"/>
      <c r="F14" s="319"/>
      <c r="G14" s="351"/>
      <c r="K14" s="19"/>
    </row>
    <row r="15" spans="2:11" ht="18" thickBot="1" x14ac:dyDescent="0.4">
      <c r="B15" s="326"/>
      <c r="C15" s="874" t="s">
        <v>55</v>
      </c>
      <c r="D15" s="875"/>
      <c r="E15" s="875"/>
      <c r="F15" s="876"/>
      <c r="G15" s="351"/>
      <c r="K15" s="19"/>
    </row>
    <row r="16" spans="2:11" ht="17.25" x14ac:dyDescent="0.35">
      <c r="B16" s="321"/>
      <c r="C16" s="325"/>
      <c r="D16" s="929" t="s">
        <v>48</v>
      </c>
      <c r="E16" s="927"/>
      <c r="F16" s="928"/>
      <c r="G16" s="351"/>
      <c r="I16" s="138"/>
      <c r="J16" s="154"/>
      <c r="K16" s="19"/>
    </row>
    <row r="17" spans="2:11" ht="17.25" x14ac:dyDescent="0.35">
      <c r="B17" s="326"/>
      <c r="C17" s="321"/>
      <c r="D17" s="327" t="s">
        <v>56</v>
      </c>
      <c r="E17" s="327" t="s">
        <v>57</v>
      </c>
      <c r="F17" s="328" t="s">
        <v>58</v>
      </c>
      <c r="G17" s="351"/>
      <c r="I17" s="138"/>
      <c r="J17" s="154"/>
      <c r="K17" s="19"/>
    </row>
    <row r="18" spans="2:11" x14ac:dyDescent="0.3">
      <c r="B18" s="321"/>
      <c r="C18" s="322" t="s">
        <v>432</v>
      </c>
      <c r="D18" s="315"/>
      <c r="E18" s="315"/>
      <c r="F18" s="313"/>
      <c r="G18" s="351"/>
      <c r="I18" s="140"/>
      <c r="J18" s="155"/>
      <c r="K18" s="19"/>
    </row>
    <row r="19" spans="2:11" x14ac:dyDescent="0.3">
      <c r="B19" s="321"/>
      <c r="C19" s="322" t="s">
        <v>433</v>
      </c>
      <c r="D19" s="315"/>
      <c r="E19" s="315"/>
      <c r="F19" s="313"/>
      <c r="G19" s="351"/>
      <c r="I19" s="140"/>
      <c r="J19" s="155"/>
      <c r="K19" s="19"/>
    </row>
    <row r="20" spans="2:11" x14ac:dyDescent="0.3">
      <c r="B20" s="321"/>
      <c r="C20" s="322" t="s">
        <v>59</v>
      </c>
      <c r="D20" s="315"/>
      <c r="E20" s="315"/>
      <c r="F20" s="313"/>
      <c r="G20" s="351"/>
      <c r="I20" s="140"/>
      <c r="J20" s="155"/>
      <c r="K20" s="19"/>
    </row>
    <row r="21" spans="2:11" x14ac:dyDescent="0.3">
      <c r="B21" s="321"/>
      <c r="C21" s="322" t="s">
        <v>60</v>
      </c>
      <c r="D21" s="315"/>
      <c r="E21" s="315"/>
      <c r="F21" s="313"/>
      <c r="G21" s="351"/>
      <c r="I21" s="140"/>
      <c r="J21" s="155"/>
      <c r="K21" s="19"/>
    </row>
    <row r="22" spans="2:11" x14ac:dyDescent="0.3">
      <c r="B22" s="321"/>
      <c r="C22" s="322" t="s">
        <v>435</v>
      </c>
      <c r="D22" s="315"/>
      <c r="E22" s="316"/>
      <c r="F22" s="317"/>
      <c r="G22" s="351"/>
      <c r="I22" s="140"/>
      <c r="J22" s="155"/>
      <c r="K22" s="19"/>
    </row>
    <row r="23" spans="2:11" ht="17.25" thickBot="1" x14ac:dyDescent="0.35">
      <c r="B23" s="321"/>
      <c r="C23" s="324" t="s">
        <v>444</v>
      </c>
      <c r="D23" s="318"/>
      <c r="E23" s="319"/>
      <c r="F23" s="320"/>
      <c r="G23" s="351"/>
      <c r="I23" s="140"/>
      <c r="J23" s="155"/>
      <c r="K23" s="19"/>
    </row>
    <row r="24" spans="2:11" ht="17.25" thickBot="1" x14ac:dyDescent="0.35">
      <c r="B24" s="321"/>
      <c r="C24" s="337"/>
      <c r="D24" s="316"/>
      <c r="E24" s="316"/>
      <c r="F24" s="316"/>
      <c r="G24" s="351"/>
      <c r="I24" s="140"/>
      <c r="J24" s="155"/>
      <c r="K24" s="19"/>
    </row>
    <row r="25" spans="2:11" ht="18" thickBot="1" x14ac:dyDescent="0.4">
      <c r="B25" s="321"/>
      <c r="C25" s="874" t="s">
        <v>61</v>
      </c>
      <c r="D25" s="875"/>
      <c r="E25" s="875"/>
      <c r="F25" s="876"/>
      <c r="G25" s="351"/>
      <c r="I25" s="140"/>
      <c r="J25" s="155"/>
      <c r="K25" s="19"/>
    </row>
    <row r="26" spans="2:11" ht="17.25" x14ac:dyDescent="0.35">
      <c r="B26" s="321"/>
      <c r="C26" s="352"/>
      <c r="D26" s="929" t="s">
        <v>48</v>
      </c>
      <c r="E26" s="927"/>
      <c r="F26" s="928"/>
      <c r="G26" s="351"/>
      <c r="I26" s="140"/>
      <c r="J26" s="155"/>
      <c r="K26" s="19"/>
    </row>
    <row r="27" spans="2:11" ht="17.25" x14ac:dyDescent="0.35">
      <c r="B27" s="326"/>
      <c r="C27" s="338"/>
      <c r="D27" s="327" t="s">
        <v>56</v>
      </c>
      <c r="E27" s="327" t="s">
        <v>57</v>
      </c>
      <c r="F27" s="328" t="s">
        <v>58</v>
      </c>
      <c r="G27" s="351"/>
      <c r="I27" s="140"/>
      <c r="J27" s="155"/>
      <c r="K27" s="19"/>
    </row>
    <row r="28" spans="2:11" x14ac:dyDescent="0.3">
      <c r="B28" s="321"/>
      <c r="C28" s="322" t="s">
        <v>62</v>
      </c>
      <c r="D28" s="315"/>
      <c r="E28" s="315"/>
      <c r="F28" s="313"/>
      <c r="G28" s="351"/>
      <c r="I28" s="140"/>
      <c r="J28" s="155"/>
      <c r="K28" s="19"/>
    </row>
    <row r="29" spans="2:11" x14ac:dyDescent="0.3">
      <c r="B29" s="321"/>
      <c r="C29" s="322" t="s">
        <v>607</v>
      </c>
      <c r="D29" s="315"/>
      <c r="E29" s="315"/>
      <c r="F29" s="313"/>
      <c r="G29" s="351"/>
      <c r="I29" s="140"/>
      <c r="J29" s="155"/>
      <c r="K29" s="19"/>
    </row>
    <row r="30" spans="2:11" x14ac:dyDescent="0.3">
      <c r="B30" s="321"/>
      <c r="C30" s="322" t="s">
        <v>608</v>
      </c>
      <c r="D30" s="315"/>
      <c r="E30" s="315"/>
      <c r="F30" s="313"/>
      <c r="G30" s="351"/>
      <c r="I30" s="140"/>
      <c r="J30" s="155"/>
      <c r="K30" s="19"/>
    </row>
    <row r="31" spans="2:11" x14ac:dyDescent="0.3">
      <c r="B31" s="321"/>
      <c r="C31" s="322" t="s">
        <v>413</v>
      </c>
      <c r="D31" s="315"/>
      <c r="E31" s="315"/>
      <c r="F31" s="313"/>
      <c r="G31" s="351"/>
      <c r="I31" s="140"/>
      <c r="J31" s="155"/>
      <c r="K31" s="19"/>
    </row>
    <row r="32" spans="2:11" ht="17.25" thickBot="1" x14ac:dyDescent="0.35">
      <c r="B32" s="321"/>
      <c r="C32" s="324" t="s">
        <v>427</v>
      </c>
      <c r="D32" s="318"/>
      <c r="E32" s="318"/>
      <c r="F32" s="314"/>
      <c r="G32" s="351"/>
      <c r="I32" s="140"/>
      <c r="J32" s="155"/>
      <c r="K32" s="19"/>
    </row>
    <row r="33" spans="2:11" ht="17.25" thickBot="1" x14ac:dyDescent="0.35">
      <c r="B33" s="321"/>
      <c r="C33" s="316"/>
      <c r="D33" s="316"/>
      <c r="E33" s="316"/>
      <c r="F33" s="316"/>
      <c r="G33" s="351"/>
      <c r="I33" s="140"/>
      <c r="J33" s="155"/>
      <c r="K33" s="19"/>
    </row>
    <row r="34" spans="2:11" ht="18" thickBot="1" x14ac:dyDescent="0.4">
      <c r="B34" s="321"/>
      <c r="C34" s="874" t="s">
        <v>63</v>
      </c>
      <c r="D34" s="875"/>
      <c r="E34" s="875"/>
      <c r="F34" s="876"/>
      <c r="G34" s="351"/>
      <c r="I34" s="140"/>
      <c r="J34" s="155"/>
      <c r="K34" s="19"/>
    </row>
    <row r="35" spans="2:11" ht="17.25" x14ac:dyDescent="0.35">
      <c r="B35" s="321"/>
      <c r="C35" s="325"/>
      <c r="D35" s="929" t="s">
        <v>48</v>
      </c>
      <c r="E35" s="927"/>
      <c r="F35" s="928"/>
      <c r="G35" s="351"/>
      <c r="I35" s="140"/>
      <c r="J35" s="155"/>
      <c r="K35" s="19"/>
    </row>
    <row r="36" spans="2:11" ht="17.25" x14ac:dyDescent="0.35">
      <c r="B36" s="326"/>
      <c r="C36" s="321"/>
      <c r="D36" s="327" t="s">
        <v>56</v>
      </c>
      <c r="E36" s="327" t="s">
        <v>57</v>
      </c>
      <c r="F36" s="328" t="s">
        <v>58</v>
      </c>
      <c r="G36" s="351"/>
      <c r="I36" s="140"/>
      <c r="J36" s="155"/>
      <c r="K36" s="19"/>
    </row>
    <row r="37" spans="2:11" x14ac:dyDescent="0.3">
      <c r="B37" s="321"/>
      <c r="C37" s="436" t="s">
        <v>64</v>
      </c>
      <c r="D37" s="315"/>
      <c r="E37" s="315"/>
      <c r="F37" s="313"/>
      <c r="G37" s="351"/>
      <c r="I37" s="140"/>
      <c r="J37" s="155"/>
      <c r="K37" s="19"/>
    </row>
    <row r="38" spans="2:11" x14ac:dyDescent="0.3">
      <c r="B38" s="321"/>
      <c r="C38" s="322" t="s">
        <v>65</v>
      </c>
      <c r="D38" s="315"/>
      <c r="E38" s="315"/>
      <c r="F38" s="313"/>
      <c r="G38" s="351"/>
      <c r="I38" s="140"/>
      <c r="J38" s="155"/>
      <c r="K38" s="19"/>
    </row>
    <row r="39" spans="2:11" x14ac:dyDescent="0.3">
      <c r="B39" s="321"/>
      <c r="C39" s="322" t="s">
        <v>66</v>
      </c>
      <c r="D39" s="315"/>
      <c r="E39" s="315"/>
      <c r="F39" s="313"/>
      <c r="G39" s="351"/>
      <c r="I39" s="140"/>
      <c r="J39" s="155"/>
      <c r="K39" s="19"/>
    </row>
    <row r="40" spans="2:11" x14ac:dyDescent="0.3">
      <c r="B40" s="321"/>
      <c r="C40" s="322" t="s">
        <v>67</v>
      </c>
      <c r="D40" s="315"/>
      <c r="E40" s="315"/>
      <c r="F40" s="313"/>
      <c r="G40" s="351"/>
      <c r="I40" s="140"/>
      <c r="J40" s="155"/>
      <c r="K40" s="19"/>
    </row>
    <row r="41" spans="2:11" x14ac:dyDescent="0.3">
      <c r="B41" s="321"/>
      <c r="C41" s="322" t="s">
        <v>68</v>
      </c>
      <c r="D41" s="315"/>
      <c r="E41" s="315"/>
      <c r="F41" s="313"/>
      <c r="G41" s="351"/>
      <c r="I41" s="140"/>
      <c r="J41" s="155"/>
      <c r="K41" s="19"/>
    </row>
    <row r="42" spans="2:11" x14ac:dyDescent="0.3">
      <c r="B42" s="321"/>
      <c r="C42" s="322" t="s">
        <v>69</v>
      </c>
      <c r="D42" s="315"/>
      <c r="E42" s="315"/>
      <c r="F42" s="313"/>
      <c r="G42" s="351"/>
      <c r="I42" s="140"/>
      <c r="J42" s="155"/>
      <c r="K42" s="19"/>
    </row>
    <row r="43" spans="2:11" x14ac:dyDescent="0.3">
      <c r="B43" s="321"/>
      <c r="C43" s="322" t="s">
        <v>70</v>
      </c>
      <c r="D43" s="315"/>
      <c r="E43" s="315"/>
      <c r="F43" s="313"/>
      <c r="G43" s="351"/>
      <c r="I43" s="140"/>
      <c r="J43" s="155"/>
      <c r="K43" s="19"/>
    </row>
    <row r="44" spans="2:11" x14ac:dyDescent="0.3">
      <c r="B44" s="321"/>
      <c r="C44" s="322" t="s">
        <v>71</v>
      </c>
      <c r="D44" s="315"/>
      <c r="E44" s="315"/>
      <c r="F44" s="313"/>
      <c r="G44" s="351"/>
      <c r="I44" s="140"/>
      <c r="J44" s="155"/>
      <c r="K44" s="19"/>
    </row>
    <row r="45" spans="2:11" x14ac:dyDescent="0.3">
      <c r="B45" s="321"/>
      <c r="C45" s="322" t="s">
        <v>72</v>
      </c>
      <c r="D45" s="315"/>
      <c r="E45" s="315"/>
      <c r="F45" s="313"/>
      <c r="G45" s="351"/>
      <c r="I45" s="140"/>
      <c r="J45" s="155"/>
      <c r="K45" s="19"/>
    </row>
    <row r="46" spans="2:11" x14ac:dyDescent="0.3">
      <c r="B46" s="321"/>
      <c r="C46" s="322" t="s">
        <v>73</v>
      </c>
      <c r="D46" s="315"/>
      <c r="E46" s="315"/>
      <c r="F46" s="313"/>
      <c r="G46" s="351"/>
      <c r="I46" s="140"/>
      <c r="J46" s="155"/>
      <c r="K46" s="19"/>
    </row>
    <row r="47" spans="2:11" ht="17.25" thickBot="1" x14ac:dyDescent="0.35">
      <c r="B47" s="321"/>
      <c r="C47" s="324" t="s">
        <v>74</v>
      </c>
      <c r="D47" s="318"/>
      <c r="E47" s="318"/>
      <c r="F47" s="314"/>
      <c r="G47" s="351"/>
      <c r="I47" s="140"/>
      <c r="J47" s="155"/>
      <c r="K47" s="19"/>
    </row>
    <row r="48" spans="2:11" ht="17.25" thickBot="1" x14ac:dyDescent="0.35">
      <c r="B48" s="321"/>
      <c r="C48" s="316"/>
      <c r="D48" s="316"/>
      <c r="E48" s="316"/>
      <c r="F48" s="316"/>
      <c r="G48" s="351"/>
      <c r="I48" s="140"/>
      <c r="J48" s="155"/>
      <c r="K48" s="19"/>
    </row>
    <row r="49" spans="2:11" ht="18" thickBot="1" x14ac:dyDescent="0.4">
      <c r="B49" s="321"/>
      <c r="C49" s="874" t="s">
        <v>75</v>
      </c>
      <c r="D49" s="875"/>
      <c r="E49" s="875"/>
      <c r="F49" s="876"/>
      <c r="G49" s="351"/>
      <c r="I49" s="140"/>
      <c r="J49" s="155"/>
      <c r="K49" s="19"/>
    </row>
    <row r="50" spans="2:11" ht="17.25" x14ac:dyDescent="0.35">
      <c r="B50" s="321"/>
      <c r="C50" s="325"/>
      <c r="D50" s="929" t="s">
        <v>48</v>
      </c>
      <c r="E50" s="927"/>
      <c r="F50" s="928"/>
      <c r="G50" s="351"/>
      <c r="I50" s="140"/>
      <c r="J50" s="155"/>
      <c r="K50" s="19"/>
    </row>
    <row r="51" spans="2:11" ht="17.25" x14ac:dyDescent="0.35">
      <c r="B51" s="326"/>
      <c r="C51" s="321"/>
      <c r="D51" s="327" t="s">
        <v>56</v>
      </c>
      <c r="E51" s="327" t="s">
        <v>57</v>
      </c>
      <c r="F51" s="328" t="s">
        <v>58</v>
      </c>
      <c r="G51" s="351"/>
      <c r="I51" s="140"/>
      <c r="J51" s="155"/>
      <c r="K51" s="19"/>
    </row>
    <row r="52" spans="2:11" x14ac:dyDescent="0.3">
      <c r="B52" s="321"/>
      <c r="C52" s="322" t="s">
        <v>304</v>
      </c>
      <c r="D52" s="315"/>
      <c r="E52" s="315"/>
      <c r="F52" s="313"/>
      <c r="G52" s="351"/>
      <c r="I52" s="140"/>
      <c r="J52" s="155"/>
      <c r="K52" s="19"/>
    </row>
    <row r="53" spans="2:11" x14ac:dyDescent="0.3">
      <c r="B53" s="321"/>
      <c r="C53" s="322" t="s">
        <v>305</v>
      </c>
      <c r="D53" s="315"/>
      <c r="E53" s="315"/>
      <c r="F53" s="313"/>
      <c r="G53" s="351"/>
      <c r="I53" s="140"/>
      <c r="J53" s="155"/>
      <c r="K53" s="19"/>
    </row>
    <row r="54" spans="2:11" x14ac:dyDescent="0.3">
      <c r="B54" s="321"/>
      <c r="C54" s="322" t="s">
        <v>78</v>
      </c>
      <c r="D54" s="315"/>
      <c r="E54" s="315"/>
      <c r="F54" s="313"/>
      <c r="G54" s="351"/>
      <c r="I54" s="140"/>
      <c r="J54" s="155"/>
      <c r="K54" s="19"/>
    </row>
    <row r="55" spans="2:11" x14ac:dyDescent="0.3">
      <c r="B55" s="321"/>
      <c r="C55" s="322" t="s">
        <v>79</v>
      </c>
      <c r="D55" s="315"/>
      <c r="E55" s="315"/>
      <c r="F55" s="313"/>
      <c r="G55" s="351"/>
      <c r="I55" s="140"/>
      <c r="J55" s="155"/>
      <c r="K55" s="19"/>
    </row>
    <row r="56" spans="2:11" ht="17.25" thickBot="1" x14ac:dyDescent="0.35">
      <c r="B56" s="321"/>
      <c r="C56" s="330" t="s">
        <v>428</v>
      </c>
      <c r="D56" s="318"/>
      <c r="E56" s="318"/>
      <c r="F56" s="314"/>
      <c r="G56" s="351"/>
      <c r="I56" s="140"/>
      <c r="J56" s="155"/>
      <c r="K56" s="19"/>
    </row>
    <row r="57" spans="2:11" ht="17.25" thickBot="1" x14ac:dyDescent="0.35">
      <c r="B57" s="321"/>
      <c r="C57" s="316"/>
      <c r="D57" s="316"/>
      <c r="E57" s="316"/>
      <c r="F57" s="316"/>
      <c r="G57" s="351"/>
      <c r="I57" s="140"/>
      <c r="J57" s="155"/>
      <c r="K57" s="19"/>
    </row>
    <row r="58" spans="2:11" ht="18" thickBot="1" x14ac:dyDescent="0.4">
      <c r="B58" s="321"/>
      <c r="C58" s="874" t="s">
        <v>80</v>
      </c>
      <c r="D58" s="875"/>
      <c r="E58" s="875"/>
      <c r="F58" s="876"/>
      <c r="G58" s="351"/>
      <c r="I58" s="140"/>
      <c r="J58" s="155"/>
      <c r="K58" s="19"/>
    </row>
    <row r="59" spans="2:11" ht="17.25" x14ac:dyDescent="0.35">
      <c r="B59" s="321"/>
      <c r="C59" s="325"/>
      <c r="D59" s="929" t="s">
        <v>48</v>
      </c>
      <c r="E59" s="927"/>
      <c r="F59" s="928"/>
      <c r="G59" s="351"/>
      <c r="I59" s="140"/>
      <c r="J59" s="155"/>
      <c r="K59" s="19"/>
    </row>
    <row r="60" spans="2:11" ht="17.25" x14ac:dyDescent="0.35">
      <c r="B60" s="331"/>
      <c r="C60" s="321"/>
      <c r="D60" s="327" t="s">
        <v>56</v>
      </c>
      <c r="E60" s="327" t="s">
        <v>57</v>
      </c>
      <c r="F60" s="328" t="s">
        <v>58</v>
      </c>
      <c r="G60" s="351"/>
      <c r="I60" s="140"/>
      <c r="J60" s="155"/>
      <c r="K60" s="19"/>
    </row>
    <row r="61" spans="2:11" x14ac:dyDescent="0.3">
      <c r="B61" s="321"/>
      <c r="C61" s="322" t="s">
        <v>81</v>
      </c>
      <c r="D61" s="315"/>
      <c r="E61" s="315"/>
      <c r="F61" s="313"/>
      <c r="G61" s="351"/>
      <c r="I61" s="140"/>
      <c r="J61" s="155"/>
      <c r="K61" s="19"/>
    </row>
    <row r="62" spans="2:11" x14ac:dyDescent="0.3">
      <c r="B62" s="321"/>
      <c r="C62" s="322" t="s">
        <v>82</v>
      </c>
      <c r="D62" s="315"/>
      <c r="E62" s="315"/>
      <c r="F62" s="313"/>
      <c r="G62" s="351"/>
      <c r="I62" s="140"/>
      <c r="J62" s="155"/>
      <c r="K62" s="19"/>
    </row>
    <row r="63" spans="2:11" x14ac:dyDescent="0.3">
      <c r="B63" s="321"/>
      <c r="C63" s="322" t="s">
        <v>83</v>
      </c>
      <c r="D63" s="315"/>
      <c r="E63" s="315"/>
      <c r="F63" s="313"/>
      <c r="G63" s="351"/>
      <c r="I63" s="140"/>
      <c r="J63" s="155"/>
      <c r="K63" s="19"/>
    </row>
    <row r="64" spans="2:11" x14ac:dyDescent="0.3">
      <c r="B64" s="321"/>
      <c r="C64" s="322" t="s">
        <v>84</v>
      </c>
      <c r="D64" s="315"/>
      <c r="E64" s="315"/>
      <c r="F64" s="313"/>
      <c r="G64" s="351"/>
      <c r="I64" s="140"/>
      <c r="J64" s="155"/>
      <c r="K64" s="19"/>
    </row>
    <row r="65" spans="2:11" x14ac:dyDescent="0.3">
      <c r="B65" s="321"/>
      <c r="C65" s="322" t="s">
        <v>85</v>
      </c>
      <c r="D65" s="315"/>
      <c r="E65" s="315"/>
      <c r="F65" s="313"/>
      <c r="G65" s="351"/>
      <c r="I65" s="140"/>
      <c r="J65" s="155"/>
      <c r="K65" s="19"/>
    </row>
    <row r="66" spans="2:11" x14ac:dyDescent="0.3">
      <c r="B66" s="321"/>
      <c r="C66" s="322" t="s">
        <v>86</v>
      </c>
      <c r="D66" s="315"/>
      <c r="E66" s="315"/>
      <c r="F66" s="313"/>
      <c r="G66" s="351"/>
      <c r="I66" s="140"/>
      <c r="J66" s="155"/>
      <c r="K66" s="19"/>
    </row>
    <row r="67" spans="2:11" x14ac:dyDescent="0.3">
      <c r="B67" s="321"/>
      <c r="C67" s="322" t="s">
        <v>87</v>
      </c>
      <c r="D67" s="315"/>
      <c r="E67" s="315"/>
      <c r="F67" s="313"/>
      <c r="G67" s="351"/>
      <c r="I67" s="140"/>
      <c r="J67" s="155"/>
      <c r="K67" s="19"/>
    </row>
    <row r="68" spans="2:11" ht="17.25" thickBot="1" x14ac:dyDescent="0.35">
      <c r="B68" s="321"/>
      <c r="C68" s="324" t="s">
        <v>88</v>
      </c>
      <c r="D68" s="318"/>
      <c r="E68" s="318"/>
      <c r="F68" s="314"/>
      <c r="G68" s="351"/>
      <c r="I68" s="140"/>
      <c r="J68" s="155"/>
      <c r="K68" s="19"/>
    </row>
    <row r="69" spans="2:11" ht="17.25" thickBot="1" x14ac:dyDescent="0.35">
      <c r="B69" s="321"/>
      <c r="C69" s="316"/>
      <c r="D69" s="316"/>
      <c r="E69" s="316"/>
      <c r="F69" s="316"/>
      <c r="G69" s="351"/>
      <c r="I69" s="140"/>
      <c r="J69" s="155"/>
      <c r="K69" s="19"/>
    </row>
    <row r="70" spans="2:11" ht="18" thickBot="1" x14ac:dyDescent="0.4">
      <c r="B70" s="321"/>
      <c r="C70" s="874" t="s">
        <v>89</v>
      </c>
      <c r="D70" s="875"/>
      <c r="E70" s="875"/>
      <c r="F70" s="876"/>
      <c r="G70" s="351"/>
      <c r="I70" s="140"/>
      <c r="J70" s="155"/>
      <c r="K70" s="19"/>
    </row>
    <row r="71" spans="2:11" ht="17.25" x14ac:dyDescent="0.35">
      <c r="B71" s="326"/>
      <c r="C71" s="325"/>
      <c r="D71" s="929" t="s">
        <v>48</v>
      </c>
      <c r="E71" s="927"/>
      <c r="F71" s="928"/>
      <c r="G71" s="351"/>
      <c r="I71" s="140"/>
      <c r="J71" s="155"/>
      <c r="K71" s="19"/>
    </row>
    <row r="72" spans="2:11" x14ac:dyDescent="0.3">
      <c r="B72" s="321"/>
      <c r="C72" s="322" t="s">
        <v>90</v>
      </c>
      <c r="D72" s="882"/>
      <c r="E72" s="882"/>
      <c r="F72" s="883"/>
      <c r="G72" s="351"/>
      <c r="I72" s="140"/>
      <c r="J72" s="155"/>
      <c r="K72" s="19"/>
    </row>
    <row r="73" spans="2:11" x14ac:dyDescent="0.3">
      <c r="B73" s="321"/>
      <c r="C73" s="322" t="s">
        <v>91</v>
      </c>
      <c r="D73" s="882"/>
      <c r="E73" s="882"/>
      <c r="F73" s="883"/>
      <c r="G73" s="351"/>
      <c r="I73" s="140"/>
      <c r="J73" s="155"/>
      <c r="K73" s="19"/>
    </row>
    <row r="74" spans="2:11" x14ac:dyDescent="0.3">
      <c r="B74" s="321"/>
      <c r="C74" s="322" t="s">
        <v>306</v>
      </c>
      <c r="D74" s="882"/>
      <c r="E74" s="882"/>
      <c r="F74" s="883"/>
      <c r="G74" s="351"/>
      <c r="I74" s="140"/>
      <c r="J74" s="155"/>
      <c r="K74" s="19"/>
    </row>
    <row r="75" spans="2:11" x14ac:dyDescent="0.3">
      <c r="B75" s="321"/>
      <c r="C75" s="322" t="s">
        <v>442</v>
      </c>
      <c r="D75" s="895" t="str">
        <f>IF(D73+D74=0,"",D73+D74)</f>
        <v/>
      </c>
      <c r="E75" s="895"/>
      <c r="F75" s="896"/>
      <c r="G75" s="351"/>
      <c r="I75" s="146"/>
      <c r="J75" s="156"/>
      <c r="K75" s="19"/>
    </row>
    <row r="76" spans="2:11" x14ac:dyDescent="0.3">
      <c r="B76" s="321"/>
      <c r="C76" s="322" t="s">
        <v>93</v>
      </c>
      <c r="D76" s="882"/>
      <c r="E76" s="882"/>
      <c r="F76" s="883"/>
      <c r="G76" s="351"/>
      <c r="I76" s="146"/>
      <c r="J76" s="156"/>
      <c r="K76" s="19"/>
    </row>
    <row r="77" spans="2:11" x14ac:dyDescent="0.3">
      <c r="B77" s="321"/>
      <c r="C77" s="322" t="s">
        <v>94</v>
      </c>
      <c r="D77" s="882"/>
      <c r="E77" s="882"/>
      <c r="F77" s="883"/>
      <c r="G77" s="351"/>
      <c r="I77" s="146"/>
      <c r="J77" s="156"/>
      <c r="K77" s="19"/>
    </row>
    <row r="78" spans="2:11" x14ac:dyDescent="0.3">
      <c r="B78" s="321"/>
      <c r="C78" s="322" t="s">
        <v>95</v>
      </c>
      <c r="D78" s="882"/>
      <c r="E78" s="882"/>
      <c r="F78" s="883"/>
      <c r="G78" s="351"/>
      <c r="I78" s="146"/>
      <c r="J78" s="156"/>
      <c r="K78" s="19"/>
    </row>
    <row r="79" spans="2:11" x14ac:dyDescent="0.3">
      <c r="B79" s="321"/>
      <c r="C79" s="322" t="s">
        <v>306</v>
      </c>
      <c r="D79" s="882"/>
      <c r="E79" s="882"/>
      <c r="F79" s="883"/>
      <c r="G79" s="351"/>
      <c r="I79" s="146"/>
      <c r="J79" s="156"/>
      <c r="K79" s="19"/>
    </row>
    <row r="80" spans="2:11" ht="17.25" thickBot="1" x14ac:dyDescent="0.35">
      <c r="B80" s="321"/>
      <c r="C80" s="324" t="s">
        <v>442</v>
      </c>
      <c r="D80" s="911" t="str">
        <f>IF(D78+D79=0,"",D78+D79)</f>
        <v/>
      </c>
      <c r="E80" s="911"/>
      <c r="F80" s="912"/>
      <c r="G80" s="351"/>
      <c r="I80" s="147"/>
      <c r="J80" s="155"/>
      <c r="K80" s="19"/>
    </row>
    <row r="81" spans="1:11" ht="17.25" thickBot="1" x14ac:dyDescent="0.35">
      <c r="B81" s="334"/>
      <c r="C81" s="319"/>
      <c r="D81" s="437"/>
      <c r="E81" s="319"/>
      <c r="F81" s="319"/>
      <c r="G81" s="356"/>
      <c r="I81" s="147"/>
      <c r="J81" s="155"/>
      <c r="K81" s="19"/>
    </row>
    <row r="82" spans="1:11" x14ac:dyDescent="0.3">
      <c r="K82" s="19"/>
    </row>
    <row r="83" spans="1:11" s="18" customFormat="1" x14ac:dyDescent="0.3">
      <c r="A83" s="19"/>
      <c r="B83" s="19"/>
      <c r="C83" s="19"/>
      <c r="D83" s="19"/>
      <c r="E83" s="19"/>
      <c r="F83" s="19"/>
      <c r="G83" s="19"/>
      <c r="H83" s="19"/>
      <c r="I83" s="19"/>
      <c r="J83" s="19"/>
      <c r="K83" s="19"/>
    </row>
  </sheetData>
  <sheetProtection password="D93F" sheet="1" objects="1" scenarios="1" selectLockedCells="1"/>
  <customSheetViews>
    <customSheetView guid="{2A4C6EB9-430A-44F2-86C8-15B50360FC3B}" scale="70" showGridLines="0">
      <selection activeCell="F2" sqref="F2"/>
      <pageMargins left="0.7" right="0.7" top="0.75" bottom="0.75" header="0.3" footer="0.3"/>
      <pageSetup orientation="portrait" horizontalDpi="200" verticalDpi="200" r:id="rId1"/>
    </customSheetView>
    <customSheetView guid="{B3BD5AF3-9A64-4EA7-AE1F-3CC326849B8F}" scale="70" showGridLines="0">
      <selection activeCell="C20" sqref="C20"/>
      <pageMargins left="0.7" right="0.7" top="0.75" bottom="0.75" header="0.3" footer="0.3"/>
      <pageSetup orientation="portrait" horizontalDpi="200" verticalDpi="200" r:id="rId2"/>
    </customSheetView>
  </customSheetViews>
  <mergeCells count="25">
    <mergeCell ref="C70:F70"/>
    <mergeCell ref="H4:I4"/>
    <mergeCell ref="B2:C2"/>
    <mergeCell ref="C15:F15"/>
    <mergeCell ref="C25:F25"/>
    <mergeCell ref="C34:F34"/>
    <mergeCell ref="E2:F2"/>
    <mergeCell ref="D59:F59"/>
    <mergeCell ref="D50:F50"/>
    <mergeCell ref="D35:F35"/>
    <mergeCell ref="D26:F26"/>
    <mergeCell ref="B11:G11"/>
    <mergeCell ref="D16:F16"/>
    <mergeCell ref="C49:F49"/>
    <mergeCell ref="C58:F58"/>
    <mergeCell ref="D71:F71"/>
    <mergeCell ref="D76:F76"/>
    <mergeCell ref="D77:F77"/>
    <mergeCell ref="D72:F72"/>
    <mergeCell ref="D73:F73"/>
    <mergeCell ref="D80:F80"/>
    <mergeCell ref="D78:F78"/>
    <mergeCell ref="D79:F79"/>
    <mergeCell ref="D74:F74"/>
    <mergeCell ref="D75:F75"/>
  </mergeCells>
  <phoneticPr fontId="27" type="noConversion"/>
  <conditionalFormatting sqref="D37:F47 D52:F56 D61:F68 D72:D80 D28:F32 D22:D23 D13 D18:F21">
    <cfRule type="expression" dxfId="33" priority="3" stopIfTrue="1">
      <formula>OR($I$5 = "Central Air Conditioner", $I$6 &lt;&gt; "Variable-Speed")</formula>
    </cfRule>
  </conditionalFormatting>
  <dataValidations count="1">
    <dataValidation type="list" showInputMessage="1" showErrorMessage="1" sqref="D13">
      <formula1>Duration</formula1>
    </dataValidation>
  </dataValidations>
  <hyperlinks>
    <hyperlink ref="E2" location="Instructions!A1" display="Back to Instructions"/>
    <hyperlink ref="E2:F2" location="Instructions!A1" display="Back to Instructions tab"/>
  </hyperlinks>
  <pageMargins left="0.7" right="0.7" top="0.75" bottom="0.75" header="0.3" footer="0.3"/>
  <pageSetup orientation="portrait" horizontalDpi="200" verticalDpi="200"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0070C0"/>
  </sheetPr>
  <dimension ref="A1:K113"/>
  <sheetViews>
    <sheetView showGridLines="0" zoomScale="80" zoomScaleNormal="80" workbookViewId="0">
      <selection activeCell="F3" sqref="F3"/>
    </sheetView>
  </sheetViews>
  <sheetFormatPr defaultColWidth="9.140625" defaultRowHeight="16.5" x14ac:dyDescent="0.3"/>
  <cols>
    <col min="1" max="1" width="3.42578125" style="6" customWidth="1"/>
    <col min="2" max="2" width="56" style="6" customWidth="1"/>
    <col min="3" max="3" width="56.140625" style="6" customWidth="1"/>
    <col min="4" max="4" width="7.140625" style="6" customWidth="1"/>
    <col min="5" max="5" width="4.28515625" style="6" customWidth="1"/>
    <col min="6" max="6" width="28.85546875" style="6" customWidth="1"/>
    <col min="7" max="7" width="24.7109375" style="6" customWidth="1"/>
    <col min="8" max="8" width="17.140625" style="6" bestFit="1" customWidth="1"/>
    <col min="9" max="9" width="28.5703125" style="6" customWidth="1"/>
    <col min="10" max="10" width="5" style="6" customWidth="1"/>
    <col min="11" max="11" width="2.7109375" style="18" customWidth="1"/>
    <col min="12" max="16384" width="9.140625" style="6"/>
  </cols>
  <sheetData>
    <row r="1" spans="2:11" ht="18" thickBot="1" x14ac:dyDescent="0.4">
      <c r="B1" s="7"/>
      <c r="K1" s="181"/>
    </row>
    <row r="2" spans="2:11" ht="18" thickBot="1" x14ac:dyDescent="0.35">
      <c r="B2" s="764" t="s">
        <v>562</v>
      </c>
      <c r="C2" s="765"/>
      <c r="K2" s="19"/>
    </row>
    <row r="3" spans="2:11" ht="15.75" customHeight="1" x14ac:dyDescent="0.3">
      <c r="B3" s="297" t="s">
        <v>563</v>
      </c>
      <c r="C3" s="298" t="str">
        <f>'Version Control'!C3</f>
        <v>Residential Central Air Conditioners and Heat Pumps</v>
      </c>
      <c r="F3" s="643" t="s">
        <v>540</v>
      </c>
      <c r="G3"/>
      <c r="K3" s="19"/>
    </row>
    <row r="4" spans="2:11" ht="15.75" customHeight="1" x14ac:dyDescent="0.3">
      <c r="B4" s="299" t="s">
        <v>140</v>
      </c>
      <c r="C4" s="300" t="str">
        <f>'Version Control'!C4</f>
        <v>v2.1</v>
      </c>
      <c r="K4" s="19"/>
    </row>
    <row r="5" spans="2:11" ht="15.75" customHeight="1" x14ac:dyDescent="0.3">
      <c r="B5" s="299" t="s">
        <v>462</v>
      </c>
      <c r="C5" s="301">
        <f>'Version Control'!C5</f>
        <v>42653</v>
      </c>
      <c r="K5" s="19"/>
    </row>
    <row r="6" spans="2:11" ht="15.75" customHeight="1" x14ac:dyDescent="0.3">
      <c r="B6" s="302" t="s">
        <v>139</v>
      </c>
      <c r="C6" s="303" t="str">
        <f ca="1">MID(CELL("filename",$A$1), FIND("]", CELL("filename", $A$1))+ 1, 255)</f>
        <v>General Info and Test Results</v>
      </c>
      <c r="K6" s="19"/>
    </row>
    <row r="7" spans="2:11" ht="34.5" customHeight="1" x14ac:dyDescent="0.35">
      <c r="B7" s="304" t="s">
        <v>138</v>
      </c>
      <c r="C7" s="305" t="str">
        <f ca="1">MID(CELL("FILENAME",F15),FIND("[",CELL("FILENAME",F15))+1,FIND("]",CELL("FILENAME",F15))-FIND("[",CELL("FILENAME",F15))-1)</f>
        <v>Residential Central Air Conditioners and Heat Pumps - v2.1.xlsx</v>
      </c>
      <c r="E7" s="7"/>
      <c r="K7" s="19"/>
    </row>
    <row r="8" spans="2:11" ht="15.75" customHeight="1" thickBot="1" x14ac:dyDescent="0.4">
      <c r="B8" s="306" t="s">
        <v>141</v>
      </c>
      <c r="C8" s="307" t="str">
        <f>'Version Control'!C8</f>
        <v>[MM/DD/YYYY]</v>
      </c>
      <c r="E8" s="7"/>
      <c r="K8" s="19"/>
    </row>
    <row r="9" spans="2:11" ht="17.25" x14ac:dyDescent="0.35">
      <c r="B9" s="4"/>
      <c r="C9" s="262"/>
      <c r="E9" s="7"/>
      <c r="K9" s="19"/>
    </row>
    <row r="10" spans="2:11" ht="18" thickBot="1" x14ac:dyDescent="0.4">
      <c r="B10" s="4"/>
      <c r="C10" s="263"/>
      <c r="E10" s="7"/>
      <c r="K10" s="19"/>
    </row>
    <row r="11" spans="2:11" ht="18" thickBot="1" x14ac:dyDescent="0.4">
      <c r="B11" s="761" t="s">
        <v>453</v>
      </c>
      <c r="C11" s="763"/>
      <c r="E11" s="7"/>
      <c r="F11" s="761" t="s">
        <v>472</v>
      </c>
      <c r="G11" s="763"/>
      <c r="H11" s="42"/>
      <c r="K11" s="19"/>
    </row>
    <row r="12" spans="2:11" ht="18" x14ac:dyDescent="0.35">
      <c r="B12" s="577" t="s">
        <v>16</v>
      </c>
      <c r="C12" s="578"/>
      <c r="F12" s="676" t="s">
        <v>344</v>
      </c>
      <c r="G12" s="677"/>
      <c r="H12" s="39"/>
      <c r="K12" s="19"/>
    </row>
    <row r="13" spans="2:11" ht="18.75" thickBot="1" x14ac:dyDescent="0.35">
      <c r="B13" s="117" t="s">
        <v>17</v>
      </c>
      <c r="C13" s="118"/>
      <c r="F13" s="15" t="s">
        <v>135</v>
      </c>
      <c r="G13" s="38" t="s">
        <v>343</v>
      </c>
      <c r="H13" s="39"/>
      <c r="K13" s="19"/>
    </row>
    <row r="14" spans="2:11" ht="18" thickBot="1" x14ac:dyDescent="0.4">
      <c r="F14" s="16" t="s">
        <v>202</v>
      </c>
      <c r="G14" s="738" t="str">
        <f>IF(C25="Heating Only Central Heat Pump","Not Applicable", IF(AND(C26="Single-Speed",C27="Fixed Speed"),Calculations!D69,IF(AND(C26="Single-Speed",C27="Variable Speed"),Calculations!D89,IF(C26="Two-Speed",Calculations!D109,IF(C26 = "Variable-Speed", Calculations!D129," ")))))</f>
        <v xml:space="preserve"> </v>
      </c>
      <c r="H14" s="40"/>
      <c r="K14" s="19"/>
    </row>
    <row r="15" spans="2:11" ht="18" thickBot="1" x14ac:dyDescent="0.4">
      <c r="B15" s="761" t="s">
        <v>454</v>
      </c>
      <c r="C15" s="763"/>
      <c r="F15" s="16" t="s">
        <v>119</v>
      </c>
      <c r="G15" s="739" t="str">
        <f>IF(C25="Central Air Conditioner","Not Applicable", IF(AND(C26="Single-Speed",C27="Fixed Speed"),Calculations!D173,IF(AND(C26="Single-Speed",C27="Variable Speed"),Calculations!D205,IF(C26="Two-Speed",Calculations!D236,IF(C26 = "Variable-Speed", Calculations!D270," ")))))</f>
        <v xml:space="preserve"> </v>
      </c>
      <c r="H15" s="41"/>
      <c r="K15" s="19"/>
    </row>
    <row r="16" spans="2:11" ht="18" x14ac:dyDescent="0.35">
      <c r="B16" s="690" t="s">
        <v>614</v>
      </c>
      <c r="C16" s="578" t="s">
        <v>665</v>
      </c>
      <c r="F16" s="16" t="s">
        <v>659</v>
      </c>
      <c r="G16" s="741" t="str">
        <f>IF(ISERROR('Off Mode Test Data'!F41),"",'Off Mode Test Data'!F41)</f>
        <v/>
      </c>
      <c r="H16" s="40"/>
      <c r="K16" s="19"/>
    </row>
    <row r="17" spans="2:11" ht="18" thickBot="1" x14ac:dyDescent="0.4">
      <c r="B17" s="80" t="s">
        <v>18</v>
      </c>
      <c r="C17" s="579" t="s">
        <v>345</v>
      </c>
      <c r="F17" s="238" t="s">
        <v>476</v>
      </c>
      <c r="G17" s="740" t="str">
        <f>IF(AND(C26="Single-Speed",C27="Fixed Speed"),SS_FS_round,IF(AND(C26="Single-Speed",C27="Variable Speed"),SS_VS_round,IF(C26="Two-Speed",TS_VS_round,IF(C26 = "Variable-Speed", VS_VS_round," "))))</f>
        <v xml:space="preserve"> </v>
      </c>
      <c r="H17" s="43"/>
      <c r="K17" s="19"/>
    </row>
    <row r="18" spans="2:11" x14ac:dyDescent="0.3">
      <c r="B18" s="80" t="s">
        <v>19</v>
      </c>
      <c r="C18" s="235" t="s">
        <v>345</v>
      </c>
      <c r="K18" s="19"/>
    </row>
    <row r="19" spans="2:11" ht="20.25" thickBot="1" x14ac:dyDescent="0.45">
      <c r="B19" s="80" t="s">
        <v>20</v>
      </c>
      <c r="C19" s="235" t="s">
        <v>345</v>
      </c>
      <c r="F19" s="49" t="s">
        <v>377</v>
      </c>
      <c r="K19" s="19"/>
    </row>
    <row r="20" spans="2:11" ht="18" thickBot="1" x14ac:dyDescent="0.35">
      <c r="B20" s="81" t="s">
        <v>429</v>
      </c>
      <c r="C20" s="237" t="s">
        <v>345</v>
      </c>
      <c r="F20" s="761" t="s">
        <v>146</v>
      </c>
      <c r="G20" s="762"/>
      <c r="H20" s="762"/>
      <c r="I20" s="763"/>
      <c r="K20" s="19"/>
    </row>
    <row r="21" spans="2:11" ht="16.5" customHeight="1" thickBot="1" x14ac:dyDescent="0.35">
      <c r="B21" s="116"/>
      <c r="C21" s="87"/>
      <c r="F21" s="786" t="s">
        <v>455</v>
      </c>
      <c r="G21" s="787"/>
      <c r="H21" s="787"/>
      <c r="I21" s="788"/>
      <c r="K21" s="19"/>
    </row>
    <row r="22" spans="2:11" ht="17.25" customHeight="1" thickBot="1" x14ac:dyDescent="0.35">
      <c r="B22" s="761" t="s">
        <v>349</v>
      </c>
      <c r="C22" s="762"/>
      <c r="D22" s="763"/>
      <c r="F22" s="789"/>
      <c r="G22" s="790"/>
      <c r="H22" s="790"/>
      <c r="I22" s="791"/>
      <c r="K22" s="19"/>
    </row>
    <row r="23" spans="2:11" ht="17.25" customHeight="1" x14ac:dyDescent="0.3">
      <c r="B23" s="10"/>
      <c r="C23" s="9"/>
      <c r="D23" s="11"/>
      <c r="F23" s="789"/>
      <c r="G23" s="790"/>
      <c r="H23" s="790"/>
      <c r="I23" s="791"/>
      <c r="K23" s="19"/>
    </row>
    <row r="24" spans="2:11" ht="17.25" customHeight="1" x14ac:dyDescent="0.35">
      <c r="B24" s="12" t="s">
        <v>15</v>
      </c>
      <c r="C24" s="9"/>
      <c r="D24" s="90"/>
      <c r="F24" s="794" t="s">
        <v>147</v>
      </c>
      <c r="G24" s="795"/>
      <c r="H24" s="37" t="s">
        <v>144</v>
      </c>
      <c r="I24" s="44" t="s">
        <v>148</v>
      </c>
      <c r="K24" s="19"/>
    </row>
    <row r="25" spans="2:11" ht="17.25" customHeight="1" x14ac:dyDescent="0.3">
      <c r="B25" s="563" t="s">
        <v>158</v>
      </c>
      <c r="C25" s="86"/>
      <c r="D25" s="226"/>
      <c r="F25" s="792" t="s">
        <v>149</v>
      </c>
      <c r="G25" s="793"/>
      <c r="H25" s="120" t="str">
        <f>'Report Sign-off Block'!D15</f>
        <v>[MM/DD/YYYY]</v>
      </c>
      <c r="I25" s="121" t="str">
        <f>'Report Sign-off Block'!E15</f>
        <v>[Test Lab Name]</v>
      </c>
      <c r="K25" s="19"/>
    </row>
    <row r="26" spans="2:11" ht="17.25" customHeight="1" x14ac:dyDescent="0.3">
      <c r="B26" s="564" t="s">
        <v>153</v>
      </c>
      <c r="C26" s="86"/>
      <c r="D26" s="226"/>
      <c r="F26" s="792" t="s">
        <v>426</v>
      </c>
      <c r="G26" s="793"/>
      <c r="H26" s="120" t="str">
        <f>'Report Sign-off Block'!D16</f>
        <v>[MM/DD/YYYY]</v>
      </c>
      <c r="I26" s="121" t="str">
        <f>'Report Sign-off Block'!E16</f>
        <v>[Test Lab Name]</v>
      </c>
      <c r="K26" s="19"/>
    </row>
    <row r="27" spans="2:11" ht="17.25" customHeight="1" x14ac:dyDescent="0.3">
      <c r="B27" s="94" t="s">
        <v>154</v>
      </c>
      <c r="C27" s="86"/>
      <c r="D27" s="226"/>
      <c r="F27" s="560" t="s">
        <v>456</v>
      </c>
      <c r="G27" s="561"/>
      <c r="H27" s="120" t="str">
        <f>'Report Sign-off Block'!D17</f>
        <v>[MM/DD/YYYY]</v>
      </c>
      <c r="I27" s="121" t="str">
        <f>'Report Sign-off Block'!E17</f>
        <v>[Test Lab Name]</v>
      </c>
      <c r="K27" s="19"/>
    </row>
    <row r="28" spans="2:11" ht="17.25" customHeight="1" thickBot="1" x14ac:dyDescent="0.35">
      <c r="B28" s="93" t="s">
        <v>582</v>
      </c>
      <c r="C28" s="86"/>
      <c r="D28" s="226"/>
      <c r="F28" s="645" t="s">
        <v>456</v>
      </c>
      <c r="G28" s="646"/>
      <c r="H28" s="122" t="str">
        <f>'Report Sign-off Block'!D18</f>
        <v>[MM/DD/YYYY]</v>
      </c>
      <c r="I28" s="123" t="str">
        <f>'Report Sign-off Block'!E18</f>
        <v>[Test Lab Name]</v>
      </c>
      <c r="K28" s="19"/>
    </row>
    <row r="29" spans="2:11" x14ac:dyDescent="0.3">
      <c r="B29" s="565" t="s">
        <v>375</v>
      </c>
      <c r="C29" s="86"/>
      <c r="D29" s="226"/>
      <c r="F29" s="785"/>
      <c r="G29" s="785"/>
      <c r="H29" s="649"/>
      <c r="I29" s="650"/>
      <c r="K29" s="19"/>
    </row>
    <row r="30" spans="2:11" x14ac:dyDescent="0.3">
      <c r="B30" s="10"/>
      <c r="C30" s="9"/>
      <c r="D30" s="89"/>
      <c r="K30" s="19"/>
    </row>
    <row r="31" spans="2:11" ht="17.25" x14ac:dyDescent="0.35">
      <c r="B31" s="12" t="s">
        <v>159</v>
      </c>
      <c r="C31" s="8"/>
      <c r="D31" s="227"/>
      <c r="K31" s="19"/>
    </row>
    <row r="32" spans="2:11" x14ac:dyDescent="0.3">
      <c r="B32" s="82" t="s">
        <v>151</v>
      </c>
      <c r="C32" s="86"/>
      <c r="D32" s="226"/>
      <c r="K32" s="19"/>
    </row>
    <row r="33" spans="2:11" x14ac:dyDescent="0.3">
      <c r="B33" s="83" t="s">
        <v>150</v>
      </c>
      <c r="C33" s="86"/>
      <c r="D33" s="226"/>
      <c r="K33" s="19"/>
    </row>
    <row r="34" spans="2:11" x14ac:dyDescent="0.3">
      <c r="B34" s="83" t="s">
        <v>376</v>
      </c>
      <c r="C34" s="86"/>
      <c r="D34" s="226"/>
      <c r="K34" s="19"/>
    </row>
    <row r="35" spans="2:11" x14ac:dyDescent="0.3">
      <c r="B35" s="239" t="s">
        <v>487</v>
      </c>
      <c r="C35" s="86"/>
      <c r="D35" s="226"/>
      <c r="K35" s="19"/>
    </row>
    <row r="36" spans="2:11" x14ac:dyDescent="0.3">
      <c r="B36" s="239" t="s">
        <v>510</v>
      </c>
      <c r="C36" s="86"/>
      <c r="D36" s="226"/>
      <c r="K36" s="19"/>
    </row>
    <row r="37" spans="2:11" x14ac:dyDescent="0.3">
      <c r="B37" s="85" t="s">
        <v>160</v>
      </c>
      <c r="C37" s="86"/>
      <c r="D37" s="226"/>
      <c r="K37" s="19"/>
    </row>
    <row r="38" spans="2:11" x14ac:dyDescent="0.3">
      <c r="B38" s="2"/>
      <c r="C38" s="8"/>
      <c r="D38" s="89"/>
      <c r="K38" s="19"/>
    </row>
    <row r="39" spans="2:11" ht="17.25" x14ac:dyDescent="0.35">
      <c r="B39" s="12" t="s">
        <v>355</v>
      </c>
      <c r="C39" s="8"/>
      <c r="D39" s="227"/>
      <c r="K39" s="19"/>
    </row>
    <row r="40" spans="2:11" x14ac:dyDescent="0.3">
      <c r="B40" s="82" t="s">
        <v>370</v>
      </c>
      <c r="C40" s="236"/>
      <c r="D40" s="226" t="s">
        <v>372</v>
      </c>
      <c r="K40" s="19"/>
    </row>
    <row r="41" spans="2:11" x14ac:dyDescent="0.3">
      <c r="B41" s="83" t="s">
        <v>21</v>
      </c>
      <c r="C41" s="86"/>
      <c r="D41" s="226"/>
      <c r="K41" s="19"/>
    </row>
    <row r="42" spans="2:11" x14ac:dyDescent="0.3">
      <c r="B42" s="83" t="s">
        <v>22</v>
      </c>
      <c r="C42" s="86"/>
      <c r="D42" s="226"/>
      <c r="K42" s="19"/>
    </row>
    <row r="43" spans="2:11" x14ac:dyDescent="0.3">
      <c r="B43" s="83" t="s">
        <v>371</v>
      </c>
      <c r="C43" s="236"/>
      <c r="D43" s="226" t="s">
        <v>372</v>
      </c>
      <c r="K43" s="19"/>
    </row>
    <row r="44" spans="2:11" x14ac:dyDescent="0.3">
      <c r="B44" s="83" t="s">
        <v>23</v>
      </c>
      <c r="C44" s="86"/>
      <c r="D44" s="226"/>
      <c r="K44" s="19"/>
    </row>
    <row r="45" spans="2:11" ht="60" customHeight="1" x14ac:dyDescent="0.3">
      <c r="B45" s="564" t="s">
        <v>593</v>
      </c>
      <c r="C45" s="86"/>
      <c r="D45" s="226"/>
      <c r="K45" s="19"/>
    </row>
    <row r="46" spans="2:11" ht="69.75" customHeight="1" x14ac:dyDescent="0.3">
      <c r="B46" s="655" t="s">
        <v>596</v>
      </c>
      <c r="C46" s="654"/>
      <c r="D46" s="226"/>
      <c r="K46" s="19"/>
    </row>
    <row r="47" spans="2:11" x14ac:dyDescent="0.3">
      <c r="B47" s="83" t="s">
        <v>24</v>
      </c>
      <c r="C47" s="86"/>
      <c r="D47" s="226" t="s">
        <v>373</v>
      </c>
      <c r="K47" s="19"/>
    </row>
    <row r="48" spans="2:11" x14ac:dyDescent="0.3">
      <c r="B48" s="83" t="s">
        <v>25</v>
      </c>
      <c r="C48" s="232" t="s">
        <v>345</v>
      </c>
      <c r="D48" s="226"/>
      <c r="K48" s="19"/>
    </row>
    <row r="49" spans="2:11" x14ac:dyDescent="0.3">
      <c r="B49" s="85" t="s">
        <v>152</v>
      </c>
      <c r="C49" s="86"/>
      <c r="D49" s="226"/>
      <c r="K49" s="19"/>
    </row>
    <row r="50" spans="2:11" ht="17.25" x14ac:dyDescent="0.35">
      <c r="B50" s="12"/>
      <c r="C50" s="8"/>
      <c r="D50" s="89"/>
      <c r="K50" s="19"/>
    </row>
    <row r="51" spans="2:11" ht="17.25" x14ac:dyDescent="0.35">
      <c r="B51" s="12" t="s">
        <v>361</v>
      </c>
      <c r="C51" s="8"/>
      <c r="D51" s="227"/>
      <c r="E51" s="7"/>
      <c r="K51" s="19"/>
    </row>
    <row r="52" spans="2:11" x14ac:dyDescent="0.3">
      <c r="B52" s="82" t="s">
        <v>26</v>
      </c>
      <c r="C52" s="86"/>
      <c r="D52" s="226"/>
      <c r="K52" s="19"/>
    </row>
    <row r="53" spans="2:11" x14ac:dyDescent="0.3">
      <c r="B53" s="83" t="s">
        <v>27</v>
      </c>
      <c r="C53" s="86"/>
      <c r="D53" s="226"/>
      <c r="K53" s="19"/>
    </row>
    <row r="54" spans="2:11" x14ac:dyDescent="0.3">
      <c r="B54" s="83" t="s">
        <v>28</v>
      </c>
      <c r="C54" s="86"/>
      <c r="D54" s="226"/>
      <c r="K54" s="19"/>
    </row>
    <row r="55" spans="2:11" x14ac:dyDescent="0.3">
      <c r="B55" s="83" t="s">
        <v>29</v>
      </c>
      <c r="C55" s="86"/>
      <c r="D55" s="226"/>
      <c r="K55" s="19"/>
    </row>
    <row r="56" spans="2:11" x14ac:dyDescent="0.3">
      <c r="B56" s="85" t="s">
        <v>30</v>
      </c>
      <c r="C56" s="652"/>
      <c r="D56" s="226"/>
      <c r="K56" s="19"/>
    </row>
    <row r="57" spans="2:11" x14ac:dyDescent="0.3">
      <c r="B57" s="2"/>
      <c r="C57" s="87"/>
      <c r="D57" s="89"/>
      <c r="K57" s="19"/>
    </row>
    <row r="58" spans="2:11" ht="17.25" x14ac:dyDescent="0.35">
      <c r="B58" s="12" t="s">
        <v>362</v>
      </c>
      <c r="C58" s="8"/>
      <c r="D58" s="227"/>
      <c r="E58" s="7"/>
      <c r="K58" s="19"/>
    </row>
    <row r="59" spans="2:11" x14ac:dyDescent="0.3">
      <c r="B59" s="82" t="s">
        <v>26</v>
      </c>
      <c r="C59" s="86"/>
      <c r="D59" s="226"/>
      <c r="K59" s="19"/>
    </row>
    <row r="60" spans="2:11" x14ac:dyDescent="0.3">
      <c r="B60" s="83" t="s">
        <v>27</v>
      </c>
      <c r="C60" s="86"/>
      <c r="D60" s="226"/>
      <c r="K60" s="19"/>
    </row>
    <row r="61" spans="2:11" x14ac:dyDescent="0.3">
      <c r="B61" s="83" t="s">
        <v>28</v>
      </c>
      <c r="C61" s="86"/>
      <c r="D61" s="226"/>
      <c r="K61" s="19"/>
    </row>
    <row r="62" spans="2:11" x14ac:dyDescent="0.3">
      <c r="B62" s="83" t="s">
        <v>29</v>
      </c>
      <c r="C62" s="86"/>
      <c r="D62" s="226"/>
      <c r="K62" s="19"/>
    </row>
    <row r="63" spans="2:11" x14ac:dyDescent="0.3">
      <c r="B63" s="85" t="s">
        <v>30</v>
      </c>
      <c r="C63" s="652"/>
      <c r="D63" s="226"/>
      <c r="K63" s="19"/>
    </row>
    <row r="64" spans="2:11" x14ac:dyDescent="0.3">
      <c r="B64" s="2"/>
      <c r="C64" s="9"/>
      <c r="D64" s="89"/>
      <c r="K64" s="19"/>
    </row>
    <row r="65" spans="1:11" ht="17.25" x14ac:dyDescent="0.35">
      <c r="B65" s="12" t="s">
        <v>363</v>
      </c>
      <c r="C65" s="8"/>
      <c r="D65" s="227"/>
      <c r="E65" s="7"/>
      <c r="K65" s="19"/>
    </row>
    <row r="66" spans="1:11" x14ac:dyDescent="0.3">
      <c r="B66" s="82" t="s">
        <v>26</v>
      </c>
      <c r="C66" s="86"/>
      <c r="D66" s="226"/>
      <c r="K66" s="19"/>
    </row>
    <row r="67" spans="1:11" x14ac:dyDescent="0.3">
      <c r="B67" s="83" t="s">
        <v>27</v>
      </c>
      <c r="C67" s="86"/>
      <c r="D67" s="226"/>
      <c r="K67" s="19"/>
    </row>
    <row r="68" spans="1:11" x14ac:dyDescent="0.3">
      <c r="B68" s="83" t="s">
        <v>28</v>
      </c>
      <c r="C68" s="86"/>
      <c r="D68" s="226"/>
      <c r="K68" s="19"/>
    </row>
    <row r="69" spans="1:11" x14ac:dyDescent="0.3">
      <c r="B69" s="83" t="s">
        <v>29</v>
      </c>
      <c r="C69" s="86"/>
      <c r="D69" s="226"/>
      <c r="K69" s="19"/>
    </row>
    <row r="70" spans="1:11" x14ac:dyDescent="0.3">
      <c r="B70" s="85" t="s">
        <v>30</v>
      </c>
      <c r="C70" s="652"/>
      <c r="D70" s="226"/>
      <c r="K70" s="19"/>
    </row>
    <row r="71" spans="1:11" x14ac:dyDescent="0.3">
      <c r="B71" s="2"/>
      <c r="C71" s="9"/>
      <c r="D71" s="89"/>
      <c r="K71" s="19"/>
    </row>
    <row r="72" spans="1:11" ht="17.25" x14ac:dyDescent="0.35">
      <c r="B72" s="12" t="s">
        <v>31</v>
      </c>
      <c r="C72" s="8"/>
      <c r="D72" s="227"/>
      <c r="E72" s="7"/>
      <c r="K72" s="19"/>
    </row>
    <row r="73" spans="1:11" x14ac:dyDescent="0.3">
      <c r="B73" s="82" t="s">
        <v>26</v>
      </c>
      <c r="C73" s="86"/>
      <c r="D73" s="226"/>
      <c r="K73" s="19"/>
    </row>
    <row r="74" spans="1:11" x14ac:dyDescent="0.3">
      <c r="B74" s="83" t="s">
        <v>27</v>
      </c>
      <c r="C74" s="86"/>
      <c r="D74" s="226"/>
      <c r="K74" s="19"/>
    </row>
    <row r="75" spans="1:11" x14ac:dyDescent="0.3">
      <c r="B75" s="83" t="s">
        <v>28</v>
      </c>
      <c r="C75" s="86"/>
      <c r="D75" s="226"/>
      <c r="K75" s="19"/>
    </row>
    <row r="76" spans="1:11" x14ac:dyDescent="0.3">
      <c r="B76" s="83" t="s">
        <v>29</v>
      </c>
      <c r="C76" s="86"/>
      <c r="D76" s="226"/>
      <c r="K76" s="19"/>
    </row>
    <row r="77" spans="1:11" ht="17.25" x14ac:dyDescent="0.35">
      <c r="A77" s="8"/>
      <c r="B77" s="83" t="s">
        <v>30</v>
      </c>
      <c r="C77" s="652"/>
      <c r="D77" s="226"/>
      <c r="E77" s="7"/>
      <c r="K77" s="19"/>
    </row>
    <row r="78" spans="1:11" x14ac:dyDescent="0.3">
      <c r="A78" s="8"/>
      <c r="B78" s="85" t="s">
        <v>274</v>
      </c>
      <c r="C78" s="86"/>
      <c r="D78" s="226" t="s">
        <v>373</v>
      </c>
      <c r="K78" s="19"/>
    </row>
    <row r="79" spans="1:11" x14ac:dyDescent="0.3">
      <c r="B79" s="2"/>
      <c r="C79" s="9"/>
      <c r="D79" s="89"/>
      <c r="K79" s="19"/>
    </row>
    <row r="80" spans="1:11" ht="17.25" x14ac:dyDescent="0.35">
      <c r="B80" s="12" t="s">
        <v>32</v>
      </c>
      <c r="C80" s="8"/>
      <c r="D80" s="227"/>
      <c r="E80" s="7"/>
      <c r="K80" s="19"/>
    </row>
    <row r="81" spans="1:11" x14ac:dyDescent="0.3">
      <c r="B81" s="82" t="s">
        <v>26</v>
      </c>
      <c r="C81" s="86"/>
      <c r="D81" s="226"/>
      <c r="K81" s="19"/>
    </row>
    <row r="82" spans="1:11" x14ac:dyDescent="0.3">
      <c r="B82" s="83" t="s">
        <v>27</v>
      </c>
      <c r="C82" s="86"/>
      <c r="D82" s="226"/>
      <c r="K82" s="19"/>
    </row>
    <row r="83" spans="1:11" x14ac:dyDescent="0.3">
      <c r="B83" s="83" t="s">
        <v>28</v>
      </c>
      <c r="C83" s="86"/>
      <c r="D83" s="226"/>
      <c r="K83" s="19"/>
    </row>
    <row r="84" spans="1:11" x14ac:dyDescent="0.3">
      <c r="B84" s="83" t="s">
        <v>29</v>
      </c>
      <c r="C84" s="86"/>
      <c r="D84" s="226"/>
      <c r="K84" s="19"/>
    </row>
    <row r="85" spans="1:11" ht="17.25" x14ac:dyDescent="0.35">
      <c r="A85" s="8"/>
      <c r="B85" s="83" t="s">
        <v>30</v>
      </c>
      <c r="C85" s="652"/>
      <c r="D85" s="226"/>
      <c r="E85" s="7"/>
      <c r="K85" s="19"/>
    </row>
    <row r="86" spans="1:11" x14ac:dyDescent="0.3">
      <c r="A86" s="8"/>
      <c r="B86" s="85" t="s">
        <v>274</v>
      </c>
      <c r="C86" s="86"/>
      <c r="D86" s="226" t="s">
        <v>373</v>
      </c>
      <c r="K86" s="19"/>
    </row>
    <row r="87" spans="1:11" x14ac:dyDescent="0.3">
      <c r="A87" s="8"/>
      <c r="B87" s="2"/>
      <c r="C87" s="8"/>
      <c r="D87" s="89"/>
      <c r="K87" s="19"/>
    </row>
    <row r="88" spans="1:11" ht="17.25" x14ac:dyDescent="0.35">
      <c r="A88" s="8"/>
      <c r="B88" s="12" t="s">
        <v>33</v>
      </c>
      <c r="C88" s="88"/>
      <c r="D88" s="227"/>
      <c r="K88" s="19"/>
    </row>
    <row r="89" spans="1:11" x14ac:dyDescent="0.3">
      <c r="B89" s="82" t="s">
        <v>26</v>
      </c>
      <c r="C89" s="86"/>
      <c r="D89" s="226"/>
      <c r="K89" s="19"/>
    </row>
    <row r="90" spans="1:11" x14ac:dyDescent="0.3">
      <c r="B90" s="83" t="s">
        <v>27</v>
      </c>
      <c r="C90" s="86"/>
      <c r="D90" s="226"/>
      <c r="K90" s="19"/>
    </row>
    <row r="91" spans="1:11" ht="17.25" x14ac:dyDescent="0.35">
      <c r="B91" s="83" t="s">
        <v>28</v>
      </c>
      <c r="C91" s="86"/>
      <c r="D91" s="226"/>
      <c r="E91" s="7"/>
      <c r="K91" s="19"/>
    </row>
    <row r="92" spans="1:11" x14ac:dyDescent="0.3">
      <c r="B92" s="83" t="s">
        <v>29</v>
      </c>
      <c r="C92" s="86"/>
      <c r="D92" s="226"/>
      <c r="K92" s="19"/>
    </row>
    <row r="93" spans="1:11" x14ac:dyDescent="0.3">
      <c r="A93" s="8"/>
      <c r="B93" s="83" t="s">
        <v>273</v>
      </c>
      <c r="C93" s="86"/>
      <c r="D93" s="226" t="s">
        <v>374</v>
      </c>
      <c r="K93" s="19"/>
    </row>
    <row r="94" spans="1:11" x14ac:dyDescent="0.3">
      <c r="A94" s="8"/>
      <c r="B94" s="83" t="s">
        <v>274</v>
      </c>
      <c r="C94" s="86"/>
      <c r="D94" s="226" t="s">
        <v>373</v>
      </c>
      <c r="K94" s="19"/>
    </row>
    <row r="95" spans="1:11" x14ac:dyDescent="0.3">
      <c r="A95" s="8"/>
      <c r="B95" s="85" t="s">
        <v>30</v>
      </c>
      <c r="C95" s="652"/>
      <c r="D95" s="226"/>
      <c r="K95" s="19"/>
    </row>
    <row r="96" spans="1:11" x14ac:dyDescent="0.3">
      <c r="B96" s="2"/>
      <c r="C96" s="9"/>
      <c r="D96" s="89"/>
      <c r="K96" s="19"/>
    </row>
    <row r="97" spans="1:11" ht="17.25" x14ac:dyDescent="0.35">
      <c r="B97" s="12" t="s">
        <v>34</v>
      </c>
      <c r="C97" s="8"/>
      <c r="D97" s="227"/>
      <c r="K97" s="19"/>
    </row>
    <row r="98" spans="1:11" x14ac:dyDescent="0.3">
      <c r="B98" s="82" t="s">
        <v>26</v>
      </c>
      <c r="C98" s="86"/>
      <c r="D98" s="226"/>
      <c r="K98" s="19"/>
    </row>
    <row r="99" spans="1:11" x14ac:dyDescent="0.3">
      <c r="B99" s="83" t="s">
        <v>27</v>
      </c>
      <c r="C99" s="86"/>
      <c r="D99" s="226"/>
      <c r="K99" s="19"/>
    </row>
    <row r="100" spans="1:11" ht="17.25" x14ac:dyDescent="0.35">
      <c r="B100" s="83" t="s">
        <v>28</v>
      </c>
      <c r="C100" s="86"/>
      <c r="D100" s="226"/>
      <c r="E100" s="7"/>
      <c r="K100" s="19"/>
    </row>
    <row r="101" spans="1:11" x14ac:dyDescent="0.3">
      <c r="B101" s="83" t="s">
        <v>29</v>
      </c>
      <c r="C101" s="86"/>
      <c r="D101" s="226"/>
      <c r="K101" s="19"/>
    </row>
    <row r="102" spans="1:11" x14ac:dyDescent="0.3">
      <c r="A102" s="8"/>
      <c r="B102" s="83" t="s">
        <v>273</v>
      </c>
      <c r="C102" s="86"/>
      <c r="D102" s="226" t="s">
        <v>374</v>
      </c>
      <c r="K102" s="19"/>
    </row>
    <row r="103" spans="1:11" x14ac:dyDescent="0.3">
      <c r="A103" s="8"/>
      <c r="B103" s="83" t="s">
        <v>274</v>
      </c>
      <c r="C103" s="86"/>
      <c r="D103" s="226" t="s">
        <v>373</v>
      </c>
      <c r="K103" s="19"/>
    </row>
    <row r="104" spans="1:11" x14ac:dyDescent="0.3">
      <c r="A104" s="8"/>
      <c r="B104" s="85" t="s">
        <v>30</v>
      </c>
      <c r="C104" s="652"/>
      <c r="D104" s="226"/>
      <c r="K104" s="19"/>
    </row>
    <row r="105" spans="1:11" x14ac:dyDescent="0.3">
      <c r="A105" s="8"/>
      <c r="B105" s="2"/>
      <c r="C105" s="8"/>
      <c r="D105" s="89"/>
      <c r="K105" s="19"/>
    </row>
    <row r="106" spans="1:11" ht="17.25" x14ac:dyDescent="0.35">
      <c r="B106" s="12" t="s">
        <v>431</v>
      </c>
      <c r="C106" s="8"/>
      <c r="D106" s="227"/>
      <c r="K106" s="19"/>
    </row>
    <row r="107" spans="1:11" x14ac:dyDescent="0.3">
      <c r="B107" s="82" t="s">
        <v>26</v>
      </c>
      <c r="C107" s="86"/>
      <c r="D107" s="226"/>
      <c r="K107" s="19"/>
    </row>
    <row r="108" spans="1:11" x14ac:dyDescent="0.3">
      <c r="B108" s="83" t="s">
        <v>27</v>
      </c>
      <c r="C108" s="86"/>
      <c r="D108" s="226"/>
      <c r="K108" s="19"/>
    </row>
    <row r="109" spans="1:11" x14ac:dyDescent="0.3">
      <c r="B109" s="83" t="s">
        <v>28</v>
      </c>
      <c r="C109" s="86"/>
      <c r="D109" s="226"/>
      <c r="K109" s="19"/>
    </row>
    <row r="110" spans="1:11" x14ac:dyDescent="0.3">
      <c r="B110" s="83" t="s">
        <v>29</v>
      </c>
      <c r="C110" s="86"/>
      <c r="D110" s="226"/>
      <c r="K110" s="19"/>
    </row>
    <row r="111" spans="1:11" ht="17.25" thickBot="1" x14ac:dyDescent="0.35">
      <c r="B111" s="84" t="s">
        <v>30</v>
      </c>
      <c r="C111" s="653"/>
      <c r="D111" s="228"/>
      <c r="K111" s="19"/>
    </row>
    <row r="112" spans="1:11" x14ac:dyDescent="0.3">
      <c r="A112" s="19"/>
      <c r="D112" s="180"/>
      <c r="K112" s="19"/>
    </row>
    <row r="113" spans="2:11" ht="17.25" x14ac:dyDescent="0.35">
      <c r="B113" s="20"/>
      <c r="C113" s="19"/>
      <c r="D113" s="19"/>
      <c r="E113" s="19"/>
      <c r="F113" s="19"/>
      <c r="G113" s="19"/>
      <c r="H113" s="19"/>
      <c r="I113" s="19"/>
      <c r="J113" s="19"/>
      <c r="K113" s="259"/>
    </row>
  </sheetData>
  <sheetProtection password="D93F" sheet="1" objects="1" scenarios="1" selectLockedCells="1"/>
  <customSheetViews>
    <customSheetView guid="{2A4C6EB9-430A-44F2-86C8-15B50360FC3B}" scale="80" showGridLines="0" zeroValues="0" topLeftCell="A61">
      <selection activeCell="B68" sqref="B68"/>
      <pageMargins left="0.7" right="0.7" top="0.75" bottom="0.75" header="0.3" footer="0.3"/>
      <pageSetup orientation="portrait" r:id="rId1"/>
    </customSheetView>
    <customSheetView guid="{B3BD5AF3-9A64-4EA7-AE1F-3CC326849B8F}" scale="80" showGridLines="0" zeroValues="0">
      <selection activeCell="D113" sqref="D113"/>
      <pageMargins left="0.7" right="0.7" top="0.75" bottom="0.75" header="0.3" footer="0.3"/>
      <pageSetup orientation="portrait" r:id="rId2"/>
    </customSheetView>
  </customSheetViews>
  <mergeCells count="11">
    <mergeCell ref="B22:D22"/>
    <mergeCell ref="B2:C2"/>
    <mergeCell ref="B11:C11"/>
    <mergeCell ref="F20:I20"/>
    <mergeCell ref="B15:C15"/>
    <mergeCell ref="F11:G11"/>
    <mergeCell ref="F29:G29"/>
    <mergeCell ref="F21:I23"/>
    <mergeCell ref="F26:G26"/>
    <mergeCell ref="F24:G24"/>
    <mergeCell ref="F25:G25"/>
  </mergeCells>
  <phoneticPr fontId="27" type="noConversion"/>
  <conditionalFormatting sqref="C43:C44">
    <cfRule type="expression" dxfId="77" priority="2" stopIfTrue="1">
      <formula>$C$25="Central Air Conditioner"</formula>
    </cfRule>
  </conditionalFormatting>
  <dataValidations count="6">
    <dataValidation type="list" showInputMessage="1" showErrorMessage="1" sqref="C28:C29 C34:C37">
      <formula1>Yes_No</formula1>
    </dataValidation>
    <dataValidation type="list" showInputMessage="1" showErrorMessage="1" sqref="C32">
      <formula1>Refrigerant_Type</formula1>
    </dataValidation>
    <dataValidation type="list" showInputMessage="1" showErrorMessage="1" sqref="C25">
      <formula1>Product_Type</formula1>
    </dataValidation>
    <dataValidation type="list" showInputMessage="1" showErrorMessage="1" sqref="C26">
      <formula1>Compressor_Type</formula1>
    </dataValidation>
    <dataValidation type="list" showInputMessage="1" showErrorMessage="1" sqref="C27">
      <formula1>Fan_Type</formula1>
    </dataValidation>
    <dataValidation type="list" allowBlank="1" showInputMessage="1" showErrorMessage="1" sqref="C16">
      <formula1>DD_TPused</formula1>
    </dataValidation>
  </dataValidations>
  <hyperlinks>
    <hyperlink ref="F3" location="Instructions!A1" display="Back to Instructions"/>
  </hyperlinks>
  <pageMargins left="0.7" right="0.7" top="0.75" bottom="0.75" header="0.3" footer="0.3"/>
  <pageSetup scale="69" orientation="portrait" r:id="rId3"/>
  <colBreaks count="1" manualBreakCount="1">
    <brk id="4" max="1048575" man="1"/>
  </col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K89"/>
  <sheetViews>
    <sheetView showGridLines="0" zoomScale="80" zoomScaleNormal="80" workbookViewId="0">
      <selection activeCell="E2" sqref="E2:F2"/>
    </sheetView>
  </sheetViews>
  <sheetFormatPr defaultColWidth="9.140625" defaultRowHeight="16.5" x14ac:dyDescent="0.3"/>
  <cols>
    <col min="1" max="1" width="5.28515625" style="6" customWidth="1"/>
    <col min="2" max="2" width="32.85546875" style="6" customWidth="1"/>
    <col min="3" max="3" width="76.7109375" style="6" customWidth="1"/>
    <col min="4" max="4" width="24.7109375" style="6" customWidth="1"/>
    <col min="5" max="6" width="12.7109375" style="6" customWidth="1"/>
    <col min="7" max="7" width="10.5703125" style="6" customWidth="1"/>
    <col min="8" max="8" width="24.140625" style="6" customWidth="1"/>
    <col min="9" max="9" width="18.140625" style="6" customWidth="1"/>
    <col min="10" max="10" width="6.5703125" style="114" customWidth="1"/>
    <col min="11" max="11" width="5.5703125" style="6" customWidth="1"/>
    <col min="12" max="16384" width="9.140625" style="6"/>
  </cols>
  <sheetData>
    <row r="1" spans="2:11" ht="17.25" thickBot="1" x14ac:dyDescent="0.35">
      <c r="J1" s="127"/>
      <c r="K1" s="19"/>
    </row>
    <row r="2" spans="2:11" s="1" customFormat="1" ht="18.75" thickBot="1" x14ac:dyDescent="0.4">
      <c r="B2" s="764" t="s">
        <v>562</v>
      </c>
      <c r="C2" s="765"/>
      <c r="E2" s="827" t="s">
        <v>540</v>
      </c>
      <c r="F2" s="827"/>
      <c r="G2" s="639"/>
      <c r="J2" s="128"/>
      <c r="K2" s="129"/>
    </row>
    <row r="3" spans="2:11" s="1" customFormat="1" ht="17.25" thickBot="1" x14ac:dyDescent="0.35">
      <c r="B3" s="297" t="s">
        <v>563</v>
      </c>
      <c r="C3" s="298" t="str">
        <f>'Version Control'!C3</f>
        <v>Residential Central Air Conditioners and Heat Pumps</v>
      </c>
      <c r="J3" s="128"/>
      <c r="K3" s="129"/>
    </row>
    <row r="4" spans="2:11" s="1" customFormat="1" ht="18" thickBot="1" x14ac:dyDescent="0.35">
      <c r="B4" s="299" t="s">
        <v>140</v>
      </c>
      <c r="C4" s="300" t="str">
        <f>'Version Control'!C4</f>
        <v>v2.1</v>
      </c>
      <c r="H4" s="761" t="s">
        <v>349</v>
      </c>
      <c r="I4" s="763"/>
      <c r="J4" s="128"/>
      <c r="K4" s="129"/>
    </row>
    <row r="5" spans="2:11" s="1" customFormat="1" x14ac:dyDescent="0.3">
      <c r="B5" s="299" t="s">
        <v>462</v>
      </c>
      <c r="C5" s="301">
        <f>'Version Control'!C5</f>
        <v>42653</v>
      </c>
      <c r="H5" s="55" t="s">
        <v>158</v>
      </c>
      <c r="I5" s="598">
        <f>'General Info and Test Results'!C25</f>
        <v>0</v>
      </c>
      <c r="J5" s="128"/>
      <c r="K5" s="129"/>
    </row>
    <row r="6" spans="2:11" s="1" customFormat="1" x14ac:dyDescent="0.3">
      <c r="B6" s="302" t="s">
        <v>139</v>
      </c>
      <c r="C6" s="303" t="str">
        <f ca="1">MID(CELL("filename",$A$1), FIND("]", CELL("filename", $A$1))+ 1, 255)</f>
        <v>Optional H1C Test Recorded Data</v>
      </c>
      <c r="H6" s="56" t="s">
        <v>153</v>
      </c>
      <c r="I6" s="599">
        <f>'General Info and Test Results'!C26</f>
        <v>0</v>
      </c>
      <c r="J6" s="128"/>
      <c r="K6" s="129"/>
    </row>
    <row r="7" spans="2:11" s="1" customFormat="1" ht="36.75" customHeight="1" thickBot="1" x14ac:dyDescent="0.35">
      <c r="B7" s="304" t="s">
        <v>138</v>
      </c>
      <c r="C7" s="305" t="str">
        <f ca="1">MID(CELL("FILENAME",F14),FIND("[",CELL("FILENAME",F14))+1,FIND("]",CELL("FILENAME",F14))-FIND("[",CELL("FILENAME",F14))-1)</f>
        <v>Residential Central Air Conditioners and Heat Pumps - v2.1.xlsx</v>
      </c>
      <c r="H7" s="57" t="s">
        <v>199</v>
      </c>
      <c r="I7" s="600">
        <f>'General Info and Test Results'!C27</f>
        <v>0</v>
      </c>
      <c r="J7" s="128"/>
      <c r="K7" s="129"/>
    </row>
    <row r="8" spans="2:11" s="1" customFormat="1" ht="17.25" thickBot="1" x14ac:dyDescent="0.35">
      <c r="B8" s="306" t="s">
        <v>141</v>
      </c>
      <c r="C8" s="307" t="str">
        <f>'Version Control'!C8</f>
        <v>[MM/DD/YYYY]</v>
      </c>
      <c r="G8" s="14"/>
      <c r="H8" s="9"/>
      <c r="J8" s="128"/>
      <c r="K8" s="129"/>
    </row>
    <row r="9" spans="2:11" s="1" customFormat="1" x14ac:dyDescent="0.3">
      <c r="B9" s="4"/>
      <c r="C9" s="262"/>
      <c r="J9" s="128"/>
      <c r="K9" s="129"/>
    </row>
    <row r="10" spans="2:11" s="1" customFormat="1" ht="17.25" thickBot="1" x14ac:dyDescent="0.35">
      <c r="B10" s="116"/>
      <c r="C10" s="372"/>
      <c r="D10" s="373"/>
      <c r="E10" s="373"/>
      <c r="F10" s="373"/>
      <c r="G10" s="373"/>
      <c r="J10" s="128"/>
      <c r="K10" s="129"/>
    </row>
    <row r="11" spans="2:11" ht="18.75" thickBot="1" x14ac:dyDescent="0.4">
      <c r="B11" s="942" t="str">
        <f>IF(AND($I$6="Single-Speed",$I$7="Fixed Speed"),"'H1C Test' Data to be recorded","'H1C1 Test' Data to be recorded")</f>
        <v>'H1C1 Test' Data to be recorded</v>
      </c>
      <c r="C11" s="943"/>
      <c r="D11" s="943"/>
      <c r="E11" s="943"/>
      <c r="F11" s="944"/>
      <c r="G11" s="341"/>
      <c r="H11" s="152" t="s">
        <v>196</v>
      </c>
      <c r="K11" s="19"/>
    </row>
    <row r="12" spans="2:11" ht="17.25" x14ac:dyDescent="0.35">
      <c r="B12" s="357"/>
      <c r="C12" s="344"/>
      <c r="D12" s="344"/>
      <c r="E12" s="380"/>
      <c r="F12" s="381"/>
      <c r="G12" s="359"/>
      <c r="H12" s="152"/>
      <c r="K12" s="19"/>
    </row>
    <row r="13" spans="2:11" ht="17.25" x14ac:dyDescent="0.35">
      <c r="B13" s="326"/>
      <c r="C13" s="382" t="s">
        <v>475</v>
      </c>
      <c r="D13" s="379"/>
      <c r="E13" s="383"/>
      <c r="F13" s="384"/>
      <c r="G13" s="359"/>
      <c r="H13" s="152"/>
      <c r="K13" s="19"/>
    </row>
    <row r="14" spans="2:11" ht="17.25" thickBot="1" x14ac:dyDescent="0.35">
      <c r="B14" s="321"/>
      <c r="C14" s="316"/>
      <c r="D14" s="316"/>
      <c r="E14" s="383"/>
      <c r="F14" s="384"/>
      <c r="G14" s="359"/>
      <c r="I14" s="138"/>
      <c r="J14" s="154"/>
      <c r="K14" s="19"/>
    </row>
    <row r="15" spans="2:11" ht="18" thickBot="1" x14ac:dyDescent="0.4">
      <c r="B15" s="321"/>
      <c r="C15" s="874" t="s">
        <v>55</v>
      </c>
      <c r="D15" s="876"/>
      <c r="E15" s="383"/>
      <c r="F15" s="384"/>
      <c r="G15" s="359"/>
      <c r="I15" s="138"/>
      <c r="J15" s="154"/>
      <c r="K15" s="19"/>
    </row>
    <row r="16" spans="2:11" ht="17.25" x14ac:dyDescent="0.35">
      <c r="B16" s="321"/>
      <c r="C16" s="325"/>
      <c r="D16" s="385" t="s">
        <v>446</v>
      </c>
      <c r="E16" s="386"/>
      <c r="F16" s="384"/>
      <c r="G16" s="359"/>
      <c r="I16" s="138"/>
      <c r="J16" s="154"/>
      <c r="K16" s="19"/>
    </row>
    <row r="17" spans="2:11" x14ac:dyDescent="0.3">
      <c r="B17" s="321"/>
      <c r="C17" s="322" t="s">
        <v>437</v>
      </c>
      <c r="D17" s="387"/>
      <c r="E17" s="383"/>
      <c r="F17" s="384"/>
      <c r="G17" s="359"/>
      <c r="I17" s="140"/>
      <c r="J17" s="155"/>
      <c r="K17" s="19"/>
    </row>
    <row r="18" spans="2:11" ht="33.75" thickBot="1" x14ac:dyDescent="0.35">
      <c r="B18" s="321"/>
      <c r="C18" s="388" t="s">
        <v>440</v>
      </c>
      <c r="D18" s="314"/>
      <c r="E18" s="383"/>
      <c r="F18" s="384"/>
      <c r="G18" s="359"/>
      <c r="I18" s="140"/>
      <c r="J18" s="155"/>
      <c r="K18" s="19"/>
    </row>
    <row r="19" spans="2:11" ht="17.25" thickBot="1" x14ac:dyDescent="0.35">
      <c r="B19" s="321"/>
      <c r="C19" s="337"/>
      <c r="D19" s="316"/>
      <c r="E19" s="383"/>
      <c r="F19" s="384"/>
      <c r="G19" s="359"/>
      <c r="I19" s="140"/>
      <c r="J19" s="155"/>
      <c r="K19" s="19"/>
    </row>
    <row r="20" spans="2:11" ht="18" thickBot="1" x14ac:dyDescent="0.4">
      <c r="B20" s="321"/>
      <c r="C20" s="874" t="s">
        <v>61</v>
      </c>
      <c r="D20" s="876"/>
      <c r="E20" s="383"/>
      <c r="F20" s="384"/>
      <c r="G20" s="359"/>
      <c r="I20" s="140"/>
      <c r="J20" s="155"/>
      <c r="K20" s="19"/>
    </row>
    <row r="21" spans="2:11" ht="32.25" customHeight="1" x14ac:dyDescent="0.35">
      <c r="B21" s="321"/>
      <c r="C21" s="352"/>
      <c r="D21" s="389" t="s">
        <v>447</v>
      </c>
      <c r="E21" s="386"/>
      <c r="F21" s="390"/>
      <c r="G21" s="359"/>
      <c r="I21" s="140"/>
      <c r="J21" s="155"/>
      <c r="K21" s="19"/>
    </row>
    <row r="22" spans="2:11" x14ac:dyDescent="0.3">
      <c r="B22" s="321"/>
      <c r="C22" s="329" t="s">
        <v>62</v>
      </c>
      <c r="D22" s="387"/>
      <c r="E22" s="343"/>
      <c r="F22" s="391"/>
      <c r="G22" s="359"/>
      <c r="I22" s="140"/>
      <c r="J22" s="155"/>
      <c r="K22" s="19"/>
    </row>
    <row r="23" spans="2:11" x14ac:dyDescent="0.3">
      <c r="B23" s="321"/>
      <c r="C23" s="332" t="s">
        <v>413</v>
      </c>
      <c r="D23" s="313"/>
      <c r="E23" s="343"/>
      <c r="F23" s="391"/>
      <c r="G23" s="359"/>
      <c r="I23" s="140"/>
      <c r="J23" s="155"/>
      <c r="K23" s="19"/>
    </row>
    <row r="24" spans="2:11" ht="17.25" thickBot="1" x14ac:dyDescent="0.35">
      <c r="B24" s="321"/>
      <c r="C24" s="324" t="s">
        <v>427</v>
      </c>
      <c r="D24" s="314"/>
      <c r="E24" s="343"/>
      <c r="F24" s="391"/>
      <c r="G24" s="359"/>
      <c r="I24" s="140"/>
      <c r="J24" s="155"/>
      <c r="K24" s="19"/>
    </row>
    <row r="25" spans="2:11" ht="17.25" thickBot="1" x14ac:dyDescent="0.35">
      <c r="B25" s="321"/>
      <c r="C25" s="316"/>
      <c r="D25" s="316"/>
      <c r="E25" s="383"/>
      <c r="F25" s="384"/>
      <c r="G25" s="359"/>
      <c r="I25" s="140"/>
      <c r="J25" s="155"/>
      <c r="K25" s="19"/>
    </row>
    <row r="26" spans="2:11" ht="18" thickBot="1" x14ac:dyDescent="0.4">
      <c r="B26" s="321"/>
      <c r="C26" s="874" t="s">
        <v>75</v>
      </c>
      <c r="D26" s="876"/>
      <c r="E26" s="383"/>
      <c r="F26" s="384"/>
      <c r="G26" s="359"/>
      <c r="I26" s="140"/>
      <c r="J26" s="155"/>
      <c r="K26" s="19"/>
    </row>
    <row r="27" spans="2:11" ht="34.5" x14ac:dyDescent="0.35">
      <c r="B27" s="321"/>
      <c r="C27" s="325"/>
      <c r="D27" s="389" t="s">
        <v>447</v>
      </c>
      <c r="E27" s="392"/>
      <c r="F27" s="393"/>
      <c r="G27" s="359"/>
      <c r="I27" s="140"/>
      <c r="J27" s="155"/>
      <c r="K27" s="19"/>
    </row>
    <row r="28" spans="2:11" x14ac:dyDescent="0.3">
      <c r="B28" s="321"/>
      <c r="C28" s="329" t="s">
        <v>304</v>
      </c>
      <c r="D28" s="387"/>
      <c r="E28" s="343"/>
      <c r="F28" s="391"/>
      <c r="G28" s="359"/>
      <c r="I28" s="140"/>
      <c r="J28" s="155"/>
      <c r="K28" s="19"/>
    </row>
    <row r="29" spans="2:11" ht="17.25" thickBot="1" x14ac:dyDescent="0.35">
      <c r="B29" s="321"/>
      <c r="C29" s="333" t="s">
        <v>305</v>
      </c>
      <c r="D29" s="641"/>
      <c r="E29" s="343"/>
      <c r="F29" s="391"/>
      <c r="G29" s="359"/>
      <c r="I29" s="140"/>
      <c r="J29" s="155"/>
      <c r="K29" s="19"/>
    </row>
    <row r="30" spans="2:11" ht="17.25" thickBot="1" x14ac:dyDescent="0.35">
      <c r="B30" s="321"/>
      <c r="C30" s="316"/>
      <c r="D30" s="316"/>
      <c r="E30" s="343"/>
      <c r="F30" s="391"/>
      <c r="G30" s="359"/>
      <c r="I30" s="140"/>
      <c r="J30" s="155"/>
      <c r="K30" s="19"/>
    </row>
    <row r="31" spans="2:11" ht="18" thickBot="1" x14ac:dyDescent="0.4">
      <c r="B31" s="321"/>
      <c r="C31" s="874" t="s">
        <v>80</v>
      </c>
      <c r="D31" s="876"/>
      <c r="E31" s="343"/>
      <c r="F31" s="391"/>
      <c r="G31" s="359"/>
      <c r="I31" s="140"/>
      <c r="J31" s="155"/>
      <c r="K31" s="19"/>
    </row>
    <row r="32" spans="2:11" ht="34.5" x14ac:dyDescent="0.35">
      <c r="B32" s="321"/>
      <c r="C32" s="325"/>
      <c r="D32" s="389" t="s">
        <v>447</v>
      </c>
      <c r="E32" s="392"/>
      <c r="F32" s="393"/>
      <c r="G32" s="359"/>
      <c r="I32" s="140"/>
      <c r="J32" s="155"/>
      <c r="K32" s="19"/>
    </row>
    <row r="33" spans="2:11" x14ac:dyDescent="0.3">
      <c r="B33" s="321"/>
      <c r="C33" s="329" t="s">
        <v>81</v>
      </c>
      <c r="D33" s="387"/>
      <c r="E33" s="343"/>
      <c r="F33" s="391"/>
      <c r="G33" s="359"/>
      <c r="I33" s="140"/>
      <c r="J33" s="155"/>
      <c r="K33" s="19"/>
    </row>
    <row r="34" spans="2:11" x14ac:dyDescent="0.3">
      <c r="B34" s="321"/>
      <c r="C34" s="332" t="s">
        <v>82</v>
      </c>
      <c r="D34" s="313"/>
      <c r="E34" s="343"/>
      <c r="F34" s="391"/>
      <c r="G34" s="359"/>
      <c r="I34" s="140"/>
      <c r="J34" s="155"/>
      <c r="K34" s="19"/>
    </row>
    <row r="35" spans="2:11" x14ac:dyDescent="0.3">
      <c r="B35" s="321"/>
      <c r="C35" s="329" t="s">
        <v>83</v>
      </c>
      <c r="D35" s="313"/>
      <c r="E35" s="343"/>
      <c r="F35" s="391"/>
      <c r="G35" s="359"/>
      <c r="I35" s="140"/>
      <c r="J35" s="155"/>
      <c r="K35" s="19"/>
    </row>
    <row r="36" spans="2:11" x14ac:dyDescent="0.3">
      <c r="B36" s="321"/>
      <c r="C36" s="332" t="s">
        <v>84</v>
      </c>
      <c r="D36" s="313"/>
      <c r="E36" s="343"/>
      <c r="F36" s="391"/>
      <c r="G36" s="359"/>
      <c r="I36" s="140"/>
      <c r="J36" s="155"/>
      <c r="K36" s="19"/>
    </row>
    <row r="37" spans="2:11" x14ac:dyDescent="0.3">
      <c r="B37" s="321"/>
      <c r="C37" s="329" t="s">
        <v>85</v>
      </c>
      <c r="D37" s="313"/>
      <c r="E37" s="343"/>
      <c r="F37" s="391"/>
      <c r="G37" s="359"/>
      <c r="I37" s="140"/>
      <c r="J37" s="155"/>
      <c r="K37" s="19"/>
    </row>
    <row r="38" spans="2:11" x14ac:dyDescent="0.3">
      <c r="B38" s="321"/>
      <c r="C38" s="332" t="s">
        <v>86</v>
      </c>
      <c r="D38" s="313"/>
      <c r="E38" s="343"/>
      <c r="F38" s="391"/>
      <c r="G38" s="359"/>
      <c r="I38" s="140"/>
      <c r="J38" s="155"/>
      <c r="K38" s="19"/>
    </row>
    <row r="39" spans="2:11" x14ac:dyDescent="0.3">
      <c r="B39" s="321"/>
      <c r="C39" s="329" t="s">
        <v>87</v>
      </c>
      <c r="D39" s="313"/>
      <c r="E39" s="343"/>
      <c r="F39" s="391"/>
      <c r="G39" s="359"/>
      <c r="I39" s="140"/>
      <c r="J39" s="155"/>
      <c r="K39" s="19"/>
    </row>
    <row r="40" spans="2:11" ht="17.25" thickBot="1" x14ac:dyDescent="0.35">
      <c r="B40" s="321"/>
      <c r="C40" s="333" t="s">
        <v>88</v>
      </c>
      <c r="D40" s="314"/>
      <c r="E40" s="343"/>
      <c r="F40" s="391"/>
      <c r="G40" s="359"/>
      <c r="I40" s="140"/>
      <c r="J40" s="155"/>
      <c r="K40" s="19"/>
    </row>
    <row r="41" spans="2:11" ht="17.25" thickBot="1" x14ac:dyDescent="0.35">
      <c r="B41" s="321"/>
      <c r="C41" s="316"/>
      <c r="D41" s="316"/>
      <c r="E41" s="394"/>
      <c r="F41" s="395"/>
      <c r="G41" s="359"/>
      <c r="I41" s="140"/>
      <c r="J41" s="155"/>
      <c r="K41" s="19"/>
    </row>
    <row r="42" spans="2:11" ht="18" thickBot="1" x14ac:dyDescent="0.4">
      <c r="B42" s="321"/>
      <c r="C42" s="874" t="s">
        <v>89</v>
      </c>
      <c r="D42" s="876"/>
      <c r="E42" s="343"/>
      <c r="F42" s="395"/>
      <c r="G42" s="359"/>
      <c r="I42" s="140"/>
      <c r="J42" s="155"/>
      <c r="K42" s="19"/>
    </row>
    <row r="43" spans="2:11" ht="17.25" x14ac:dyDescent="0.35">
      <c r="B43" s="326"/>
      <c r="C43" s="325"/>
      <c r="D43" s="438" t="s">
        <v>448</v>
      </c>
      <c r="E43" s="343"/>
      <c r="F43" s="396"/>
      <c r="G43" s="359"/>
      <c r="I43" s="140"/>
      <c r="J43" s="155"/>
      <c r="K43" s="19"/>
    </row>
    <row r="44" spans="2:11" ht="18" customHeight="1" x14ac:dyDescent="0.35">
      <c r="B44" s="321"/>
      <c r="C44" s="439" t="s">
        <v>445</v>
      </c>
      <c r="D44" s="440"/>
      <c r="E44" s="343"/>
      <c r="F44" s="342"/>
      <c r="G44" s="359"/>
      <c r="I44" s="140"/>
      <c r="J44" s="155"/>
      <c r="K44" s="19"/>
    </row>
    <row r="45" spans="2:11" ht="17.25" x14ac:dyDescent="0.35">
      <c r="B45" s="321"/>
      <c r="C45" s="332" t="s">
        <v>91</v>
      </c>
      <c r="D45" s="440"/>
      <c r="E45" s="343"/>
      <c r="F45" s="342"/>
      <c r="G45" s="359"/>
      <c r="I45" s="140"/>
      <c r="J45" s="155"/>
      <c r="K45" s="19"/>
    </row>
    <row r="46" spans="2:11" ht="17.25" x14ac:dyDescent="0.35">
      <c r="B46" s="321"/>
      <c r="C46" s="329" t="s">
        <v>306</v>
      </c>
      <c r="D46" s="440"/>
      <c r="E46" s="343"/>
      <c r="F46" s="342"/>
      <c r="G46" s="359"/>
      <c r="I46" s="140"/>
      <c r="J46" s="155"/>
      <c r="K46" s="19"/>
    </row>
    <row r="47" spans="2:11" ht="16.5" customHeight="1" thickBot="1" x14ac:dyDescent="0.35">
      <c r="B47" s="321"/>
      <c r="C47" s="330" t="s">
        <v>552</v>
      </c>
      <c r="D47" s="441" t="str">
        <f>IF(D44+D46=0,"",D44+D46)</f>
        <v/>
      </c>
      <c r="E47" s="343"/>
      <c r="F47" s="317"/>
      <c r="G47" s="359"/>
      <c r="I47" s="156"/>
      <c r="J47" s="156"/>
      <c r="K47" s="19"/>
    </row>
    <row r="48" spans="2:11" ht="17.25" thickBot="1" x14ac:dyDescent="0.35">
      <c r="B48" s="334"/>
      <c r="C48" s="319"/>
      <c r="D48" s="319"/>
      <c r="E48" s="319"/>
      <c r="F48" s="320"/>
      <c r="G48" s="359"/>
      <c r="I48" s="155"/>
      <c r="J48" s="155"/>
      <c r="K48" s="19"/>
    </row>
    <row r="49" spans="2:11" ht="17.25" thickBot="1" x14ac:dyDescent="0.35">
      <c r="B49" s="340"/>
      <c r="C49" s="340"/>
      <c r="D49" s="340"/>
      <c r="E49" s="340"/>
      <c r="F49" s="339"/>
      <c r="G49" s="359"/>
      <c r="I49" s="155"/>
      <c r="J49" s="155"/>
      <c r="K49" s="19"/>
    </row>
    <row r="50" spans="2:11" ht="18.75" thickBot="1" x14ac:dyDescent="0.4">
      <c r="B50" s="902" t="s">
        <v>550</v>
      </c>
      <c r="C50" s="903"/>
      <c r="D50" s="903"/>
      <c r="E50" s="903"/>
      <c r="F50" s="904"/>
      <c r="G50" s="341"/>
      <c r="I50" s="114"/>
      <c r="K50" s="19"/>
    </row>
    <row r="51" spans="2:11" ht="17.25" x14ac:dyDescent="0.35">
      <c r="B51" s="357"/>
      <c r="C51" s="344"/>
      <c r="D51" s="344"/>
      <c r="E51" s="344"/>
      <c r="F51" s="336"/>
      <c r="G51" s="359"/>
      <c r="I51" s="114"/>
      <c r="K51" s="19"/>
    </row>
    <row r="52" spans="2:11" x14ac:dyDescent="0.3">
      <c r="B52" s="321"/>
      <c r="C52" s="382" t="s">
        <v>475</v>
      </c>
      <c r="D52" s="379"/>
      <c r="E52" s="316"/>
      <c r="F52" s="317"/>
      <c r="G52" s="359"/>
      <c r="I52" s="114"/>
      <c r="K52" s="19"/>
    </row>
    <row r="53" spans="2:11" ht="17.25" thickBot="1" x14ac:dyDescent="0.35">
      <c r="B53" s="321"/>
      <c r="C53" s="316"/>
      <c r="D53" s="316"/>
      <c r="E53" s="316"/>
      <c r="F53" s="317"/>
      <c r="G53" s="359"/>
      <c r="I53" s="114"/>
      <c r="K53" s="19"/>
    </row>
    <row r="54" spans="2:11" ht="18" thickBot="1" x14ac:dyDescent="0.4">
      <c r="B54" s="321"/>
      <c r="C54" s="874" t="s">
        <v>55</v>
      </c>
      <c r="D54" s="876"/>
      <c r="E54" s="316"/>
      <c r="F54" s="317"/>
      <c r="G54" s="359"/>
      <c r="I54" s="114"/>
      <c r="K54" s="19"/>
    </row>
    <row r="55" spans="2:11" ht="17.25" x14ac:dyDescent="0.35">
      <c r="B55" s="321"/>
      <c r="C55" s="325"/>
      <c r="D55" s="385" t="s">
        <v>446</v>
      </c>
      <c r="E55" s="397"/>
      <c r="F55" s="396"/>
      <c r="G55" s="359"/>
      <c r="I55" s="114"/>
      <c r="K55" s="19"/>
    </row>
    <row r="56" spans="2:11" ht="17.25" x14ac:dyDescent="0.35">
      <c r="B56" s="321"/>
      <c r="C56" s="322" t="s">
        <v>437</v>
      </c>
      <c r="D56" s="387"/>
      <c r="E56" s="397"/>
      <c r="F56" s="396"/>
      <c r="G56" s="359"/>
      <c r="I56" s="157"/>
      <c r="J56" s="155"/>
      <c r="K56" s="19"/>
    </row>
    <row r="57" spans="2:11" ht="34.5" thickBot="1" x14ac:dyDescent="0.4">
      <c r="B57" s="321"/>
      <c r="C57" s="388" t="s">
        <v>551</v>
      </c>
      <c r="D57" s="314"/>
      <c r="E57" s="397"/>
      <c r="F57" s="396"/>
      <c r="G57" s="359"/>
      <c r="I57" s="114"/>
      <c r="K57" s="19"/>
    </row>
    <row r="58" spans="2:11" ht="18" thickBot="1" x14ac:dyDescent="0.4">
      <c r="B58" s="321"/>
      <c r="C58" s="337"/>
      <c r="D58" s="316"/>
      <c r="E58" s="397"/>
      <c r="F58" s="396"/>
      <c r="G58" s="359"/>
      <c r="I58" s="114"/>
      <c r="K58" s="19"/>
    </row>
    <row r="59" spans="2:11" ht="18" thickBot="1" x14ac:dyDescent="0.4">
      <c r="B59" s="321"/>
      <c r="C59" s="874" t="s">
        <v>61</v>
      </c>
      <c r="D59" s="876"/>
      <c r="E59" s="397"/>
      <c r="F59" s="396"/>
      <c r="G59" s="359"/>
      <c r="I59" s="114"/>
      <c r="K59" s="19"/>
    </row>
    <row r="60" spans="2:11" ht="34.5" x14ac:dyDescent="0.35">
      <c r="B60" s="321"/>
      <c r="C60" s="352"/>
      <c r="D60" s="389" t="s">
        <v>447</v>
      </c>
      <c r="E60" s="397"/>
      <c r="F60" s="396"/>
      <c r="G60" s="359"/>
      <c r="I60" s="114"/>
      <c r="K60" s="19"/>
    </row>
    <row r="61" spans="2:11" ht="17.25" x14ac:dyDescent="0.35">
      <c r="B61" s="321"/>
      <c r="C61" s="329" t="s">
        <v>62</v>
      </c>
      <c r="D61" s="387"/>
      <c r="E61" s="397"/>
      <c r="F61" s="396"/>
      <c r="G61" s="359"/>
      <c r="I61" s="114"/>
      <c r="K61" s="19"/>
    </row>
    <row r="62" spans="2:11" ht="17.25" x14ac:dyDescent="0.35">
      <c r="B62" s="321"/>
      <c r="C62" s="332" t="s">
        <v>413</v>
      </c>
      <c r="D62" s="313"/>
      <c r="E62" s="397"/>
      <c r="F62" s="396"/>
      <c r="G62" s="359"/>
      <c r="I62" s="114"/>
      <c r="K62" s="19"/>
    </row>
    <row r="63" spans="2:11" ht="18" thickBot="1" x14ac:dyDescent="0.4">
      <c r="B63" s="321"/>
      <c r="C63" s="324" t="s">
        <v>427</v>
      </c>
      <c r="D63" s="314"/>
      <c r="E63" s="397"/>
      <c r="F63" s="396"/>
      <c r="G63" s="359"/>
      <c r="I63" s="114"/>
      <c r="K63" s="19"/>
    </row>
    <row r="64" spans="2:11" ht="18" thickBot="1" x14ac:dyDescent="0.4">
      <c r="B64" s="321"/>
      <c r="C64" s="316"/>
      <c r="D64" s="316"/>
      <c r="E64" s="397"/>
      <c r="F64" s="396"/>
      <c r="G64" s="359"/>
      <c r="I64" s="114"/>
      <c r="K64" s="19"/>
    </row>
    <row r="65" spans="2:11" ht="18" thickBot="1" x14ac:dyDescent="0.4">
      <c r="B65" s="321"/>
      <c r="C65" s="874" t="s">
        <v>75</v>
      </c>
      <c r="D65" s="876"/>
      <c r="E65" s="397"/>
      <c r="F65" s="396"/>
      <c r="G65" s="359"/>
      <c r="I65" s="114"/>
      <c r="K65" s="19"/>
    </row>
    <row r="66" spans="2:11" ht="34.5" x14ac:dyDescent="0.35">
      <c r="B66" s="321"/>
      <c r="C66" s="325"/>
      <c r="D66" s="389" t="s">
        <v>447</v>
      </c>
      <c r="E66" s="397"/>
      <c r="F66" s="396"/>
      <c r="G66" s="359"/>
      <c r="I66" s="114"/>
      <c r="K66" s="19"/>
    </row>
    <row r="67" spans="2:11" ht="17.25" x14ac:dyDescent="0.35">
      <c r="B67" s="321"/>
      <c r="C67" s="329" t="s">
        <v>76</v>
      </c>
      <c r="D67" s="387"/>
      <c r="E67" s="397"/>
      <c r="F67" s="396"/>
      <c r="G67" s="359"/>
      <c r="I67" s="114"/>
      <c r="K67" s="19"/>
    </row>
    <row r="68" spans="2:11" ht="18" thickBot="1" x14ac:dyDescent="0.4">
      <c r="B68" s="321"/>
      <c r="C68" s="333" t="s">
        <v>77</v>
      </c>
      <c r="D68" s="314"/>
      <c r="E68" s="397"/>
      <c r="F68" s="396"/>
      <c r="G68" s="359"/>
      <c r="I68" s="114"/>
      <c r="K68" s="19"/>
    </row>
    <row r="69" spans="2:11" ht="18" thickBot="1" x14ac:dyDescent="0.4">
      <c r="B69" s="321"/>
      <c r="C69" s="316"/>
      <c r="D69" s="397"/>
      <c r="E69" s="397"/>
      <c r="F69" s="351"/>
      <c r="G69" s="340"/>
      <c r="I69" s="114"/>
      <c r="K69" s="19"/>
    </row>
    <row r="70" spans="2:11" ht="18" thickBot="1" x14ac:dyDescent="0.4">
      <c r="B70" s="321"/>
      <c r="C70" s="874" t="s">
        <v>80</v>
      </c>
      <c r="D70" s="876"/>
      <c r="E70" s="397"/>
      <c r="F70" s="351"/>
      <c r="G70" s="340"/>
      <c r="I70" s="114"/>
      <c r="K70" s="19"/>
    </row>
    <row r="71" spans="2:11" ht="34.5" x14ac:dyDescent="0.35">
      <c r="B71" s="321"/>
      <c r="C71" s="325"/>
      <c r="D71" s="389" t="s">
        <v>447</v>
      </c>
      <c r="E71" s="397"/>
      <c r="F71" s="396"/>
      <c r="G71" s="359"/>
      <c r="I71" s="114"/>
      <c r="K71" s="19"/>
    </row>
    <row r="72" spans="2:11" ht="17.25" x14ac:dyDescent="0.35">
      <c r="B72" s="321"/>
      <c r="C72" s="329" t="s">
        <v>81</v>
      </c>
      <c r="D72" s="387"/>
      <c r="E72" s="397"/>
      <c r="F72" s="396"/>
      <c r="G72" s="359"/>
      <c r="I72" s="114"/>
      <c r="K72" s="19"/>
    </row>
    <row r="73" spans="2:11" ht="17.25" x14ac:dyDescent="0.35">
      <c r="B73" s="321"/>
      <c r="C73" s="332" t="s">
        <v>82</v>
      </c>
      <c r="D73" s="313"/>
      <c r="E73" s="397"/>
      <c r="F73" s="396"/>
      <c r="G73" s="359"/>
      <c r="I73" s="114"/>
      <c r="K73" s="19"/>
    </row>
    <row r="74" spans="2:11" ht="17.25" x14ac:dyDescent="0.35">
      <c r="B74" s="321"/>
      <c r="C74" s="329" t="s">
        <v>83</v>
      </c>
      <c r="D74" s="313"/>
      <c r="E74" s="397"/>
      <c r="F74" s="396"/>
      <c r="G74" s="359"/>
      <c r="I74" s="114"/>
      <c r="K74" s="19"/>
    </row>
    <row r="75" spans="2:11" ht="17.25" x14ac:dyDescent="0.35">
      <c r="B75" s="321"/>
      <c r="C75" s="332" t="s">
        <v>84</v>
      </c>
      <c r="D75" s="313"/>
      <c r="E75" s="397"/>
      <c r="F75" s="396"/>
      <c r="G75" s="359"/>
      <c r="I75" s="114"/>
      <c r="K75" s="19"/>
    </row>
    <row r="76" spans="2:11" ht="17.25" x14ac:dyDescent="0.35">
      <c r="B76" s="321"/>
      <c r="C76" s="329" t="s">
        <v>85</v>
      </c>
      <c r="D76" s="313"/>
      <c r="E76" s="397"/>
      <c r="F76" s="396"/>
      <c r="G76" s="359"/>
      <c r="I76" s="114"/>
      <c r="K76" s="19"/>
    </row>
    <row r="77" spans="2:11" ht="17.25" x14ac:dyDescent="0.35">
      <c r="B77" s="321"/>
      <c r="C77" s="332" t="s">
        <v>86</v>
      </c>
      <c r="D77" s="313"/>
      <c r="E77" s="397"/>
      <c r="F77" s="396"/>
      <c r="G77" s="359"/>
      <c r="I77" s="114"/>
      <c r="K77" s="19"/>
    </row>
    <row r="78" spans="2:11" ht="17.25" x14ac:dyDescent="0.35">
      <c r="B78" s="321"/>
      <c r="C78" s="329" t="s">
        <v>87</v>
      </c>
      <c r="D78" s="313"/>
      <c r="E78" s="397"/>
      <c r="F78" s="396"/>
      <c r="G78" s="359"/>
      <c r="I78" s="114"/>
      <c r="K78" s="19"/>
    </row>
    <row r="79" spans="2:11" ht="18" thickBot="1" x14ac:dyDescent="0.4">
      <c r="B79" s="321"/>
      <c r="C79" s="333" t="s">
        <v>88</v>
      </c>
      <c r="D79" s="314"/>
      <c r="E79" s="397"/>
      <c r="F79" s="396"/>
      <c r="G79" s="359"/>
      <c r="I79" s="114"/>
      <c r="K79" s="19"/>
    </row>
    <row r="80" spans="2:11" ht="18" thickBot="1" x14ac:dyDescent="0.4">
      <c r="B80" s="321"/>
      <c r="C80" s="316"/>
      <c r="D80" s="316"/>
      <c r="E80" s="397"/>
      <c r="F80" s="317"/>
      <c r="G80" s="359"/>
      <c r="I80" s="114"/>
      <c r="K80" s="19"/>
    </row>
    <row r="81" spans="1:11" ht="18" thickBot="1" x14ac:dyDescent="0.4">
      <c r="B81" s="321"/>
      <c r="C81" s="874" t="s">
        <v>194</v>
      </c>
      <c r="D81" s="876"/>
      <c r="E81" s="397"/>
      <c r="F81" s="317"/>
      <c r="G81" s="359"/>
      <c r="I81" s="114"/>
      <c r="K81" s="19"/>
    </row>
    <row r="82" spans="1:11" ht="17.25" x14ac:dyDescent="0.35">
      <c r="B82" s="326"/>
      <c r="C82" s="325"/>
      <c r="D82" s="438" t="s">
        <v>446</v>
      </c>
      <c r="E82" s="397"/>
      <c r="F82" s="398"/>
      <c r="G82" s="359"/>
      <c r="I82" s="114"/>
      <c r="K82" s="19"/>
    </row>
    <row r="83" spans="1:11" ht="17.25" x14ac:dyDescent="0.35">
      <c r="B83" s="321"/>
      <c r="C83" s="329" t="s">
        <v>553</v>
      </c>
      <c r="D83" s="440"/>
      <c r="E83" s="397"/>
      <c r="F83" s="342"/>
      <c r="G83" s="359"/>
      <c r="I83" s="114"/>
      <c r="K83" s="19"/>
    </row>
    <row r="84" spans="1:11" ht="17.25" x14ac:dyDescent="0.35">
      <c r="B84" s="321"/>
      <c r="C84" s="332" t="s">
        <v>91</v>
      </c>
      <c r="D84" s="440"/>
      <c r="E84" s="397"/>
      <c r="F84" s="342"/>
      <c r="G84" s="359"/>
      <c r="I84" s="114"/>
      <c r="K84" s="19"/>
    </row>
    <row r="85" spans="1:11" ht="17.25" x14ac:dyDescent="0.35">
      <c r="B85" s="321"/>
      <c r="C85" s="329" t="s">
        <v>306</v>
      </c>
      <c r="D85" s="440"/>
      <c r="E85" s="397"/>
      <c r="F85" s="342"/>
      <c r="G85" s="359"/>
      <c r="I85" s="114"/>
      <c r="K85" s="19"/>
    </row>
    <row r="86" spans="1:11" ht="34.5" thickBot="1" x14ac:dyDescent="0.4">
      <c r="B86" s="321"/>
      <c r="C86" s="330" t="s">
        <v>552</v>
      </c>
      <c r="D86" s="441" t="str">
        <f>IF(D83+D85=0,"",D83+D85)</f>
        <v/>
      </c>
      <c r="E86" s="397"/>
      <c r="F86" s="317"/>
      <c r="G86" s="359"/>
      <c r="I86" s="114"/>
      <c r="K86" s="19"/>
    </row>
    <row r="87" spans="1:11" ht="17.25" thickBot="1" x14ac:dyDescent="0.35">
      <c r="B87" s="334"/>
      <c r="C87" s="319"/>
      <c r="D87" s="319"/>
      <c r="E87" s="319"/>
      <c r="F87" s="320"/>
      <c r="G87" s="359"/>
      <c r="K87" s="19"/>
    </row>
    <row r="88" spans="1:11" x14ac:dyDescent="0.3">
      <c r="K88" s="19"/>
    </row>
    <row r="89" spans="1:11" s="18" customFormat="1" x14ac:dyDescent="0.3">
      <c r="A89" s="19"/>
      <c r="B89" s="19"/>
      <c r="C89" s="19"/>
      <c r="D89" s="19"/>
      <c r="E89" s="19"/>
      <c r="F89" s="19"/>
      <c r="G89" s="19"/>
      <c r="H89" s="19"/>
      <c r="I89" s="259"/>
      <c r="J89" s="259"/>
      <c r="K89" s="259"/>
    </row>
  </sheetData>
  <sheetProtection password="D93F" sheet="1" objects="1" scenarios="1" selectLockedCells="1"/>
  <mergeCells count="15">
    <mergeCell ref="C81:D81"/>
    <mergeCell ref="B50:F50"/>
    <mergeCell ref="C54:D54"/>
    <mergeCell ref="C59:D59"/>
    <mergeCell ref="C65:D65"/>
    <mergeCell ref="E2:F2"/>
    <mergeCell ref="H4:I4"/>
    <mergeCell ref="B11:F11"/>
    <mergeCell ref="C15:D15"/>
    <mergeCell ref="C70:D70"/>
    <mergeCell ref="C20:D20"/>
    <mergeCell ref="C26:D26"/>
    <mergeCell ref="C31:D31"/>
    <mergeCell ref="C42:D42"/>
    <mergeCell ref="B2:C2"/>
  </mergeCells>
  <conditionalFormatting sqref="D44:D47 D33:D40 D22:D24 D17:D18 D28:D29">
    <cfRule type="expression" dxfId="32" priority="2" stopIfTrue="1">
      <formula>OR($I$5 = "Heating Only Central Heat Pump", $I$6 = "Variable-Speed")</formula>
    </cfRule>
  </conditionalFormatting>
  <conditionalFormatting sqref="D83:D86 D72:D79 D67:D68 D61:D63 D56:D57 D52">
    <cfRule type="expression" dxfId="31" priority="3" stopIfTrue="1">
      <formula>OR($I$6&lt;&gt;"Two-Speed",$I$5="Heating Only Central Heat Pump")</formula>
    </cfRule>
  </conditionalFormatting>
  <conditionalFormatting sqref="D13">
    <cfRule type="expression" dxfId="30" priority="1" stopIfTrue="1">
      <formula>OR($I$5 = "Central Air Conditioner", $I$6 = "Variable-Speed")</formula>
    </cfRule>
  </conditionalFormatting>
  <dataValidations count="1">
    <dataValidation type="list" showInputMessage="1" showErrorMessage="1" sqref="D52 D13">
      <formula1>Duration</formula1>
    </dataValidation>
  </dataValidations>
  <hyperlinks>
    <hyperlink ref="E2" location="Instructions!A1" display="Back to Instructions"/>
    <hyperlink ref="E2:F2" location="Instructions!A1" display="Back to Instructions tab"/>
  </hyperlinks>
  <pageMargins left="0.7" right="0.7" top="0.75" bottom="0.75" header="0.3" footer="0.3"/>
  <pageSetup orientation="portrait" horizontalDpi="200" verticalDpi="200"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O44"/>
  <sheetViews>
    <sheetView showGridLines="0" zoomScale="80" zoomScaleNormal="80" workbookViewId="0">
      <selection activeCell="E2" sqref="E2:F2"/>
    </sheetView>
  </sheetViews>
  <sheetFormatPr defaultRowHeight="15" x14ac:dyDescent="0.25"/>
  <cols>
    <col min="2" max="2" width="32" customWidth="1"/>
    <col min="3" max="3" width="83.85546875" customWidth="1"/>
    <col min="4" max="4" width="10.42578125" customWidth="1"/>
    <col min="5" max="5" width="12" customWidth="1"/>
    <col min="6" max="6" width="17.5703125" customWidth="1"/>
    <col min="7" max="7" width="3.140625" customWidth="1"/>
    <col min="8" max="8" width="23.42578125" customWidth="1"/>
    <col min="11" max="11" width="5" customWidth="1"/>
    <col min="12" max="12" width="28.140625" customWidth="1"/>
  </cols>
  <sheetData>
    <row r="1" spans="2:11" ht="15.75" thickBot="1" x14ac:dyDescent="0.3"/>
    <row r="2" spans="2:11" s="1" customFormat="1" ht="18.75" thickBot="1" x14ac:dyDescent="0.4">
      <c r="B2" s="764" t="s">
        <v>562</v>
      </c>
      <c r="C2" s="765"/>
      <c r="E2" s="827" t="s">
        <v>540</v>
      </c>
      <c r="F2" s="827"/>
      <c r="G2" s="639"/>
      <c r="J2" s="128"/>
      <c r="K2" s="129"/>
    </row>
    <row r="3" spans="2:11" s="1" customFormat="1" ht="17.25" customHeight="1" thickBot="1" x14ac:dyDescent="0.35">
      <c r="B3" s="297" t="s">
        <v>563</v>
      </c>
      <c r="C3" s="298" t="str">
        <f>'Version Control'!C3</f>
        <v>Residential Central Air Conditioners and Heat Pumps</v>
      </c>
      <c r="J3" s="128"/>
      <c r="K3" s="129"/>
    </row>
    <row r="4" spans="2:11" s="1" customFormat="1" ht="18" thickBot="1" x14ac:dyDescent="0.35">
      <c r="B4" s="299" t="s">
        <v>140</v>
      </c>
      <c r="C4" s="300" t="str">
        <f>'Version Control'!C4</f>
        <v>v2.1</v>
      </c>
      <c r="H4" s="761" t="s">
        <v>349</v>
      </c>
      <c r="I4" s="763"/>
      <c r="J4" s="128"/>
      <c r="K4" s="129"/>
    </row>
    <row r="5" spans="2:11" s="1" customFormat="1" ht="16.5" x14ac:dyDescent="0.3">
      <c r="B5" s="299" t="s">
        <v>462</v>
      </c>
      <c r="C5" s="301">
        <f>'Version Control'!C5</f>
        <v>42653</v>
      </c>
      <c r="H5" s="50" t="s">
        <v>158</v>
      </c>
      <c r="I5" s="598">
        <f>'General Info and Test Results'!C25</f>
        <v>0</v>
      </c>
      <c r="J5" s="128"/>
      <c r="K5" s="129"/>
    </row>
    <row r="6" spans="2:11" s="1" customFormat="1" ht="16.5" x14ac:dyDescent="0.3">
      <c r="B6" s="302" t="s">
        <v>139</v>
      </c>
      <c r="C6" s="303" t="str">
        <f ca="1">MID(CELL("filename",$A$1), FIND("]", CELL("filename", $A$1))+ 1, 255)</f>
        <v>Off Mode Test Data</v>
      </c>
      <c r="H6" s="51" t="s">
        <v>153</v>
      </c>
      <c r="I6" s="599">
        <f>'General Info and Test Results'!C26</f>
        <v>0</v>
      </c>
      <c r="J6" s="128"/>
      <c r="K6" s="129"/>
    </row>
    <row r="7" spans="2:11" s="1" customFormat="1" ht="17.25" thickBot="1" x14ac:dyDescent="0.35">
      <c r="B7" s="304" t="s">
        <v>138</v>
      </c>
      <c r="C7" s="305" t="str">
        <f ca="1">MID(CELL("FILENAME",E19),FIND("[",CELL("FILENAME",E19))+1,FIND("]",CELL("FILENAME",E19))-FIND("[",CELL("FILENAME",E19))-1)</f>
        <v>Residential Central Air Conditioners and Heat Pumps - v2.1.xlsx</v>
      </c>
      <c r="H7" s="601" t="s">
        <v>199</v>
      </c>
      <c r="I7" s="600">
        <f>'General Info and Test Results'!C27</f>
        <v>0</v>
      </c>
      <c r="J7" s="128"/>
      <c r="K7" s="129"/>
    </row>
    <row r="8" spans="2:11" s="1" customFormat="1" ht="17.25" thickBot="1" x14ac:dyDescent="0.35">
      <c r="B8" s="306" t="s">
        <v>141</v>
      </c>
      <c r="C8" s="307" t="str">
        <f>'Version Control'!C8</f>
        <v>[MM/DD/YYYY]</v>
      </c>
      <c r="H8" s="14"/>
      <c r="I8" s="9"/>
      <c r="J8" s="128"/>
      <c r="K8" s="129"/>
    </row>
    <row r="9" spans="2:11" ht="16.5" x14ac:dyDescent="0.3">
      <c r="K9" s="129"/>
    </row>
    <row r="10" spans="2:11" ht="17.25" thickBot="1" x14ac:dyDescent="0.35">
      <c r="K10" s="129"/>
    </row>
    <row r="11" spans="2:11" ht="18.75" thickBot="1" x14ac:dyDescent="0.4">
      <c r="C11" s="905" t="s">
        <v>686</v>
      </c>
      <c r="D11" s="906"/>
      <c r="K11" s="129"/>
    </row>
    <row r="12" spans="2:11" ht="16.5" x14ac:dyDescent="0.3">
      <c r="C12" s="736" t="s">
        <v>627</v>
      </c>
      <c r="D12" s="387"/>
      <c r="E12" s="694"/>
      <c r="K12" s="129"/>
    </row>
    <row r="13" spans="2:11" ht="16.5" x14ac:dyDescent="0.3">
      <c r="C13" s="132" t="s">
        <v>628</v>
      </c>
      <c r="D13" s="313"/>
      <c r="E13" s="694"/>
      <c r="K13" s="129"/>
    </row>
    <row r="14" spans="2:11" ht="33" x14ac:dyDescent="0.3">
      <c r="C14" s="695" t="s">
        <v>629</v>
      </c>
      <c r="D14" s="313"/>
      <c r="E14" s="697"/>
      <c r="F14" s="758"/>
      <c r="K14" s="129"/>
    </row>
    <row r="15" spans="2:11" ht="18" customHeight="1" x14ac:dyDescent="0.3">
      <c r="C15" s="132" t="s">
        <v>642</v>
      </c>
      <c r="D15" s="732"/>
      <c r="E15" s="697"/>
      <c r="K15" s="129"/>
    </row>
    <row r="16" spans="2:11" ht="18" customHeight="1" x14ac:dyDescent="0.3">
      <c r="C16" s="132" t="s">
        <v>643</v>
      </c>
      <c r="D16" s="732"/>
      <c r="E16" s="697"/>
      <c r="K16" s="129"/>
    </row>
    <row r="17" spans="2:15" ht="17.25" thickBot="1" x14ac:dyDescent="0.35">
      <c r="B17" s="697"/>
      <c r="C17" s="698" t="s">
        <v>685</v>
      </c>
      <c r="D17" s="731"/>
      <c r="E17" s="697"/>
      <c r="K17" s="129"/>
      <c r="L17" s="699"/>
      <c r="M17" s="699"/>
      <c r="N17" s="699"/>
      <c r="O17" s="699"/>
    </row>
    <row r="18" spans="2:15" ht="16.5" x14ac:dyDescent="0.3">
      <c r="B18" s="697"/>
      <c r="C18" s="694"/>
      <c r="D18" s="700"/>
      <c r="E18" s="697"/>
      <c r="K18" s="129"/>
      <c r="L18" s="699"/>
      <c r="M18" s="699"/>
      <c r="N18" s="699"/>
      <c r="O18" s="699"/>
    </row>
    <row r="19" spans="2:15" ht="17.25" thickBot="1" x14ac:dyDescent="0.35">
      <c r="K19" s="129"/>
    </row>
    <row r="20" spans="2:15" ht="18.75" thickBot="1" x14ac:dyDescent="0.4">
      <c r="B20" s="905" t="s">
        <v>687</v>
      </c>
      <c r="C20" s="888"/>
      <c r="D20" s="888"/>
      <c r="E20" s="888"/>
      <c r="F20" s="888"/>
      <c r="G20" s="889"/>
      <c r="K20" s="129"/>
    </row>
    <row r="21" spans="2:15" ht="17.25" thickBot="1" x14ac:dyDescent="0.35">
      <c r="B21" s="2"/>
      <c r="C21" s="8"/>
      <c r="D21" s="8"/>
      <c r="E21" s="8"/>
      <c r="F21" s="8"/>
      <c r="G21" s="3"/>
      <c r="K21" s="129"/>
    </row>
    <row r="22" spans="2:15" ht="18.75" thickBot="1" x14ac:dyDescent="0.4">
      <c r="B22" s="2"/>
      <c r="C22" s="869" t="s">
        <v>630</v>
      </c>
      <c r="D22" s="870"/>
      <c r="E22" s="870"/>
      <c r="F22" s="871"/>
      <c r="G22" s="701"/>
      <c r="K22" s="129"/>
    </row>
    <row r="23" spans="2:15" ht="18" x14ac:dyDescent="0.35">
      <c r="B23" s="702"/>
      <c r="C23" s="702"/>
      <c r="D23" s="877" t="s">
        <v>48</v>
      </c>
      <c r="E23" s="877"/>
      <c r="F23" s="878"/>
      <c r="G23" s="701"/>
      <c r="K23" s="129"/>
    </row>
    <row r="24" spans="2:15" ht="17.25" x14ac:dyDescent="0.35">
      <c r="B24" s="703"/>
      <c r="C24" s="703"/>
      <c r="D24" s="98" t="s">
        <v>56</v>
      </c>
      <c r="E24" s="98" t="s">
        <v>57</v>
      </c>
      <c r="F24" s="139" t="s">
        <v>58</v>
      </c>
      <c r="G24" s="704"/>
      <c r="K24" s="129"/>
    </row>
    <row r="25" spans="2:15" ht="16.5" x14ac:dyDescent="0.3">
      <c r="B25" s="703"/>
      <c r="C25" s="705" t="s">
        <v>631</v>
      </c>
      <c r="D25" s="706"/>
      <c r="E25" s="706"/>
      <c r="F25" s="696"/>
      <c r="G25" s="704"/>
      <c r="K25" s="129"/>
    </row>
    <row r="26" spans="2:15" ht="21" customHeight="1" x14ac:dyDescent="0.3">
      <c r="B26" s="703"/>
      <c r="C26" s="705" t="s">
        <v>632</v>
      </c>
      <c r="D26" s="727"/>
      <c r="E26" s="727"/>
      <c r="F26" s="728"/>
      <c r="G26" s="704"/>
      <c r="K26" s="129"/>
    </row>
    <row r="27" spans="2:15" ht="22.5" customHeight="1" thickBot="1" x14ac:dyDescent="0.35">
      <c r="B27" s="703"/>
      <c r="C27" s="707" t="s">
        <v>633</v>
      </c>
      <c r="D27" s="729"/>
      <c r="E27" s="729"/>
      <c r="F27" s="730"/>
      <c r="G27" s="704"/>
      <c r="K27" s="129"/>
    </row>
    <row r="28" spans="2:15" ht="17.25" thickBot="1" x14ac:dyDescent="0.35">
      <c r="B28" s="703"/>
      <c r="C28" s="708"/>
      <c r="D28" s="708"/>
      <c r="E28" s="708"/>
      <c r="F28" s="708"/>
      <c r="G28" s="704"/>
      <c r="K28" s="129"/>
    </row>
    <row r="29" spans="2:15" ht="18" thickBot="1" x14ac:dyDescent="0.4">
      <c r="B29" s="703"/>
      <c r="C29" s="869" t="s">
        <v>634</v>
      </c>
      <c r="D29" s="870"/>
      <c r="E29" s="870"/>
      <c r="F29" s="871"/>
      <c r="G29" s="704"/>
      <c r="K29" s="129"/>
    </row>
    <row r="30" spans="2:15" ht="17.25" x14ac:dyDescent="0.35">
      <c r="B30" s="703"/>
      <c r="C30" s="709"/>
      <c r="D30" s="877" t="s">
        <v>48</v>
      </c>
      <c r="E30" s="877"/>
      <c r="F30" s="878"/>
      <c r="G30" s="704"/>
      <c r="K30" s="129"/>
    </row>
    <row r="31" spans="2:15" ht="16.5" x14ac:dyDescent="0.3">
      <c r="B31" s="703"/>
      <c r="C31" s="705" t="s">
        <v>635</v>
      </c>
      <c r="D31" s="969"/>
      <c r="E31" s="970"/>
      <c r="F31" s="971"/>
      <c r="G31" s="704"/>
      <c r="K31" s="129"/>
    </row>
    <row r="32" spans="2:15" ht="16.5" x14ac:dyDescent="0.3">
      <c r="B32" s="703"/>
      <c r="C32" s="705" t="s">
        <v>636</v>
      </c>
      <c r="D32" s="969"/>
      <c r="E32" s="970"/>
      <c r="F32" s="971"/>
      <c r="G32" s="704"/>
      <c r="K32" s="129"/>
    </row>
    <row r="33" spans="1:11" ht="17.25" thickBot="1" x14ac:dyDescent="0.35">
      <c r="B33" s="703"/>
      <c r="C33" s="707" t="s">
        <v>637</v>
      </c>
      <c r="D33" s="972"/>
      <c r="E33" s="973"/>
      <c r="F33" s="974"/>
      <c r="G33" s="704"/>
      <c r="K33" s="129"/>
    </row>
    <row r="34" spans="1:11" ht="17.25" thickBot="1" x14ac:dyDescent="0.35">
      <c r="B34" s="710"/>
      <c r="C34" s="711"/>
      <c r="D34" s="712"/>
      <c r="E34" s="713"/>
      <c r="F34" s="711"/>
      <c r="G34" s="714"/>
      <c r="K34" s="129"/>
    </row>
    <row r="35" spans="1:11" ht="17.25" thickBot="1" x14ac:dyDescent="0.35">
      <c r="D35" s="694"/>
      <c r="E35" s="715"/>
      <c r="K35" s="129"/>
    </row>
    <row r="36" spans="1:11" ht="18.75" thickBot="1" x14ac:dyDescent="0.4">
      <c r="B36" s="887" t="s">
        <v>638</v>
      </c>
      <c r="C36" s="888"/>
      <c r="D36" s="888"/>
      <c r="E36" s="888"/>
      <c r="F36" s="888"/>
      <c r="G36" s="889"/>
      <c r="K36" s="129"/>
    </row>
    <row r="37" spans="1:11" ht="18.75" thickBot="1" x14ac:dyDescent="0.4">
      <c r="B37" s="702"/>
      <c r="C37" s="716"/>
      <c r="D37" s="716"/>
      <c r="E37" s="716"/>
      <c r="F37" s="716"/>
      <c r="G37" s="701"/>
      <c r="K37" s="129"/>
    </row>
    <row r="38" spans="1:11" ht="90" x14ac:dyDescent="0.3">
      <c r="B38" s="703"/>
      <c r="C38" s="717"/>
      <c r="D38" s="975" t="s">
        <v>639</v>
      </c>
      <c r="E38" s="976"/>
      <c r="F38" s="718" t="s">
        <v>652</v>
      </c>
      <c r="G38" s="704"/>
      <c r="K38" s="129"/>
    </row>
    <row r="39" spans="1:11" ht="17.25" thickBot="1" x14ac:dyDescent="0.35">
      <c r="B39" s="703"/>
      <c r="C39" s="719" t="s">
        <v>640</v>
      </c>
      <c r="D39" s="895" t="e">
        <f>MROUND(IF(OR(D12="No", AND(D12="Yes", D13="No", D17&gt;71)),D40, IF(D14="No",D32/(D16+1.75*(D15-D16)),(D32-D33)/(D16+1.75*(D15-D16)))),1)</f>
        <v>#DIV/0!</v>
      </c>
      <c r="E39" s="895"/>
      <c r="F39" s="760"/>
      <c r="G39" s="704"/>
      <c r="K39" s="129"/>
    </row>
    <row r="40" spans="1:11" ht="17.25" thickBot="1" x14ac:dyDescent="0.35">
      <c r="B40" s="703"/>
      <c r="C40" s="719" t="s">
        <v>641</v>
      </c>
      <c r="D40" s="895" t="e">
        <f>MROUND(IF(D14="No",D31/(D16+1.75*(D15-D16)),(D31-D33)/(D16+1.75*(D15-D16))),1)</f>
        <v>#DIV/0!</v>
      </c>
      <c r="E40" s="895"/>
      <c r="F40" s="760"/>
      <c r="G40" s="704"/>
      <c r="K40" s="129"/>
    </row>
    <row r="41" spans="1:11" ht="18.75" thickBot="1" x14ac:dyDescent="0.4">
      <c r="B41" s="703"/>
      <c r="C41" s="720" t="s">
        <v>660</v>
      </c>
      <c r="D41" s="911" t="e">
        <f>IF('General Info and Test Results'!C40&lt;36000,('Off Mode Test Data'!D39:E39+'Off Mode Test Data'!D40:E40)/2, IF('General Info and Test Results'!C26="Single-Speed",('Off Mode Test Data'!D39:E39+'Off Mode Test Data'!D40:E40)/(2*('A Test Recorded Data'!D81:F81/36000)),('Off Mode Test Data'!D39:E39+'Off Mode Test Data'!D40:E40)/(2*('A Test Recorded Data'!D151:F151/36000))))</f>
        <v>#DIV/0!</v>
      </c>
      <c r="E41" s="911"/>
      <c r="F41" s="693" t="e">
        <f>MROUND(D41,0.5)</f>
        <v>#DIV/0!</v>
      </c>
      <c r="G41" s="721"/>
      <c r="K41" s="129"/>
    </row>
    <row r="42" spans="1:11" ht="17.25" thickBot="1" x14ac:dyDescent="0.35">
      <c r="B42" s="722"/>
      <c r="C42" s="723"/>
      <c r="D42" s="723"/>
      <c r="E42" s="713"/>
      <c r="F42" s="711"/>
      <c r="G42" s="714"/>
      <c r="K42" s="129"/>
    </row>
    <row r="43" spans="1:11" ht="16.5" x14ac:dyDescent="0.3">
      <c r="B43" s="699"/>
      <c r="C43" s="699"/>
      <c r="D43" s="699"/>
      <c r="E43" s="715"/>
      <c r="K43" s="129"/>
    </row>
    <row r="44" spans="1:11" ht="16.5" x14ac:dyDescent="0.3">
      <c r="A44" s="129"/>
      <c r="B44" s="129"/>
      <c r="C44" s="129"/>
      <c r="D44" s="129"/>
      <c r="E44" s="129"/>
      <c r="F44" s="129"/>
      <c r="G44" s="129"/>
      <c r="H44" s="129"/>
      <c r="I44" s="129"/>
      <c r="J44" s="129"/>
      <c r="K44" s="129"/>
    </row>
  </sheetData>
  <sheetProtection password="D93F" sheet="1" objects="1" scenarios="1" selectLockedCells="1"/>
  <mergeCells count="17">
    <mergeCell ref="C22:F22"/>
    <mergeCell ref="B2:C2"/>
    <mergeCell ref="E2:F2"/>
    <mergeCell ref="H4:I4"/>
    <mergeCell ref="C11:D11"/>
    <mergeCell ref="B20:G20"/>
    <mergeCell ref="D41:E41"/>
    <mergeCell ref="D23:F23"/>
    <mergeCell ref="C29:F29"/>
    <mergeCell ref="D30:F30"/>
    <mergeCell ref="D31:F31"/>
    <mergeCell ref="D32:F32"/>
    <mergeCell ref="D33:F33"/>
    <mergeCell ref="B36:G36"/>
    <mergeCell ref="D38:E38"/>
    <mergeCell ref="D39:E39"/>
    <mergeCell ref="D40:E40"/>
  </mergeCells>
  <conditionalFormatting sqref="D26:F27">
    <cfRule type="expression" dxfId="29" priority="8" stopIfTrue="1">
      <formula>NOT(AND($D$12="Yes", $D$13="Yes"))</formula>
    </cfRule>
  </conditionalFormatting>
  <conditionalFormatting sqref="D33:F33">
    <cfRule type="expression" dxfId="28" priority="6" stopIfTrue="1">
      <formula>$D$14="No"</formula>
    </cfRule>
  </conditionalFormatting>
  <conditionalFormatting sqref="D32:F32">
    <cfRule type="expression" dxfId="27" priority="5" stopIfTrue="1">
      <formula>OR($D$12="No", AND($D$12="Yes", $D$13="No", $D$17&gt;71))</formula>
    </cfRule>
  </conditionalFormatting>
  <conditionalFormatting sqref="D13">
    <cfRule type="expression" dxfId="26" priority="4" stopIfTrue="1">
      <formula>$D$12="No"</formula>
    </cfRule>
  </conditionalFormatting>
  <conditionalFormatting sqref="F39:F40">
    <cfRule type="expression" dxfId="25" priority="3" stopIfTrue="1">
      <formula>1</formula>
    </cfRule>
  </conditionalFormatting>
  <conditionalFormatting sqref="D17">
    <cfRule type="expression" dxfId="24" priority="1">
      <formula>NOT(AND($D$12="Yes", $D$13="No"))</formula>
    </cfRule>
  </conditionalFormatting>
  <dataValidations count="1">
    <dataValidation type="list" allowBlank="1" showInputMessage="1" showErrorMessage="1" sqref="D12:D14">
      <formula1>Yes_No</formula1>
    </dataValidation>
  </dataValidations>
  <hyperlinks>
    <hyperlink ref="E2" location="Instructions!A1" display="Back to Instructions"/>
    <hyperlink ref="E2:F2" location="Instructions!A1" display="Back to Instructions tab"/>
  </hyperlinks>
  <pageMargins left="0.7" right="0.7" top="0.75" bottom="0.75" header="0.3" footer="0.3"/>
  <pageSetup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0070C0"/>
  </sheetPr>
  <dimension ref="A1:AG273"/>
  <sheetViews>
    <sheetView showGridLines="0" zoomScale="80" zoomScaleNormal="80" workbookViewId="0">
      <selection activeCell="E3" sqref="E3"/>
    </sheetView>
  </sheetViews>
  <sheetFormatPr defaultColWidth="9.140625" defaultRowHeight="18" x14ac:dyDescent="0.35"/>
  <cols>
    <col min="1" max="1" width="3.5703125" style="184" customWidth="1"/>
    <col min="2" max="2" width="36.28515625" style="184" customWidth="1"/>
    <col min="3" max="3" width="56.28515625" style="184" customWidth="1"/>
    <col min="4" max="4" width="11.85546875" style="184" customWidth="1"/>
    <col min="5" max="5" width="37.85546875" style="184" customWidth="1"/>
    <col min="6" max="6" width="48.42578125" style="184" customWidth="1"/>
    <col min="7" max="7" width="29.42578125" style="184" customWidth="1"/>
    <col min="8" max="8" width="29.140625" style="184" customWidth="1"/>
    <col min="9" max="9" width="13.42578125" style="184" customWidth="1"/>
    <col min="10" max="10" width="10.85546875" style="184" customWidth="1"/>
    <col min="11" max="11" width="11.28515625" style="184" customWidth="1"/>
    <col min="12" max="12" width="20.140625" style="184" customWidth="1"/>
    <col min="13" max="13" width="15" style="184" bestFit="1" customWidth="1"/>
    <col min="14" max="16" width="14.42578125" style="184" bestFit="1" customWidth="1"/>
    <col min="17" max="17" width="14.28515625" style="184" customWidth="1"/>
    <col min="18" max="18" width="11.28515625" style="183" customWidth="1"/>
    <col min="19" max="19" width="13.85546875" style="183" customWidth="1"/>
    <col min="20" max="20" width="12.140625" style="183" customWidth="1"/>
    <col min="21" max="21" width="13.5703125" style="183" customWidth="1"/>
    <col min="22" max="22" width="16" style="183" customWidth="1"/>
    <col min="23" max="23" width="23.140625" style="183" customWidth="1"/>
    <col min="24" max="24" width="12.7109375" style="183" customWidth="1"/>
    <col min="25" max="25" width="13" style="183" customWidth="1"/>
    <col min="26" max="26" width="23.28515625" style="183" customWidth="1"/>
    <col min="27" max="27" width="12.140625" style="183" customWidth="1"/>
    <col min="28" max="28" width="21.140625" style="183" customWidth="1"/>
    <col min="29" max="31" width="11.28515625" style="183" bestFit="1" customWidth="1"/>
    <col min="32" max="32" width="3.5703125" style="183" customWidth="1"/>
    <col min="33" max="33" width="3" style="183" customWidth="1"/>
    <col min="34" max="16384" width="9.140625" style="184"/>
  </cols>
  <sheetData>
    <row r="1" spans="2:33" ht="18.75" thickBot="1" x14ac:dyDescent="0.4">
      <c r="B1" s="182"/>
      <c r="C1" s="183"/>
      <c r="D1" s="183"/>
      <c r="E1" s="183"/>
      <c r="F1" s="183"/>
      <c r="G1" s="183"/>
      <c r="H1" s="183"/>
      <c r="I1" s="183"/>
      <c r="J1" s="183"/>
      <c r="K1" s="183"/>
      <c r="L1" s="183"/>
      <c r="M1" s="183"/>
      <c r="N1" s="183"/>
      <c r="O1" s="183"/>
      <c r="P1" s="183"/>
      <c r="Q1" s="183"/>
      <c r="AG1" s="181"/>
    </row>
    <row r="2" spans="2:33" ht="18.75" thickBot="1" x14ac:dyDescent="0.4">
      <c r="B2" s="764" t="s">
        <v>562</v>
      </c>
      <c r="C2" s="765"/>
      <c r="D2" s="185"/>
      <c r="G2" s="183"/>
      <c r="H2" s="183"/>
      <c r="I2" s="183"/>
      <c r="J2" s="183"/>
      <c r="K2" s="183"/>
      <c r="L2" s="183"/>
      <c r="M2" s="183"/>
      <c r="N2" s="183"/>
      <c r="O2" s="183"/>
      <c r="P2" s="183"/>
      <c r="Q2" s="183"/>
      <c r="AG2" s="186"/>
    </row>
    <row r="3" spans="2:33" s="189" customFormat="1" ht="18.75" customHeight="1" thickBot="1" x14ac:dyDescent="0.4">
      <c r="B3" s="297" t="s">
        <v>563</v>
      </c>
      <c r="C3" s="298" t="str">
        <f>'Version Control'!C3</f>
        <v>Residential Central Air Conditioners and Heat Pumps</v>
      </c>
      <c r="D3" s="278"/>
      <c r="E3" s="643" t="s">
        <v>540</v>
      </c>
      <c r="F3"/>
      <c r="G3" s="766" t="s">
        <v>349</v>
      </c>
      <c r="H3" s="767"/>
      <c r="I3" s="187"/>
      <c r="J3" s="187"/>
      <c r="K3" s="187"/>
      <c r="L3" s="187"/>
      <c r="M3" s="187"/>
      <c r="N3" s="187"/>
      <c r="O3" s="187"/>
      <c r="P3" s="187"/>
      <c r="Q3" s="187"/>
      <c r="R3" s="187"/>
      <c r="S3" s="187"/>
      <c r="T3" s="187"/>
      <c r="U3" s="187"/>
      <c r="V3" s="187"/>
      <c r="W3" s="187"/>
      <c r="X3" s="187"/>
      <c r="Y3" s="187"/>
      <c r="Z3" s="187"/>
      <c r="AA3" s="187"/>
      <c r="AB3" s="187"/>
      <c r="AC3" s="187"/>
      <c r="AD3" s="187"/>
      <c r="AE3" s="187"/>
      <c r="AF3" s="187"/>
      <c r="AG3" s="188"/>
    </row>
    <row r="4" spans="2:33" x14ac:dyDescent="0.35">
      <c r="B4" s="299" t="s">
        <v>140</v>
      </c>
      <c r="C4" s="300" t="str">
        <f>'Version Control'!C4</f>
        <v>v2.1</v>
      </c>
      <c r="D4" s="279"/>
      <c r="E4" s="183"/>
      <c r="F4" s="279"/>
      <c r="G4" s="53" t="s">
        <v>158</v>
      </c>
      <c r="H4" s="605">
        <f>'General Info and Test Results'!C25</f>
        <v>0</v>
      </c>
      <c r="I4" s="183"/>
      <c r="J4" s="183"/>
      <c r="K4" s="183"/>
      <c r="L4" s="183"/>
      <c r="M4" s="183"/>
      <c r="N4" s="183"/>
      <c r="O4" s="183"/>
      <c r="P4" s="183"/>
      <c r="Q4" s="183"/>
      <c r="AG4" s="186"/>
    </row>
    <row r="5" spans="2:33" x14ac:dyDescent="0.35">
      <c r="B5" s="299" t="s">
        <v>462</v>
      </c>
      <c r="C5" s="301">
        <f>'Version Control'!C5</f>
        <v>42653</v>
      </c>
      <c r="D5" s="279"/>
      <c r="E5" s="183"/>
      <c r="F5" s="279"/>
      <c r="G5" s="54" t="s">
        <v>153</v>
      </c>
      <c r="H5" s="606">
        <f>'General Info and Test Results'!C26</f>
        <v>0</v>
      </c>
      <c r="I5" s="183"/>
      <c r="J5" s="183"/>
      <c r="K5" s="183"/>
      <c r="L5" s="183"/>
      <c r="M5" s="183"/>
      <c r="N5" s="183"/>
      <c r="O5" s="183"/>
      <c r="P5" s="183"/>
      <c r="Q5" s="183"/>
      <c r="AG5" s="186"/>
    </row>
    <row r="6" spans="2:33" ht="18.75" thickBot="1" x14ac:dyDescent="0.4">
      <c r="B6" s="302" t="s">
        <v>139</v>
      </c>
      <c r="C6" s="303" t="str">
        <f ca="1">MID(CELL("filename",$A$1), FIND("]", CELL("filename", $A$1))+ 1, 255)</f>
        <v>Calculations</v>
      </c>
      <c r="D6" s="279"/>
      <c r="E6" s="183"/>
      <c r="F6" s="279"/>
      <c r="G6" s="52" t="s">
        <v>199</v>
      </c>
      <c r="H6" s="607">
        <f>'General Info and Test Results'!C27</f>
        <v>0</v>
      </c>
      <c r="I6" s="183"/>
      <c r="J6" s="183"/>
      <c r="K6" s="183"/>
      <c r="L6" s="183"/>
      <c r="M6" s="183"/>
      <c r="N6" s="183"/>
      <c r="O6" s="183"/>
      <c r="P6" s="183"/>
      <c r="Q6" s="183"/>
      <c r="AG6" s="186"/>
    </row>
    <row r="7" spans="2:33" ht="36.75" customHeight="1" x14ac:dyDescent="0.35">
      <c r="B7" s="304" t="s">
        <v>138</v>
      </c>
      <c r="C7" s="305" t="str">
        <f ca="1">MID(CELL("FILENAME",F16),FIND("[",CELL("FILENAME",F16))+1,FIND("]",CELL("FILENAME",F16))-FIND("[",CELL("FILENAME",F16))-1)</f>
        <v>Residential Central Air Conditioners and Heat Pumps - v2.1.xlsx</v>
      </c>
      <c r="D7" s="279"/>
      <c r="E7" s="183"/>
      <c r="F7" s="279"/>
      <c r="G7" s="183"/>
      <c r="H7" s="183"/>
      <c r="I7" s="183"/>
      <c r="J7" s="183"/>
      <c r="K7" s="183"/>
      <c r="L7" s="183"/>
      <c r="M7" s="183"/>
      <c r="N7" s="183"/>
      <c r="O7" s="183"/>
      <c r="P7" s="183"/>
      <c r="Q7" s="183"/>
      <c r="AG7" s="186"/>
    </row>
    <row r="8" spans="2:33" ht="18.75" thickBot="1" x14ac:dyDescent="0.4">
      <c r="B8" s="306" t="s">
        <v>141</v>
      </c>
      <c r="C8" s="307" t="str">
        <f>'Version Control'!C8</f>
        <v>[MM/DD/YYYY]</v>
      </c>
      <c r="D8" s="183"/>
      <c r="E8" s="183"/>
      <c r="F8" s="183"/>
      <c r="G8" s="183"/>
      <c r="H8" s="183"/>
      <c r="I8" s="183"/>
      <c r="J8" s="183"/>
      <c r="K8" s="183"/>
      <c r="L8" s="183"/>
      <c r="M8" s="183"/>
      <c r="N8" s="183"/>
      <c r="O8" s="183"/>
      <c r="P8" s="183"/>
      <c r="Q8" s="183"/>
      <c r="AG8" s="186"/>
    </row>
    <row r="9" spans="2:33" x14ac:dyDescent="0.35">
      <c r="B9" s="183"/>
      <c r="C9" s="183"/>
      <c r="D9" s="183"/>
      <c r="E9" s="183"/>
      <c r="F9" s="183"/>
      <c r="G9" s="183"/>
      <c r="H9" s="183"/>
      <c r="I9" s="183"/>
      <c r="J9" s="183"/>
      <c r="K9" s="183"/>
      <c r="L9" s="183"/>
      <c r="M9" s="183"/>
      <c r="N9" s="183"/>
      <c r="O9" s="183"/>
      <c r="P9" s="183"/>
      <c r="Q9" s="183"/>
      <c r="AG9" s="186"/>
    </row>
    <row r="10" spans="2:33" ht="18.75" thickBot="1" x14ac:dyDescent="0.4">
      <c r="H10" s="190"/>
      <c r="I10" s="190"/>
      <c r="J10" s="190"/>
      <c r="K10" s="190"/>
      <c r="L10" s="183"/>
      <c r="M10" s="183"/>
      <c r="N10" s="183"/>
      <c r="O10" s="183"/>
      <c r="P10" s="183"/>
      <c r="Q10" s="183"/>
      <c r="AG10" s="186"/>
    </row>
    <row r="11" spans="2:33" ht="18.75" thickBot="1" x14ac:dyDescent="0.4">
      <c r="B11" s="766" t="s">
        <v>400</v>
      </c>
      <c r="C11" s="998"/>
      <c r="D11" s="998"/>
      <c r="E11" s="998"/>
      <c r="F11" s="998"/>
      <c r="G11" s="767"/>
      <c r="O11" s="183"/>
      <c r="P11" s="183"/>
      <c r="Q11" s="183"/>
      <c r="AG11" s="186"/>
    </row>
    <row r="12" spans="2:33" x14ac:dyDescent="0.35">
      <c r="B12" s="608" t="s">
        <v>135</v>
      </c>
      <c r="C12" s="224" t="s">
        <v>136</v>
      </c>
      <c r="D12" s="980" t="s">
        <v>137</v>
      </c>
      <c r="E12" s="981"/>
      <c r="F12" s="981"/>
      <c r="G12" s="982"/>
      <c r="O12" s="183"/>
      <c r="P12" s="183"/>
      <c r="Q12" s="183"/>
      <c r="AG12" s="186"/>
    </row>
    <row r="13" spans="2:33" x14ac:dyDescent="0.35">
      <c r="B13" s="609" t="s">
        <v>390</v>
      </c>
      <c r="C13" s="191" t="s">
        <v>391</v>
      </c>
      <c r="D13" s="192" t="s">
        <v>124</v>
      </c>
      <c r="E13" s="193"/>
      <c r="F13" s="193"/>
      <c r="G13" s="610"/>
      <c r="O13" s="183"/>
      <c r="P13" s="183"/>
      <c r="Q13" s="183"/>
      <c r="AG13" s="186"/>
    </row>
    <row r="14" spans="2:33" x14ac:dyDescent="0.35">
      <c r="B14" s="611" t="s">
        <v>111</v>
      </c>
      <c r="C14" s="194" t="s">
        <v>125</v>
      </c>
      <c r="D14" s="195" t="s">
        <v>123</v>
      </c>
      <c r="E14" s="196"/>
      <c r="F14" s="196"/>
      <c r="G14" s="612"/>
      <c r="O14" s="183"/>
      <c r="P14" s="183"/>
      <c r="Q14" s="183"/>
      <c r="AG14" s="186"/>
    </row>
    <row r="15" spans="2:33" x14ac:dyDescent="0.35">
      <c r="B15" s="611" t="s">
        <v>392</v>
      </c>
      <c r="C15" s="194" t="s">
        <v>49</v>
      </c>
      <c r="D15" s="195" t="s">
        <v>401</v>
      </c>
      <c r="E15" s="196"/>
      <c r="F15" s="196"/>
      <c r="G15" s="612"/>
      <c r="O15" s="183"/>
      <c r="P15" s="183"/>
      <c r="Q15" s="183"/>
      <c r="AG15" s="186"/>
    </row>
    <row r="16" spans="2:33" x14ac:dyDescent="0.35">
      <c r="B16" s="611" t="s">
        <v>108</v>
      </c>
      <c r="C16" s="194" t="s">
        <v>49</v>
      </c>
      <c r="D16" s="195" t="s">
        <v>402</v>
      </c>
      <c r="E16" s="196"/>
      <c r="F16" s="196"/>
      <c r="G16" s="612"/>
      <c r="O16" s="183"/>
      <c r="P16" s="183"/>
      <c r="Q16" s="183"/>
      <c r="AG16" s="186"/>
    </row>
    <row r="17" spans="1:33" x14ac:dyDescent="0.35">
      <c r="B17" s="611" t="s">
        <v>109</v>
      </c>
      <c r="C17" s="194" t="s">
        <v>125</v>
      </c>
      <c r="D17" s="195" t="s">
        <v>403</v>
      </c>
      <c r="E17" s="196"/>
      <c r="F17" s="196"/>
      <c r="G17" s="612"/>
      <c r="O17" s="183"/>
      <c r="P17" s="183"/>
      <c r="Q17" s="183"/>
      <c r="AG17" s="186"/>
    </row>
    <row r="18" spans="1:33" x14ac:dyDescent="0.35">
      <c r="B18" s="611" t="s">
        <v>393</v>
      </c>
      <c r="C18" s="194" t="s">
        <v>110</v>
      </c>
      <c r="D18" s="195" t="s">
        <v>404</v>
      </c>
      <c r="E18" s="196"/>
      <c r="F18" s="196"/>
      <c r="G18" s="612"/>
      <c r="O18" s="183"/>
      <c r="P18" s="183"/>
      <c r="Q18" s="183"/>
      <c r="AG18" s="186"/>
    </row>
    <row r="19" spans="1:33" x14ac:dyDescent="0.35">
      <c r="B19" s="611" t="s">
        <v>112</v>
      </c>
      <c r="C19" s="194" t="s">
        <v>125</v>
      </c>
      <c r="D19" s="195" t="s">
        <v>405</v>
      </c>
      <c r="E19" s="196"/>
      <c r="F19" s="196"/>
      <c r="G19" s="612"/>
      <c r="O19" s="183"/>
      <c r="P19" s="183"/>
      <c r="Q19" s="183"/>
      <c r="AG19" s="186"/>
    </row>
    <row r="20" spans="1:33" x14ac:dyDescent="0.35">
      <c r="B20" s="611" t="s">
        <v>114</v>
      </c>
      <c r="C20" s="194" t="s">
        <v>125</v>
      </c>
      <c r="D20" s="195" t="s">
        <v>406</v>
      </c>
      <c r="E20" s="196"/>
      <c r="F20" s="196"/>
      <c r="G20" s="612"/>
      <c r="O20" s="183"/>
      <c r="P20" s="183"/>
      <c r="Q20" s="183"/>
      <c r="AG20" s="186"/>
    </row>
    <row r="21" spans="1:33" ht="18.75" thickBot="1" x14ac:dyDescent="0.4">
      <c r="B21" s="613" t="s">
        <v>118</v>
      </c>
      <c r="C21" s="614" t="s">
        <v>125</v>
      </c>
      <c r="D21" s="615" t="s">
        <v>407</v>
      </c>
      <c r="E21" s="616"/>
      <c r="F21" s="616"/>
      <c r="G21" s="617"/>
      <c r="O21" s="183"/>
      <c r="P21" s="183"/>
      <c r="Q21" s="183"/>
      <c r="AG21" s="186"/>
    </row>
    <row r="22" spans="1:33" ht="18.75" thickBot="1" x14ac:dyDescent="0.4">
      <c r="A22" s="76"/>
      <c r="B22" s="197"/>
      <c r="C22" s="197"/>
      <c r="D22" s="197"/>
      <c r="E22" s="197"/>
      <c r="F22" s="197"/>
      <c r="G22" s="197"/>
      <c r="H22" s="197"/>
      <c r="I22" s="197"/>
      <c r="J22" s="197"/>
      <c r="K22" s="197"/>
      <c r="L22" s="197"/>
      <c r="M22" s="197"/>
      <c r="N22" s="197"/>
      <c r="O22" s="197"/>
      <c r="P22" s="197"/>
      <c r="Q22" s="198"/>
      <c r="AG22" s="186"/>
    </row>
    <row r="23" spans="1:33" ht="18.75" thickBot="1" x14ac:dyDescent="0.4">
      <c r="A23" s="76"/>
      <c r="B23" s="983" t="s">
        <v>164</v>
      </c>
      <c r="C23" s="984"/>
      <c r="D23" s="984"/>
      <c r="E23" s="984"/>
      <c r="F23" s="984"/>
      <c r="G23" s="984"/>
      <c r="H23" s="984"/>
      <c r="I23" s="984"/>
      <c r="J23" s="985"/>
      <c r="K23" s="197"/>
      <c r="L23" s="197"/>
      <c r="M23" s="197"/>
      <c r="N23" s="197"/>
      <c r="O23" s="197"/>
      <c r="P23" s="197"/>
      <c r="Q23" s="198"/>
      <c r="AG23" s="186"/>
    </row>
    <row r="24" spans="1:33" x14ac:dyDescent="0.35">
      <c r="B24" s="442"/>
      <c r="C24" s="1005" t="s">
        <v>161</v>
      </c>
      <c r="D24" s="1006"/>
      <c r="E24" s="1006"/>
      <c r="F24" s="1007"/>
      <c r="G24" s="1005" t="s">
        <v>164</v>
      </c>
      <c r="H24" s="1007"/>
      <c r="I24" s="1005" t="s">
        <v>51</v>
      </c>
      <c r="J24" s="1013"/>
      <c r="K24" s="443"/>
      <c r="L24" s="443"/>
      <c r="M24" s="443"/>
      <c r="N24" s="443"/>
      <c r="O24" s="443"/>
      <c r="P24" s="443"/>
      <c r="Q24" s="443"/>
      <c r="R24" s="443"/>
      <c r="S24" s="443"/>
      <c r="T24" s="443"/>
      <c r="U24" s="443"/>
      <c r="V24" s="443"/>
      <c r="W24" s="443"/>
      <c r="X24" s="443"/>
      <c r="Y24" s="443"/>
      <c r="Z24" s="443"/>
      <c r="AA24" s="443"/>
      <c r="AB24" s="443"/>
      <c r="AC24" s="443"/>
      <c r="AD24" s="443"/>
      <c r="AE24" s="443"/>
      <c r="AF24" s="443"/>
      <c r="AG24" s="444"/>
    </row>
    <row r="25" spans="1:33" x14ac:dyDescent="0.35">
      <c r="B25" s="445"/>
      <c r="C25" s="1008"/>
      <c r="D25" s="1009"/>
      <c r="E25" s="1009"/>
      <c r="F25" s="1010"/>
      <c r="G25" s="1008"/>
      <c r="H25" s="1010"/>
      <c r="I25" s="1014"/>
      <c r="J25" s="1015"/>
      <c r="K25" s="443"/>
      <c r="L25" s="443"/>
      <c r="M25" s="443"/>
      <c r="N25" s="443"/>
      <c r="O25" s="443"/>
      <c r="P25" s="443"/>
      <c r="Q25" s="443"/>
      <c r="R25" s="443"/>
      <c r="S25" s="443"/>
      <c r="T25" s="443"/>
      <c r="U25" s="443"/>
      <c r="V25" s="443"/>
      <c r="W25" s="443"/>
      <c r="X25" s="443"/>
      <c r="Y25" s="443"/>
      <c r="Z25" s="443"/>
      <c r="AA25" s="443"/>
      <c r="AB25" s="443"/>
      <c r="AC25" s="443"/>
      <c r="AD25" s="443"/>
      <c r="AE25" s="443"/>
      <c r="AF25" s="443"/>
      <c r="AG25" s="444"/>
    </row>
    <row r="26" spans="1:33" ht="54.75" thickBot="1" x14ac:dyDescent="0.4">
      <c r="B26" s="445"/>
      <c r="C26" s="1011" t="s">
        <v>162</v>
      </c>
      <c r="D26" s="1012"/>
      <c r="E26" s="1011" t="s">
        <v>163</v>
      </c>
      <c r="F26" s="1012"/>
      <c r="G26" s="446" t="s">
        <v>303</v>
      </c>
      <c r="H26" s="447" t="s">
        <v>50</v>
      </c>
      <c r="I26" s="1014"/>
      <c r="J26" s="1015"/>
      <c r="K26" s="443"/>
      <c r="L26" s="443"/>
      <c r="M26" s="443"/>
      <c r="N26" s="443"/>
      <c r="O26" s="443"/>
      <c r="P26" s="443"/>
      <c r="Q26" s="443"/>
      <c r="R26" s="443"/>
      <c r="S26" s="443"/>
      <c r="T26" s="443"/>
      <c r="U26" s="443"/>
      <c r="V26" s="443"/>
      <c r="W26" s="443"/>
      <c r="X26" s="443"/>
      <c r="Y26" s="443"/>
      <c r="Z26" s="443"/>
      <c r="AA26" s="443"/>
      <c r="AB26" s="443"/>
      <c r="AC26" s="443"/>
      <c r="AD26" s="443"/>
      <c r="AE26" s="443"/>
      <c r="AF26" s="443"/>
      <c r="AG26" s="444"/>
    </row>
    <row r="27" spans="1:33" ht="18.75" thickBot="1" x14ac:dyDescent="0.4">
      <c r="B27" s="448" t="s">
        <v>165</v>
      </c>
      <c r="C27" s="449" t="str">
        <f>'A Test Recorded Data'!D81</f>
        <v/>
      </c>
      <c r="D27" s="450" t="s">
        <v>49</v>
      </c>
      <c r="E27" s="449" t="str">
        <f>'A Test Recorded Data'!D86</f>
        <v/>
      </c>
      <c r="F27" s="450" t="s">
        <v>49</v>
      </c>
      <c r="G27" s="451" t="e">
        <f>(IF(ABS((C27-E27)/C27)&lt;=0.06,"Yes","No"))</f>
        <v>#VALUE!</v>
      </c>
      <c r="H27" s="452" t="e">
        <f t="shared" ref="H27:H58" si="0">ABS((C27-E27)/C27)</f>
        <v>#VALUE!</v>
      </c>
      <c r="I27" s="449">
        <f>'A Test Recorded Data'!D29</f>
        <v>0</v>
      </c>
      <c r="J27" s="453" t="s">
        <v>110</v>
      </c>
      <c r="K27" s="443"/>
      <c r="L27" s="443"/>
      <c r="M27" s="443"/>
      <c r="N27" s="443"/>
      <c r="O27" s="443"/>
      <c r="P27" s="443"/>
      <c r="Q27" s="443"/>
      <c r="R27" s="443"/>
      <c r="S27" s="443"/>
      <c r="T27" s="443"/>
      <c r="U27" s="443"/>
      <c r="V27" s="443"/>
      <c r="W27" s="443"/>
      <c r="X27" s="443"/>
      <c r="Y27" s="443"/>
      <c r="Z27" s="443"/>
      <c r="AA27" s="443"/>
      <c r="AB27" s="443"/>
      <c r="AC27" s="443"/>
      <c r="AD27" s="443"/>
      <c r="AE27" s="443"/>
      <c r="AF27" s="443"/>
      <c r="AG27" s="444"/>
    </row>
    <row r="28" spans="1:33" ht="18.75" thickBot="1" x14ac:dyDescent="0.4">
      <c r="B28" s="448" t="s">
        <v>166</v>
      </c>
      <c r="C28" s="449" t="str">
        <f>'A Test Recorded Data'!D81</f>
        <v/>
      </c>
      <c r="D28" s="450" t="s">
        <v>49</v>
      </c>
      <c r="E28" s="449" t="str">
        <f>'A Test Recorded Data'!D86</f>
        <v/>
      </c>
      <c r="F28" s="450" t="s">
        <v>49</v>
      </c>
      <c r="G28" s="451" t="e">
        <f t="shared" ref="G28:G58" si="1">IF(ABS((C28-E28)/C28)&lt;=0.06,"Yes","No")</f>
        <v>#VALUE!</v>
      </c>
      <c r="H28" s="452" t="e">
        <f t="shared" si="0"/>
        <v>#VALUE!</v>
      </c>
      <c r="I28" s="449">
        <f>'A Test Recorded Data'!D29</f>
        <v>0</v>
      </c>
      <c r="J28" s="453" t="s">
        <v>110</v>
      </c>
      <c r="K28" s="443"/>
      <c r="L28" s="443"/>
      <c r="M28" s="443"/>
      <c r="N28" s="443"/>
      <c r="O28" s="443"/>
      <c r="P28" s="443"/>
      <c r="Q28" s="443"/>
      <c r="R28" s="443"/>
      <c r="S28" s="443"/>
      <c r="T28" s="443"/>
      <c r="U28" s="443"/>
      <c r="V28" s="443"/>
      <c r="W28" s="443"/>
      <c r="X28" s="443"/>
      <c r="Y28" s="443"/>
      <c r="Z28" s="443"/>
      <c r="AA28" s="443"/>
      <c r="AB28" s="443"/>
      <c r="AC28" s="443"/>
      <c r="AD28" s="443"/>
      <c r="AE28" s="443"/>
      <c r="AF28" s="443"/>
      <c r="AG28" s="444"/>
    </row>
    <row r="29" spans="1:33" ht="18.75" thickBot="1" x14ac:dyDescent="0.4">
      <c r="B29" s="448" t="s">
        <v>167</v>
      </c>
      <c r="C29" s="618" t="str">
        <f>'A Test Recorded Data'!D151</f>
        <v/>
      </c>
      <c r="D29" s="450" t="s">
        <v>49</v>
      </c>
      <c r="E29" s="618" t="str">
        <f>'A Test Recorded Data'!D156</f>
        <v/>
      </c>
      <c r="F29" s="450" t="s">
        <v>49</v>
      </c>
      <c r="G29" s="451" t="e">
        <f t="shared" si="1"/>
        <v>#VALUE!</v>
      </c>
      <c r="H29" s="452" t="e">
        <f t="shared" si="0"/>
        <v>#VALUE!</v>
      </c>
      <c r="I29" s="618">
        <f>'A Test Recorded Data'!D99</f>
        <v>0</v>
      </c>
      <c r="J29" s="453" t="s">
        <v>110</v>
      </c>
      <c r="K29" s="443"/>
      <c r="L29" s="443"/>
      <c r="M29" s="443"/>
      <c r="N29" s="443"/>
      <c r="O29" s="443"/>
      <c r="P29" s="443"/>
      <c r="Q29" s="443"/>
      <c r="R29" s="443"/>
      <c r="S29" s="443"/>
      <c r="T29" s="443"/>
      <c r="U29" s="443"/>
      <c r="V29" s="443"/>
      <c r="W29" s="443"/>
      <c r="X29" s="443"/>
      <c r="Y29" s="443"/>
      <c r="Z29" s="443"/>
      <c r="AA29" s="443"/>
      <c r="AB29" s="443"/>
      <c r="AC29" s="443"/>
      <c r="AD29" s="443"/>
      <c r="AE29" s="443"/>
      <c r="AF29" s="443"/>
      <c r="AG29" s="444"/>
    </row>
    <row r="30" spans="1:33" ht="18.75" thickBot="1" x14ac:dyDescent="0.4">
      <c r="B30" s="448" t="s">
        <v>174</v>
      </c>
      <c r="C30" s="449" t="str">
        <f>'B Test Recorded Data'!D80</f>
        <v/>
      </c>
      <c r="D30" s="450" t="s">
        <v>49</v>
      </c>
      <c r="E30" s="449" t="str">
        <f>'B Test Recorded Data'!D85</f>
        <v/>
      </c>
      <c r="F30" s="450" t="s">
        <v>49</v>
      </c>
      <c r="G30" s="451" t="e">
        <f t="shared" si="1"/>
        <v>#VALUE!</v>
      </c>
      <c r="H30" s="452" t="e">
        <f t="shared" si="0"/>
        <v>#VALUE!</v>
      </c>
      <c r="I30" s="449">
        <f>'B Test Recorded Data'!D28</f>
        <v>0</v>
      </c>
      <c r="J30" s="453" t="s">
        <v>110</v>
      </c>
      <c r="K30" s="443"/>
      <c r="L30" s="443"/>
      <c r="M30" s="443"/>
      <c r="N30" s="443"/>
      <c r="O30" s="443"/>
      <c r="P30" s="443"/>
      <c r="Q30" s="443"/>
      <c r="R30" s="443"/>
      <c r="S30" s="443"/>
      <c r="T30" s="443"/>
      <c r="U30" s="443"/>
      <c r="V30" s="443"/>
      <c r="W30" s="443"/>
      <c r="X30" s="443"/>
      <c r="Y30" s="443"/>
      <c r="Z30" s="443"/>
      <c r="AA30" s="443"/>
      <c r="AB30" s="443"/>
      <c r="AC30" s="443"/>
      <c r="AD30" s="443"/>
      <c r="AE30" s="443"/>
      <c r="AF30" s="443"/>
      <c r="AG30" s="444"/>
    </row>
    <row r="31" spans="1:33" ht="18.75" thickBot="1" x14ac:dyDescent="0.4">
      <c r="B31" s="448" t="s">
        <v>175</v>
      </c>
      <c r="C31" s="618" t="str">
        <f>'B Test Recorded Data'!D80</f>
        <v/>
      </c>
      <c r="D31" s="450" t="s">
        <v>49</v>
      </c>
      <c r="E31" s="618" t="str">
        <f>'B Test Recorded Data'!D85</f>
        <v/>
      </c>
      <c r="F31" s="450" t="s">
        <v>49</v>
      </c>
      <c r="G31" s="451" t="e">
        <f t="shared" si="1"/>
        <v>#VALUE!</v>
      </c>
      <c r="H31" s="452" t="e">
        <f t="shared" si="0"/>
        <v>#VALUE!</v>
      </c>
      <c r="I31" s="618">
        <f>'B Test Recorded Data'!D28</f>
        <v>0</v>
      </c>
      <c r="J31" s="453" t="s">
        <v>110</v>
      </c>
      <c r="K31" s="443"/>
      <c r="L31" s="443"/>
      <c r="M31" s="443"/>
      <c r="N31" s="443"/>
      <c r="O31" s="443"/>
      <c r="P31" s="443"/>
      <c r="Q31" s="443"/>
      <c r="R31" s="443"/>
      <c r="S31" s="443"/>
      <c r="T31" s="443"/>
      <c r="U31" s="443"/>
      <c r="V31" s="443"/>
      <c r="W31" s="443"/>
      <c r="X31" s="443"/>
      <c r="Y31" s="443"/>
      <c r="Z31" s="443"/>
      <c r="AA31" s="443"/>
      <c r="AB31" s="443"/>
      <c r="AC31" s="443"/>
      <c r="AD31" s="443"/>
      <c r="AE31" s="443"/>
      <c r="AF31" s="443"/>
      <c r="AG31" s="444"/>
    </row>
    <row r="32" spans="1:33" ht="18.75" thickBot="1" x14ac:dyDescent="0.4">
      <c r="B32" s="448" t="s">
        <v>176</v>
      </c>
      <c r="C32" s="618" t="str">
        <f>'B Test Recorded Data'!D150</f>
        <v/>
      </c>
      <c r="D32" s="450" t="s">
        <v>49</v>
      </c>
      <c r="E32" s="618" t="str">
        <f>'B Test Recorded Data'!D155</f>
        <v/>
      </c>
      <c r="F32" s="450" t="s">
        <v>49</v>
      </c>
      <c r="G32" s="451" t="e">
        <f t="shared" si="1"/>
        <v>#VALUE!</v>
      </c>
      <c r="H32" s="452" t="e">
        <f t="shared" si="0"/>
        <v>#VALUE!</v>
      </c>
      <c r="I32" s="618">
        <f>'B Test Recorded Data'!D98</f>
        <v>0</v>
      </c>
      <c r="J32" s="453" t="s">
        <v>110</v>
      </c>
      <c r="K32" s="443"/>
      <c r="L32" s="443"/>
      <c r="M32" s="443"/>
      <c r="N32" s="443"/>
      <c r="O32" s="443"/>
      <c r="P32" s="443"/>
      <c r="Q32" s="443"/>
      <c r="R32" s="443"/>
      <c r="S32" s="443"/>
      <c r="T32" s="443"/>
      <c r="U32" s="443"/>
      <c r="V32" s="443"/>
      <c r="W32" s="443"/>
      <c r="X32" s="443"/>
      <c r="Y32" s="443"/>
      <c r="Z32" s="443"/>
      <c r="AA32" s="443"/>
      <c r="AB32" s="443"/>
      <c r="AC32" s="443"/>
      <c r="AD32" s="443"/>
      <c r="AE32" s="443"/>
      <c r="AF32" s="443"/>
      <c r="AG32" s="444"/>
    </row>
    <row r="33" spans="2:33" ht="18.75" thickBot="1" x14ac:dyDescent="0.4">
      <c r="B33" s="448" t="s">
        <v>197</v>
      </c>
      <c r="C33" s="449" t="str">
        <f>'Optional C Test Recorded Data'!D73</f>
        <v/>
      </c>
      <c r="D33" s="450" t="s">
        <v>49</v>
      </c>
      <c r="E33" s="449" t="str">
        <f>'Optional C Test Recorded Data'!D78</f>
        <v/>
      </c>
      <c r="F33" s="450" t="s">
        <v>49</v>
      </c>
      <c r="G33" s="451" t="e">
        <f t="shared" si="1"/>
        <v>#VALUE!</v>
      </c>
      <c r="H33" s="452" t="e">
        <f t="shared" si="0"/>
        <v>#VALUE!</v>
      </c>
      <c r="I33" s="449">
        <f>'Optional C Test Recorded Data'!D21</f>
        <v>0</v>
      </c>
      <c r="J33" s="453" t="s">
        <v>110</v>
      </c>
      <c r="K33" s="443"/>
      <c r="L33" s="443"/>
      <c r="M33" s="443"/>
      <c r="N33" s="443"/>
      <c r="O33" s="443"/>
      <c r="P33" s="443"/>
      <c r="Q33" s="443"/>
      <c r="R33" s="443"/>
      <c r="S33" s="443"/>
      <c r="T33" s="443"/>
      <c r="U33" s="443"/>
      <c r="V33" s="443"/>
      <c r="W33" s="443"/>
      <c r="X33" s="443"/>
      <c r="Y33" s="443"/>
      <c r="Z33" s="443"/>
      <c r="AA33" s="443"/>
      <c r="AB33" s="443"/>
      <c r="AC33" s="443"/>
      <c r="AD33" s="443"/>
      <c r="AE33" s="443"/>
      <c r="AF33" s="443"/>
      <c r="AG33" s="444"/>
    </row>
    <row r="34" spans="2:33" ht="18.75" thickBot="1" x14ac:dyDescent="0.4">
      <c r="B34" s="448" t="s">
        <v>169</v>
      </c>
      <c r="C34" s="618" t="str">
        <f>'Optional C Test Recorded Data'!D73</f>
        <v/>
      </c>
      <c r="D34" s="450" t="s">
        <v>49</v>
      </c>
      <c r="E34" s="618" t="str">
        <f>'Optional C Test Recorded Data'!D78</f>
        <v/>
      </c>
      <c r="F34" s="450" t="s">
        <v>49</v>
      </c>
      <c r="G34" s="451" t="e">
        <f t="shared" si="1"/>
        <v>#VALUE!</v>
      </c>
      <c r="H34" s="452" t="e">
        <f t="shared" si="0"/>
        <v>#VALUE!</v>
      </c>
      <c r="I34" s="618">
        <f>'Optional C Test Recorded Data'!D21</f>
        <v>0</v>
      </c>
      <c r="J34" s="453" t="s">
        <v>110</v>
      </c>
      <c r="K34" s="443"/>
      <c r="L34" s="443"/>
      <c r="M34" s="443"/>
      <c r="N34" s="443"/>
      <c r="O34" s="443"/>
      <c r="P34" s="443"/>
      <c r="Q34" s="443"/>
      <c r="R34" s="443"/>
      <c r="S34" s="443"/>
      <c r="T34" s="443"/>
      <c r="U34" s="443"/>
      <c r="V34" s="443"/>
      <c r="W34" s="443"/>
      <c r="X34" s="443"/>
      <c r="Y34" s="443"/>
      <c r="Z34" s="443"/>
      <c r="AA34" s="443"/>
      <c r="AB34" s="443"/>
      <c r="AC34" s="443"/>
      <c r="AD34" s="443"/>
      <c r="AE34" s="443"/>
      <c r="AF34" s="443"/>
      <c r="AG34" s="444"/>
    </row>
    <row r="35" spans="2:33" ht="18.75" thickBot="1" x14ac:dyDescent="0.4">
      <c r="B35" s="448" t="s">
        <v>171</v>
      </c>
      <c r="C35" s="449" t="str">
        <f>'Optional C Test Recorded Data'!D143</f>
        <v/>
      </c>
      <c r="D35" s="450" t="s">
        <v>49</v>
      </c>
      <c r="E35" s="449" t="str">
        <f>'Optional C Test Recorded Data'!D148</f>
        <v/>
      </c>
      <c r="F35" s="450" t="s">
        <v>49</v>
      </c>
      <c r="G35" s="451" t="e">
        <f t="shared" si="1"/>
        <v>#VALUE!</v>
      </c>
      <c r="H35" s="452" t="e">
        <f t="shared" si="0"/>
        <v>#VALUE!</v>
      </c>
      <c r="I35" s="449">
        <f>'Optional C Test Recorded Data'!D91</f>
        <v>0</v>
      </c>
      <c r="J35" s="453" t="s">
        <v>110</v>
      </c>
      <c r="K35" s="443"/>
      <c r="L35" s="443"/>
      <c r="M35" s="443"/>
      <c r="N35" s="443"/>
      <c r="O35" s="443"/>
      <c r="P35" s="443"/>
      <c r="Q35" s="443"/>
      <c r="R35" s="443"/>
      <c r="S35" s="443"/>
      <c r="T35" s="443"/>
      <c r="U35" s="443"/>
      <c r="V35" s="443"/>
      <c r="W35" s="443"/>
      <c r="X35" s="443"/>
      <c r="Y35" s="443"/>
      <c r="Z35" s="443"/>
      <c r="AA35" s="443"/>
      <c r="AB35" s="443"/>
      <c r="AC35" s="443"/>
      <c r="AD35" s="443"/>
      <c r="AE35" s="443"/>
      <c r="AF35" s="443"/>
      <c r="AG35" s="444"/>
    </row>
    <row r="36" spans="2:33" ht="18.75" thickBot="1" x14ac:dyDescent="0.4">
      <c r="B36" s="448" t="s">
        <v>198</v>
      </c>
      <c r="C36" s="449" t="str">
        <f>'Optional D Test Recorded Data'!D50</f>
        <v/>
      </c>
      <c r="D36" s="450" t="s">
        <v>49</v>
      </c>
      <c r="E36" s="449" t="str">
        <f>'Optional D Test Recorded Data'!D55</f>
        <v/>
      </c>
      <c r="F36" s="450" t="s">
        <v>49</v>
      </c>
      <c r="G36" s="451" t="e">
        <f t="shared" si="1"/>
        <v>#VALUE!</v>
      </c>
      <c r="H36" s="452" t="e">
        <f t="shared" si="0"/>
        <v>#VALUE!</v>
      </c>
      <c r="I36" s="449">
        <f>'Optional D Test Recorded Data'!D18</f>
        <v>0</v>
      </c>
      <c r="J36" s="453" t="s">
        <v>110</v>
      </c>
      <c r="K36" s="443"/>
      <c r="L36" s="443"/>
      <c r="M36" s="443"/>
      <c r="N36" s="443"/>
      <c r="O36" s="443"/>
      <c r="P36" s="443"/>
      <c r="Q36" s="443"/>
      <c r="R36" s="443"/>
      <c r="S36" s="443"/>
      <c r="T36" s="443"/>
      <c r="U36" s="443"/>
      <c r="V36" s="443"/>
      <c r="W36" s="443"/>
      <c r="X36" s="443"/>
      <c r="Y36" s="443"/>
      <c r="Z36" s="443"/>
      <c r="AA36" s="443"/>
      <c r="AB36" s="443"/>
      <c r="AC36" s="443"/>
      <c r="AD36" s="443"/>
      <c r="AE36" s="443"/>
      <c r="AF36" s="443"/>
      <c r="AG36" s="444"/>
    </row>
    <row r="37" spans="2:33" ht="18.75" thickBot="1" x14ac:dyDescent="0.4">
      <c r="B37" s="448" t="s">
        <v>173</v>
      </c>
      <c r="C37" s="618" t="str">
        <f>'Optional D Test Recorded Data'!D50</f>
        <v/>
      </c>
      <c r="D37" s="450" t="s">
        <v>49</v>
      </c>
      <c r="E37" s="618" t="str">
        <f>'Optional D Test Recorded Data'!D55</f>
        <v/>
      </c>
      <c r="F37" s="450" t="s">
        <v>49</v>
      </c>
      <c r="G37" s="451" t="e">
        <f t="shared" si="1"/>
        <v>#VALUE!</v>
      </c>
      <c r="H37" s="452" t="e">
        <f t="shared" si="0"/>
        <v>#VALUE!</v>
      </c>
      <c r="I37" s="618">
        <f>'Optional D Test Recorded Data'!D18</f>
        <v>0</v>
      </c>
      <c r="J37" s="453" t="s">
        <v>110</v>
      </c>
      <c r="K37" s="443"/>
      <c r="L37" s="443"/>
      <c r="M37" s="443"/>
      <c r="N37" s="443"/>
      <c r="O37" s="443"/>
      <c r="P37" s="443"/>
      <c r="Q37" s="443"/>
      <c r="R37" s="443"/>
      <c r="S37" s="443"/>
      <c r="T37" s="443"/>
      <c r="U37" s="443"/>
      <c r="V37" s="443"/>
      <c r="W37" s="443"/>
      <c r="X37" s="443"/>
      <c r="Y37" s="443"/>
      <c r="Z37" s="443"/>
      <c r="AA37" s="443"/>
      <c r="AB37" s="443"/>
      <c r="AC37" s="443"/>
      <c r="AD37" s="443"/>
      <c r="AE37" s="443"/>
      <c r="AF37" s="443"/>
      <c r="AG37" s="444"/>
    </row>
    <row r="38" spans="2:33" ht="18.75" thickBot="1" x14ac:dyDescent="0.4">
      <c r="B38" s="448" t="s">
        <v>172</v>
      </c>
      <c r="C38" s="449" t="str">
        <f>'Optional D Test Recorded Data'!D97</f>
        <v/>
      </c>
      <c r="D38" s="450" t="s">
        <v>49</v>
      </c>
      <c r="E38" s="449" t="str">
        <f>'Optional D Test Recorded Data'!D102</f>
        <v/>
      </c>
      <c r="F38" s="450" t="s">
        <v>49</v>
      </c>
      <c r="G38" s="451" t="e">
        <f t="shared" si="1"/>
        <v>#VALUE!</v>
      </c>
      <c r="H38" s="452" t="e">
        <f t="shared" si="0"/>
        <v>#VALUE!</v>
      </c>
      <c r="I38" s="449">
        <f>'Optional D Test Recorded Data'!D65</f>
        <v>0</v>
      </c>
      <c r="J38" s="453" t="s">
        <v>110</v>
      </c>
      <c r="K38" s="443"/>
      <c r="L38" s="443"/>
      <c r="M38" s="443"/>
      <c r="N38" s="443"/>
      <c r="O38" s="443"/>
      <c r="P38" s="443"/>
      <c r="Q38" s="443"/>
      <c r="R38" s="443"/>
      <c r="S38" s="443"/>
      <c r="T38" s="443"/>
      <c r="U38" s="443"/>
      <c r="V38" s="443"/>
      <c r="W38" s="443"/>
      <c r="X38" s="443"/>
      <c r="Y38" s="443"/>
      <c r="Z38" s="443"/>
      <c r="AA38" s="443"/>
      <c r="AB38" s="443"/>
      <c r="AC38" s="443"/>
      <c r="AD38" s="443"/>
      <c r="AE38" s="443"/>
      <c r="AF38" s="443"/>
      <c r="AG38" s="444"/>
    </row>
    <row r="39" spans="2:33" ht="18.75" thickBot="1" x14ac:dyDescent="0.4">
      <c r="B39" s="448" t="s">
        <v>170</v>
      </c>
      <c r="C39" s="618" t="str">
        <f>'F Test Recorded Data'!D79</f>
        <v/>
      </c>
      <c r="D39" s="450" t="s">
        <v>49</v>
      </c>
      <c r="E39" s="618" t="str">
        <f>'F Test Recorded Data'!D84</f>
        <v/>
      </c>
      <c r="F39" s="450" t="s">
        <v>49</v>
      </c>
      <c r="G39" s="451" t="e">
        <f t="shared" si="1"/>
        <v>#VALUE!</v>
      </c>
      <c r="H39" s="452" t="e">
        <f t="shared" si="0"/>
        <v>#VALUE!</v>
      </c>
      <c r="I39" s="618">
        <f>'F Test Recorded Data'!D28</f>
        <v>0</v>
      </c>
      <c r="J39" s="453" t="s">
        <v>110</v>
      </c>
      <c r="K39" s="443"/>
      <c r="L39" s="443"/>
      <c r="M39" s="443"/>
      <c r="N39" s="443"/>
      <c r="O39" s="443"/>
      <c r="P39" s="443"/>
      <c r="Q39" s="443"/>
      <c r="R39" s="443"/>
      <c r="S39" s="454"/>
      <c r="T39" s="454"/>
      <c r="U39" s="454"/>
      <c r="V39" s="454"/>
      <c r="W39" s="454"/>
      <c r="X39" s="443"/>
      <c r="Y39" s="443"/>
      <c r="Z39" s="443"/>
      <c r="AA39" s="443"/>
      <c r="AB39" s="443"/>
      <c r="AC39" s="443"/>
      <c r="AD39" s="443"/>
      <c r="AE39" s="443"/>
      <c r="AF39" s="443"/>
      <c r="AG39" s="444"/>
    </row>
    <row r="40" spans="2:33" ht="18.75" thickBot="1" x14ac:dyDescent="0.4">
      <c r="B40" s="448" t="s">
        <v>168</v>
      </c>
      <c r="C40" s="449" t="str">
        <f>'Ev Test Recorded Data'!D74</f>
        <v/>
      </c>
      <c r="D40" s="450" t="s">
        <v>49</v>
      </c>
      <c r="E40" s="449" t="str">
        <f>'Ev Test Recorded Data'!D79</f>
        <v/>
      </c>
      <c r="F40" s="450" t="s">
        <v>49</v>
      </c>
      <c r="G40" s="451" t="e">
        <f t="shared" si="1"/>
        <v>#VALUE!</v>
      </c>
      <c r="H40" s="452" t="e">
        <f t="shared" si="0"/>
        <v>#VALUE!</v>
      </c>
      <c r="I40" s="449">
        <f>'Ev Test Recorded Data'!D21</f>
        <v>0</v>
      </c>
      <c r="J40" s="453" t="s">
        <v>110</v>
      </c>
      <c r="K40" s="443"/>
      <c r="L40" s="443"/>
      <c r="M40" s="443"/>
      <c r="N40" s="443"/>
      <c r="O40" s="443"/>
      <c r="P40" s="443"/>
      <c r="Q40" s="443"/>
      <c r="R40" s="443"/>
      <c r="S40" s="454"/>
      <c r="T40" s="454"/>
      <c r="U40" s="454"/>
      <c r="V40" s="454"/>
      <c r="W40" s="454"/>
      <c r="X40" s="443"/>
      <c r="Y40" s="443"/>
      <c r="Z40" s="443"/>
      <c r="AA40" s="443"/>
      <c r="AB40" s="443"/>
      <c r="AC40" s="443"/>
      <c r="AD40" s="443"/>
      <c r="AE40" s="443"/>
      <c r="AF40" s="443"/>
      <c r="AG40" s="444"/>
    </row>
    <row r="41" spans="2:33" ht="18.75" thickBot="1" x14ac:dyDescent="0.4">
      <c r="B41" s="448" t="s">
        <v>177</v>
      </c>
      <c r="C41" s="449" t="str">
        <f>'Optional G Test Recorded Data'!D73</f>
        <v/>
      </c>
      <c r="D41" s="450" t="s">
        <v>49</v>
      </c>
      <c r="E41" s="449" t="str">
        <f>'Optional G Test Recorded Data'!D78</f>
        <v/>
      </c>
      <c r="F41" s="450" t="s">
        <v>49</v>
      </c>
      <c r="G41" s="451" t="e">
        <f t="shared" si="1"/>
        <v>#VALUE!</v>
      </c>
      <c r="H41" s="452" t="e">
        <f t="shared" si="0"/>
        <v>#VALUE!</v>
      </c>
      <c r="I41" s="449">
        <f>'Optional G Test Recorded Data'!D21</f>
        <v>0</v>
      </c>
      <c r="J41" s="453" t="s">
        <v>110</v>
      </c>
      <c r="K41" s="455"/>
      <c r="L41" s="455"/>
      <c r="M41" s="455"/>
      <c r="N41" s="455"/>
      <c r="O41" s="455"/>
      <c r="P41" s="455"/>
      <c r="Q41" s="455"/>
      <c r="R41" s="455"/>
      <c r="S41" s="456"/>
      <c r="T41" s="454"/>
      <c r="U41" s="454"/>
      <c r="V41" s="454"/>
      <c r="W41" s="454"/>
      <c r="X41" s="443"/>
      <c r="Y41" s="443"/>
      <c r="Z41" s="443"/>
      <c r="AA41" s="443"/>
      <c r="AB41" s="443"/>
      <c r="AC41" s="443"/>
      <c r="AD41" s="443"/>
      <c r="AE41" s="443"/>
      <c r="AF41" s="443"/>
      <c r="AG41" s="444"/>
    </row>
    <row r="42" spans="2:33" ht="18.75" thickBot="1" x14ac:dyDescent="0.4">
      <c r="B42" s="448" t="s">
        <v>178</v>
      </c>
      <c r="C42" s="449" t="str">
        <f>'Optional I Test Recorded Data'!D75</f>
        <v/>
      </c>
      <c r="D42" s="450" t="s">
        <v>49</v>
      </c>
      <c r="E42" s="449" t="str">
        <f>'Optional I Test Recorded Data'!D80</f>
        <v/>
      </c>
      <c r="F42" s="450" t="s">
        <v>49</v>
      </c>
      <c r="G42" s="451" t="e">
        <f t="shared" si="1"/>
        <v>#VALUE!</v>
      </c>
      <c r="H42" s="452" t="e">
        <f t="shared" si="0"/>
        <v>#VALUE!</v>
      </c>
      <c r="I42" s="449">
        <f>'Optional I Test Recorded Data'!D23</f>
        <v>0</v>
      </c>
      <c r="J42" s="453" t="s">
        <v>110</v>
      </c>
      <c r="K42" s="455"/>
      <c r="L42" s="455"/>
      <c r="M42" s="455"/>
      <c r="N42" s="455"/>
      <c r="O42" s="455"/>
      <c r="P42" s="455"/>
      <c r="Q42" s="455"/>
      <c r="R42" s="455"/>
      <c r="S42" s="456"/>
      <c r="T42" s="454"/>
      <c r="U42" s="454"/>
      <c r="V42" s="454"/>
      <c r="W42" s="454"/>
      <c r="X42" s="443"/>
      <c r="Y42" s="443"/>
      <c r="Z42" s="443"/>
      <c r="AA42" s="443"/>
      <c r="AB42" s="443"/>
      <c r="AC42" s="443"/>
      <c r="AD42" s="443"/>
      <c r="AE42" s="443"/>
      <c r="AF42" s="443"/>
      <c r="AG42" s="444"/>
    </row>
    <row r="43" spans="2:33" ht="18.75" thickBot="1" x14ac:dyDescent="0.4">
      <c r="B43" s="448" t="s">
        <v>120</v>
      </c>
      <c r="C43" s="449" t="str">
        <f>'H1 Test Recorded Data'!D73</f>
        <v/>
      </c>
      <c r="D43" s="450" t="s">
        <v>49</v>
      </c>
      <c r="E43" s="449" t="str">
        <f>'H1 Test Recorded Data'!D78</f>
        <v/>
      </c>
      <c r="F43" s="450" t="s">
        <v>49</v>
      </c>
      <c r="G43" s="451" t="e">
        <f t="shared" si="1"/>
        <v>#VALUE!</v>
      </c>
      <c r="H43" s="452" t="e">
        <f t="shared" si="0"/>
        <v>#VALUE!</v>
      </c>
      <c r="I43" s="449">
        <f>'H1 Test Recorded Data'!D21</f>
        <v>0</v>
      </c>
      <c r="J43" s="453" t="s">
        <v>110</v>
      </c>
      <c r="K43" s="455"/>
      <c r="L43" s="455"/>
      <c r="M43" s="455"/>
      <c r="N43" s="455"/>
      <c r="O43" s="455"/>
      <c r="P43" s="455"/>
      <c r="Q43" s="455"/>
      <c r="R43" s="455"/>
      <c r="S43" s="456"/>
      <c r="T43" s="454"/>
      <c r="U43" s="454"/>
      <c r="V43" s="454"/>
      <c r="W43" s="454"/>
      <c r="X43" s="443"/>
      <c r="Y43" s="443"/>
      <c r="Z43" s="443"/>
      <c r="AA43" s="443"/>
      <c r="AB43" s="443"/>
      <c r="AC43" s="443"/>
      <c r="AD43" s="443"/>
      <c r="AE43" s="443"/>
      <c r="AF43" s="443"/>
      <c r="AG43" s="444"/>
    </row>
    <row r="44" spans="2:33" ht="18.75" thickBot="1" x14ac:dyDescent="0.4">
      <c r="B44" s="448" t="s">
        <v>179</v>
      </c>
      <c r="C44" s="618" t="str">
        <f>'H1 Test Recorded Data'!D73</f>
        <v/>
      </c>
      <c r="D44" s="450" t="s">
        <v>49</v>
      </c>
      <c r="E44" s="618" t="str">
        <f>'H1 Test Recorded Data'!D78</f>
        <v/>
      </c>
      <c r="F44" s="450" t="s">
        <v>49</v>
      </c>
      <c r="G44" s="451" t="e">
        <f t="shared" si="1"/>
        <v>#VALUE!</v>
      </c>
      <c r="H44" s="452" t="e">
        <f t="shared" si="0"/>
        <v>#VALUE!</v>
      </c>
      <c r="I44" s="618">
        <f>'H1 Test Recorded Data'!D21</f>
        <v>0</v>
      </c>
      <c r="J44" s="453" t="s">
        <v>110</v>
      </c>
      <c r="K44" s="455"/>
      <c r="L44" s="455"/>
      <c r="M44" s="455"/>
      <c r="N44" s="455"/>
      <c r="O44" s="455"/>
      <c r="P44" s="455"/>
      <c r="Q44" s="455"/>
      <c r="R44" s="455"/>
      <c r="S44" s="456"/>
      <c r="T44" s="454"/>
      <c r="U44" s="454"/>
      <c r="V44" s="454"/>
      <c r="W44" s="454"/>
      <c r="X44" s="443"/>
      <c r="Y44" s="443"/>
      <c r="Z44" s="443"/>
      <c r="AA44" s="443"/>
      <c r="AB44" s="443"/>
      <c r="AC44" s="443"/>
      <c r="AD44" s="443"/>
      <c r="AE44" s="443"/>
      <c r="AF44" s="443"/>
      <c r="AG44" s="444"/>
    </row>
    <row r="45" spans="2:33" ht="18.75" thickBot="1" x14ac:dyDescent="0.4">
      <c r="B45" s="448" t="s">
        <v>180</v>
      </c>
      <c r="C45" s="618" t="str">
        <f>'H1 Test Recorded Data'!D143</f>
        <v/>
      </c>
      <c r="D45" s="450" t="s">
        <v>49</v>
      </c>
      <c r="E45" s="618" t="str">
        <f>'H1 Test Recorded Data'!D148</f>
        <v/>
      </c>
      <c r="F45" s="450" t="s">
        <v>49</v>
      </c>
      <c r="G45" s="451" t="e">
        <f t="shared" si="1"/>
        <v>#VALUE!</v>
      </c>
      <c r="H45" s="452" t="e">
        <f t="shared" si="0"/>
        <v>#VALUE!</v>
      </c>
      <c r="I45" s="618">
        <f>'H1 Test Recorded Data'!D91</f>
        <v>0</v>
      </c>
      <c r="J45" s="453" t="s">
        <v>110</v>
      </c>
      <c r="K45" s="455"/>
      <c r="L45" s="455"/>
      <c r="M45" s="455"/>
      <c r="N45" s="455"/>
      <c r="O45" s="455"/>
      <c r="P45" s="455"/>
      <c r="Q45" s="455"/>
      <c r="R45" s="455"/>
      <c r="S45" s="456"/>
      <c r="T45" s="454"/>
      <c r="U45" s="454"/>
      <c r="V45" s="454"/>
      <c r="W45" s="454"/>
      <c r="X45" s="443"/>
      <c r="Y45" s="443"/>
      <c r="Z45" s="443"/>
      <c r="AA45" s="443"/>
      <c r="AB45" s="443"/>
      <c r="AC45" s="443"/>
      <c r="AD45" s="443"/>
      <c r="AE45" s="443"/>
      <c r="AF45" s="443"/>
      <c r="AG45" s="444"/>
    </row>
    <row r="46" spans="2:33" ht="18.75" thickBot="1" x14ac:dyDescent="0.4">
      <c r="B46" s="457" t="s">
        <v>121</v>
      </c>
      <c r="C46" s="449" t="str">
        <f>'H2 Test Recorded Data'!D80</f>
        <v/>
      </c>
      <c r="D46" s="450" t="s">
        <v>49</v>
      </c>
      <c r="E46" s="449" t="str">
        <f>'H2 Test Recorded Data'!D85</f>
        <v/>
      </c>
      <c r="F46" s="450" t="s">
        <v>49</v>
      </c>
      <c r="G46" s="451" t="e">
        <f t="shared" si="1"/>
        <v>#VALUE!</v>
      </c>
      <c r="H46" s="452" t="e">
        <f t="shared" si="0"/>
        <v>#VALUE!</v>
      </c>
      <c r="I46" s="449">
        <f>'H2 Test Recorded Data'!D26</f>
        <v>0</v>
      </c>
      <c r="J46" s="453" t="s">
        <v>110</v>
      </c>
      <c r="K46" s="455"/>
      <c r="L46" s="455"/>
      <c r="M46" s="455"/>
      <c r="N46" s="455"/>
      <c r="O46" s="455"/>
      <c r="P46" s="455"/>
      <c r="Q46" s="455"/>
      <c r="R46" s="455"/>
      <c r="S46" s="456"/>
      <c r="T46" s="454"/>
      <c r="U46" s="454"/>
      <c r="V46" s="454"/>
      <c r="W46" s="454"/>
      <c r="X46" s="443"/>
      <c r="Y46" s="443"/>
      <c r="Z46" s="443"/>
      <c r="AA46" s="443"/>
      <c r="AB46" s="443"/>
      <c r="AC46" s="443"/>
      <c r="AD46" s="443"/>
      <c r="AE46" s="443"/>
      <c r="AF46" s="443"/>
      <c r="AG46" s="444"/>
    </row>
    <row r="47" spans="2:33" ht="18.75" thickBot="1" x14ac:dyDescent="0.4">
      <c r="B47" s="457" t="s">
        <v>181</v>
      </c>
      <c r="C47" s="618" t="str">
        <f>'H2 Test Recorded Data'!D80</f>
        <v/>
      </c>
      <c r="D47" s="450" t="s">
        <v>49</v>
      </c>
      <c r="E47" s="618" t="str">
        <f>'H2 Test Recorded Data'!D85</f>
        <v/>
      </c>
      <c r="F47" s="450" t="s">
        <v>49</v>
      </c>
      <c r="G47" s="451" t="e">
        <f t="shared" si="1"/>
        <v>#VALUE!</v>
      </c>
      <c r="H47" s="452" t="e">
        <f t="shared" si="0"/>
        <v>#VALUE!</v>
      </c>
      <c r="I47" s="618">
        <f>'H2 Test Recorded Data'!D26</f>
        <v>0</v>
      </c>
      <c r="J47" s="453" t="s">
        <v>110</v>
      </c>
      <c r="K47" s="455"/>
      <c r="L47" s="455"/>
      <c r="M47" s="455"/>
      <c r="N47" s="455"/>
      <c r="O47" s="455"/>
      <c r="P47" s="455"/>
      <c r="Q47" s="455"/>
      <c r="R47" s="455"/>
      <c r="S47" s="456"/>
      <c r="T47" s="454"/>
      <c r="U47" s="454"/>
      <c r="V47" s="454"/>
      <c r="W47" s="454"/>
      <c r="X47" s="443"/>
      <c r="Y47" s="443"/>
      <c r="Z47" s="443"/>
      <c r="AA47" s="443"/>
      <c r="AB47" s="443"/>
      <c r="AC47" s="443"/>
      <c r="AD47" s="443"/>
      <c r="AE47" s="443"/>
      <c r="AF47" s="443"/>
      <c r="AG47" s="444"/>
    </row>
    <row r="48" spans="2:33" ht="18.75" thickBot="1" x14ac:dyDescent="0.4">
      <c r="B48" s="457" t="s">
        <v>182</v>
      </c>
      <c r="C48" s="618" t="str">
        <f>'H2 Test Recorded Data'!D154</f>
        <v/>
      </c>
      <c r="D48" s="450" t="s">
        <v>49</v>
      </c>
      <c r="E48" s="618" t="str">
        <f>'H2 Test Recorded Data'!D159</f>
        <v/>
      </c>
      <c r="F48" s="450" t="s">
        <v>49</v>
      </c>
      <c r="G48" s="451" t="e">
        <f t="shared" si="1"/>
        <v>#VALUE!</v>
      </c>
      <c r="H48" s="452" t="e">
        <f t="shared" si="0"/>
        <v>#VALUE!</v>
      </c>
      <c r="I48" s="618">
        <f>'H2 Test Recorded Data'!D100</f>
        <v>0</v>
      </c>
      <c r="J48" s="453" t="s">
        <v>110</v>
      </c>
      <c r="K48" s="455"/>
      <c r="L48" s="455"/>
      <c r="M48" s="455"/>
      <c r="N48" s="455"/>
      <c r="O48" s="455"/>
      <c r="P48" s="455"/>
      <c r="Q48" s="455"/>
      <c r="R48" s="455"/>
      <c r="S48" s="456"/>
      <c r="T48" s="454"/>
      <c r="U48" s="454"/>
      <c r="V48" s="454"/>
      <c r="W48" s="454"/>
      <c r="X48" s="443"/>
      <c r="Y48" s="443"/>
      <c r="Z48" s="443"/>
      <c r="AA48" s="443"/>
      <c r="AB48" s="443"/>
      <c r="AC48" s="443"/>
      <c r="AD48" s="443"/>
      <c r="AE48" s="443"/>
      <c r="AF48" s="443"/>
      <c r="AG48" s="444"/>
    </row>
    <row r="49" spans="2:33" ht="18.75" thickBot="1" x14ac:dyDescent="0.4">
      <c r="B49" s="457" t="s">
        <v>122</v>
      </c>
      <c r="C49" s="449" t="str">
        <f>'H3 Test Recorded Data'!D75</f>
        <v/>
      </c>
      <c r="D49" s="450" t="s">
        <v>49</v>
      </c>
      <c r="E49" s="449" t="str">
        <f>'H3 Test Recorded Data'!D80</f>
        <v/>
      </c>
      <c r="F49" s="450" t="s">
        <v>49</v>
      </c>
      <c r="G49" s="451" t="e">
        <f t="shared" si="1"/>
        <v>#VALUE!</v>
      </c>
      <c r="H49" s="452" t="e">
        <f t="shared" si="0"/>
        <v>#VALUE!</v>
      </c>
      <c r="I49" s="449">
        <f>'H3 Test Recorded Data'!D23</f>
        <v>0</v>
      </c>
      <c r="J49" s="453" t="s">
        <v>110</v>
      </c>
      <c r="K49" s="455"/>
      <c r="L49" s="455"/>
      <c r="M49" s="455"/>
      <c r="N49" s="455"/>
      <c r="O49" s="455"/>
      <c r="P49" s="455"/>
      <c r="Q49" s="455"/>
      <c r="R49" s="455"/>
      <c r="S49" s="456"/>
      <c r="T49" s="454"/>
      <c r="U49" s="454"/>
      <c r="V49" s="454"/>
      <c r="W49" s="454"/>
      <c r="X49" s="443"/>
      <c r="Y49" s="443"/>
      <c r="Z49" s="443"/>
      <c r="AA49" s="443"/>
      <c r="AB49" s="443"/>
      <c r="AC49" s="443"/>
      <c r="AD49" s="443"/>
      <c r="AE49" s="443"/>
      <c r="AF49" s="443"/>
      <c r="AG49" s="444"/>
    </row>
    <row r="50" spans="2:33" ht="18.75" thickBot="1" x14ac:dyDescent="0.4">
      <c r="B50" s="457" t="s">
        <v>183</v>
      </c>
      <c r="C50" s="618" t="str">
        <f>'H3 Test Recorded Data'!D75</f>
        <v/>
      </c>
      <c r="D50" s="450" t="s">
        <v>49</v>
      </c>
      <c r="E50" s="618" t="str">
        <f>'H3 Test Recorded Data'!D80</f>
        <v/>
      </c>
      <c r="F50" s="450" t="s">
        <v>49</v>
      </c>
      <c r="G50" s="451" t="e">
        <f t="shared" si="1"/>
        <v>#VALUE!</v>
      </c>
      <c r="H50" s="452" t="e">
        <f t="shared" si="0"/>
        <v>#VALUE!</v>
      </c>
      <c r="I50" s="618">
        <f>'H3 Test Recorded Data'!D23</f>
        <v>0</v>
      </c>
      <c r="J50" s="453" t="s">
        <v>110</v>
      </c>
      <c r="K50" s="455"/>
      <c r="L50" s="455"/>
      <c r="M50" s="455"/>
      <c r="N50" s="455"/>
      <c r="O50" s="455"/>
      <c r="P50" s="455"/>
      <c r="Q50" s="455"/>
      <c r="R50" s="455"/>
      <c r="S50" s="456"/>
      <c r="T50" s="454"/>
      <c r="U50" s="454"/>
      <c r="V50" s="454"/>
      <c r="W50" s="454"/>
      <c r="X50" s="443"/>
      <c r="Y50" s="443"/>
      <c r="Z50" s="443"/>
      <c r="AA50" s="443"/>
      <c r="AB50" s="443"/>
      <c r="AC50" s="443"/>
      <c r="AD50" s="443"/>
      <c r="AE50" s="443"/>
      <c r="AF50" s="443"/>
      <c r="AG50" s="444"/>
    </row>
    <row r="51" spans="2:33" ht="18.75" thickBot="1" x14ac:dyDescent="0.4">
      <c r="B51" s="457" t="s">
        <v>184</v>
      </c>
      <c r="C51" s="618" t="str">
        <f>'H3 Test Recorded Data'!D145</f>
        <v/>
      </c>
      <c r="D51" s="450" t="s">
        <v>49</v>
      </c>
      <c r="E51" s="618" t="str">
        <f>'H3 Test Recorded Data'!D150</f>
        <v/>
      </c>
      <c r="F51" s="450" t="s">
        <v>49</v>
      </c>
      <c r="G51" s="451" t="e">
        <f t="shared" si="1"/>
        <v>#VALUE!</v>
      </c>
      <c r="H51" s="452" t="e">
        <f t="shared" si="0"/>
        <v>#VALUE!</v>
      </c>
      <c r="I51" s="618">
        <f>'H3 Test Recorded Data'!D93</f>
        <v>0</v>
      </c>
      <c r="J51" s="453" t="s">
        <v>110</v>
      </c>
      <c r="K51" s="443"/>
      <c r="L51" s="443"/>
      <c r="M51" s="443"/>
      <c r="N51" s="443"/>
      <c r="O51" s="443"/>
      <c r="P51" s="443"/>
      <c r="Q51" s="443"/>
      <c r="R51" s="443"/>
      <c r="S51" s="454"/>
      <c r="T51" s="454"/>
      <c r="U51" s="454"/>
      <c r="V51" s="454"/>
      <c r="W51" s="454"/>
      <c r="X51" s="443"/>
      <c r="Y51" s="443"/>
      <c r="Z51" s="443"/>
      <c r="AA51" s="443"/>
      <c r="AB51" s="443"/>
      <c r="AC51" s="443"/>
      <c r="AD51" s="443"/>
      <c r="AE51" s="443"/>
      <c r="AF51" s="443"/>
      <c r="AG51" s="444"/>
    </row>
    <row r="52" spans="2:33" ht="18.75" thickBot="1" x14ac:dyDescent="0.4">
      <c r="B52" s="457" t="s">
        <v>200</v>
      </c>
      <c r="C52" s="449" t="str">
        <f>'Optional H1C Test Recorded Data'!D47</f>
        <v/>
      </c>
      <c r="D52" s="450" t="s">
        <v>49</v>
      </c>
      <c r="E52" s="449"/>
      <c r="F52" s="450" t="s">
        <v>49</v>
      </c>
      <c r="G52" s="451" t="e">
        <f>IF(ABS((C52-E52)/C52)&lt;=0.06,"Yes","No")</f>
        <v>#VALUE!</v>
      </c>
      <c r="H52" s="452" t="e">
        <f>ABS((C52-E52)/C52)</f>
        <v>#VALUE!</v>
      </c>
      <c r="I52" s="449">
        <f>'Optional H1C Test Recorded Data'!D18</f>
        <v>0</v>
      </c>
      <c r="J52" s="453" t="s">
        <v>110</v>
      </c>
      <c r="K52" s="443"/>
      <c r="L52" s="443"/>
      <c r="M52" s="443"/>
      <c r="N52" s="443"/>
      <c r="O52" s="443"/>
      <c r="P52" s="443"/>
      <c r="Q52" s="443"/>
      <c r="R52" s="443"/>
      <c r="S52" s="454"/>
      <c r="T52" s="454"/>
      <c r="U52" s="454"/>
      <c r="V52" s="454"/>
      <c r="W52" s="454"/>
      <c r="X52" s="443"/>
      <c r="Y52" s="443"/>
      <c r="Z52" s="443"/>
      <c r="AA52" s="443"/>
      <c r="AB52" s="443"/>
      <c r="AC52" s="443"/>
      <c r="AD52" s="443"/>
      <c r="AE52" s="443"/>
      <c r="AF52" s="443"/>
      <c r="AG52" s="444"/>
    </row>
    <row r="53" spans="2:33" ht="18.75" thickBot="1" x14ac:dyDescent="0.4">
      <c r="B53" s="457" t="s">
        <v>185</v>
      </c>
      <c r="C53" s="618" t="str">
        <f>'Optional H1C Test Recorded Data'!D47</f>
        <v/>
      </c>
      <c r="D53" s="450" t="s">
        <v>49</v>
      </c>
      <c r="E53" s="618"/>
      <c r="F53" s="450" t="s">
        <v>49</v>
      </c>
      <c r="G53" s="451" t="e">
        <f t="shared" si="1"/>
        <v>#VALUE!</v>
      </c>
      <c r="H53" s="452" t="e">
        <f t="shared" si="0"/>
        <v>#VALUE!</v>
      </c>
      <c r="I53" s="618">
        <f>'Optional H1C Test Recorded Data'!D18</f>
        <v>0</v>
      </c>
      <c r="J53" s="453" t="s">
        <v>110</v>
      </c>
      <c r="K53" s="443"/>
      <c r="L53" s="443"/>
      <c r="M53" s="443"/>
      <c r="N53" s="443"/>
      <c r="O53" s="443"/>
      <c r="P53" s="443"/>
      <c r="Q53" s="443"/>
      <c r="R53" s="443"/>
      <c r="S53" s="454"/>
      <c r="T53" s="454"/>
      <c r="U53" s="454"/>
      <c r="V53" s="454"/>
      <c r="W53" s="454"/>
      <c r="X53" s="443"/>
      <c r="Y53" s="443"/>
      <c r="Z53" s="443"/>
      <c r="AA53" s="443"/>
      <c r="AB53" s="443"/>
      <c r="AC53" s="443"/>
      <c r="AD53" s="443"/>
      <c r="AE53" s="443"/>
      <c r="AF53" s="443"/>
      <c r="AG53" s="444"/>
    </row>
    <row r="54" spans="2:33" ht="18.75" thickBot="1" x14ac:dyDescent="0.4">
      <c r="B54" s="457" t="s">
        <v>186</v>
      </c>
      <c r="C54" s="449" t="str">
        <f>'Optional H1C Test Recorded Data'!D86</f>
        <v/>
      </c>
      <c r="D54" s="450" t="s">
        <v>49</v>
      </c>
      <c r="E54" s="449"/>
      <c r="F54" s="450" t="s">
        <v>49</v>
      </c>
      <c r="G54" s="451" t="e">
        <f t="shared" si="1"/>
        <v>#VALUE!</v>
      </c>
      <c r="H54" s="452" t="e">
        <f t="shared" si="0"/>
        <v>#VALUE!</v>
      </c>
      <c r="I54" s="449">
        <f>'Optional H1C Test Recorded Data'!D57</f>
        <v>0</v>
      </c>
      <c r="J54" s="453" t="s">
        <v>110</v>
      </c>
      <c r="K54" s="443"/>
      <c r="L54" s="443"/>
      <c r="M54" s="443"/>
      <c r="N54" s="443"/>
      <c r="O54" s="443"/>
      <c r="P54" s="443"/>
      <c r="Q54" s="443"/>
      <c r="R54" s="443"/>
      <c r="S54" s="454"/>
      <c r="T54" s="454"/>
      <c r="U54" s="454"/>
      <c r="V54" s="454"/>
      <c r="W54" s="454"/>
      <c r="X54" s="443"/>
      <c r="Y54" s="443"/>
      <c r="Z54" s="443"/>
      <c r="AA54" s="443"/>
      <c r="AB54" s="443"/>
      <c r="AC54" s="443"/>
      <c r="AD54" s="443"/>
      <c r="AE54" s="443"/>
      <c r="AF54" s="443"/>
      <c r="AG54" s="444"/>
    </row>
    <row r="55" spans="2:33" ht="18.75" thickBot="1" x14ac:dyDescent="0.4">
      <c r="B55" s="457" t="s">
        <v>187</v>
      </c>
      <c r="C55" s="449" t="str">
        <f>'Optional H0C Test Recorded Data'!D75</f>
        <v/>
      </c>
      <c r="D55" s="450" t="s">
        <v>49</v>
      </c>
      <c r="E55" s="449" t="str">
        <f>'Optional H0C Test Recorded Data'!D80</f>
        <v/>
      </c>
      <c r="F55" s="450" t="s">
        <v>49</v>
      </c>
      <c r="G55" s="451" t="e">
        <f t="shared" si="1"/>
        <v>#VALUE!</v>
      </c>
      <c r="H55" s="452" t="e">
        <f t="shared" si="0"/>
        <v>#VALUE!</v>
      </c>
      <c r="I55" s="449">
        <f>'Optional H0C Test Recorded Data'!D23</f>
        <v>0</v>
      </c>
      <c r="J55" s="453" t="s">
        <v>110</v>
      </c>
      <c r="K55" s="443"/>
      <c r="L55" s="443"/>
      <c r="M55" s="443"/>
      <c r="N55" s="443"/>
      <c r="O55" s="443"/>
      <c r="P55" s="443"/>
      <c r="Q55" s="443"/>
      <c r="R55" s="443"/>
      <c r="S55" s="454"/>
      <c r="T55" s="454"/>
      <c r="U55" s="454"/>
      <c r="V55" s="454"/>
      <c r="W55" s="454"/>
      <c r="X55" s="443"/>
      <c r="Y55" s="443"/>
      <c r="Z55" s="443"/>
      <c r="AA55" s="443"/>
      <c r="AB55" s="443"/>
      <c r="AC55" s="443"/>
      <c r="AD55" s="443"/>
      <c r="AE55" s="443"/>
      <c r="AF55" s="443"/>
      <c r="AG55" s="444"/>
    </row>
    <row r="56" spans="2:33" ht="18.75" thickBot="1" x14ac:dyDescent="0.4">
      <c r="B56" s="457" t="s">
        <v>188</v>
      </c>
      <c r="C56" s="618" t="str">
        <f>'H0-1 Test Recorded Data'!D73</f>
        <v/>
      </c>
      <c r="D56" s="450" t="s">
        <v>49</v>
      </c>
      <c r="E56" s="618" t="str">
        <f>'H0-1 Test Recorded Data'!D78</f>
        <v/>
      </c>
      <c r="F56" s="450" t="s">
        <v>49</v>
      </c>
      <c r="G56" s="451" t="e">
        <f t="shared" si="1"/>
        <v>#VALUE!</v>
      </c>
      <c r="H56" s="452" t="e">
        <f t="shared" si="0"/>
        <v>#VALUE!</v>
      </c>
      <c r="I56" s="619">
        <f>'H0-1 Test Recorded Data'!D21</f>
        <v>0</v>
      </c>
      <c r="J56" s="453" t="s">
        <v>110</v>
      </c>
      <c r="K56" s="443"/>
      <c r="L56" s="443"/>
      <c r="M56" s="443"/>
      <c r="N56" s="455"/>
      <c r="O56" s="455"/>
      <c r="P56" s="443"/>
      <c r="Q56" s="443"/>
      <c r="R56" s="443"/>
      <c r="S56" s="454"/>
      <c r="T56" s="454"/>
      <c r="U56" s="454"/>
      <c r="V56" s="454"/>
      <c r="W56" s="454"/>
      <c r="X56" s="443"/>
      <c r="Y56" s="443"/>
      <c r="Z56" s="443"/>
      <c r="AA56" s="443"/>
      <c r="AB56" s="443"/>
      <c r="AC56" s="443"/>
      <c r="AD56" s="443"/>
      <c r="AE56" s="443"/>
      <c r="AF56" s="443"/>
      <c r="AG56" s="444"/>
    </row>
    <row r="57" spans="2:33" ht="18.75" thickBot="1" x14ac:dyDescent="0.4">
      <c r="B57" s="458" t="s">
        <v>278</v>
      </c>
      <c r="C57" s="449" t="str">
        <f>'H2 Test Recorded Data'!D228</f>
        <v/>
      </c>
      <c r="D57" s="450" t="s">
        <v>49</v>
      </c>
      <c r="E57" s="449" t="str">
        <f>'H2 Test Recorded Data'!D233</f>
        <v/>
      </c>
      <c r="F57" s="450" t="s">
        <v>49</v>
      </c>
      <c r="G57" s="459" t="e">
        <f t="shared" si="1"/>
        <v>#VALUE!</v>
      </c>
      <c r="H57" s="459" t="e">
        <f t="shared" si="0"/>
        <v>#VALUE!</v>
      </c>
      <c r="I57" s="449">
        <f>'H2 Test Recorded Data'!D174</f>
        <v>0</v>
      </c>
      <c r="J57" s="453" t="s">
        <v>110</v>
      </c>
      <c r="K57" s="443"/>
      <c r="L57" s="443"/>
      <c r="M57" s="443"/>
      <c r="N57" s="455"/>
      <c r="O57" s="455"/>
      <c r="P57" s="443"/>
      <c r="Q57" s="443"/>
      <c r="R57" s="443"/>
      <c r="S57" s="443"/>
      <c r="T57" s="443"/>
      <c r="U57" s="443"/>
      <c r="V57" s="443"/>
      <c r="W57" s="443"/>
      <c r="X57" s="443"/>
      <c r="Y57" s="443"/>
      <c r="Z57" s="443"/>
      <c r="AA57" s="443"/>
      <c r="AB57" s="443"/>
      <c r="AC57" s="443"/>
      <c r="AD57" s="443"/>
      <c r="AE57" s="443"/>
      <c r="AF57" s="443"/>
      <c r="AG57" s="444"/>
    </row>
    <row r="58" spans="2:33" x14ac:dyDescent="0.35">
      <c r="B58" s="460" t="s">
        <v>394</v>
      </c>
      <c r="C58" s="449" t="str">
        <f>'H1 Test Recorded Data'!D213</f>
        <v/>
      </c>
      <c r="D58" s="450" t="s">
        <v>49</v>
      </c>
      <c r="E58" s="449" t="str">
        <f>'H1 Test Recorded Data'!D218</f>
        <v/>
      </c>
      <c r="F58" s="450" t="s">
        <v>49</v>
      </c>
      <c r="G58" s="459" t="e">
        <f t="shared" si="1"/>
        <v>#VALUE!</v>
      </c>
      <c r="H58" s="459" t="e">
        <f t="shared" si="0"/>
        <v>#VALUE!</v>
      </c>
      <c r="I58" s="449">
        <f>'H1 Test Recorded Data'!D161</f>
        <v>0</v>
      </c>
      <c r="J58" s="453" t="s">
        <v>110</v>
      </c>
      <c r="K58" s="443"/>
      <c r="L58" s="443"/>
      <c r="M58" s="443"/>
      <c r="N58" s="455"/>
      <c r="O58" s="455"/>
      <c r="P58" s="443"/>
      <c r="Q58" s="443"/>
      <c r="R58" s="443"/>
      <c r="S58" s="443"/>
      <c r="T58" s="443"/>
      <c r="U58" s="443"/>
      <c r="V58" s="443"/>
      <c r="W58" s="443"/>
      <c r="X58" s="443"/>
      <c r="Y58" s="443"/>
      <c r="Z58" s="443"/>
      <c r="AA58" s="443"/>
      <c r="AB58" s="443"/>
      <c r="AC58" s="443"/>
      <c r="AD58" s="443"/>
      <c r="AE58" s="443"/>
      <c r="AF58" s="443"/>
      <c r="AG58" s="444"/>
    </row>
    <row r="59" spans="2:33" ht="18.75" thickBot="1" x14ac:dyDescent="0.4">
      <c r="B59" s="461"/>
      <c r="C59" s="462"/>
      <c r="D59" s="462"/>
      <c r="E59" s="462"/>
      <c r="F59" s="462"/>
      <c r="G59" s="462"/>
      <c r="H59" s="462"/>
      <c r="I59" s="462"/>
      <c r="J59" s="463"/>
      <c r="K59" s="455"/>
      <c r="L59" s="455"/>
      <c r="M59" s="455"/>
      <c r="N59" s="455"/>
      <c r="O59" s="455"/>
      <c r="P59" s="455"/>
      <c r="Q59" s="455"/>
      <c r="R59" s="443"/>
      <c r="S59" s="443"/>
      <c r="T59" s="443"/>
      <c r="U59" s="443"/>
      <c r="V59" s="443"/>
      <c r="W59" s="443"/>
      <c r="X59" s="443"/>
      <c r="Y59" s="443"/>
      <c r="Z59" s="443"/>
      <c r="AA59" s="443"/>
      <c r="AB59" s="443"/>
      <c r="AC59" s="443"/>
      <c r="AD59" s="443"/>
      <c r="AE59" s="443"/>
      <c r="AF59" s="443"/>
      <c r="AG59" s="444"/>
    </row>
    <row r="60" spans="2:33" ht="18.75" thickBot="1" x14ac:dyDescent="0.4">
      <c r="B60" s="454"/>
      <c r="C60" s="456"/>
      <c r="D60" s="456"/>
      <c r="E60" s="456"/>
      <c r="F60" s="456"/>
      <c r="G60" s="456"/>
      <c r="H60" s="456"/>
      <c r="I60" s="456"/>
      <c r="J60" s="456"/>
      <c r="K60" s="455"/>
      <c r="L60" s="455"/>
      <c r="M60" s="455"/>
      <c r="N60" s="455"/>
      <c r="O60" s="455"/>
      <c r="P60" s="455"/>
      <c r="Q60" s="455"/>
      <c r="R60" s="443"/>
      <c r="S60" s="443"/>
      <c r="T60" s="443"/>
      <c r="U60" s="443"/>
      <c r="V60" s="443"/>
      <c r="W60" s="443"/>
      <c r="X60" s="443"/>
      <c r="Y60" s="443"/>
      <c r="Z60" s="443"/>
      <c r="AA60" s="443"/>
      <c r="AB60" s="443"/>
      <c r="AC60" s="443"/>
      <c r="AD60" s="443"/>
      <c r="AE60" s="443"/>
      <c r="AF60" s="443"/>
      <c r="AG60" s="444"/>
    </row>
    <row r="61" spans="2:33" ht="18.75" thickBot="1" x14ac:dyDescent="0.4">
      <c r="B61" s="999" t="s">
        <v>232</v>
      </c>
      <c r="C61" s="1000"/>
      <c r="D61" s="1000"/>
      <c r="E61" s="1000"/>
      <c r="F61" s="1000"/>
      <c r="G61" s="1000"/>
      <c r="H61" s="1000"/>
      <c r="I61" s="1000"/>
      <c r="J61" s="1000"/>
      <c r="K61" s="1000"/>
      <c r="L61" s="1000"/>
      <c r="M61" s="1000"/>
      <c r="N61" s="1000"/>
      <c r="O61" s="1000"/>
      <c r="P61" s="1000"/>
      <c r="Q61" s="1000"/>
      <c r="R61" s="1000"/>
      <c r="S61" s="1001"/>
      <c r="T61" s="443"/>
      <c r="U61" s="455"/>
      <c r="V61" s="455"/>
      <c r="W61" s="455"/>
      <c r="X61" s="455"/>
      <c r="Y61" s="455"/>
      <c r="Z61" s="455"/>
      <c r="AA61" s="455"/>
      <c r="AB61" s="443"/>
      <c r="AC61" s="443"/>
      <c r="AD61" s="443"/>
      <c r="AE61" s="443"/>
      <c r="AF61" s="443"/>
      <c r="AG61" s="444"/>
    </row>
    <row r="62" spans="2:33" x14ac:dyDescent="0.35">
      <c r="B62" s="464"/>
      <c r="C62" s="456"/>
      <c r="D62" s="456"/>
      <c r="E62" s="456"/>
      <c r="F62" s="456"/>
      <c r="G62" s="456"/>
      <c r="H62" s="456"/>
      <c r="I62" s="456"/>
      <c r="J62" s="456"/>
      <c r="K62" s="456"/>
      <c r="L62" s="456"/>
      <c r="M62" s="456"/>
      <c r="N62" s="456"/>
      <c r="O62" s="456"/>
      <c r="P62" s="456"/>
      <c r="Q62" s="456"/>
      <c r="R62" s="454"/>
      <c r="S62" s="465"/>
      <c r="T62" s="443"/>
      <c r="U62" s="455"/>
      <c r="V62" s="455"/>
      <c r="W62" s="455"/>
      <c r="X62" s="455"/>
      <c r="Y62" s="455"/>
      <c r="Z62" s="455"/>
      <c r="AA62" s="455"/>
      <c r="AB62" s="443"/>
      <c r="AC62" s="443"/>
      <c r="AD62" s="443"/>
      <c r="AE62" s="443"/>
      <c r="AF62" s="443"/>
      <c r="AG62" s="444"/>
    </row>
    <row r="63" spans="2:33" x14ac:dyDescent="0.35">
      <c r="B63" s="466" t="s">
        <v>201</v>
      </c>
      <c r="C63" s="467"/>
      <c r="D63" s="467"/>
      <c r="E63" s="467"/>
      <c r="F63" s="467"/>
      <c r="G63" s="467"/>
      <c r="H63" s="467"/>
      <c r="I63" s="467"/>
      <c r="J63" s="467"/>
      <c r="K63" s="467"/>
      <c r="L63" s="467"/>
      <c r="M63" s="467"/>
      <c r="N63" s="467"/>
      <c r="O63" s="467"/>
      <c r="P63" s="467"/>
      <c r="Q63" s="467"/>
      <c r="R63" s="468"/>
      <c r="S63" s="465"/>
      <c r="T63" s="443"/>
      <c r="U63" s="455"/>
      <c r="V63" s="455"/>
      <c r="W63" s="455"/>
      <c r="X63" s="455"/>
      <c r="Y63" s="455"/>
      <c r="Z63" s="455"/>
      <c r="AA63" s="455"/>
      <c r="AB63" s="443"/>
      <c r="AC63" s="443"/>
      <c r="AD63" s="443"/>
      <c r="AE63" s="443"/>
      <c r="AF63" s="443"/>
      <c r="AG63" s="444"/>
    </row>
    <row r="64" spans="2:33" x14ac:dyDescent="0.35">
      <c r="B64" s="464"/>
      <c r="C64" s="456"/>
      <c r="D64" s="456"/>
      <c r="E64" s="456"/>
      <c r="F64" s="456"/>
      <c r="G64" s="456"/>
      <c r="H64" s="456"/>
      <c r="I64" s="456"/>
      <c r="J64" s="456"/>
      <c r="K64" s="456"/>
      <c r="L64" s="456"/>
      <c r="M64" s="456"/>
      <c r="N64" s="456"/>
      <c r="O64" s="456"/>
      <c r="P64" s="456"/>
      <c r="Q64" s="456"/>
      <c r="R64" s="454"/>
      <c r="S64" s="465"/>
      <c r="T64" s="443"/>
      <c r="U64" s="455"/>
      <c r="V64" s="455"/>
      <c r="W64" s="455"/>
      <c r="X64" s="455"/>
      <c r="Y64" s="455"/>
      <c r="Z64" s="455"/>
      <c r="AA64" s="455"/>
      <c r="AB64" s="443"/>
      <c r="AC64" s="443"/>
      <c r="AD64" s="443"/>
      <c r="AE64" s="443"/>
      <c r="AF64" s="443"/>
      <c r="AG64" s="444"/>
    </row>
    <row r="65" spans="2:33" x14ac:dyDescent="0.35">
      <c r="B65" s="469" t="s">
        <v>224</v>
      </c>
      <c r="C65" s="451">
        <f>1-(0.5*C66)</f>
        <v>0.875</v>
      </c>
      <c r="D65" s="456"/>
      <c r="E65" s="456"/>
      <c r="F65" s="456"/>
      <c r="G65" s="456"/>
      <c r="H65" s="456"/>
      <c r="I65" s="456"/>
      <c r="J65" s="456"/>
      <c r="K65" s="456"/>
      <c r="L65" s="456"/>
      <c r="M65" s="456"/>
      <c r="N65" s="456"/>
      <c r="O65" s="456"/>
      <c r="P65" s="456"/>
      <c r="Q65" s="456"/>
      <c r="R65" s="454"/>
      <c r="S65" s="465"/>
      <c r="T65" s="443"/>
      <c r="U65" s="455"/>
      <c r="V65" s="455"/>
      <c r="W65" s="455"/>
      <c r="X65" s="455"/>
      <c r="Y65" s="455"/>
      <c r="Z65" s="455"/>
      <c r="AA65" s="455"/>
      <c r="AB65" s="443"/>
      <c r="AC65" s="443"/>
      <c r="AD65" s="443"/>
      <c r="AE65" s="443"/>
      <c r="AF65" s="443"/>
      <c r="AG65" s="444"/>
    </row>
    <row r="66" spans="2:33" ht="36" x14ac:dyDescent="0.35">
      <c r="B66" s="469" t="s">
        <v>395</v>
      </c>
      <c r="C66" s="470">
        <f>IF(IF(C33="",0.25,ROUND(MIN(0.25,((1-(($C$36/($I$36))/($C$33/($I$33))))/(1-$C$36/($C$33*'Optional D Test Recorded Data'!$D$13)))),2))&lt;0,0,IF(C33="",0.25,ROUND(MIN(0.25,((1-(($C$36/($I$36))/($C$33/($I$33))))/(1-$C$36/($C$33*'Optional D Test Recorded Data'!$D$13)))),2)))</f>
        <v>0.25</v>
      </c>
      <c r="D66" s="456"/>
      <c r="E66" s="456"/>
      <c r="F66" s="456"/>
      <c r="G66" s="456"/>
      <c r="H66" s="456"/>
      <c r="I66" s="456"/>
      <c r="J66" s="456"/>
      <c r="K66" s="456"/>
      <c r="L66" s="456"/>
      <c r="M66" s="456"/>
      <c r="N66" s="456"/>
      <c r="O66" s="456"/>
      <c r="P66" s="456"/>
      <c r="Q66" s="456"/>
      <c r="R66" s="454"/>
      <c r="S66" s="465"/>
      <c r="T66" s="443"/>
      <c r="U66" s="455"/>
      <c r="V66" s="455"/>
      <c r="W66" s="455"/>
      <c r="X66" s="455"/>
      <c r="Y66" s="455"/>
      <c r="Z66" s="455"/>
      <c r="AA66" s="455"/>
      <c r="AB66" s="443"/>
      <c r="AC66" s="443"/>
      <c r="AD66" s="443"/>
      <c r="AE66" s="443"/>
      <c r="AF66" s="443"/>
      <c r="AG66" s="444"/>
    </row>
    <row r="67" spans="2:33" x14ac:dyDescent="0.35">
      <c r="B67" s="469" t="s">
        <v>396</v>
      </c>
      <c r="C67" s="551" t="e">
        <f>$C$30/$I$30</f>
        <v>#VALUE!</v>
      </c>
      <c r="D67" s="456"/>
      <c r="E67" s="456"/>
      <c r="F67" s="456"/>
      <c r="G67" s="456"/>
      <c r="H67" s="456"/>
      <c r="I67" s="456"/>
      <c r="J67" s="456"/>
      <c r="K67" s="456"/>
      <c r="L67" s="456"/>
      <c r="M67" s="456"/>
      <c r="N67" s="456"/>
      <c r="O67" s="456"/>
      <c r="P67" s="456"/>
      <c r="Q67" s="456"/>
      <c r="R67" s="454"/>
      <c r="S67" s="465"/>
      <c r="T67" s="443"/>
      <c r="U67" s="455"/>
      <c r="V67" s="455"/>
      <c r="W67" s="455"/>
      <c r="X67" s="455"/>
      <c r="Y67" s="455"/>
      <c r="Z67" s="455"/>
      <c r="AA67" s="455"/>
      <c r="AB67" s="443"/>
      <c r="AC67" s="443"/>
      <c r="AD67" s="443"/>
      <c r="AE67" s="443"/>
      <c r="AF67" s="443"/>
      <c r="AG67" s="444"/>
    </row>
    <row r="68" spans="2:33" ht="34.5" customHeight="1" x14ac:dyDescent="0.35">
      <c r="B68" s="464"/>
      <c r="C68" s="554" t="s">
        <v>564</v>
      </c>
      <c r="D68" s="879" t="s">
        <v>592</v>
      </c>
      <c r="E68" s="879"/>
      <c r="F68" s="456"/>
      <c r="G68" s="456"/>
      <c r="H68" s="456"/>
      <c r="I68" s="456"/>
      <c r="J68" s="456"/>
      <c r="K68" s="456"/>
      <c r="L68" s="456"/>
      <c r="M68" s="456"/>
      <c r="N68" s="456"/>
      <c r="O68" s="456"/>
      <c r="P68" s="456"/>
      <c r="Q68" s="456"/>
      <c r="R68" s="454"/>
      <c r="S68" s="465"/>
      <c r="T68" s="443"/>
      <c r="U68" s="455"/>
      <c r="V68" s="455"/>
      <c r="W68" s="455"/>
      <c r="X68" s="455"/>
      <c r="Y68" s="455"/>
      <c r="Z68" s="455"/>
      <c r="AA68" s="455"/>
      <c r="AB68" s="443"/>
      <c r="AC68" s="443"/>
      <c r="AD68" s="443"/>
      <c r="AE68" s="443"/>
      <c r="AF68" s="443"/>
      <c r="AG68" s="444"/>
    </row>
    <row r="69" spans="2:33" ht="18.75" thickBot="1" x14ac:dyDescent="0.4">
      <c r="B69" s="471" t="s">
        <v>202</v>
      </c>
      <c r="C69" s="555" t="e">
        <f>C65*C67</f>
        <v>#VALUE!</v>
      </c>
      <c r="D69" s="977" t="e">
        <f>MROUND(C69,0.025)</f>
        <v>#VALUE!</v>
      </c>
      <c r="E69" s="977"/>
      <c r="F69" s="456"/>
      <c r="G69" s="456"/>
      <c r="H69" s="456"/>
      <c r="I69" s="456"/>
      <c r="J69" s="456"/>
      <c r="K69" s="456"/>
      <c r="L69" s="456"/>
      <c r="M69" s="456"/>
      <c r="N69" s="456"/>
      <c r="O69" s="456"/>
      <c r="P69" s="456"/>
      <c r="Q69" s="456"/>
      <c r="R69" s="454"/>
      <c r="S69" s="465"/>
      <c r="T69" s="443"/>
      <c r="U69" s="455"/>
      <c r="V69" s="455"/>
      <c r="W69" s="455"/>
      <c r="X69" s="455"/>
      <c r="Y69" s="455"/>
      <c r="Z69" s="455"/>
      <c r="AA69" s="455"/>
      <c r="AB69" s="443"/>
      <c r="AC69" s="443"/>
      <c r="AD69" s="443"/>
      <c r="AE69" s="443"/>
      <c r="AF69" s="443"/>
      <c r="AG69" s="444"/>
    </row>
    <row r="70" spans="2:33" x14ac:dyDescent="0.35">
      <c r="B70" s="464"/>
      <c r="C70" s="456"/>
      <c r="D70" s="456"/>
      <c r="E70" s="456"/>
      <c r="F70" s="456"/>
      <c r="G70" s="456"/>
      <c r="H70" s="456"/>
      <c r="I70" s="456"/>
      <c r="J70" s="456"/>
      <c r="K70" s="456"/>
      <c r="L70" s="456"/>
      <c r="M70" s="456"/>
      <c r="N70" s="456"/>
      <c r="O70" s="456"/>
      <c r="P70" s="456"/>
      <c r="Q70" s="456"/>
      <c r="R70" s="454"/>
      <c r="S70" s="465"/>
      <c r="T70" s="443"/>
      <c r="U70" s="455"/>
      <c r="V70" s="455"/>
      <c r="W70" s="455"/>
      <c r="X70" s="455"/>
      <c r="Y70" s="455"/>
      <c r="Z70" s="455"/>
      <c r="AA70" s="455"/>
      <c r="AB70" s="443"/>
      <c r="AC70" s="443"/>
      <c r="AD70" s="443"/>
      <c r="AE70" s="443"/>
      <c r="AF70" s="443"/>
      <c r="AG70" s="444"/>
    </row>
    <row r="71" spans="2:33" x14ac:dyDescent="0.35">
      <c r="B71" s="464"/>
      <c r="C71" s="456"/>
      <c r="D71" s="456"/>
      <c r="E71" s="456"/>
      <c r="F71" s="456"/>
      <c r="G71" s="456"/>
      <c r="H71" s="456"/>
      <c r="I71" s="456"/>
      <c r="J71" s="456"/>
      <c r="K71" s="456"/>
      <c r="L71" s="456"/>
      <c r="M71" s="456"/>
      <c r="N71" s="456"/>
      <c r="O71" s="456"/>
      <c r="P71" s="456"/>
      <c r="Q71" s="456"/>
      <c r="R71" s="454"/>
      <c r="S71" s="465"/>
      <c r="T71" s="443"/>
      <c r="U71" s="455"/>
      <c r="V71" s="455"/>
      <c r="W71" s="455"/>
      <c r="X71" s="455"/>
      <c r="Y71" s="455"/>
      <c r="Z71" s="455"/>
      <c r="AA71" s="455"/>
      <c r="AB71" s="443"/>
      <c r="AC71" s="443"/>
      <c r="AD71" s="443"/>
      <c r="AE71" s="443"/>
      <c r="AF71" s="443"/>
      <c r="AG71" s="444"/>
    </row>
    <row r="72" spans="2:33" x14ac:dyDescent="0.35">
      <c r="B72" s="466" t="s">
        <v>203</v>
      </c>
      <c r="C72" s="467"/>
      <c r="D72" s="467"/>
      <c r="E72" s="467"/>
      <c r="F72" s="467"/>
      <c r="G72" s="467"/>
      <c r="H72" s="467"/>
      <c r="I72" s="467"/>
      <c r="J72" s="467"/>
      <c r="K72" s="467"/>
      <c r="L72" s="467"/>
      <c r="M72" s="467"/>
      <c r="N72" s="467"/>
      <c r="O72" s="467"/>
      <c r="P72" s="467"/>
      <c r="Q72" s="467"/>
      <c r="R72" s="468"/>
      <c r="S72" s="465"/>
      <c r="T72" s="443"/>
      <c r="U72" s="455"/>
      <c r="V72" s="455"/>
      <c r="W72" s="455"/>
      <c r="X72" s="455"/>
      <c r="Y72" s="455"/>
      <c r="Z72" s="455"/>
      <c r="AA72" s="455"/>
      <c r="AB72" s="443"/>
      <c r="AC72" s="443"/>
      <c r="AD72" s="443"/>
      <c r="AE72" s="443"/>
      <c r="AF72" s="443"/>
      <c r="AG72" s="444"/>
    </row>
    <row r="73" spans="2:33" x14ac:dyDescent="0.35">
      <c r="B73" s="464"/>
      <c r="C73" s="454"/>
      <c r="D73" s="456"/>
      <c r="E73" s="456"/>
      <c r="F73" s="456"/>
      <c r="G73" s="456"/>
      <c r="H73" s="456"/>
      <c r="I73" s="456"/>
      <c r="J73" s="456"/>
      <c r="K73" s="456"/>
      <c r="L73" s="456"/>
      <c r="M73" s="456"/>
      <c r="N73" s="456"/>
      <c r="O73" s="456"/>
      <c r="P73" s="456"/>
      <c r="Q73" s="456"/>
      <c r="R73" s="454"/>
      <c r="S73" s="465"/>
      <c r="T73" s="443"/>
      <c r="U73" s="455"/>
      <c r="V73" s="455"/>
      <c r="W73" s="455"/>
      <c r="X73" s="455"/>
      <c r="Y73" s="455"/>
      <c r="Z73" s="455"/>
      <c r="AA73" s="455"/>
      <c r="AB73" s="443"/>
      <c r="AC73" s="443"/>
      <c r="AD73" s="443"/>
      <c r="AE73" s="443"/>
      <c r="AF73" s="443"/>
      <c r="AG73" s="444"/>
    </row>
    <row r="74" spans="2:33" ht="36" x14ac:dyDescent="0.35">
      <c r="B74" s="464" t="s">
        <v>395</v>
      </c>
      <c r="C74" s="470">
        <f>IF(C34="",0.25,ROUND(MIN(0.25,((1-((C37/(I37))/(C34/(I34))))/(1-C37/(C34*'Optional D Test Recorded Data'!D13)))),2))</f>
        <v>0.25</v>
      </c>
      <c r="D74" s="456"/>
      <c r="E74" s="456"/>
      <c r="F74" s="456"/>
      <c r="G74" s="456"/>
      <c r="H74" s="456"/>
      <c r="I74" s="456"/>
      <c r="J74" s="456"/>
      <c r="K74" s="456"/>
      <c r="L74" s="456"/>
      <c r="M74" s="456"/>
      <c r="N74" s="456"/>
      <c r="O74" s="456"/>
      <c r="P74" s="456"/>
      <c r="Q74" s="456"/>
      <c r="R74" s="454"/>
      <c r="S74" s="465"/>
      <c r="T74" s="443"/>
      <c r="U74" s="455"/>
      <c r="V74" s="455"/>
      <c r="W74" s="455"/>
      <c r="X74" s="455"/>
      <c r="Y74" s="455"/>
      <c r="Z74" s="455"/>
      <c r="AA74" s="455"/>
      <c r="AB74" s="443"/>
      <c r="AC74" s="443"/>
      <c r="AD74" s="443"/>
      <c r="AE74" s="443"/>
      <c r="AF74" s="443"/>
      <c r="AG74" s="444"/>
    </row>
    <row r="75" spans="2:33" x14ac:dyDescent="0.35">
      <c r="B75" s="464"/>
      <c r="C75" s="456"/>
      <c r="D75" s="456"/>
      <c r="E75" s="456"/>
      <c r="F75" s="456"/>
      <c r="G75" s="456"/>
      <c r="H75" s="456"/>
      <c r="I75" s="456"/>
      <c r="J75" s="456"/>
      <c r="K75" s="456"/>
      <c r="L75" s="456"/>
      <c r="M75" s="456"/>
      <c r="N75" s="456"/>
      <c r="O75" s="456"/>
      <c r="P75" s="456"/>
      <c r="Q75" s="456"/>
      <c r="R75" s="454"/>
      <c r="S75" s="465"/>
      <c r="T75" s="443"/>
      <c r="U75" s="455"/>
      <c r="V75" s="455"/>
      <c r="W75" s="455"/>
      <c r="X75" s="455"/>
      <c r="Y75" s="455"/>
      <c r="Z75" s="455"/>
      <c r="AA75" s="455"/>
      <c r="AB75" s="443"/>
      <c r="AC75" s="443"/>
      <c r="AD75" s="443"/>
      <c r="AE75" s="443"/>
      <c r="AF75" s="443"/>
      <c r="AG75" s="444"/>
    </row>
    <row r="76" spans="2:33" x14ac:dyDescent="0.35">
      <c r="B76" s="473" t="s">
        <v>130</v>
      </c>
      <c r="C76" s="474" t="s">
        <v>390</v>
      </c>
      <c r="D76" s="474" t="s">
        <v>111</v>
      </c>
      <c r="E76" s="474" t="s">
        <v>392</v>
      </c>
      <c r="F76" s="474" t="s">
        <v>218</v>
      </c>
      <c r="G76" s="474" t="s">
        <v>217</v>
      </c>
      <c r="H76" s="474" t="s">
        <v>215</v>
      </c>
      <c r="I76" s="474" t="s">
        <v>216</v>
      </c>
      <c r="J76" s="474" t="s">
        <v>109</v>
      </c>
      <c r="K76" s="474" t="s">
        <v>219</v>
      </c>
      <c r="L76" s="474" t="s">
        <v>220</v>
      </c>
      <c r="M76" s="474" t="s">
        <v>221</v>
      </c>
      <c r="N76" s="474" t="s">
        <v>114</v>
      </c>
      <c r="O76" s="474" t="s">
        <v>222</v>
      </c>
      <c r="P76" s="474" t="s">
        <v>223</v>
      </c>
      <c r="Q76" s="456"/>
      <c r="R76" s="454"/>
      <c r="S76" s="465"/>
      <c r="T76" s="443"/>
      <c r="U76" s="455"/>
      <c r="V76" s="455"/>
      <c r="W76" s="455"/>
      <c r="X76" s="455"/>
      <c r="Y76" s="455"/>
      <c r="Z76" s="455"/>
      <c r="AA76" s="455"/>
      <c r="AB76" s="443"/>
      <c r="AC76" s="443"/>
      <c r="AD76" s="443"/>
      <c r="AE76" s="443"/>
      <c r="AF76" s="443"/>
      <c r="AG76" s="444"/>
    </row>
    <row r="77" spans="2:33" x14ac:dyDescent="0.35">
      <c r="B77" s="475">
        <f>Tables!A26</f>
        <v>1</v>
      </c>
      <c r="C77" s="476">
        <f>Tables!C26</f>
        <v>67</v>
      </c>
      <c r="D77" s="476">
        <f>Tables!D26</f>
        <v>0.214</v>
      </c>
      <c r="E77" s="477" t="e">
        <f>IF(D77="","",((C77-65)/(95-65))*($C$29/1.1))</f>
        <v>#VALUE!</v>
      </c>
      <c r="F77" s="451" t="e">
        <f>$C$31+((($C$28-$C$31)/(95-82))*(C77-82))</f>
        <v>#VALUE!</v>
      </c>
      <c r="G77" s="451" t="e">
        <f t="shared" ref="G77:G84" si="2">$C$32+((($C$29-$C$32)/(95-82))*(C77-82))</f>
        <v>#VALUE!</v>
      </c>
      <c r="H77" s="478"/>
      <c r="I77" s="451" t="e">
        <f>F77+(((G77-F77)/('A Test Recorded Data'!$D$132-'A Test Recorded Data'!$D$62))*(H77-'A Test Recorded Data'!$D$62))</f>
        <v>#VALUE!</v>
      </c>
      <c r="J77" s="451" t="e">
        <f>MIN(E77/I77,1)</f>
        <v>#VALUE!</v>
      </c>
      <c r="K77" s="451">
        <f>$I$31+((($I$28-$I$31)/(95-82))*(C77-82))</f>
        <v>0</v>
      </c>
      <c r="L77" s="451">
        <f>$I$32+((($I$29-$I$32)/(95-82))*(C77-82))</f>
        <v>0</v>
      </c>
      <c r="M77" s="451" t="e">
        <f>K77+(((L77-K77)/('A Test Recorded Data'!$D$132-'A Test Recorded Data'!$D$62))*(H77-'A Test Recorded Data'!$D$62))</f>
        <v>#DIV/0!</v>
      </c>
      <c r="N77" s="451" t="e">
        <f>1-$C$74*(1-J77)</f>
        <v>#VALUE!</v>
      </c>
      <c r="O77" s="451" t="e">
        <f>((J77*M77)/N77)*D77</f>
        <v>#VALUE!</v>
      </c>
      <c r="P77" s="451" t="e">
        <f>J77*I77*D77</f>
        <v>#VALUE!</v>
      </c>
      <c r="Q77" s="456"/>
      <c r="R77" s="454"/>
      <c r="S77" s="465"/>
      <c r="T77" s="443"/>
      <c r="U77" s="455"/>
      <c r="V77" s="455"/>
      <c r="W77" s="455"/>
      <c r="X77" s="455"/>
      <c r="Y77" s="455"/>
      <c r="Z77" s="455"/>
      <c r="AA77" s="455"/>
      <c r="AB77" s="443"/>
      <c r="AC77" s="443"/>
      <c r="AD77" s="443"/>
      <c r="AE77" s="443"/>
      <c r="AF77" s="443"/>
      <c r="AG77" s="444"/>
    </row>
    <row r="78" spans="2:33" x14ac:dyDescent="0.35">
      <c r="B78" s="475">
        <f>Tables!A27</f>
        <v>2</v>
      </c>
      <c r="C78" s="476">
        <f>Tables!C27</f>
        <v>72</v>
      </c>
      <c r="D78" s="476">
        <f>Tables!D27</f>
        <v>0.23100000000000001</v>
      </c>
      <c r="E78" s="477" t="e">
        <f t="shared" ref="E78:E84" si="3">IF(D78="","",((C78-65)/(95-65))*($C$29/1.1))</f>
        <v>#VALUE!</v>
      </c>
      <c r="F78" s="451" t="e">
        <f t="shared" ref="F78:F84" si="4">$C$31+((($C$28-$C$31)/(95-82))*(C78-82))</f>
        <v>#VALUE!</v>
      </c>
      <c r="G78" s="451" t="e">
        <f t="shared" si="2"/>
        <v>#VALUE!</v>
      </c>
      <c r="H78" s="478"/>
      <c r="I78" s="451" t="e">
        <f>F78+(((G78-F78)/('A Test Recorded Data'!$D$132-'A Test Recorded Data'!$D$62))*(H78-'A Test Recorded Data'!$D$62))</f>
        <v>#VALUE!</v>
      </c>
      <c r="J78" s="451" t="e">
        <f t="shared" ref="J78:J84" si="5">MIN(E78/I78,1)</f>
        <v>#VALUE!</v>
      </c>
      <c r="K78" s="451">
        <f t="shared" ref="K78:K84" si="6">$I$31+((($I$28-$I$31)/(95-82))*(C78-82))</f>
        <v>0</v>
      </c>
      <c r="L78" s="451">
        <f t="shared" ref="L78:L84" si="7">$I$32+((($I$29-$I$32)/(95-82))*(C78-82))</f>
        <v>0</v>
      </c>
      <c r="M78" s="451" t="e">
        <f>K78+(((L78-K78)/('A Test Recorded Data'!$D$132-'A Test Recorded Data'!$D$62))*(H78-'A Test Recorded Data'!$D$62))</f>
        <v>#DIV/0!</v>
      </c>
      <c r="N78" s="451" t="e">
        <f t="shared" ref="N78:N84" si="8">1-$C$74*(1-J78)</f>
        <v>#VALUE!</v>
      </c>
      <c r="O78" s="451" t="e">
        <f t="shared" ref="O78:O84" si="9">((J78*M78)/N78)*D78</f>
        <v>#VALUE!</v>
      </c>
      <c r="P78" s="451" t="e">
        <f t="shared" ref="P78:P84" si="10">J78*I78*D78</f>
        <v>#VALUE!</v>
      </c>
      <c r="Q78" s="456"/>
      <c r="R78" s="454"/>
      <c r="S78" s="465"/>
      <c r="T78" s="443"/>
      <c r="U78" s="455"/>
      <c r="V78" s="455"/>
      <c r="W78" s="455"/>
      <c r="X78" s="455"/>
      <c r="Y78" s="455"/>
      <c r="Z78" s="455"/>
      <c r="AA78" s="455"/>
      <c r="AB78" s="443"/>
      <c r="AC78" s="443"/>
      <c r="AD78" s="443"/>
      <c r="AE78" s="443"/>
      <c r="AF78" s="443"/>
      <c r="AG78" s="444"/>
    </row>
    <row r="79" spans="2:33" x14ac:dyDescent="0.35">
      <c r="B79" s="475">
        <f>Tables!A28</f>
        <v>3</v>
      </c>
      <c r="C79" s="476">
        <f>Tables!C28</f>
        <v>77</v>
      </c>
      <c r="D79" s="476">
        <f>Tables!D28</f>
        <v>0.216</v>
      </c>
      <c r="E79" s="477" t="e">
        <f t="shared" si="3"/>
        <v>#VALUE!</v>
      </c>
      <c r="F79" s="451" t="e">
        <f t="shared" si="4"/>
        <v>#VALUE!</v>
      </c>
      <c r="G79" s="451" t="e">
        <f>$C$32+((($C$29-$C$32)/(95-82))*(C79-82))</f>
        <v>#VALUE!</v>
      </c>
      <c r="H79" s="478"/>
      <c r="I79" s="451" t="e">
        <f>F79+(((G79-F79)/('A Test Recorded Data'!$D$132-'A Test Recorded Data'!$D$62))*(H79-'A Test Recorded Data'!$D$62))</f>
        <v>#VALUE!</v>
      </c>
      <c r="J79" s="451" t="e">
        <f t="shared" si="5"/>
        <v>#VALUE!</v>
      </c>
      <c r="K79" s="451">
        <f t="shared" si="6"/>
        <v>0</v>
      </c>
      <c r="L79" s="451">
        <f t="shared" si="7"/>
        <v>0</v>
      </c>
      <c r="M79" s="451" t="e">
        <f>K79+(((L79-K79)/('A Test Recorded Data'!$D$132-'A Test Recorded Data'!$D$62))*(H79-'A Test Recorded Data'!$D$62))</f>
        <v>#DIV/0!</v>
      </c>
      <c r="N79" s="451" t="e">
        <f t="shared" si="8"/>
        <v>#VALUE!</v>
      </c>
      <c r="O79" s="451" t="e">
        <f t="shared" si="9"/>
        <v>#VALUE!</v>
      </c>
      <c r="P79" s="451" t="e">
        <f t="shared" si="10"/>
        <v>#VALUE!</v>
      </c>
      <c r="Q79" s="454"/>
      <c r="R79" s="454"/>
      <c r="S79" s="465"/>
      <c r="T79" s="443"/>
      <c r="U79" s="455"/>
      <c r="V79" s="455"/>
      <c r="W79" s="455"/>
      <c r="X79" s="455"/>
      <c r="Y79" s="455"/>
      <c r="Z79" s="455"/>
      <c r="AA79" s="455"/>
      <c r="AB79" s="443"/>
      <c r="AC79" s="443"/>
      <c r="AD79" s="443"/>
      <c r="AE79" s="443"/>
      <c r="AF79" s="443"/>
      <c r="AG79" s="444"/>
    </row>
    <row r="80" spans="2:33" x14ac:dyDescent="0.35">
      <c r="B80" s="475">
        <f>Tables!A29</f>
        <v>4</v>
      </c>
      <c r="C80" s="476">
        <f>Tables!C29</f>
        <v>82</v>
      </c>
      <c r="D80" s="476">
        <f>Tables!D29</f>
        <v>0.161</v>
      </c>
      <c r="E80" s="477" t="e">
        <f t="shared" si="3"/>
        <v>#VALUE!</v>
      </c>
      <c r="F80" s="451" t="e">
        <f t="shared" si="4"/>
        <v>#VALUE!</v>
      </c>
      <c r="G80" s="451" t="e">
        <f t="shared" si="2"/>
        <v>#VALUE!</v>
      </c>
      <c r="H80" s="478"/>
      <c r="I80" s="451" t="e">
        <f>F80+(((G80-F80)/('A Test Recorded Data'!$D$132-'A Test Recorded Data'!$D$62))*(H80-'A Test Recorded Data'!$D$62))</f>
        <v>#VALUE!</v>
      </c>
      <c r="J80" s="451" t="e">
        <f t="shared" si="5"/>
        <v>#VALUE!</v>
      </c>
      <c r="K80" s="451">
        <f t="shared" si="6"/>
        <v>0</v>
      </c>
      <c r="L80" s="451">
        <f t="shared" si="7"/>
        <v>0</v>
      </c>
      <c r="M80" s="451" t="e">
        <f>K80+(((L80-K80)/('A Test Recorded Data'!$D$132-'A Test Recorded Data'!$D$62))*(H80-'A Test Recorded Data'!$D$62))</f>
        <v>#DIV/0!</v>
      </c>
      <c r="N80" s="451" t="e">
        <f t="shared" si="8"/>
        <v>#VALUE!</v>
      </c>
      <c r="O80" s="451" t="e">
        <f>((J80*M80)/N80)*D80</f>
        <v>#VALUE!</v>
      </c>
      <c r="P80" s="451" t="e">
        <f t="shared" si="10"/>
        <v>#VALUE!</v>
      </c>
      <c r="Q80" s="454"/>
      <c r="R80" s="454"/>
      <c r="S80" s="465"/>
      <c r="T80" s="443"/>
      <c r="U80" s="455"/>
      <c r="V80" s="455"/>
      <c r="W80" s="455"/>
      <c r="X80" s="455"/>
      <c r="Y80" s="455"/>
      <c r="Z80" s="455"/>
      <c r="AA80" s="455"/>
      <c r="AB80" s="443"/>
      <c r="AC80" s="443"/>
      <c r="AD80" s="443"/>
      <c r="AE80" s="443"/>
      <c r="AF80" s="443"/>
      <c r="AG80" s="444"/>
    </row>
    <row r="81" spans="2:33" x14ac:dyDescent="0.35">
      <c r="B81" s="475">
        <f>Tables!A30</f>
        <v>5</v>
      </c>
      <c r="C81" s="476">
        <f>Tables!C30</f>
        <v>87</v>
      </c>
      <c r="D81" s="476">
        <f>Tables!D30</f>
        <v>0.104</v>
      </c>
      <c r="E81" s="477" t="e">
        <f t="shared" si="3"/>
        <v>#VALUE!</v>
      </c>
      <c r="F81" s="451" t="e">
        <f t="shared" si="4"/>
        <v>#VALUE!</v>
      </c>
      <c r="G81" s="451" t="e">
        <f t="shared" si="2"/>
        <v>#VALUE!</v>
      </c>
      <c r="H81" s="478"/>
      <c r="I81" s="451" t="e">
        <f>F81+(((G81-F81)/('A Test Recorded Data'!$D$132-'A Test Recorded Data'!$D$62))*(H81-'A Test Recorded Data'!$D$62))</f>
        <v>#VALUE!</v>
      </c>
      <c r="J81" s="451" t="e">
        <f t="shared" si="5"/>
        <v>#VALUE!</v>
      </c>
      <c r="K81" s="451">
        <f t="shared" si="6"/>
        <v>0</v>
      </c>
      <c r="L81" s="451">
        <f t="shared" si="7"/>
        <v>0</v>
      </c>
      <c r="M81" s="451" t="e">
        <f>K81+(((L81-K81)/('A Test Recorded Data'!$D$132-'A Test Recorded Data'!$D$62))*(H81-'A Test Recorded Data'!$D$62))</f>
        <v>#DIV/0!</v>
      </c>
      <c r="N81" s="451" t="e">
        <f t="shared" si="8"/>
        <v>#VALUE!</v>
      </c>
      <c r="O81" s="451" t="e">
        <f t="shared" si="9"/>
        <v>#VALUE!</v>
      </c>
      <c r="P81" s="451" t="e">
        <f t="shared" si="10"/>
        <v>#VALUE!</v>
      </c>
      <c r="Q81" s="454"/>
      <c r="R81" s="454"/>
      <c r="S81" s="465"/>
      <c r="T81" s="443"/>
      <c r="U81" s="455"/>
      <c r="V81" s="455"/>
      <c r="W81" s="455"/>
      <c r="X81" s="455"/>
      <c r="Y81" s="455"/>
      <c r="Z81" s="455"/>
      <c r="AA81" s="455"/>
      <c r="AB81" s="443"/>
      <c r="AC81" s="443"/>
      <c r="AD81" s="443"/>
      <c r="AE81" s="443"/>
      <c r="AF81" s="443"/>
      <c r="AG81" s="444"/>
    </row>
    <row r="82" spans="2:33" x14ac:dyDescent="0.35">
      <c r="B82" s="475">
        <f>Tables!A31</f>
        <v>6</v>
      </c>
      <c r="C82" s="476">
        <f>Tables!C31</f>
        <v>92</v>
      </c>
      <c r="D82" s="476">
        <f>Tables!D31</f>
        <v>5.1999999999999998E-2</v>
      </c>
      <c r="E82" s="477" t="e">
        <f t="shared" si="3"/>
        <v>#VALUE!</v>
      </c>
      <c r="F82" s="451" t="e">
        <f t="shared" si="4"/>
        <v>#VALUE!</v>
      </c>
      <c r="G82" s="451" t="e">
        <f t="shared" si="2"/>
        <v>#VALUE!</v>
      </c>
      <c r="H82" s="478"/>
      <c r="I82" s="451" t="e">
        <f>F82+(((G82-F82)/('A Test Recorded Data'!$D$132-'A Test Recorded Data'!$D$62))*(H82-'A Test Recorded Data'!$D$62))</f>
        <v>#VALUE!</v>
      </c>
      <c r="J82" s="451" t="e">
        <f t="shared" si="5"/>
        <v>#VALUE!</v>
      </c>
      <c r="K82" s="451">
        <f t="shared" si="6"/>
        <v>0</v>
      </c>
      <c r="L82" s="451">
        <f t="shared" si="7"/>
        <v>0</v>
      </c>
      <c r="M82" s="451" t="e">
        <f>K82+(((L82-K82)/('A Test Recorded Data'!$D$132-'A Test Recorded Data'!$D$62))*(H82-'A Test Recorded Data'!$D$62))</f>
        <v>#DIV/0!</v>
      </c>
      <c r="N82" s="451" t="e">
        <f t="shared" si="8"/>
        <v>#VALUE!</v>
      </c>
      <c r="O82" s="451" t="e">
        <f t="shared" si="9"/>
        <v>#VALUE!</v>
      </c>
      <c r="P82" s="451" t="e">
        <f t="shared" si="10"/>
        <v>#VALUE!</v>
      </c>
      <c r="Q82" s="454"/>
      <c r="R82" s="454"/>
      <c r="S82" s="465"/>
      <c r="T82" s="443"/>
      <c r="U82" s="455"/>
      <c r="V82" s="455"/>
      <c r="W82" s="455"/>
      <c r="X82" s="455"/>
      <c r="Y82" s="455"/>
      <c r="Z82" s="455"/>
      <c r="AA82" s="455"/>
      <c r="AB82" s="443"/>
      <c r="AC82" s="443"/>
      <c r="AD82" s="443"/>
      <c r="AE82" s="443"/>
      <c r="AF82" s="443"/>
      <c r="AG82" s="444"/>
    </row>
    <row r="83" spans="2:33" x14ac:dyDescent="0.35">
      <c r="B83" s="475">
        <f>Tables!A32</f>
        <v>7</v>
      </c>
      <c r="C83" s="476">
        <f>Tables!C32</f>
        <v>97</v>
      </c>
      <c r="D83" s="476">
        <f>Tables!D32</f>
        <v>1.7999999999999999E-2</v>
      </c>
      <c r="E83" s="477" t="e">
        <f t="shared" si="3"/>
        <v>#VALUE!</v>
      </c>
      <c r="F83" s="451" t="e">
        <f t="shared" si="4"/>
        <v>#VALUE!</v>
      </c>
      <c r="G83" s="451" t="e">
        <f t="shared" si="2"/>
        <v>#VALUE!</v>
      </c>
      <c r="H83" s="478"/>
      <c r="I83" s="451" t="e">
        <f>F83+(((G83-F83)/('A Test Recorded Data'!$D$132-'A Test Recorded Data'!$D$62))*(H83-'A Test Recorded Data'!$D$62))</f>
        <v>#VALUE!</v>
      </c>
      <c r="J83" s="451" t="e">
        <f t="shared" si="5"/>
        <v>#VALUE!</v>
      </c>
      <c r="K83" s="451">
        <f t="shared" si="6"/>
        <v>0</v>
      </c>
      <c r="L83" s="451">
        <f t="shared" si="7"/>
        <v>0</v>
      </c>
      <c r="M83" s="451" t="e">
        <f>K83+(((L83-K83)/('A Test Recorded Data'!$D$132-'A Test Recorded Data'!$D$62))*(H83-'A Test Recorded Data'!$D$62))</f>
        <v>#DIV/0!</v>
      </c>
      <c r="N83" s="451" t="e">
        <f t="shared" si="8"/>
        <v>#VALUE!</v>
      </c>
      <c r="O83" s="451" t="e">
        <f t="shared" si="9"/>
        <v>#VALUE!</v>
      </c>
      <c r="P83" s="451" t="e">
        <f t="shared" si="10"/>
        <v>#VALUE!</v>
      </c>
      <c r="Q83" s="454"/>
      <c r="R83" s="454"/>
      <c r="S83" s="465"/>
      <c r="T83" s="443"/>
      <c r="U83" s="455"/>
      <c r="V83" s="455"/>
      <c r="W83" s="455"/>
      <c r="X83" s="455"/>
      <c r="Y83" s="455"/>
      <c r="Z83" s="455"/>
      <c r="AA83" s="455"/>
      <c r="AB83" s="443"/>
      <c r="AC83" s="443"/>
      <c r="AD83" s="443"/>
      <c r="AE83" s="443"/>
      <c r="AF83" s="443"/>
      <c r="AG83" s="444"/>
    </row>
    <row r="84" spans="2:33" x14ac:dyDescent="0.35">
      <c r="B84" s="475">
        <f>Tables!A33</f>
        <v>8</v>
      </c>
      <c r="C84" s="476">
        <f>Tables!C33</f>
        <v>102</v>
      </c>
      <c r="D84" s="476">
        <f>Tables!D33</f>
        <v>4.0000000000000001E-3</v>
      </c>
      <c r="E84" s="477" t="e">
        <f t="shared" si="3"/>
        <v>#VALUE!</v>
      </c>
      <c r="F84" s="451" t="e">
        <f t="shared" si="4"/>
        <v>#VALUE!</v>
      </c>
      <c r="G84" s="451" t="e">
        <f t="shared" si="2"/>
        <v>#VALUE!</v>
      </c>
      <c r="H84" s="478"/>
      <c r="I84" s="451" t="e">
        <f>F84+(((G84-F84)/('A Test Recorded Data'!$D$132-'A Test Recorded Data'!$D$62))*(H84-'A Test Recorded Data'!$D$62))</f>
        <v>#VALUE!</v>
      </c>
      <c r="J84" s="451" t="e">
        <f t="shared" si="5"/>
        <v>#VALUE!</v>
      </c>
      <c r="K84" s="451">
        <f t="shared" si="6"/>
        <v>0</v>
      </c>
      <c r="L84" s="451">
        <f t="shared" si="7"/>
        <v>0</v>
      </c>
      <c r="M84" s="451" t="e">
        <f>K84+(((L84-K84)/('A Test Recorded Data'!$D$132-'A Test Recorded Data'!$D$62))*(H84-'A Test Recorded Data'!$D$62))</f>
        <v>#DIV/0!</v>
      </c>
      <c r="N84" s="451" t="e">
        <f t="shared" si="8"/>
        <v>#VALUE!</v>
      </c>
      <c r="O84" s="451" t="e">
        <f t="shared" si="9"/>
        <v>#VALUE!</v>
      </c>
      <c r="P84" s="451" t="e">
        <f t="shared" si="10"/>
        <v>#VALUE!</v>
      </c>
      <c r="Q84" s="454"/>
      <c r="R84" s="454"/>
      <c r="S84" s="465"/>
      <c r="T84" s="443"/>
      <c r="U84" s="455"/>
      <c r="V84" s="455"/>
      <c r="W84" s="455"/>
      <c r="X84" s="455"/>
      <c r="Y84" s="455"/>
      <c r="Z84" s="455"/>
      <c r="AA84" s="455"/>
      <c r="AB84" s="443"/>
      <c r="AC84" s="443"/>
      <c r="AD84" s="443"/>
      <c r="AE84" s="443"/>
      <c r="AF84" s="443"/>
      <c r="AG84" s="444"/>
    </row>
    <row r="85" spans="2:33" x14ac:dyDescent="0.35">
      <c r="B85" s="464"/>
      <c r="C85" s="456"/>
      <c r="D85" s="454"/>
      <c r="E85" s="454"/>
      <c r="F85" s="454"/>
      <c r="G85" s="454"/>
      <c r="H85" s="454"/>
      <c r="I85" s="454"/>
      <c r="J85" s="454"/>
      <c r="K85" s="454"/>
      <c r="L85" s="454"/>
      <c r="M85" s="454"/>
      <c r="N85" s="454"/>
      <c r="O85" s="454"/>
      <c r="P85" s="454"/>
      <c r="Q85" s="454"/>
      <c r="R85" s="454"/>
      <c r="S85" s="465"/>
      <c r="T85" s="443"/>
      <c r="U85" s="455"/>
      <c r="V85" s="455"/>
      <c r="W85" s="455"/>
      <c r="X85" s="455"/>
      <c r="Y85" s="455"/>
      <c r="Z85" s="455"/>
      <c r="AA85" s="455"/>
      <c r="AB85" s="443"/>
      <c r="AC85" s="443"/>
      <c r="AD85" s="443"/>
      <c r="AE85" s="443"/>
      <c r="AF85" s="443"/>
      <c r="AG85" s="444"/>
    </row>
    <row r="86" spans="2:33" x14ac:dyDescent="0.35">
      <c r="B86" s="469" t="s">
        <v>225</v>
      </c>
      <c r="C86" s="477" t="e">
        <f>SUM(P77:P84)</f>
        <v>#VALUE!</v>
      </c>
      <c r="D86" s="454"/>
      <c r="E86" s="454"/>
      <c r="F86" s="454"/>
      <c r="G86" s="454"/>
      <c r="H86" s="454"/>
      <c r="I86" s="454"/>
      <c r="J86" s="454"/>
      <c r="K86" s="454"/>
      <c r="L86" s="454"/>
      <c r="M86" s="454"/>
      <c r="N86" s="454"/>
      <c r="O86" s="454"/>
      <c r="P86" s="454"/>
      <c r="Q86" s="454"/>
      <c r="R86" s="454"/>
      <c r="S86" s="465"/>
      <c r="T86" s="443"/>
      <c r="U86" s="455"/>
      <c r="V86" s="455"/>
      <c r="W86" s="455"/>
      <c r="X86" s="455"/>
      <c r="Y86" s="455"/>
      <c r="Z86" s="455"/>
      <c r="AA86" s="455"/>
      <c r="AB86" s="443"/>
      <c r="AC86" s="443"/>
      <c r="AD86" s="443"/>
      <c r="AE86" s="443"/>
      <c r="AF86" s="443"/>
      <c r="AG86" s="444"/>
    </row>
    <row r="87" spans="2:33" ht="18.75" thickBot="1" x14ac:dyDescent="0.4">
      <c r="B87" s="469" t="s">
        <v>226</v>
      </c>
      <c r="C87" s="477" t="e">
        <f>SUM(O77:O84)</f>
        <v>#VALUE!</v>
      </c>
      <c r="D87" s="454"/>
      <c r="E87" s="454"/>
      <c r="F87" s="454"/>
      <c r="G87" s="454"/>
      <c r="H87" s="454"/>
      <c r="I87" s="454"/>
      <c r="J87" s="454"/>
      <c r="K87" s="454"/>
      <c r="L87" s="454"/>
      <c r="M87" s="454"/>
      <c r="N87" s="454"/>
      <c r="O87" s="454"/>
      <c r="P87" s="454"/>
      <c r="Q87" s="454"/>
      <c r="R87" s="454"/>
      <c r="S87" s="465"/>
      <c r="T87" s="443"/>
      <c r="U87" s="443"/>
      <c r="V87" s="443"/>
      <c r="W87" s="443"/>
      <c r="X87" s="443"/>
      <c r="Y87" s="443"/>
      <c r="Z87" s="443"/>
      <c r="AA87" s="443"/>
      <c r="AB87" s="443"/>
      <c r="AC87" s="443"/>
      <c r="AD87" s="443"/>
      <c r="AE87" s="443"/>
      <c r="AF87" s="443"/>
      <c r="AG87" s="444"/>
    </row>
    <row r="88" spans="2:33" ht="37.5" customHeight="1" thickBot="1" x14ac:dyDescent="0.4">
      <c r="B88" s="464"/>
      <c r="C88" s="554" t="s">
        <v>564</v>
      </c>
      <c r="D88" s="879" t="s">
        <v>592</v>
      </c>
      <c r="E88" s="879"/>
      <c r="F88" s="454"/>
      <c r="G88" s="454"/>
      <c r="H88" s="454"/>
      <c r="I88" s="454"/>
      <c r="J88" s="454"/>
      <c r="K88" s="454"/>
      <c r="L88" s="454"/>
      <c r="M88" s="454"/>
      <c r="N88" s="454"/>
      <c r="O88" s="454"/>
      <c r="P88" s="454"/>
      <c r="Q88" s="454"/>
      <c r="R88" s="454"/>
      <c r="S88" s="465"/>
      <c r="T88" s="443"/>
      <c r="U88" s="1002" t="s">
        <v>277</v>
      </c>
      <c r="V88" s="1003"/>
      <c r="W88" s="1003"/>
      <c r="X88" s="1003"/>
      <c r="Y88" s="1003"/>
      <c r="Z88" s="1003"/>
      <c r="AA88" s="1004"/>
      <c r="AB88" s="443"/>
      <c r="AC88" s="443"/>
      <c r="AD88" s="443"/>
      <c r="AE88" s="443"/>
      <c r="AF88" s="443"/>
      <c r="AG88" s="444"/>
    </row>
    <row r="89" spans="2:33" ht="18.75" thickBot="1" x14ac:dyDescent="0.4">
      <c r="B89" s="471" t="s">
        <v>202</v>
      </c>
      <c r="C89" s="472" t="e">
        <f>C86/C87</f>
        <v>#VALUE!</v>
      </c>
      <c r="D89" s="977" t="e">
        <f>MROUND(C89,0.025)</f>
        <v>#VALUE!</v>
      </c>
      <c r="E89" s="977"/>
      <c r="F89" s="454"/>
      <c r="G89" s="454"/>
      <c r="H89" s="454"/>
      <c r="I89" s="454"/>
      <c r="J89" s="454"/>
      <c r="K89" s="454"/>
      <c r="L89" s="454"/>
      <c r="M89" s="454"/>
      <c r="N89" s="454"/>
      <c r="O89" s="454"/>
      <c r="P89" s="454"/>
      <c r="Q89" s="454"/>
      <c r="R89" s="454"/>
      <c r="S89" s="465"/>
      <c r="T89" s="443"/>
      <c r="U89" s="479"/>
      <c r="V89" s="480"/>
      <c r="W89" s="480"/>
      <c r="X89" s="480"/>
      <c r="Y89" s="480"/>
      <c r="Z89" s="480"/>
      <c r="AA89" s="481"/>
      <c r="AB89" s="443"/>
      <c r="AC89" s="443"/>
      <c r="AD89" s="443"/>
      <c r="AE89" s="443"/>
      <c r="AF89" s="443"/>
      <c r="AG89" s="444"/>
    </row>
    <row r="90" spans="2:33" x14ac:dyDescent="0.35">
      <c r="B90" s="445"/>
      <c r="C90" s="454"/>
      <c r="D90" s="454"/>
      <c r="E90" s="454"/>
      <c r="F90" s="454"/>
      <c r="G90" s="454"/>
      <c r="H90" s="454"/>
      <c r="I90" s="454"/>
      <c r="J90" s="454"/>
      <c r="K90" s="454"/>
      <c r="L90" s="454"/>
      <c r="M90" s="454"/>
      <c r="N90" s="454"/>
      <c r="O90" s="454"/>
      <c r="P90" s="454"/>
      <c r="Q90" s="454"/>
      <c r="R90" s="454"/>
      <c r="S90" s="465"/>
      <c r="T90" s="443"/>
      <c r="U90" s="482"/>
      <c r="V90" s="483"/>
      <c r="W90" s="484" t="s">
        <v>237</v>
      </c>
      <c r="X90" s="484"/>
      <c r="Y90" s="484" t="s">
        <v>238</v>
      </c>
      <c r="Z90" s="485" t="e">
        <f>($C$29/1.1)*(1/(95-65))</f>
        <v>#VALUE!</v>
      </c>
      <c r="AA90" s="486"/>
      <c r="AB90" s="443"/>
      <c r="AC90" s="443"/>
      <c r="AD90" s="443"/>
      <c r="AE90" s="443"/>
      <c r="AF90" s="443"/>
      <c r="AG90" s="444"/>
    </row>
    <row r="91" spans="2:33" x14ac:dyDescent="0.35">
      <c r="B91" s="466" t="s">
        <v>227</v>
      </c>
      <c r="C91" s="467"/>
      <c r="D91" s="467"/>
      <c r="E91" s="467"/>
      <c r="F91" s="467"/>
      <c r="G91" s="467"/>
      <c r="H91" s="467"/>
      <c r="I91" s="467"/>
      <c r="J91" s="467"/>
      <c r="K91" s="467"/>
      <c r="L91" s="467"/>
      <c r="M91" s="467"/>
      <c r="N91" s="467"/>
      <c r="O91" s="467"/>
      <c r="P91" s="467"/>
      <c r="Q91" s="467"/>
      <c r="R91" s="468"/>
      <c r="S91" s="465"/>
      <c r="T91" s="443"/>
      <c r="U91" s="482"/>
      <c r="V91" s="483"/>
      <c r="W91" s="484" t="s">
        <v>241</v>
      </c>
      <c r="X91" s="484"/>
      <c r="Y91" s="484" t="s">
        <v>239</v>
      </c>
      <c r="Z91" s="485" t="e">
        <f>(C$31-C$39)/(82-67)</f>
        <v>#VALUE!</v>
      </c>
      <c r="AA91" s="486"/>
      <c r="AB91" s="443"/>
      <c r="AC91" s="443"/>
      <c r="AD91" s="443"/>
      <c r="AE91" s="443"/>
      <c r="AF91" s="443"/>
      <c r="AG91" s="444"/>
    </row>
    <row r="92" spans="2:33" x14ac:dyDescent="0.35">
      <c r="B92" s="464"/>
      <c r="C92" s="454"/>
      <c r="D92" s="456"/>
      <c r="E92" s="456"/>
      <c r="F92" s="456"/>
      <c r="G92" s="456"/>
      <c r="H92" s="456"/>
      <c r="I92" s="456"/>
      <c r="J92" s="456"/>
      <c r="K92" s="456"/>
      <c r="L92" s="456"/>
      <c r="M92" s="456"/>
      <c r="N92" s="456"/>
      <c r="O92" s="456"/>
      <c r="P92" s="456"/>
      <c r="Q92" s="456"/>
      <c r="R92" s="454"/>
      <c r="S92" s="465"/>
      <c r="T92" s="443"/>
      <c r="U92" s="482"/>
      <c r="V92" s="483"/>
      <c r="W92" s="484" t="s">
        <v>242</v>
      </c>
      <c r="X92" s="484"/>
      <c r="Y92" s="484" t="s">
        <v>240</v>
      </c>
      <c r="Z92" s="485" t="e">
        <f>(C$29-C$32)/(82-67)</f>
        <v>#VALUE!</v>
      </c>
      <c r="AA92" s="486"/>
      <c r="AB92" s="443"/>
      <c r="AC92" s="443"/>
      <c r="AD92" s="443"/>
      <c r="AE92" s="443"/>
      <c r="AF92" s="443"/>
      <c r="AG92" s="444"/>
    </row>
    <row r="93" spans="2:33" ht="54" x14ac:dyDescent="0.35">
      <c r="B93" s="469" t="s">
        <v>395</v>
      </c>
      <c r="C93" s="487">
        <f>IF(C34="", 0.25,ROUND(MIN(0.25,((1-((C37/(I37))/(C34/(I34))))/(1-C37/(C34*'Optional D Test Recorded Data'!D13)))),2))</f>
        <v>0.25</v>
      </c>
      <c r="D93" s="456"/>
      <c r="E93" s="456"/>
      <c r="F93" s="488" t="s">
        <v>554</v>
      </c>
      <c r="G93" s="489"/>
      <c r="H93" s="455"/>
      <c r="I93" s="455"/>
      <c r="J93" s="456"/>
      <c r="K93" s="456"/>
      <c r="L93" s="456"/>
      <c r="M93" s="456"/>
      <c r="N93" s="456"/>
      <c r="O93" s="456"/>
      <c r="P93" s="456"/>
      <c r="Q93" s="456"/>
      <c r="R93" s="454"/>
      <c r="S93" s="465"/>
      <c r="T93" s="443"/>
      <c r="U93" s="482"/>
      <c r="V93" s="483"/>
      <c r="W93" s="483"/>
      <c r="X93" s="483"/>
      <c r="Y93" s="483"/>
      <c r="Z93" s="483"/>
      <c r="AA93" s="486"/>
      <c r="AB93" s="443"/>
      <c r="AC93" s="443"/>
      <c r="AD93" s="443"/>
      <c r="AE93" s="443"/>
      <c r="AF93" s="443"/>
      <c r="AG93" s="444"/>
    </row>
    <row r="94" spans="2:33" ht="36" x14ac:dyDescent="0.35">
      <c r="B94" s="469" t="s">
        <v>478</v>
      </c>
      <c r="C94" s="487">
        <f>IF(C35="", C93,ROUND(MIN(C93,((1-((C38/(I38))/(C35/(I35))))/(1-C38/(C35*'Optional D Test Recorded Data'!D13)))),2))</f>
        <v>0.25</v>
      </c>
      <c r="D94" s="456"/>
      <c r="E94" s="456"/>
      <c r="F94" s="490" t="s">
        <v>549</v>
      </c>
      <c r="G94" s="491"/>
      <c r="H94" s="456"/>
      <c r="I94" s="456"/>
      <c r="J94" s="456"/>
      <c r="K94" s="456"/>
      <c r="L94" s="456"/>
      <c r="M94" s="456"/>
      <c r="N94" s="456"/>
      <c r="O94" s="456"/>
      <c r="P94" s="456"/>
      <c r="Q94" s="456"/>
      <c r="R94" s="454"/>
      <c r="S94" s="465"/>
      <c r="T94" s="443"/>
      <c r="U94" s="482"/>
      <c r="V94" s="483"/>
      <c r="W94" s="483"/>
      <c r="X94" s="484" t="s">
        <v>261</v>
      </c>
      <c r="Y94" s="484" t="s">
        <v>263</v>
      </c>
      <c r="Z94" s="484" t="s">
        <v>262</v>
      </c>
      <c r="AA94" s="486"/>
      <c r="AB94" s="443"/>
      <c r="AC94" s="443"/>
      <c r="AD94" s="443"/>
      <c r="AE94" s="443"/>
      <c r="AF94" s="443"/>
      <c r="AG94" s="444"/>
    </row>
    <row r="95" spans="2:33" x14ac:dyDescent="0.35">
      <c r="B95" s="464"/>
      <c r="C95" s="492"/>
      <c r="D95" s="456"/>
      <c r="E95" s="456"/>
      <c r="F95" s="456"/>
      <c r="G95" s="456"/>
      <c r="H95" s="456"/>
      <c r="I95" s="456"/>
      <c r="J95" s="456"/>
      <c r="K95" s="456"/>
      <c r="L95" s="456"/>
      <c r="M95" s="456"/>
      <c r="N95" s="456"/>
      <c r="O95" s="456"/>
      <c r="P95" s="456"/>
      <c r="Q95" s="456"/>
      <c r="R95" s="454"/>
      <c r="S95" s="465"/>
      <c r="T95" s="443"/>
      <c r="U95" s="482"/>
      <c r="V95" s="484" t="s">
        <v>346</v>
      </c>
      <c r="W95" s="484" t="s">
        <v>257</v>
      </c>
      <c r="X95" s="485" t="e">
        <f>($C$39/$Z$90)+65</f>
        <v>#VALUE!</v>
      </c>
      <c r="Y95" s="485" t="e">
        <f>($C$32/$Z$90)+65</f>
        <v>#VALUE!</v>
      </c>
      <c r="Z95" s="485" t="e">
        <f>($C$39/$Z$90)+65</f>
        <v>#VALUE!</v>
      </c>
      <c r="AA95" s="486"/>
      <c r="AB95" s="443"/>
      <c r="AC95" s="443"/>
      <c r="AD95" s="443"/>
      <c r="AE95" s="443"/>
      <c r="AF95" s="443"/>
      <c r="AG95" s="444"/>
    </row>
    <row r="96" spans="2:33" x14ac:dyDescent="0.35">
      <c r="B96" s="473" t="s">
        <v>130</v>
      </c>
      <c r="C96" s="474" t="s">
        <v>390</v>
      </c>
      <c r="D96" s="474" t="s">
        <v>111</v>
      </c>
      <c r="E96" s="474" t="s">
        <v>392</v>
      </c>
      <c r="F96" s="474" t="s">
        <v>218</v>
      </c>
      <c r="G96" s="474" t="s">
        <v>217</v>
      </c>
      <c r="H96" s="474" t="s">
        <v>228</v>
      </c>
      <c r="I96" s="474" t="s">
        <v>229</v>
      </c>
      <c r="J96" s="474" t="s">
        <v>219</v>
      </c>
      <c r="K96" s="474" t="s">
        <v>220</v>
      </c>
      <c r="L96" s="474" t="s">
        <v>230</v>
      </c>
      <c r="M96" s="474" t="s">
        <v>222</v>
      </c>
      <c r="N96" s="474" t="s">
        <v>223</v>
      </c>
      <c r="O96" s="456"/>
      <c r="P96" s="456"/>
      <c r="Q96" s="456"/>
      <c r="R96" s="454"/>
      <c r="S96" s="465"/>
      <c r="T96" s="443"/>
      <c r="U96" s="482"/>
      <c r="V96" s="484" t="s">
        <v>347</v>
      </c>
      <c r="W96" s="484" t="s">
        <v>258</v>
      </c>
      <c r="X96" s="485" t="e">
        <f>67*($Z$91/$Z$90)</f>
        <v>#VALUE!</v>
      </c>
      <c r="Y96" s="485" t="e">
        <f>82*($Z$92/$Z$90)</f>
        <v>#VALUE!</v>
      </c>
      <c r="Z96" s="485" t="e">
        <f>67*($Z$91/$Z$90)</f>
        <v>#VALUE!</v>
      </c>
      <c r="AA96" s="486"/>
      <c r="AB96" s="443"/>
      <c r="AC96" s="443"/>
      <c r="AD96" s="443"/>
      <c r="AE96" s="443"/>
      <c r="AF96" s="443"/>
      <c r="AG96" s="444"/>
    </row>
    <row r="97" spans="2:33" x14ac:dyDescent="0.35">
      <c r="B97" s="475">
        <f>Tables!A26</f>
        <v>1</v>
      </c>
      <c r="C97" s="476">
        <f>Tables!C26</f>
        <v>67</v>
      </c>
      <c r="D97" s="476">
        <f>Tables!D26</f>
        <v>0.214</v>
      </c>
      <c r="E97" s="477" t="e">
        <f t="shared" ref="E97:E104" si="11">IF(D97="","",((C97-65)/(95-65))*($C$29/1.1))</f>
        <v>#VALUE!</v>
      </c>
      <c r="F97" s="477" t="e">
        <f t="shared" ref="F97:F103" si="12">$C$39+((($C$31-$C$39)/(82-67))*(C97-67))</f>
        <v>#VALUE!</v>
      </c>
      <c r="G97" s="477" t="e">
        <f t="shared" ref="G97:G104" si="13">$C$32+((($C$29-$C$32)/(95-82))*(C97-82))</f>
        <v>#VALUE!</v>
      </c>
      <c r="H97" s="477" t="e">
        <f>IF(E97&lt;=F97,E97/F97,IF(OR(AND(F97&lt;E97,E97&lt;G97,$G$93="No"),AND(F97&lt;E97,E97&lt;G97,$G$93="Yes",C97&lt;$G$94)),((G97-E97)/(G97-F97)),""))</f>
        <v>#VALUE!</v>
      </c>
      <c r="I97" s="477" t="e">
        <f>IF(AND(E97&lt;G97, $G$93="Yes", $G$94&lt;=C97),E97/G97,IF(OR(AND(F97&lt;E97,E97&lt;G97,$G$93= "No"),AND(F97&lt;E97,E97&lt;G97,$G$93="Yes",$G$94&gt;C97)),1-H97,""))</f>
        <v>#VALUE!</v>
      </c>
      <c r="J97" s="477">
        <f>$I$39+((($I$31-$I$39)/(82-67))*(C97-67))</f>
        <v>0</v>
      </c>
      <c r="K97" s="477">
        <f>$I$32+((($I$29-$I$32)/(95-82))*(C97-82))</f>
        <v>0</v>
      </c>
      <c r="L97" s="477" t="e">
        <f>IF(F97&gt;=E97,1-$C$93*(1-H97),IF(AND(E97&lt;G97, $G$93="Yes",C97&gt;=$G$94),1-$C$94*(1-I97),""))</f>
        <v>#VALUE!</v>
      </c>
      <c r="M97" s="477" t="e">
        <f>IF(F97&gt;=E97,((H97*J97)/L97)*D97,IF(AND(E97&lt;G97, $G$93="Yes",C97&gt;=$G$94),((I97*K97)/L97)*D97,IF(OR(AND(F97&lt;E97,E97&lt;G97,$G$93="No"),AND(F97&lt;E97,E97&lt;G97,$G$93="Yes",$G$94&gt;C97)),(H97*J97+I97*K97)*D97,IF(E97&gt;G97,K97*D97,"ERROR"))))</f>
        <v>#VALUE!</v>
      </c>
      <c r="N97" s="477" t="e">
        <f>IF(F97&gt;=E97,((H97*F97))*D97,IF(AND(E97&lt;G97, $G$93="Yes", C97&gt;=$G$94),I97*G97*D97,IF(OR(AND(F97&lt;E97,E97&lt;G97,$G$93="No"),AND(F97&lt;E97,E97&lt;G97,$G$93="Yes",$G$94&gt;C97)),(H97*F97+I97*G97)*D97,IF(E97&gt;G97,G97*D97,"ERROR"))))</f>
        <v>#VALUE!</v>
      </c>
      <c r="O97" s="456"/>
      <c r="P97" s="456"/>
      <c r="Q97" s="456"/>
      <c r="R97" s="454"/>
      <c r="S97" s="465"/>
      <c r="T97" s="443"/>
      <c r="U97" s="482"/>
      <c r="V97" s="484" t="s">
        <v>348</v>
      </c>
      <c r="W97" s="484" t="s">
        <v>259</v>
      </c>
      <c r="X97" s="485" t="e">
        <f>(1-($Z$91/$Z$90))</f>
        <v>#VALUE!</v>
      </c>
      <c r="Y97" s="485" t="e">
        <f>(1-($Z$92/$Z$90))</f>
        <v>#VALUE!</v>
      </c>
      <c r="Z97" s="485" t="e">
        <f>(1-($Z$91/$Z$90))</f>
        <v>#VALUE!</v>
      </c>
      <c r="AA97" s="486"/>
      <c r="AB97" s="443"/>
      <c r="AC97" s="443"/>
      <c r="AD97" s="443"/>
      <c r="AE97" s="443"/>
      <c r="AF97" s="443"/>
      <c r="AG97" s="444"/>
    </row>
    <row r="98" spans="2:33" x14ac:dyDescent="0.35">
      <c r="B98" s="475">
        <f>Tables!A27</f>
        <v>2</v>
      </c>
      <c r="C98" s="476">
        <f>Tables!C27</f>
        <v>72</v>
      </c>
      <c r="D98" s="476">
        <f>Tables!D27</f>
        <v>0.23100000000000001</v>
      </c>
      <c r="E98" s="477" t="e">
        <f t="shared" si="11"/>
        <v>#VALUE!</v>
      </c>
      <c r="F98" s="477" t="e">
        <f t="shared" si="12"/>
        <v>#VALUE!</v>
      </c>
      <c r="G98" s="477" t="e">
        <f t="shared" si="13"/>
        <v>#VALUE!</v>
      </c>
      <c r="H98" s="477" t="e">
        <f t="shared" ref="H98:H104" si="14">IF(E98&lt;=F98,E98/F98,IF(OR(AND(F98&lt;E98,E98&lt;G98,$G$93="No"),AND(F98&lt;E98,E98&lt;G98,$G$93="Yes",C98&lt;$G$94)),((G98-E98)/(G98-F98)),""))</f>
        <v>#VALUE!</v>
      </c>
      <c r="I98" s="477" t="e">
        <f t="shared" ref="I98:I104" si="15">IF(AND(E98&lt;G98, $G$93="Yes", $G$94&lt;=C98),E98/G98,IF(OR(AND(F98&lt;E98,E98&lt;G98,$G$93= "No"),AND(F98&lt;E98,E98&lt;G98,$G$93="Yes",$G$94&gt;C98)),1-H98,""))</f>
        <v>#VALUE!</v>
      </c>
      <c r="J98" s="477">
        <f t="shared" ref="J98:J104" si="16">$I$39+((($I$31-$I$39)/(82-67))*(C98-67))</f>
        <v>0</v>
      </c>
      <c r="K98" s="477">
        <f t="shared" ref="K98:K103" si="17">$I$32+((($I$29-$I$32)/(95-82))*(C98-82))</f>
        <v>0</v>
      </c>
      <c r="L98" s="477" t="e">
        <f t="shared" ref="L98:L104" si="18">IF(F98&gt;=E98,1-$C$93*(1-H98),IF(AND(E98&lt;G98, $G$93="Yes",C98&gt;=$G$94),1-$C$94*(1-I98),""))</f>
        <v>#VALUE!</v>
      </c>
      <c r="M98" s="477" t="e">
        <f t="shared" ref="M98:M104" si="19">IF(F98&gt;=E98,((H98*J98)/L98)*D98,IF(AND(E98&lt;G98, $G$93="Yes",C98&gt;=$G$94),((I98*K98)/L98)*D98,IF(OR(AND(F98&lt;E98,E98&lt;G98,$G$93="No"),AND(F98&lt;E98,E98&lt;G98,$G$93="Yes",$G$94&gt;C98)),(H98*J98+I98*K98)*D98,IF(E98&gt;G98,K98*D98,"ERROR"))))</f>
        <v>#VALUE!</v>
      </c>
      <c r="N98" s="477" t="e">
        <f t="shared" ref="N98:N104" si="20">IF(F98&gt;=E98,((H98*F98))*D98,IF(AND(E98&lt;G98, $G$93="Yes", C98&gt;=$G$94),I98*G98*D98,IF(OR(AND(F98&lt;E98,E98&lt;G98,$G$93="No"),AND(F98&lt;E98,E98&lt;G98,$G$93="Yes",$G$94&gt;C98)),(H98*F98+I98*G98)*D98,IF(E98&gt;G98,G98*D98,"ERROR"))))</f>
        <v>#VALUE!</v>
      </c>
      <c r="O98" s="456"/>
      <c r="P98" s="456"/>
      <c r="Q98" s="456"/>
      <c r="R98" s="454"/>
      <c r="S98" s="465"/>
      <c r="T98" s="443"/>
      <c r="U98" s="482"/>
      <c r="V98" s="483"/>
      <c r="W98" s="483"/>
      <c r="X98" s="483"/>
      <c r="Y98" s="483"/>
      <c r="Z98" s="483"/>
      <c r="AA98" s="486"/>
      <c r="AB98" s="443"/>
      <c r="AC98" s="443"/>
      <c r="AD98" s="443"/>
      <c r="AE98" s="443"/>
      <c r="AF98" s="443"/>
      <c r="AG98" s="444"/>
    </row>
    <row r="99" spans="2:33" x14ac:dyDescent="0.35">
      <c r="B99" s="475">
        <f>Tables!A28</f>
        <v>3</v>
      </c>
      <c r="C99" s="476">
        <f>Tables!C28</f>
        <v>77</v>
      </c>
      <c r="D99" s="476">
        <f>Tables!D28</f>
        <v>0.216</v>
      </c>
      <c r="E99" s="477" t="e">
        <f t="shared" si="11"/>
        <v>#VALUE!</v>
      </c>
      <c r="F99" s="477" t="e">
        <f t="shared" si="12"/>
        <v>#VALUE!</v>
      </c>
      <c r="G99" s="477" t="e">
        <f t="shared" si="13"/>
        <v>#VALUE!</v>
      </c>
      <c r="H99" s="477" t="e">
        <f t="shared" si="14"/>
        <v>#VALUE!</v>
      </c>
      <c r="I99" s="477" t="e">
        <f t="shared" si="15"/>
        <v>#VALUE!</v>
      </c>
      <c r="J99" s="477">
        <f t="shared" si="16"/>
        <v>0</v>
      </c>
      <c r="K99" s="477">
        <f t="shared" si="17"/>
        <v>0</v>
      </c>
      <c r="L99" s="477" t="e">
        <f t="shared" si="18"/>
        <v>#VALUE!</v>
      </c>
      <c r="M99" s="477" t="e">
        <f t="shared" si="19"/>
        <v>#VALUE!</v>
      </c>
      <c r="N99" s="477" t="e">
        <f t="shared" si="20"/>
        <v>#VALUE!</v>
      </c>
      <c r="O99" s="456"/>
      <c r="P99" s="456"/>
      <c r="Q99" s="454"/>
      <c r="R99" s="454"/>
      <c r="S99" s="465"/>
      <c r="T99" s="443"/>
      <c r="U99" s="482"/>
      <c r="V99" s="483"/>
      <c r="W99" s="483"/>
      <c r="X99" s="483"/>
      <c r="Y99" s="483"/>
      <c r="Z99" s="483"/>
      <c r="AA99" s="486"/>
      <c r="AB99" s="443"/>
      <c r="AC99" s="443"/>
      <c r="AD99" s="443"/>
      <c r="AE99" s="443"/>
      <c r="AF99" s="443"/>
      <c r="AG99" s="444"/>
    </row>
    <row r="100" spans="2:33" x14ac:dyDescent="0.35">
      <c r="B100" s="475">
        <f>Tables!A29</f>
        <v>4</v>
      </c>
      <c r="C100" s="476">
        <f>Tables!C29</f>
        <v>82</v>
      </c>
      <c r="D100" s="476">
        <f>Tables!D29</f>
        <v>0.161</v>
      </c>
      <c r="E100" s="477" t="e">
        <f t="shared" si="11"/>
        <v>#VALUE!</v>
      </c>
      <c r="F100" s="477" t="e">
        <f t="shared" si="12"/>
        <v>#VALUE!</v>
      </c>
      <c r="G100" s="477" t="e">
        <f t="shared" si="13"/>
        <v>#VALUE!</v>
      </c>
      <c r="H100" s="477" t="e">
        <f t="shared" si="14"/>
        <v>#VALUE!</v>
      </c>
      <c r="I100" s="477" t="e">
        <f t="shared" si="15"/>
        <v>#VALUE!</v>
      </c>
      <c r="J100" s="477">
        <f t="shared" si="16"/>
        <v>0</v>
      </c>
      <c r="K100" s="477">
        <f t="shared" si="17"/>
        <v>0</v>
      </c>
      <c r="L100" s="477" t="e">
        <f t="shared" si="18"/>
        <v>#VALUE!</v>
      </c>
      <c r="M100" s="477" t="e">
        <f t="shared" si="19"/>
        <v>#VALUE!</v>
      </c>
      <c r="N100" s="477" t="e">
        <f t="shared" si="20"/>
        <v>#VALUE!</v>
      </c>
      <c r="O100" s="456"/>
      <c r="P100" s="456"/>
      <c r="Q100" s="454"/>
      <c r="R100" s="454"/>
      <c r="S100" s="465"/>
      <c r="T100" s="443"/>
      <c r="U100" s="482"/>
      <c r="V100" s="483"/>
      <c r="W100" s="484"/>
      <c r="X100" s="484" t="s">
        <v>234</v>
      </c>
      <c r="Y100" s="484" t="s">
        <v>235</v>
      </c>
      <c r="Z100" s="484" t="s">
        <v>236</v>
      </c>
      <c r="AA100" s="486"/>
      <c r="AB100" s="443"/>
      <c r="AC100" s="443"/>
      <c r="AD100" s="443"/>
      <c r="AE100" s="443"/>
      <c r="AF100" s="443"/>
      <c r="AG100" s="444"/>
    </row>
    <row r="101" spans="2:33" x14ac:dyDescent="0.35">
      <c r="B101" s="475">
        <f>Tables!A30</f>
        <v>5</v>
      </c>
      <c r="C101" s="476">
        <f>Tables!C30</f>
        <v>87</v>
      </c>
      <c r="D101" s="476">
        <f>Tables!D30</f>
        <v>0.104</v>
      </c>
      <c r="E101" s="477" t="e">
        <f t="shared" si="11"/>
        <v>#VALUE!</v>
      </c>
      <c r="F101" s="477" t="e">
        <f t="shared" si="12"/>
        <v>#VALUE!</v>
      </c>
      <c r="G101" s="477" t="e">
        <f t="shared" si="13"/>
        <v>#VALUE!</v>
      </c>
      <c r="H101" s="477" t="e">
        <f t="shared" si="14"/>
        <v>#VALUE!</v>
      </c>
      <c r="I101" s="477" t="e">
        <f t="shared" si="15"/>
        <v>#VALUE!</v>
      </c>
      <c r="J101" s="477">
        <f t="shared" si="16"/>
        <v>0</v>
      </c>
      <c r="K101" s="477">
        <f t="shared" si="17"/>
        <v>0</v>
      </c>
      <c r="L101" s="477" t="e">
        <f t="shared" si="18"/>
        <v>#VALUE!</v>
      </c>
      <c r="M101" s="477" t="e">
        <f t="shared" si="19"/>
        <v>#VALUE!</v>
      </c>
      <c r="N101" s="477" t="e">
        <f t="shared" si="20"/>
        <v>#VALUE!</v>
      </c>
      <c r="O101" s="456"/>
      <c r="P101" s="456"/>
      <c r="Q101" s="454"/>
      <c r="R101" s="454"/>
      <c r="S101" s="465"/>
      <c r="T101" s="443"/>
      <c r="U101" s="482"/>
      <c r="V101" s="483"/>
      <c r="W101" s="484" t="s">
        <v>260</v>
      </c>
      <c r="X101" s="485" t="e">
        <f>(X95+X96)/X97</f>
        <v>#VALUE!</v>
      </c>
      <c r="Y101" s="485" t="e">
        <f>(Y95+Y96)/Y97</f>
        <v>#VALUE!</v>
      </c>
      <c r="Z101" s="485" t="e">
        <f>(Z95+Z96)/Z97</f>
        <v>#VALUE!</v>
      </c>
      <c r="AA101" s="486"/>
      <c r="AB101" s="443"/>
      <c r="AC101" s="443"/>
      <c r="AD101" s="443"/>
      <c r="AE101" s="443"/>
      <c r="AF101" s="443"/>
      <c r="AG101" s="444"/>
    </row>
    <row r="102" spans="2:33" x14ac:dyDescent="0.35">
      <c r="B102" s="475">
        <f>Tables!A31</f>
        <v>6</v>
      </c>
      <c r="C102" s="476">
        <f>Tables!C31</f>
        <v>92</v>
      </c>
      <c r="D102" s="476">
        <f>Tables!D31</f>
        <v>5.1999999999999998E-2</v>
      </c>
      <c r="E102" s="477" t="e">
        <f t="shared" si="11"/>
        <v>#VALUE!</v>
      </c>
      <c r="F102" s="477" t="e">
        <f t="shared" si="12"/>
        <v>#VALUE!</v>
      </c>
      <c r="G102" s="477" t="e">
        <f t="shared" si="13"/>
        <v>#VALUE!</v>
      </c>
      <c r="H102" s="477" t="e">
        <f t="shared" si="14"/>
        <v>#VALUE!</v>
      </c>
      <c r="I102" s="477" t="e">
        <f t="shared" si="15"/>
        <v>#VALUE!</v>
      </c>
      <c r="J102" s="477">
        <f t="shared" si="16"/>
        <v>0</v>
      </c>
      <c r="K102" s="477">
        <f t="shared" si="17"/>
        <v>0</v>
      </c>
      <c r="L102" s="477" t="e">
        <f t="shared" si="18"/>
        <v>#VALUE!</v>
      </c>
      <c r="M102" s="477" t="e">
        <f t="shared" si="19"/>
        <v>#VALUE!</v>
      </c>
      <c r="N102" s="477" t="e">
        <f t="shared" si="20"/>
        <v>#VALUE!</v>
      </c>
      <c r="O102" s="456"/>
      <c r="P102" s="456"/>
      <c r="Q102" s="454"/>
      <c r="R102" s="454"/>
      <c r="S102" s="465"/>
      <c r="T102" s="443"/>
      <c r="U102" s="482"/>
      <c r="V102" s="483"/>
      <c r="W102" s="483"/>
      <c r="X102" s="483"/>
      <c r="Y102" s="483"/>
      <c r="Z102" s="483"/>
      <c r="AA102" s="486"/>
      <c r="AB102" s="443"/>
      <c r="AC102" s="443"/>
      <c r="AD102" s="443"/>
      <c r="AE102" s="443"/>
      <c r="AF102" s="443"/>
      <c r="AG102" s="444"/>
    </row>
    <row r="103" spans="2:33" x14ac:dyDescent="0.35">
      <c r="B103" s="475">
        <f>Tables!A32</f>
        <v>7</v>
      </c>
      <c r="C103" s="476">
        <f>Tables!C32</f>
        <v>97</v>
      </c>
      <c r="D103" s="476">
        <f>Tables!D32</f>
        <v>1.7999999999999999E-2</v>
      </c>
      <c r="E103" s="477" t="e">
        <f t="shared" si="11"/>
        <v>#VALUE!</v>
      </c>
      <c r="F103" s="477" t="e">
        <f t="shared" si="12"/>
        <v>#VALUE!</v>
      </c>
      <c r="G103" s="477" t="e">
        <f t="shared" si="13"/>
        <v>#VALUE!</v>
      </c>
      <c r="H103" s="477" t="e">
        <f t="shared" si="14"/>
        <v>#VALUE!</v>
      </c>
      <c r="I103" s="477" t="e">
        <f t="shared" si="15"/>
        <v>#VALUE!</v>
      </c>
      <c r="J103" s="477">
        <f t="shared" si="16"/>
        <v>0</v>
      </c>
      <c r="K103" s="477">
        <f t="shared" si="17"/>
        <v>0</v>
      </c>
      <c r="L103" s="477" t="e">
        <f t="shared" si="18"/>
        <v>#VALUE!</v>
      </c>
      <c r="M103" s="477" t="e">
        <f t="shared" si="19"/>
        <v>#VALUE!</v>
      </c>
      <c r="N103" s="477" t="e">
        <f t="shared" si="20"/>
        <v>#VALUE!</v>
      </c>
      <c r="O103" s="456"/>
      <c r="P103" s="456"/>
      <c r="Q103" s="454"/>
      <c r="R103" s="454"/>
      <c r="S103" s="465"/>
      <c r="T103" s="443"/>
      <c r="U103" s="482"/>
      <c r="V103" s="483"/>
      <c r="W103" s="483"/>
      <c r="X103" s="483"/>
      <c r="Y103" s="483"/>
      <c r="Z103" s="483"/>
      <c r="AA103" s="486"/>
      <c r="AB103" s="443"/>
      <c r="AC103" s="443"/>
      <c r="AD103" s="443"/>
      <c r="AE103" s="443"/>
      <c r="AF103" s="443"/>
      <c r="AG103" s="444"/>
    </row>
    <row r="104" spans="2:33" x14ac:dyDescent="0.35">
      <c r="B104" s="475">
        <f>Tables!A33</f>
        <v>8</v>
      </c>
      <c r="C104" s="476">
        <f>Tables!C33</f>
        <v>102</v>
      </c>
      <c r="D104" s="476">
        <f>Tables!D33</f>
        <v>4.0000000000000001E-3</v>
      </c>
      <c r="E104" s="477" t="e">
        <f t="shared" si="11"/>
        <v>#VALUE!</v>
      </c>
      <c r="F104" s="477" t="e">
        <f>$C$39+((($C$31-$C$39)/(82-67))*(C104-67))</f>
        <v>#VALUE!</v>
      </c>
      <c r="G104" s="477" t="e">
        <f t="shared" si="13"/>
        <v>#VALUE!</v>
      </c>
      <c r="H104" s="477" t="e">
        <f t="shared" si="14"/>
        <v>#VALUE!</v>
      </c>
      <c r="I104" s="477" t="e">
        <f t="shared" si="15"/>
        <v>#VALUE!</v>
      </c>
      <c r="J104" s="477">
        <f t="shared" si="16"/>
        <v>0</v>
      </c>
      <c r="K104" s="477">
        <f>$I$32+((($I$29-$I$32)/(95-82))*(C104-82))</f>
        <v>0</v>
      </c>
      <c r="L104" s="477" t="e">
        <f t="shared" si="18"/>
        <v>#VALUE!</v>
      </c>
      <c r="M104" s="477" t="e">
        <f t="shared" si="19"/>
        <v>#VALUE!</v>
      </c>
      <c r="N104" s="477" t="e">
        <f t="shared" si="20"/>
        <v>#VALUE!</v>
      </c>
      <c r="O104" s="456"/>
      <c r="P104" s="456"/>
      <c r="Q104" s="454"/>
      <c r="R104" s="454"/>
      <c r="S104" s="465"/>
      <c r="T104" s="443"/>
      <c r="U104" s="482"/>
      <c r="V104" s="483" t="s">
        <v>255</v>
      </c>
      <c r="W104" s="483"/>
      <c r="X104" s="483"/>
      <c r="Y104" s="483"/>
      <c r="Z104" s="483"/>
      <c r="AA104" s="486"/>
      <c r="AB104" s="443"/>
      <c r="AC104" s="443"/>
      <c r="AD104" s="443"/>
      <c r="AE104" s="443"/>
      <c r="AF104" s="443"/>
      <c r="AG104" s="444"/>
    </row>
    <row r="105" spans="2:33" x14ac:dyDescent="0.35">
      <c r="B105" s="464"/>
      <c r="C105" s="456"/>
      <c r="D105" s="454"/>
      <c r="E105" s="454"/>
      <c r="F105" s="454"/>
      <c r="G105" s="454"/>
      <c r="H105" s="454"/>
      <c r="I105" s="454"/>
      <c r="J105" s="454"/>
      <c r="K105" s="454"/>
      <c r="L105" s="454"/>
      <c r="M105" s="454"/>
      <c r="N105" s="454"/>
      <c r="O105" s="454"/>
      <c r="P105" s="454"/>
      <c r="Q105" s="454"/>
      <c r="R105" s="454"/>
      <c r="S105" s="465"/>
      <c r="T105" s="443"/>
      <c r="U105" s="482"/>
      <c r="V105" s="484" t="s">
        <v>253</v>
      </c>
      <c r="W105" s="485" t="e">
        <f>($Y$101^2-$X$101^2)/($Z$101^2-$X$101^2)</f>
        <v>#VALUE!</v>
      </c>
      <c r="X105" s="484" t="s">
        <v>248</v>
      </c>
      <c r="Y105" s="485" t="e">
        <f>((($C$31-$C$39)/(82-67))*(1-$Y$107))+($Y$107*(($C$29-$C$32)/(95-82)))</f>
        <v>#VALUE!</v>
      </c>
      <c r="Z105" s="483"/>
      <c r="AA105" s="486"/>
      <c r="AB105" s="443"/>
      <c r="AC105" s="443"/>
      <c r="AD105" s="443"/>
      <c r="AE105" s="443"/>
      <c r="AF105" s="443"/>
      <c r="AG105" s="444"/>
    </row>
    <row r="106" spans="2:33" x14ac:dyDescent="0.35">
      <c r="B106" s="469" t="s">
        <v>225</v>
      </c>
      <c r="C106" s="477" t="e">
        <f>SUM(N97:N104)</f>
        <v>#VALUE!</v>
      </c>
      <c r="D106" s="454"/>
      <c r="E106" s="454"/>
      <c r="F106" s="454"/>
      <c r="G106" s="454"/>
      <c r="H106" s="454"/>
      <c r="I106" s="454"/>
      <c r="J106" s="454"/>
      <c r="K106" s="454"/>
      <c r="L106" s="454"/>
      <c r="M106" s="454"/>
      <c r="N106" s="454"/>
      <c r="O106" s="454"/>
      <c r="P106" s="454"/>
      <c r="Q106" s="454"/>
      <c r="R106" s="454"/>
      <c r="S106" s="465"/>
      <c r="T106" s="443"/>
      <c r="U106" s="482"/>
      <c r="V106" s="484" t="s">
        <v>195</v>
      </c>
      <c r="W106" s="485" t="e">
        <f>($X$110-$X$112-($W$105*($X$110-$X$111)))/($X$101-$Y$101-($W$105*($X$101-$Z$101)))</f>
        <v>#VALUE!</v>
      </c>
      <c r="X106" s="484" t="s">
        <v>247</v>
      </c>
      <c r="Y106" s="485" t="e">
        <f>((($I$31-$I$39)/(82-67))*(1-$Y$108))+($Y$108*(($I$29-$I$32)/(95-82)))</f>
        <v>#DIV/0!</v>
      </c>
      <c r="Z106" s="483"/>
      <c r="AA106" s="486"/>
      <c r="AB106" s="443"/>
      <c r="AC106" s="443"/>
      <c r="AD106" s="443"/>
      <c r="AE106" s="443"/>
      <c r="AF106" s="443"/>
      <c r="AG106" s="444"/>
    </row>
    <row r="107" spans="2:33" x14ac:dyDescent="0.35">
      <c r="B107" s="469" t="s">
        <v>226</v>
      </c>
      <c r="C107" s="477" t="e">
        <f>SUM(M97:M104)</f>
        <v>#VALUE!</v>
      </c>
      <c r="D107" s="454"/>
      <c r="E107" s="454"/>
      <c r="F107" s="454"/>
      <c r="G107" s="454"/>
      <c r="H107" s="454"/>
      <c r="I107" s="454"/>
      <c r="J107" s="454"/>
      <c r="K107" s="454"/>
      <c r="L107" s="454"/>
      <c r="M107" s="454"/>
      <c r="N107" s="454"/>
      <c r="O107" s="454"/>
      <c r="P107" s="454"/>
      <c r="Q107" s="454"/>
      <c r="R107" s="454"/>
      <c r="S107" s="465"/>
      <c r="T107" s="443"/>
      <c r="U107" s="482"/>
      <c r="V107" s="484" t="s">
        <v>254</v>
      </c>
      <c r="W107" s="485" t="e">
        <f>($X$110-$X$112-($W$106*($X$101-$Y$101)))/($X$101^2-$Y$101^2)</f>
        <v>#VALUE!</v>
      </c>
      <c r="X107" s="484" t="s">
        <v>250</v>
      </c>
      <c r="Y107" s="485" t="e">
        <f>($C$40-$F$121)/($G$121-$F$121)</f>
        <v>#VALUE!</v>
      </c>
      <c r="Z107" s="483"/>
      <c r="AA107" s="486"/>
      <c r="AB107" s="443"/>
      <c r="AC107" s="443"/>
      <c r="AD107" s="443"/>
      <c r="AE107" s="443"/>
      <c r="AF107" s="443"/>
      <c r="AG107" s="444"/>
    </row>
    <row r="108" spans="2:33" ht="36.75" customHeight="1" thickBot="1" x14ac:dyDescent="0.4">
      <c r="B108" s="464"/>
      <c r="C108" s="554" t="s">
        <v>564</v>
      </c>
      <c r="D108" s="879" t="s">
        <v>592</v>
      </c>
      <c r="E108" s="879"/>
      <c r="F108" s="454"/>
      <c r="G108" s="454"/>
      <c r="H108" s="454"/>
      <c r="I108" s="454"/>
      <c r="J108" s="454"/>
      <c r="K108" s="454"/>
      <c r="L108" s="454"/>
      <c r="M108" s="454"/>
      <c r="N108" s="454"/>
      <c r="O108" s="454"/>
      <c r="P108" s="454"/>
      <c r="Q108" s="454"/>
      <c r="R108" s="454"/>
      <c r="S108" s="465"/>
      <c r="T108" s="443"/>
      <c r="U108" s="482"/>
      <c r="V108" s="484" t="s">
        <v>54</v>
      </c>
      <c r="W108" s="485" t="e">
        <f>$X$112-$W$106*$Y$101-$W$107*$Y$101^2</f>
        <v>#VALUE!</v>
      </c>
      <c r="X108" s="484" t="s">
        <v>251</v>
      </c>
      <c r="Y108" s="485" t="e">
        <f>($I$40-$J$121)/($L$121-$J$121)</f>
        <v>#DIV/0!</v>
      </c>
      <c r="Z108" s="483"/>
      <c r="AA108" s="486"/>
      <c r="AB108" s="443"/>
      <c r="AC108" s="443"/>
      <c r="AD108" s="443"/>
      <c r="AE108" s="443"/>
      <c r="AF108" s="443"/>
      <c r="AG108" s="444"/>
    </row>
    <row r="109" spans="2:33" ht="18.75" thickBot="1" x14ac:dyDescent="0.4">
      <c r="B109" s="471" t="s">
        <v>202</v>
      </c>
      <c r="C109" s="472" t="e">
        <f>C106/C107</f>
        <v>#VALUE!</v>
      </c>
      <c r="D109" s="978" t="e">
        <f>MROUND(C109,0.025)</f>
        <v>#VALUE!</v>
      </c>
      <c r="E109" s="979"/>
      <c r="F109" s="454"/>
      <c r="G109" s="456"/>
      <c r="H109" s="456"/>
      <c r="I109" s="454"/>
      <c r="J109" s="454"/>
      <c r="K109" s="454"/>
      <c r="L109" s="454"/>
      <c r="M109" s="454"/>
      <c r="N109" s="454"/>
      <c r="O109" s="454"/>
      <c r="P109" s="454"/>
      <c r="Q109" s="454"/>
      <c r="R109" s="454"/>
      <c r="S109" s="465"/>
      <c r="T109" s="443"/>
      <c r="U109" s="482"/>
      <c r="V109" s="483"/>
      <c r="W109" s="483"/>
      <c r="X109" s="483"/>
      <c r="Y109" s="483"/>
      <c r="Z109" s="483"/>
      <c r="AA109" s="486"/>
      <c r="AB109" s="443"/>
      <c r="AC109" s="443"/>
      <c r="AD109" s="443"/>
      <c r="AE109" s="443"/>
      <c r="AF109" s="443"/>
      <c r="AG109" s="444"/>
    </row>
    <row r="110" spans="2:33" x14ac:dyDescent="0.35">
      <c r="B110" s="464"/>
      <c r="C110" s="456"/>
      <c r="D110" s="456"/>
      <c r="E110" s="456"/>
      <c r="F110" s="456"/>
      <c r="G110" s="456"/>
      <c r="H110" s="456"/>
      <c r="I110" s="456"/>
      <c r="J110" s="456"/>
      <c r="K110" s="456"/>
      <c r="L110" s="456"/>
      <c r="M110" s="456"/>
      <c r="N110" s="456"/>
      <c r="O110" s="456"/>
      <c r="P110" s="456"/>
      <c r="Q110" s="456"/>
      <c r="R110" s="454"/>
      <c r="S110" s="465"/>
      <c r="T110" s="443"/>
      <c r="U110" s="482"/>
      <c r="V110" s="483"/>
      <c r="W110" s="484" t="s">
        <v>243</v>
      </c>
      <c r="X110" s="485" t="e">
        <f>($C$39+((($C$31-$C$39)/(82-67))*($X$101-67)))/($I$39+((($I$31-$I$39)/(82-67))*($X$101-67)))</f>
        <v>#VALUE!</v>
      </c>
      <c r="Y110" s="483"/>
      <c r="Z110" s="483"/>
      <c r="AA110" s="486"/>
      <c r="AB110" s="443"/>
      <c r="AC110" s="443"/>
      <c r="AD110" s="443"/>
      <c r="AE110" s="443"/>
      <c r="AF110" s="443"/>
      <c r="AG110" s="444"/>
    </row>
    <row r="111" spans="2:33" x14ac:dyDescent="0.35">
      <c r="B111" s="464"/>
      <c r="C111" s="456"/>
      <c r="D111" s="456"/>
      <c r="E111" s="456"/>
      <c r="F111" s="456"/>
      <c r="G111" s="456"/>
      <c r="H111" s="456"/>
      <c r="I111" s="456"/>
      <c r="J111" s="456"/>
      <c r="K111" s="456"/>
      <c r="L111" s="456"/>
      <c r="M111" s="456"/>
      <c r="N111" s="456"/>
      <c r="O111" s="456"/>
      <c r="P111" s="456"/>
      <c r="Q111" s="456"/>
      <c r="R111" s="454"/>
      <c r="S111" s="465"/>
      <c r="T111" s="443"/>
      <c r="U111" s="482"/>
      <c r="V111" s="483"/>
      <c r="W111" s="484" t="s">
        <v>244</v>
      </c>
      <c r="X111" s="485" t="e">
        <f>($C$40+$Y$105*($Z$101-87))/($I$40+$Y$106*($Z$101-87))</f>
        <v>#VALUE!</v>
      </c>
      <c r="Y111" s="483"/>
      <c r="Z111" s="483"/>
      <c r="AA111" s="486"/>
      <c r="AB111" s="443"/>
      <c r="AC111" s="443"/>
      <c r="AD111" s="443"/>
      <c r="AE111" s="443"/>
      <c r="AF111" s="443"/>
      <c r="AG111" s="444"/>
    </row>
    <row r="112" spans="2:33" x14ac:dyDescent="0.35">
      <c r="B112" s="466" t="s">
        <v>233</v>
      </c>
      <c r="C112" s="467"/>
      <c r="D112" s="467"/>
      <c r="E112" s="467"/>
      <c r="F112" s="467"/>
      <c r="G112" s="467"/>
      <c r="H112" s="467"/>
      <c r="I112" s="467"/>
      <c r="J112" s="467"/>
      <c r="K112" s="467"/>
      <c r="L112" s="467"/>
      <c r="M112" s="467"/>
      <c r="N112" s="467"/>
      <c r="O112" s="467"/>
      <c r="P112" s="467"/>
      <c r="Q112" s="467"/>
      <c r="R112" s="468"/>
      <c r="S112" s="465"/>
      <c r="T112" s="443"/>
      <c r="U112" s="482"/>
      <c r="V112" s="483"/>
      <c r="W112" s="484" t="s">
        <v>245</v>
      </c>
      <c r="X112" s="485" t="e">
        <f>($C$32+((($C$29-$C$32)/(95-82))*($Y$101-82)))/($I$32+((($I$29-$I$32)/(95-82))*($Y$101-82)))</f>
        <v>#VALUE!</v>
      </c>
      <c r="Y112" s="483"/>
      <c r="Z112" s="483"/>
      <c r="AA112" s="486"/>
      <c r="AB112" s="443"/>
      <c r="AC112" s="443"/>
      <c r="AD112" s="443"/>
      <c r="AE112" s="443"/>
      <c r="AF112" s="443"/>
      <c r="AG112" s="444"/>
    </row>
    <row r="113" spans="2:33" ht="18.75" thickBot="1" x14ac:dyDescent="0.4">
      <c r="B113" s="464"/>
      <c r="C113" s="456"/>
      <c r="D113" s="456"/>
      <c r="E113" s="456"/>
      <c r="F113" s="456"/>
      <c r="G113" s="456"/>
      <c r="H113" s="456"/>
      <c r="I113" s="456"/>
      <c r="J113" s="456"/>
      <c r="K113" s="456"/>
      <c r="L113" s="456"/>
      <c r="M113" s="456"/>
      <c r="N113" s="456"/>
      <c r="O113" s="456"/>
      <c r="P113" s="456"/>
      <c r="Q113" s="456"/>
      <c r="R113" s="454"/>
      <c r="S113" s="465"/>
      <c r="T113" s="443"/>
      <c r="U113" s="493"/>
      <c r="V113" s="494"/>
      <c r="W113" s="494"/>
      <c r="X113" s="494"/>
      <c r="Y113" s="494"/>
      <c r="Z113" s="494"/>
      <c r="AA113" s="495"/>
      <c r="AB113" s="443"/>
      <c r="AC113" s="443"/>
      <c r="AD113" s="443"/>
      <c r="AE113" s="443"/>
      <c r="AF113" s="443"/>
      <c r="AG113" s="444"/>
    </row>
    <row r="114" spans="2:33" ht="36" x14ac:dyDescent="0.35">
      <c r="B114" s="496" t="s">
        <v>395</v>
      </c>
      <c r="C114" s="487">
        <f>IF(C41="", 0.25,ROUND(MIN(0.25,((1-((C42/(I42))/(C41/(I41))))/(1-C42/(C41*'Optional I Test Recorded Data'!D13)))),2))</f>
        <v>0.25</v>
      </c>
      <c r="D114" s="456"/>
      <c r="E114" s="456"/>
      <c r="F114" s="456"/>
      <c r="G114" s="456"/>
      <c r="H114" s="456"/>
      <c r="I114" s="456"/>
      <c r="J114" s="456"/>
      <c r="K114" s="456"/>
      <c r="L114" s="456"/>
      <c r="M114" s="456"/>
      <c r="N114" s="456"/>
      <c r="O114" s="456"/>
      <c r="P114" s="456"/>
      <c r="Q114" s="456"/>
      <c r="R114" s="454"/>
      <c r="S114" s="465"/>
      <c r="T114" s="443"/>
      <c r="U114" s="455"/>
      <c r="V114" s="455"/>
      <c r="W114" s="455"/>
      <c r="X114" s="455"/>
      <c r="Y114" s="455"/>
      <c r="Z114" s="455"/>
      <c r="AA114" s="455"/>
      <c r="AB114" s="443"/>
      <c r="AC114" s="443"/>
      <c r="AD114" s="443"/>
      <c r="AE114" s="443"/>
      <c r="AF114" s="443"/>
      <c r="AG114" s="444"/>
    </row>
    <row r="115" spans="2:33" x14ac:dyDescent="0.35">
      <c r="B115" s="464"/>
      <c r="C115" s="492"/>
      <c r="D115" s="456"/>
      <c r="E115" s="456"/>
      <c r="F115" s="456"/>
      <c r="G115" s="456"/>
      <c r="H115" s="456"/>
      <c r="I115" s="456"/>
      <c r="J115" s="456"/>
      <c r="K115" s="456"/>
      <c r="L115" s="456"/>
      <c r="M115" s="456"/>
      <c r="N115" s="456"/>
      <c r="O115" s="456"/>
      <c r="P115" s="456"/>
      <c r="Q115" s="456"/>
      <c r="R115" s="454"/>
      <c r="S115" s="465"/>
      <c r="T115" s="443"/>
      <c r="U115" s="455"/>
      <c r="V115" s="455"/>
      <c r="W115" s="455"/>
      <c r="X115" s="455"/>
      <c r="Y115" s="455"/>
      <c r="Z115" s="455"/>
      <c r="AA115" s="455"/>
      <c r="AB115" s="443"/>
      <c r="AC115" s="443"/>
      <c r="AD115" s="443"/>
      <c r="AE115" s="443"/>
      <c r="AF115" s="443"/>
      <c r="AG115" s="444"/>
    </row>
    <row r="116" spans="2:33" x14ac:dyDescent="0.35">
      <c r="B116" s="473" t="s">
        <v>130</v>
      </c>
      <c r="C116" s="474" t="s">
        <v>390</v>
      </c>
      <c r="D116" s="474" t="s">
        <v>111</v>
      </c>
      <c r="E116" s="474" t="s">
        <v>392</v>
      </c>
      <c r="F116" s="474" t="s">
        <v>218</v>
      </c>
      <c r="G116" s="474" t="s">
        <v>217</v>
      </c>
      <c r="H116" s="474" t="s">
        <v>246</v>
      </c>
      <c r="I116" s="474" t="s">
        <v>228</v>
      </c>
      <c r="J116" s="474" t="s">
        <v>219</v>
      </c>
      <c r="K116" s="474" t="s">
        <v>256</v>
      </c>
      <c r="L116" s="474" t="s">
        <v>220</v>
      </c>
      <c r="M116" s="474" t="s">
        <v>249</v>
      </c>
      <c r="N116" s="474" t="s">
        <v>230</v>
      </c>
      <c r="O116" s="474" t="s">
        <v>222</v>
      </c>
      <c r="P116" s="474" t="s">
        <v>223</v>
      </c>
      <c r="Q116" s="474" t="s">
        <v>252</v>
      </c>
      <c r="R116" s="443"/>
      <c r="S116" s="465"/>
      <c r="T116" s="443"/>
      <c r="U116" s="455"/>
      <c r="V116" s="455"/>
      <c r="W116" s="455"/>
      <c r="X116" s="455"/>
      <c r="Y116" s="455"/>
      <c r="Z116" s="455"/>
      <c r="AA116" s="455"/>
      <c r="AB116" s="443"/>
      <c r="AC116" s="443"/>
      <c r="AD116" s="443"/>
      <c r="AE116" s="443"/>
      <c r="AF116" s="443"/>
      <c r="AG116" s="444"/>
    </row>
    <row r="117" spans="2:33" x14ac:dyDescent="0.35">
      <c r="B117" s="475">
        <f>Tables!A26</f>
        <v>1</v>
      </c>
      <c r="C117" s="476">
        <f>Tables!C26</f>
        <v>67</v>
      </c>
      <c r="D117" s="476">
        <f>Tables!D26</f>
        <v>0.214</v>
      </c>
      <c r="E117" s="477" t="e">
        <f>IF(D117="","",((C117-65)/(95-65))*($C$29/1.1))</f>
        <v>#VALUE!</v>
      </c>
      <c r="F117" s="451" t="e">
        <f>$C$39+((($C$31-$C$39)/(82-67))*(C117-67))</f>
        <v>#VALUE!</v>
      </c>
      <c r="G117" s="451" t="e">
        <f>$C$32+((($C$29-$C$32)/(95-82))*(C117-82))</f>
        <v>#VALUE!</v>
      </c>
      <c r="H117" s="451" t="e">
        <f>E117</f>
        <v>#VALUE!</v>
      </c>
      <c r="I117" s="451" t="e">
        <f>E117/F117</f>
        <v>#VALUE!</v>
      </c>
      <c r="J117" s="451">
        <f t="shared" ref="J117:J124" si="21">$I$39+((($I$31-$I$39)/(82-67))*(C117-67))</f>
        <v>0</v>
      </c>
      <c r="K117" s="451" t="e">
        <f t="shared" ref="K117:K124" si="22">H117/Q117</f>
        <v>#VALUE!</v>
      </c>
      <c r="L117" s="451">
        <f t="shared" ref="L117:L124" si="23">$I$32+((($I$29-$I$32)/(95-82))*(C117-82))</f>
        <v>0</v>
      </c>
      <c r="M117" s="451" t="e">
        <f t="shared" ref="M117:M124" si="24">$I$40+($Y$106*(C117-87))</f>
        <v>#DIV/0!</v>
      </c>
      <c r="N117" s="451" t="e">
        <f t="shared" ref="N117:N124" si="25">1-$C$114*(1-I117)</f>
        <v>#VALUE!</v>
      </c>
      <c r="O117" s="451" t="e">
        <f>IF(F117&gt;=E117,((I117*J117)/N117)*D117,IF(G117&lt;=E117,L117*D117,K117*D117))</f>
        <v>#VALUE!</v>
      </c>
      <c r="P117" s="451" t="e">
        <f>IF(F117&gt;=E117,I117*F117*D117,IF(G117&lt;=E117,G117*D117,H117*D117))</f>
        <v>#VALUE!</v>
      </c>
      <c r="Q117" s="451" t="e">
        <f t="shared" ref="Q117:Q124" si="26">$W$108+$W$106*C117+$W$107*C117^2</f>
        <v>#VALUE!</v>
      </c>
      <c r="R117" s="443"/>
      <c r="S117" s="465"/>
      <c r="T117" s="443"/>
      <c r="U117" s="455"/>
      <c r="V117" s="455"/>
      <c r="W117" s="455"/>
      <c r="X117" s="455"/>
      <c r="Y117" s="455"/>
      <c r="Z117" s="455"/>
      <c r="AA117" s="455"/>
      <c r="AB117" s="443"/>
      <c r="AC117" s="443"/>
      <c r="AD117" s="443"/>
      <c r="AE117" s="443"/>
      <c r="AF117" s="443"/>
      <c r="AG117" s="444"/>
    </row>
    <row r="118" spans="2:33" x14ac:dyDescent="0.35">
      <c r="B118" s="475">
        <f>Tables!A27</f>
        <v>2</v>
      </c>
      <c r="C118" s="476">
        <f>Tables!C27</f>
        <v>72</v>
      </c>
      <c r="D118" s="476">
        <f>Tables!D27</f>
        <v>0.23100000000000001</v>
      </c>
      <c r="E118" s="477" t="e">
        <f t="shared" ref="E118:E124" si="27">IF(D118="","",((C118-65)/(95-65))*($C$29/1.1))</f>
        <v>#VALUE!</v>
      </c>
      <c r="F118" s="451" t="e">
        <f t="shared" ref="F118:F123" si="28">$C$39+((($C$31-$C$39)/(82-67))*(C118-67))</f>
        <v>#VALUE!</v>
      </c>
      <c r="G118" s="451" t="e">
        <f t="shared" ref="G118:G124" si="29">$C$32+((($C$29-$C$32)/(95-82))*(C118-82))</f>
        <v>#VALUE!</v>
      </c>
      <c r="H118" s="451" t="e">
        <f t="shared" ref="H118:H124" si="30">E118</f>
        <v>#VALUE!</v>
      </c>
      <c r="I118" s="451" t="e">
        <f t="shared" ref="I118:I124" si="31">E118/F118</f>
        <v>#VALUE!</v>
      </c>
      <c r="J118" s="451">
        <f t="shared" si="21"/>
        <v>0</v>
      </c>
      <c r="K118" s="451" t="e">
        <f t="shared" si="22"/>
        <v>#VALUE!</v>
      </c>
      <c r="L118" s="451">
        <f t="shared" si="23"/>
        <v>0</v>
      </c>
      <c r="M118" s="451" t="e">
        <f t="shared" si="24"/>
        <v>#DIV/0!</v>
      </c>
      <c r="N118" s="451" t="e">
        <f t="shared" si="25"/>
        <v>#VALUE!</v>
      </c>
      <c r="O118" s="451" t="e">
        <f t="shared" ref="O118:O124" si="32">IF(F118&gt;=E118,((I118*J118)/N118)*D118,IF(G118&lt;=E118,L118*D118,K118*D118))</f>
        <v>#VALUE!</v>
      </c>
      <c r="P118" s="451" t="e">
        <f t="shared" ref="P118:P124" si="33">IF(F118&gt;=E118,I118*F118*D118,IF(G118&lt;=E118,G118*D118,H118*D118))</f>
        <v>#VALUE!</v>
      </c>
      <c r="Q118" s="451" t="e">
        <f t="shared" si="26"/>
        <v>#VALUE!</v>
      </c>
      <c r="R118" s="443"/>
      <c r="S118" s="465"/>
      <c r="T118" s="443"/>
      <c r="U118" s="455"/>
      <c r="V118" s="455"/>
      <c r="W118" s="455"/>
      <c r="X118" s="455"/>
      <c r="Y118" s="455"/>
      <c r="Z118" s="455"/>
      <c r="AA118" s="455"/>
      <c r="AB118" s="443"/>
      <c r="AC118" s="443"/>
      <c r="AD118" s="443"/>
      <c r="AE118" s="443"/>
      <c r="AF118" s="443"/>
      <c r="AG118" s="444"/>
    </row>
    <row r="119" spans="2:33" x14ac:dyDescent="0.35">
      <c r="B119" s="475">
        <f>Tables!A28</f>
        <v>3</v>
      </c>
      <c r="C119" s="476">
        <f>Tables!C28</f>
        <v>77</v>
      </c>
      <c r="D119" s="476">
        <f>Tables!D28</f>
        <v>0.216</v>
      </c>
      <c r="E119" s="477" t="e">
        <f t="shared" si="27"/>
        <v>#VALUE!</v>
      </c>
      <c r="F119" s="451" t="e">
        <f t="shared" si="28"/>
        <v>#VALUE!</v>
      </c>
      <c r="G119" s="451" t="e">
        <f t="shared" si="29"/>
        <v>#VALUE!</v>
      </c>
      <c r="H119" s="451" t="e">
        <f t="shared" si="30"/>
        <v>#VALUE!</v>
      </c>
      <c r="I119" s="451" t="e">
        <f t="shared" si="31"/>
        <v>#VALUE!</v>
      </c>
      <c r="J119" s="451">
        <f t="shared" si="21"/>
        <v>0</v>
      </c>
      <c r="K119" s="451" t="e">
        <f t="shared" si="22"/>
        <v>#VALUE!</v>
      </c>
      <c r="L119" s="451">
        <f t="shared" si="23"/>
        <v>0</v>
      </c>
      <c r="M119" s="451" t="e">
        <f t="shared" si="24"/>
        <v>#DIV/0!</v>
      </c>
      <c r="N119" s="451" t="e">
        <f t="shared" si="25"/>
        <v>#VALUE!</v>
      </c>
      <c r="O119" s="451" t="e">
        <f t="shared" si="32"/>
        <v>#VALUE!</v>
      </c>
      <c r="P119" s="451" t="e">
        <f t="shared" si="33"/>
        <v>#VALUE!</v>
      </c>
      <c r="Q119" s="451" t="e">
        <f t="shared" si="26"/>
        <v>#VALUE!</v>
      </c>
      <c r="R119" s="443"/>
      <c r="S119" s="465"/>
      <c r="T119" s="443"/>
      <c r="U119" s="455"/>
      <c r="V119" s="455"/>
      <c r="W119" s="455"/>
      <c r="X119" s="455"/>
      <c r="Y119" s="455"/>
      <c r="Z119" s="455"/>
      <c r="AA119" s="455"/>
      <c r="AB119" s="443"/>
      <c r="AC119" s="443"/>
      <c r="AD119" s="443"/>
      <c r="AE119" s="443"/>
      <c r="AF119" s="443"/>
      <c r="AG119" s="444"/>
    </row>
    <row r="120" spans="2:33" x14ac:dyDescent="0.35">
      <c r="B120" s="475">
        <f>Tables!A29</f>
        <v>4</v>
      </c>
      <c r="C120" s="476">
        <f>Tables!C29</f>
        <v>82</v>
      </c>
      <c r="D120" s="476">
        <f>Tables!D29</f>
        <v>0.161</v>
      </c>
      <c r="E120" s="477" t="e">
        <f t="shared" si="27"/>
        <v>#VALUE!</v>
      </c>
      <c r="F120" s="451" t="e">
        <f t="shared" si="28"/>
        <v>#VALUE!</v>
      </c>
      <c r="G120" s="451" t="e">
        <f t="shared" si="29"/>
        <v>#VALUE!</v>
      </c>
      <c r="H120" s="451" t="e">
        <f t="shared" si="30"/>
        <v>#VALUE!</v>
      </c>
      <c r="I120" s="451" t="e">
        <f t="shared" si="31"/>
        <v>#VALUE!</v>
      </c>
      <c r="J120" s="451">
        <f t="shared" si="21"/>
        <v>0</v>
      </c>
      <c r="K120" s="451" t="e">
        <f t="shared" si="22"/>
        <v>#VALUE!</v>
      </c>
      <c r="L120" s="451">
        <f t="shared" si="23"/>
        <v>0</v>
      </c>
      <c r="M120" s="451" t="e">
        <f t="shared" si="24"/>
        <v>#DIV/0!</v>
      </c>
      <c r="N120" s="451" t="e">
        <f t="shared" si="25"/>
        <v>#VALUE!</v>
      </c>
      <c r="O120" s="451" t="e">
        <f t="shared" si="32"/>
        <v>#VALUE!</v>
      </c>
      <c r="P120" s="451" t="e">
        <f t="shared" si="33"/>
        <v>#VALUE!</v>
      </c>
      <c r="Q120" s="451" t="e">
        <f t="shared" si="26"/>
        <v>#VALUE!</v>
      </c>
      <c r="R120" s="443"/>
      <c r="S120" s="465"/>
      <c r="T120" s="443"/>
      <c r="U120" s="455"/>
      <c r="V120" s="455"/>
      <c r="W120" s="455"/>
      <c r="X120" s="455"/>
      <c r="Y120" s="455"/>
      <c r="Z120" s="455"/>
      <c r="AA120" s="455"/>
      <c r="AB120" s="443"/>
      <c r="AC120" s="443"/>
      <c r="AD120" s="443"/>
      <c r="AE120" s="443"/>
      <c r="AF120" s="443"/>
      <c r="AG120" s="444"/>
    </row>
    <row r="121" spans="2:33" x14ac:dyDescent="0.35">
      <c r="B121" s="475">
        <f>Tables!A30</f>
        <v>5</v>
      </c>
      <c r="C121" s="476">
        <f>Tables!C30</f>
        <v>87</v>
      </c>
      <c r="D121" s="476">
        <f>Tables!D30</f>
        <v>0.104</v>
      </c>
      <c r="E121" s="477" t="e">
        <f t="shared" si="27"/>
        <v>#VALUE!</v>
      </c>
      <c r="F121" s="451" t="e">
        <f t="shared" si="28"/>
        <v>#VALUE!</v>
      </c>
      <c r="G121" s="451" t="e">
        <f t="shared" si="29"/>
        <v>#VALUE!</v>
      </c>
      <c r="H121" s="451" t="e">
        <f t="shared" si="30"/>
        <v>#VALUE!</v>
      </c>
      <c r="I121" s="451" t="e">
        <f t="shared" si="31"/>
        <v>#VALUE!</v>
      </c>
      <c r="J121" s="451">
        <f t="shared" si="21"/>
        <v>0</v>
      </c>
      <c r="K121" s="451" t="e">
        <f t="shared" si="22"/>
        <v>#VALUE!</v>
      </c>
      <c r="L121" s="451">
        <f t="shared" si="23"/>
        <v>0</v>
      </c>
      <c r="M121" s="451" t="e">
        <f t="shared" si="24"/>
        <v>#DIV/0!</v>
      </c>
      <c r="N121" s="451" t="e">
        <f t="shared" si="25"/>
        <v>#VALUE!</v>
      </c>
      <c r="O121" s="451" t="e">
        <f t="shared" si="32"/>
        <v>#VALUE!</v>
      </c>
      <c r="P121" s="451" t="e">
        <f t="shared" si="33"/>
        <v>#VALUE!</v>
      </c>
      <c r="Q121" s="451" t="e">
        <f t="shared" si="26"/>
        <v>#VALUE!</v>
      </c>
      <c r="R121" s="443"/>
      <c r="S121" s="465"/>
      <c r="T121" s="443"/>
      <c r="U121" s="455"/>
      <c r="V121" s="455"/>
      <c r="W121" s="455"/>
      <c r="X121" s="455"/>
      <c r="Y121" s="455"/>
      <c r="Z121" s="455"/>
      <c r="AA121" s="455"/>
      <c r="AB121" s="443"/>
      <c r="AC121" s="443"/>
      <c r="AD121" s="443"/>
      <c r="AE121" s="443"/>
      <c r="AF121" s="443"/>
      <c r="AG121" s="444"/>
    </row>
    <row r="122" spans="2:33" x14ac:dyDescent="0.35">
      <c r="B122" s="475">
        <f>Tables!A31</f>
        <v>6</v>
      </c>
      <c r="C122" s="476">
        <f>Tables!C31</f>
        <v>92</v>
      </c>
      <c r="D122" s="476">
        <f>Tables!D31</f>
        <v>5.1999999999999998E-2</v>
      </c>
      <c r="E122" s="477" t="e">
        <f t="shared" si="27"/>
        <v>#VALUE!</v>
      </c>
      <c r="F122" s="451" t="e">
        <f t="shared" si="28"/>
        <v>#VALUE!</v>
      </c>
      <c r="G122" s="451" t="e">
        <f t="shared" si="29"/>
        <v>#VALUE!</v>
      </c>
      <c r="H122" s="451" t="e">
        <f t="shared" si="30"/>
        <v>#VALUE!</v>
      </c>
      <c r="I122" s="451" t="e">
        <f t="shared" si="31"/>
        <v>#VALUE!</v>
      </c>
      <c r="J122" s="451">
        <f t="shared" si="21"/>
        <v>0</v>
      </c>
      <c r="K122" s="451" t="e">
        <f t="shared" si="22"/>
        <v>#VALUE!</v>
      </c>
      <c r="L122" s="451">
        <f t="shared" si="23"/>
        <v>0</v>
      </c>
      <c r="M122" s="451" t="e">
        <f t="shared" si="24"/>
        <v>#DIV/0!</v>
      </c>
      <c r="N122" s="451" t="e">
        <f t="shared" si="25"/>
        <v>#VALUE!</v>
      </c>
      <c r="O122" s="451" t="e">
        <f t="shared" si="32"/>
        <v>#VALUE!</v>
      </c>
      <c r="P122" s="451" t="e">
        <f t="shared" si="33"/>
        <v>#VALUE!</v>
      </c>
      <c r="Q122" s="451" t="e">
        <f t="shared" si="26"/>
        <v>#VALUE!</v>
      </c>
      <c r="R122" s="443"/>
      <c r="S122" s="465"/>
      <c r="T122" s="443"/>
      <c r="U122" s="455"/>
      <c r="V122" s="455"/>
      <c r="W122" s="455"/>
      <c r="X122" s="455"/>
      <c r="Y122" s="455"/>
      <c r="Z122" s="455"/>
      <c r="AA122" s="455"/>
      <c r="AB122" s="443"/>
      <c r="AC122" s="443"/>
      <c r="AD122" s="443"/>
      <c r="AE122" s="443"/>
      <c r="AF122" s="443"/>
      <c r="AG122" s="444"/>
    </row>
    <row r="123" spans="2:33" x14ac:dyDescent="0.35">
      <c r="B123" s="475">
        <f>Tables!A32</f>
        <v>7</v>
      </c>
      <c r="C123" s="476">
        <f>Tables!C32</f>
        <v>97</v>
      </c>
      <c r="D123" s="476">
        <f>Tables!D32</f>
        <v>1.7999999999999999E-2</v>
      </c>
      <c r="E123" s="477" t="e">
        <f t="shared" si="27"/>
        <v>#VALUE!</v>
      </c>
      <c r="F123" s="451" t="e">
        <f t="shared" si="28"/>
        <v>#VALUE!</v>
      </c>
      <c r="G123" s="451" t="e">
        <f t="shared" si="29"/>
        <v>#VALUE!</v>
      </c>
      <c r="H123" s="451" t="e">
        <f t="shared" si="30"/>
        <v>#VALUE!</v>
      </c>
      <c r="I123" s="451" t="e">
        <f t="shared" si="31"/>
        <v>#VALUE!</v>
      </c>
      <c r="J123" s="451">
        <f t="shared" si="21"/>
        <v>0</v>
      </c>
      <c r="K123" s="451" t="e">
        <f t="shared" si="22"/>
        <v>#VALUE!</v>
      </c>
      <c r="L123" s="451">
        <f t="shared" si="23"/>
        <v>0</v>
      </c>
      <c r="M123" s="451" t="e">
        <f t="shared" si="24"/>
        <v>#DIV/0!</v>
      </c>
      <c r="N123" s="451" t="e">
        <f t="shared" si="25"/>
        <v>#VALUE!</v>
      </c>
      <c r="O123" s="451" t="e">
        <f t="shared" si="32"/>
        <v>#VALUE!</v>
      </c>
      <c r="P123" s="451" t="e">
        <f t="shared" si="33"/>
        <v>#VALUE!</v>
      </c>
      <c r="Q123" s="451" t="e">
        <f t="shared" si="26"/>
        <v>#VALUE!</v>
      </c>
      <c r="R123" s="443"/>
      <c r="S123" s="465"/>
      <c r="T123" s="443"/>
      <c r="U123" s="455"/>
      <c r="V123" s="455"/>
      <c r="W123" s="455"/>
      <c r="X123" s="455"/>
      <c r="Y123" s="455"/>
      <c r="Z123" s="455"/>
      <c r="AA123" s="455"/>
      <c r="AB123" s="443"/>
      <c r="AC123" s="443"/>
      <c r="AD123" s="443"/>
      <c r="AE123" s="443"/>
      <c r="AF123" s="443"/>
      <c r="AG123" s="444"/>
    </row>
    <row r="124" spans="2:33" x14ac:dyDescent="0.35">
      <c r="B124" s="475">
        <f>Tables!A33</f>
        <v>8</v>
      </c>
      <c r="C124" s="476">
        <f>Tables!C33</f>
        <v>102</v>
      </c>
      <c r="D124" s="476">
        <f>Tables!D33</f>
        <v>4.0000000000000001E-3</v>
      </c>
      <c r="E124" s="477" t="e">
        <f t="shared" si="27"/>
        <v>#VALUE!</v>
      </c>
      <c r="F124" s="451" t="e">
        <f>$C$39+((($C$31-$C$39)/(82-67))*(C124-67))</f>
        <v>#VALUE!</v>
      </c>
      <c r="G124" s="451" t="e">
        <f t="shared" si="29"/>
        <v>#VALUE!</v>
      </c>
      <c r="H124" s="451" t="e">
        <f t="shared" si="30"/>
        <v>#VALUE!</v>
      </c>
      <c r="I124" s="451" t="e">
        <f t="shared" si="31"/>
        <v>#VALUE!</v>
      </c>
      <c r="J124" s="451">
        <f t="shared" si="21"/>
        <v>0</v>
      </c>
      <c r="K124" s="451" t="e">
        <f t="shared" si="22"/>
        <v>#VALUE!</v>
      </c>
      <c r="L124" s="451">
        <f t="shared" si="23"/>
        <v>0</v>
      </c>
      <c r="M124" s="451" t="e">
        <f t="shared" si="24"/>
        <v>#DIV/0!</v>
      </c>
      <c r="N124" s="451" t="e">
        <f t="shared" si="25"/>
        <v>#VALUE!</v>
      </c>
      <c r="O124" s="451" t="e">
        <f t="shared" si="32"/>
        <v>#VALUE!</v>
      </c>
      <c r="P124" s="451" t="e">
        <f t="shared" si="33"/>
        <v>#VALUE!</v>
      </c>
      <c r="Q124" s="451" t="e">
        <f t="shared" si="26"/>
        <v>#VALUE!</v>
      </c>
      <c r="R124" s="443"/>
      <c r="S124" s="465"/>
      <c r="T124" s="443"/>
      <c r="U124" s="455"/>
      <c r="V124" s="455"/>
      <c r="W124" s="455"/>
      <c r="X124" s="455"/>
      <c r="Y124" s="455"/>
      <c r="Z124" s="455"/>
      <c r="AA124" s="455"/>
      <c r="AB124" s="443"/>
      <c r="AC124" s="443"/>
      <c r="AD124" s="443"/>
      <c r="AE124" s="443"/>
      <c r="AF124" s="443"/>
      <c r="AG124" s="444"/>
    </row>
    <row r="125" spans="2:33" x14ac:dyDescent="0.35">
      <c r="B125" s="464"/>
      <c r="C125" s="456"/>
      <c r="D125" s="454"/>
      <c r="E125" s="454"/>
      <c r="F125" s="454"/>
      <c r="G125" s="454"/>
      <c r="H125" s="454"/>
      <c r="I125" s="454"/>
      <c r="J125" s="454"/>
      <c r="K125" s="454"/>
      <c r="L125" s="454"/>
      <c r="M125" s="454"/>
      <c r="N125" s="454"/>
      <c r="O125" s="454"/>
      <c r="P125" s="456"/>
      <c r="Q125" s="456"/>
      <c r="R125" s="454"/>
      <c r="S125" s="465"/>
      <c r="T125" s="443"/>
      <c r="U125" s="455"/>
      <c r="V125" s="455"/>
      <c r="W125" s="455"/>
      <c r="X125" s="455"/>
      <c r="Y125" s="455"/>
      <c r="Z125" s="455"/>
      <c r="AA125" s="455"/>
      <c r="AB125" s="443"/>
      <c r="AC125" s="443"/>
      <c r="AD125" s="443"/>
      <c r="AE125" s="443"/>
      <c r="AF125" s="443"/>
      <c r="AG125" s="444"/>
    </row>
    <row r="126" spans="2:33" x14ac:dyDescent="0.35">
      <c r="B126" s="469" t="s">
        <v>225</v>
      </c>
      <c r="C126" s="477" t="e">
        <f>SUM(P117:P124)</f>
        <v>#VALUE!</v>
      </c>
      <c r="D126" s="454"/>
      <c r="E126" s="456"/>
      <c r="F126" s="456"/>
      <c r="G126" s="456"/>
      <c r="H126" s="456"/>
      <c r="I126" s="456"/>
      <c r="J126" s="456"/>
      <c r="K126" s="456"/>
      <c r="L126" s="456"/>
      <c r="M126" s="456"/>
      <c r="N126" s="456"/>
      <c r="O126" s="456"/>
      <c r="P126" s="456"/>
      <c r="Q126" s="456"/>
      <c r="R126" s="454"/>
      <c r="S126" s="465"/>
      <c r="T126" s="443"/>
      <c r="U126" s="455"/>
      <c r="V126" s="455"/>
      <c r="W126" s="455"/>
      <c r="X126" s="455"/>
      <c r="Y126" s="455"/>
      <c r="Z126" s="455"/>
      <c r="AA126" s="455"/>
      <c r="AB126" s="443"/>
      <c r="AC126" s="443"/>
      <c r="AD126" s="443"/>
      <c r="AE126" s="443"/>
      <c r="AF126" s="443"/>
      <c r="AG126" s="444"/>
    </row>
    <row r="127" spans="2:33" x14ac:dyDescent="0.35">
      <c r="B127" s="469" t="s">
        <v>226</v>
      </c>
      <c r="C127" s="477" t="e">
        <f>SUM(O117:O124)</f>
        <v>#VALUE!</v>
      </c>
      <c r="D127" s="456"/>
      <c r="E127" s="456"/>
      <c r="F127" s="456"/>
      <c r="G127" s="456"/>
      <c r="H127" s="456"/>
      <c r="I127" s="456"/>
      <c r="J127" s="456"/>
      <c r="K127" s="456"/>
      <c r="L127" s="456"/>
      <c r="M127" s="456"/>
      <c r="N127" s="456"/>
      <c r="O127" s="456"/>
      <c r="P127" s="456"/>
      <c r="Q127" s="456"/>
      <c r="R127" s="454"/>
      <c r="S127" s="465"/>
      <c r="T127" s="443"/>
      <c r="U127" s="455"/>
      <c r="V127" s="455"/>
      <c r="W127" s="455"/>
      <c r="X127" s="455"/>
      <c r="Y127" s="455"/>
      <c r="Z127" s="455"/>
      <c r="AA127" s="455"/>
      <c r="AB127" s="443"/>
      <c r="AC127" s="443"/>
      <c r="AD127" s="443"/>
      <c r="AE127" s="443"/>
      <c r="AF127" s="443"/>
      <c r="AG127" s="444"/>
    </row>
    <row r="128" spans="2:33" ht="33" customHeight="1" thickBot="1" x14ac:dyDescent="0.4">
      <c r="B128" s="464"/>
      <c r="C128" s="554" t="s">
        <v>564</v>
      </c>
      <c r="D128" s="879" t="s">
        <v>592</v>
      </c>
      <c r="E128" s="879"/>
      <c r="F128" s="456"/>
      <c r="G128" s="456"/>
      <c r="H128" s="456"/>
      <c r="I128" s="456"/>
      <c r="J128" s="456"/>
      <c r="K128" s="456"/>
      <c r="L128" s="456"/>
      <c r="M128" s="456"/>
      <c r="N128" s="456"/>
      <c r="O128" s="456"/>
      <c r="P128" s="456"/>
      <c r="Q128" s="456"/>
      <c r="R128" s="454"/>
      <c r="S128" s="465"/>
      <c r="T128" s="443"/>
      <c r="U128" s="455"/>
      <c r="V128" s="455"/>
      <c r="W128" s="455"/>
      <c r="X128" s="455"/>
      <c r="Y128" s="455"/>
      <c r="Z128" s="455"/>
      <c r="AA128" s="455"/>
      <c r="AB128" s="443"/>
      <c r="AC128" s="443"/>
      <c r="AD128" s="443"/>
      <c r="AE128" s="443"/>
      <c r="AF128" s="443"/>
      <c r="AG128" s="444"/>
    </row>
    <row r="129" spans="2:33" ht="18.75" thickBot="1" x14ac:dyDescent="0.4">
      <c r="B129" s="471" t="s">
        <v>202</v>
      </c>
      <c r="C129" s="497" t="e">
        <f>C126/C127</f>
        <v>#VALUE!</v>
      </c>
      <c r="D129" s="977" t="e">
        <f>MROUND(C129,0.025)</f>
        <v>#VALUE!</v>
      </c>
      <c r="E129" s="977"/>
      <c r="F129" s="456"/>
      <c r="G129" s="456"/>
      <c r="H129" s="456"/>
      <c r="I129" s="454"/>
      <c r="J129" s="454"/>
      <c r="K129" s="456"/>
      <c r="L129" s="456"/>
      <c r="M129" s="456"/>
      <c r="N129" s="456"/>
      <c r="O129" s="454"/>
      <c r="P129" s="456"/>
      <c r="Q129" s="456"/>
      <c r="R129" s="454"/>
      <c r="S129" s="465"/>
      <c r="T129" s="443"/>
      <c r="U129" s="455"/>
      <c r="V129" s="455"/>
      <c r="W129" s="455"/>
      <c r="X129" s="455"/>
      <c r="Y129" s="455"/>
      <c r="Z129" s="455"/>
      <c r="AA129" s="455"/>
      <c r="AB129" s="443"/>
      <c r="AC129" s="443"/>
      <c r="AD129" s="443"/>
      <c r="AE129" s="443"/>
      <c r="AF129" s="443"/>
      <c r="AG129" s="444"/>
    </row>
    <row r="130" spans="2:33" ht="18.75" thickBot="1" x14ac:dyDescent="0.4">
      <c r="B130" s="498"/>
      <c r="C130" s="462"/>
      <c r="D130" s="462"/>
      <c r="E130" s="462"/>
      <c r="F130" s="462"/>
      <c r="G130" s="462"/>
      <c r="H130" s="462"/>
      <c r="I130" s="462"/>
      <c r="J130" s="462"/>
      <c r="K130" s="462"/>
      <c r="L130" s="462"/>
      <c r="M130" s="462"/>
      <c r="N130" s="462"/>
      <c r="O130" s="462"/>
      <c r="P130" s="462"/>
      <c r="Q130" s="462"/>
      <c r="R130" s="499"/>
      <c r="S130" s="500"/>
      <c r="T130" s="443"/>
      <c r="U130" s="455"/>
      <c r="V130" s="455"/>
      <c r="W130" s="455"/>
      <c r="X130" s="455"/>
      <c r="Y130" s="455"/>
      <c r="Z130" s="455"/>
      <c r="AA130" s="455"/>
      <c r="AB130" s="443"/>
      <c r="AC130" s="443"/>
      <c r="AD130" s="443"/>
      <c r="AE130" s="443"/>
      <c r="AF130" s="443"/>
      <c r="AG130" s="444"/>
    </row>
    <row r="131" spans="2:33" x14ac:dyDescent="0.35">
      <c r="B131" s="455"/>
      <c r="C131" s="455"/>
      <c r="D131" s="455"/>
      <c r="E131" s="455"/>
      <c r="F131" s="455"/>
      <c r="G131" s="455"/>
      <c r="H131" s="455"/>
      <c r="I131" s="455"/>
      <c r="J131" s="455"/>
      <c r="K131" s="455"/>
      <c r="L131" s="455"/>
      <c r="M131" s="455"/>
      <c r="N131" s="455"/>
      <c r="O131" s="455"/>
      <c r="P131" s="455"/>
      <c r="Q131" s="455"/>
      <c r="R131" s="443"/>
      <c r="S131" s="443"/>
      <c r="T131" s="443"/>
      <c r="U131" s="455"/>
      <c r="V131" s="455"/>
      <c r="W131" s="455"/>
      <c r="X131" s="455"/>
      <c r="Y131" s="455"/>
      <c r="Z131" s="455"/>
      <c r="AA131" s="455"/>
      <c r="AB131" s="443"/>
      <c r="AC131" s="443"/>
      <c r="AD131" s="443"/>
      <c r="AE131" s="443"/>
      <c r="AF131" s="443"/>
      <c r="AG131" s="444"/>
    </row>
    <row r="132" spans="2:33" ht="18.75" thickBot="1" x14ac:dyDescent="0.4">
      <c r="B132" s="443"/>
      <c r="C132" s="443"/>
      <c r="D132" s="443"/>
      <c r="E132" s="443"/>
      <c r="F132" s="443"/>
      <c r="G132" s="455"/>
      <c r="H132" s="455"/>
      <c r="I132" s="443"/>
      <c r="J132" s="443"/>
      <c r="K132" s="443"/>
      <c r="L132" s="443"/>
      <c r="M132" s="443"/>
      <c r="N132" s="443"/>
      <c r="O132" s="443"/>
      <c r="P132" s="443"/>
      <c r="Q132" s="443"/>
      <c r="R132" s="443"/>
      <c r="S132" s="443"/>
      <c r="T132" s="443"/>
      <c r="U132" s="455"/>
      <c r="V132" s="455"/>
      <c r="W132" s="455"/>
      <c r="X132" s="455"/>
      <c r="Y132" s="455"/>
      <c r="Z132" s="455"/>
      <c r="AA132" s="455"/>
      <c r="AB132" s="443"/>
      <c r="AC132" s="443"/>
      <c r="AD132" s="443"/>
      <c r="AE132" s="443"/>
      <c r="AF132" s="443"/>
      <c r="AG132" s="444"/>
    </row>
    <row r="133" spans="2:33" ht="18.75" thickBot="1" x14ac:dyDescent="0.4">
      <c r="B133" s="999" t="s">
        <v>231</v>
      </c>
      <c r="C133" s="1000"/>
      <c r="D133" s="1000"/>
      <c r="E133" s="1000"/>
      <c r="F133" s="1000"/>
      <c r="G133" s="1000"/>
      <c r="H133" s="1000"/>
      <c r="I133" s="1000"/>
      <c r="J133" s="1000"/>
      <c r="K133" s="1000"/>
      <c r="L133" s="1000"/>
      <c r="M133" s="1000"/>
      <c r="N133" s="1000"/>
      <c r="O133" s="1000"/>
      <c r="P133" s="1000"/>
      <c r="Q133" s="1000"/>
      <c r="R133" s="1000"/>
      <c r="S133" s="1000"/>
      <c r="T133" s="1000"/>
      <c r="U133" s="1000"/>
      <c r="V133" s="1001"/>
      <c r="W133" s="455"/>
      <c r="X133" s="455"/>
      <c r="Y133" s="455"/>
      <c r="Z133" s="455"/>
      <c r="AA133" s="455"/>
      <c r="AB133" s="443"/>
      <c r="AC133" s="443"/>
      <c r="AD133" s="443"/>
      <c r="AE133" s="443"/>
      <c r="AF133" s="443"/>
      <c r="AG133" s="444"/>
    </row>
    <row r="134" spans="2:33" ht="18.75" thickBot="1" x14ac:dyDescent="0.4">
      <c r="B134" s="445"/>
      <c r="C134" s="454"/>
      <c r="D134" s="454"/>
      <c r="E134" s="454"/>
      <c r="F134" s="454"/>
      <c r="G134" s="456"/>
      <c r="H134" s="456"/>
      <c r="I134" s="454"/>
      <c r="J134" s="454"/>
      <c r="K134" s="454"/>
      <c r="L134" s="454"/>
      <c r="M134" s="454"/>
      <c r="N134" s="454"/>
      <c r="O134" s="454"/>
      <c r="P134" s="454"/>
      <c r="Q134" s="454"/>
      <c r="R134" s="454"/>
      <c r="S134" s="454"/>
      <c r="T134" s="454"/>
      <c r="U134" s="456"/>
      <c r="V134" s="501"/>
      <c r="W134" s="455"/>
      <c r="X134" s="455"/>
      <c r="Y134" s="455"/>
      <c r="Z134" s="455"/>
      <c r="AA134" s="455"/>
      <c r="AB134" s="443"/>
      <c r="AC134" s="443"/>
      <c r="AD134" s="443"/>
      <c r="AE134" s="443"/>
      <c r="AF134" s="443"/>
      <c r="AG134" s="444"/>
    </row>
    <row r="135" spans="2:33" ht="36.75" customHeight="1" thickBot="1" x14ac:dyDescent="0.4">
      <c r="B135" s="502" t="s">
        <v>0</v>
      </c>
      <c r="C135" s="503"/>
      <c r="D135" s="504"/>
      <c r="E135" s="990" t="s">
        <v>296</v>
      </c>
      <c r="F135" s="991"/>
      <c r="G135" s="503"/>
      <c r="H135" s="456"/>
      <c r="I135" s="454"/>
      <c r="J135" s="454"/>
      <c r="K135" s="454"/>
      <c r="L135" s="454"/>
      <c r="M135" s="454"/>
      <c r="N135" s="454"/>
      <c r="O135" s="454"/>
      <c r="P135" s="454"/>
      <c r="Q135" s="454"/>
      <c r="R135" s="454"/>
      <c r="S135" s="454"/>
      <c r="T135" s="454"/>
      <c r="U135" s="456"/>
      <c r="V135" s="501"/>
      <c r="W135" s="455"/>
      <c r="X135" s="455"/>
      <c r="Y135" s="455"/>
      <c r="Z135" s="455"/>
      <c r="AA135" s="455"/>
      <c r="AB135" s="443"/>
      <c r="AC135" s="443"/>
      <c r="AD135" s="443"/>
      <c r="AE135" s="443"/>
      <c r="AF135" s="443"/>
      <c r="AG135" s="444"/>
    </row>
    <row r="136" spans="2:33" ht="39" customHeight="1" thickBot="1" x14ac:dyDescent="0.4">
      <c r="B136" s="502" t="s">
        <v>126</v>
      </c>
      <c r="C136" s="620" t="e">
        <f>HLOOKUP($C$135,Tables!$A$1:$H$4,4)</f>
        <v>#N/A</v>
      </c>
      <c r="D136" s="505"/>
      <c r="E136" s="990" t="s">
        <v>298</v>
      </c>
      <c r="F136" s="991"/>
      <c r="G136" s="503"/>
      <c r="H136" s="456"/>
      <c r="I136" s="454"/>
      <c r="J136" s="454"/>
      <c r="K136" s="454"/>
      <c r="L136" s="454"/>
      <c r="M136" s="454"/>
      <c r="N136" s="454"/>
      <c r="O136" s="454"/>
      <c r="P136" s="454"/>
      <c r="Q136" s="454"/>
      <c r="R136" s="454"/>
      <c r="S136" s="454"/>
      <c r="T136" s="454"/>
      <c r="U136" s="454"/>
      <c r="V136" s="465"/>
      <c r="W136" s="443"/>
      <c r="X136" s="443"/>
      <c r="Y136" s="443"/>
      <c r="Z136" s="443"/>
      <c r="AA136" s="443"/>
      <c r="AB136" s="443"/>
      <c r="AC136" s="443"/>
      <c r="AD136" s="443"/>
      <c r="AE136" s="443"/>
      <c r="AF136" s="443"/>
      <c r="AG136" s="444"/>
    </row>
    <row r="137" spans="2:33" ht="36" customHeight="1" thickBot="1" x14ac:dyDescent="0.4">
      <c r="B137" s="506"/>
      <c r="C137" s="504"/>
      <c r="D137" s="505"/>
      <c r="E137" s="990" t="str">
        <f>IF($G$135="Minimum","Minimum Design Heating Requirement, DHRmin","Maximum Design Heating Requirement, DHRmax")</f>
        <v>Maximum Design Heating Requirement, DHRmax</v>
      </c>
      <c r="F137" s="991"/>
      <c r="G137" s="644" t="e">
        <f>MROUND(IF(AND($C$135="V",$G$135 = "Minimum"),$G$138,IF(AND($C$135="V",$G$135 = "Maximum"),2.2*$G$138,IF($G$135="Minimum",$G$138*((65-$G$139)/60),2*$G$138*((65-$G$139)/60)))),5000)</f>
        <v>#VALUE!</v>
      </c>
      <c r="H137" s="456"/>
      <c r="I137" s="454"/>
      <c r="J137" s="454"/>
      <c r="K137" s="454"/>
      <c r="L137" s="454"/>
      <c r="M137" s="454"/>
      <c r="N137" s="454"/>
      <c r="O137" s="454"/>
      <c r="P137" s="454"/>
      <c r="Q137" s="454"/>
      <c r="R137" s="454"/>
      <c r="S137" s="454"/>
      <c r="T137" s="454"/>
      <c r="U137" s="454"/>
      <c r="V137" s="465"/>
      <c r="W137" s="443"/>
      <c r="X137" s="443"/>
      <c r="Y137" s="443"/>
      <c r="Z137" s="443"/>
      <c r="AA137" s="443"/>
      <c r="AB137" s="443"/>
      <c r="AC137" s="443"/>
      <c r="AD137" s="443"/>
      <c r="AE137" s="443"/>
      <c r="AF137" s="443"/>
      <c r="AG137" s="444"/>
    </row>
    <row r="138" spans="2:33" ht="40.5" customHeight="1" thickBot="1" x14ac:dyDescent="0.4">
      <c r="B138" s="992" t="s">
        <v>299</v>
      </c>
      <c r="C138" s="996"/>
      <c r="D138" s="505"/>
      <c r="E138" s="990" t="s">
        <v>297</v>
      </c>
      <c r="F138" s="991"/>
      <c r="G138" s="497" t="str">
        <f>IF($G$136="H1",$C$43,IF($G$136="H1-1",$C$44,IF($G$136="H1-2",$C$45,IF($G$136="H1-N",$C$58,"Error, Fix Cell G136"))))</f>
        <v>Error, Fix Cell G136</v>
      </c>
      <c r="H138" s="456"/>
      <c r="I138" s="454"/>
      <c r="J138" s="454"/>
      <c r="K138" s="454"/>
      <c r="L138" s="454"/>
      <c r="M138" s="454"/>
      <c r="N138" s="454"/>
      <c r="O138" s="454"/>
      <c r="P138" s="454"/>
      <c r="Q138" s="454"/>
      <c r="R138" s="454"/>
      <c r="S138" s="454"/>
      <c r="T138" s="454"/>
      <c r="U138" s="454"/>
      <c r="V138" s="465"/>
      <c r="W138" s="443"/>
      <c r="X138" s="443"/>
      <c r="Y138" s="443"/>
      <c r="Z138" s="443"/>
      <c r="AA138" s="443"/>
      <c r="AB138" s="443"/>
      <c r="AC138" s="443"/>
      <c r="AD138" s="443"/>
      <c r="AE138" s="443"/>
      <c r="AF138" s="443"/>
      <c r="AG138" s="444"/>
    </row>
    <row r="139" spans="2:33" ht="38.25" customHeight="1" thickBot="1" x14ac:dyDescent="0.4">
      <c r="B139" s="993"/>
      <c r="C139" s="997"/>
      <c r="D139" s="505"/>
      <c r="E139" s="990" t="s">
        <v>397</v>
      </c>
      <c r="F139" s="991"/>
      <c r="G139" s="620" t="e">
        <f>HLOOKUP($C$135,Tables!$A$1:$H$4,3)</f>
        <v>#N/A</v>
      </c>
      <c r="H139" s="456"/>
      <c r="I139" s="454"/>
      <c r="J139" s="454"/>
      <c r="K139" s="454"/>
      <c r="L139" s="454"/>
      <c r="M139" s="454"/>
      <c r="N139" s="454"/>
      <c r="O139" s="454"/>
      <c r="P139" s="454"/>
      <c r="Q139" s="454"/>
      <c r="R139" s="454"/>
      <c r="S139" s="454"/>
      <c r="T139" s="454"/>
      <c r="U139" s="454"/>
      <c r="V139" s="465"/>
      <c r="W139" s="443"/>
      <c r="X139" s="443"/>
      <c r="Y139" s="443"/>
      <c r="Z139" s="443"/>
      <c r="AA139" s="443"/>
      <c r="AB139" s="443"/>
      <c r="AC139" s="443"/>
      <c r="AD139" s="443"/>
      <c r="AE139" s="443"/>
      <c r="AF139" s="443"/>
      <c r="AG139" s="444"/>
    </row>
    <row r="140" spans="2:33" ht="18.75" customHeight="1" thickBot="1" x14ac:dyDescent="0.4">
      <c r="B140" s="994" t="s">
        <v>300</v>
      </c>
      <c r="C140" s="996"/>
      <c r="D140" s="505"/>
      <c r="E140" s="990" t="s">
        <v>134</v>
      </c>
      <c r="F140" s="991"/>
      <c r="G140" s="620">
        <v>0.77</v>
      </c>
      <c r="H140" s="456"/>
      <c r="I140" s="454"/>
      <c r="J140" s="454"/>
      <c r="K140" s="454"/>
      <c r="L140" s="454"/>
      <c r="M140" s="454"/>
      <c r="N140" s="454"/>
      <c r="O140" s="454"/>
      <c r="P140" s="454"/>
      <c r="Q140" s="454"/>
      <c r="R140" s="454"/>
      <c r="S140" s="454"/>
      <c r="T140" s="454"/>
      <c r="U140" s="454"/>
      <c r="V140" s="465"/>
      <c r="W140" s="443"/>
      <c r="X140" s="443"/>
      <c r="Y140" s="443"/>
      <c r="Z140" s="443"/>
      <c r="AA140" s="443"/>
      <c r="AB140" s="443"/>
      <c r="AC140" s="443"/>
      <c r="AD140" s="443"/>
      <c r="AE140" s="443"/>
      <c r="AF140" s="443"/>
      <c r="AG140" s="444"/>
    </row>
    <row r="141" spans="2:33" ht="31.5" customHeight="1" thickBot="1" x14ac:dyDescent="0.4">
      <c r="B141" s="995"/>
      <c r="C141" s="997"/>
      <c r="D141" s="505"/>
      <c r="E141" s="504"/>
      <c r="F141" s="504"/>
      <c r="G141" s="504"/>
      <c r="H141" s="456"/>
      <c r="I141" s="454"/>
      <c r="J141" s="454"/>
      <c r="K141" s="454"/>
      <c r="L141" s="454"/>
      <c r="M141" s="454"/>
      <c r="N141" s="454"/>
      <c r="O141" s="454"/>
      <c r="P141" s="454"/>
      <c r="Q141" s="454"/>
      <c r="R141" s="454"/>
      <c r="S141" s="454"/>
      <c r="T141" s="454"/>
      <c r="U141" s="454"/>
      <c r="V141" s="465"/>
      <c r="W141" s="443"/>
      <c r="X141" s="443"/>
      <c r="Y141" s="443"/>
      <c r="Z141" s="443"/>
      <c r="AA141" s="443"/>
      <c r="AB141" s="443"/>
      <c r="AC141" s="443"/>
      <c r="AD141" s="443"/>
      <c r="AE141" s="443"/>
      <c r="AF141" s="443"/>
      <c r="AG141" s="444"/>
    </row>
    <row r="142" spans="2:33" x14ac:dyDescent="0.35">
      <c r="B142" s="507" t="s">
        <v>555</v>
      </c>
      <c r="C142" s="508"/>
      <c r="D142" s="454"/>
      <c r="E142" s="454"/>
      <c r="F142" s="454"/>
      <c r="G142" s="454"/>
      <c r="H142" s="456"/>
      <c r="I142" s="454"/>
      <c r="J142" s="454"/>
      <c r="K142" s="454"/>
      <c r="L142" s="454"/>
      <c r="M142" s="454"/>
      <c r="N142" s="454"/>
      <c r="O142" s="454"/>
      <c r="P142" s="454"/>
      <c r="Q142" s="454"/>
      <c r="R142" s="454"/>
      <c r="S142" s="454"/>
      <c r="T142" s="454"/>
      <c r="U142" s="454"/>
      <c r="V142" s="465"/>
      <c r="W142" s="443"/>
      <c r="X142" s="443"/>
      <c r="Y142" s="443"/>
      <c r="Z142" s="443"/>
      <c r="AA142" s="443"/>
      <c r="AB142" s="443"/>
      <c r="AC142" s="443"/>
      <c r="AD142" s="443"/>
      <c r="AE142" s="443"/>
      <c r="AF142" s="443"/>
      <c r="AG142" s="444"/>
    </row>
    <row r="143" spans="2:33" ht="18" customHeight="1" x14ac:dyDescent="0.35">
      <c r="B143" s="466" t="s">
        <v>473</v>
      </c>
      <c r="C143" s="467"/>
      <c r="D143" s="467"/>
      <c r="E143" s="467"/>
      <c r="F143" s="467"/>
      <c r="G143" s="467"/>
      <c r="H143" s="467"/>
      <c r="I143" s="467"/>
      <c r="J143" s="467"/>
      <c r="K143" s="467"/>
      <c r="L143" s="467"/>
      <c r="M143" s="467"/>
      <c r="N143" s="467"/>
      <c r="O143" s="467"/>
      <c r="P143" s="467"/>
      <c r="Q143" s="467"/>
      <c r="R143" s="468"/>
      <c r="S143" s="454"/>
      <c r="T143" s="454"/>
      <c r="U143" s="454"/>
      <c r="V143" s="465"/>
      <c r="W143" s="443"/>
      <c r="X143" s="443"/>
      <c r="Y143" s="443"/>
      <c r="Z143" s="443"/>
      <c r="AA143" s="443"/>
      <c r="AB143" s="443"/>
      <c r="AC143" s="443"/>
      <c r="AD143" s="443"/>
      <c r="AE143" s="443"/>
      <c r="AF143" s="443"/>
      <c r="AG143" s="444"/>
    </row>
    <row r="144" spans="2:33" x14ac:dyDescent="0.35">
      <c r="B144" s="445"/>
      <c r="C144" s="454"/>
      <c r="D144" s="454"/>
      <c r="E144" s="454"/>
      <c r="F144" s="454"/>
      <c r="G144" s="456"/>
      <c r="H144" s="456"/>
      <c r="I144" s="454"/>
      <c r="J144" s="454"/>
      <c r="K144" s="454"/>
      <c r="L144" s="454"/>
      <c r="M144" s="454"/>
      <c r="N144" s="454"/>
      <c r="O144" s="454"/>
      <c r="P144" s="454"/>
      <c r="Q144" s="454"/>
      <c r="R144" s="454"/>
      <c r="S144" s="454"/>
      <c r="T144" s="454"/>
      <c r="U144" s="454"/>
      <c r="V144" s="465"/>
      <c r="W144" s="443"/>
      <c r="X144" s="443"/>
      <c r="Y144" s="443"/>
      <c r="Z144" s="443"/>
      <c r="AA144" s="443"/>
      <c r="AB144" s="443"/>
      <c r="AC144" s="443"/>
      <c r="AD144" s="443"/>
      <c r="AE144" s="443"/>
      <c r="AF144" s="443"/>
      <c r="AG144" s="444"/>
    </row>
    <row r="145" spans="2:33" x14ac:dyDescent="0.35">
      <c r="B145" s="464"/>
      <c r="C145" s="456"/>
      <c r="D145" s="454"/>
      <c r="E145" s="456"/>
      <c r="F145" s="456"/>
      <c r="G145" s="454"/>
      <c r="H145" s="454"/>
      <c r="I145" s="454"/>
      <c r="J145" s="454"/>
      <c r="K145" s="454"/>
      <c r="L145" s="454"/>
      <c r="M145" s="454"/>
      <c r="N145" s="454"/>
      <c r="O145" s="454"/>
      <c r="P145" s="454"/>
      <c r="Q145" s="454"/>
      <c r="R145" s="454"/>
      <c r="S145" s="454"/>
      <c r="T145" s="454"/>
      <c r="U145" s="454"/>
      <c r="V145" s="465"/>
      <c r="W145" s="443"/>
      <c r="X145" s="443"/>
      <c r="Y145" s="443"/>
      <c r="Z145" s="443"/>
      <c r="AA145" s="443"/>
      <c r="AB145" s="443"/>
      <c r="AC145" s="443"/>
      <c r="AD145" s="443"/>
      <c r="AE145" s="443"/>
      <c r="AF145" s="443"/>
      <c r="AG145" s="444"/>
    </row>
    <row r="146" spans="2:33" x14ac:dyDescent="0.35">
      <c r="B146" s="509" t="s">
        <v>398</v>
      </c>
      <c r="C146" s="510" t="e">
        <f>ROUND(MIN(0.25,((1-(($C$52/($I$52))/($C$43/($I$43))))/(1-$C$52/($C$43*0.5)))),2)</f>
        <v>#VALUE!</v>
      </c>
      <c r="D146" s="456"/>
      <c r="E146" s="456"/>
      <c r="F146" s="456"/>
      <c r="G146" s="456"/>
      <c r="H146" s="456"/>
      <c r="I146" s="456"/>
      <c r="J146" s="456"/>
      <c r="K146" s="456"/>
      <c r="L146" s="456"/>
      <c r="M146" s="456"/>
      <c r="N146" s="456"/>
      <c r="O146" s="456"/>
      <c r="P146" s="456"/>
      <c r="Q146" s="456"/>
      <c r="R146" s="454"/>
      <c r="S146" s="454"/>
      <c r="T146" s="454"/>
      <c r="U146" s="454"/>
      <c r="V146" s="465"/>
      <c r="W146" s="443"/>
      <c r="X146" s="443"/>
      <c r="Y146" s="443"/>
      <c r="Z146" s="443"/>
      <c r="AA146" s="443"/>
      <c r="AB146" s="443"/>
      <c r="AC146" s="443"/>
      <c r="AD146" s="443"/>
      <c r="AE146" s="443"/>
      <c r="AF146" s="443"/>
      <c r="AG146" s="444"/>
    </row>
    <row r="147" spans="2:33" x14ac:dyDescent="0.35">
      <c r="B147" s="464"/>
      <c r="C147" s="456"/>
      <c r="D147" s="456"/>
      <c r="E147" s="456"/>
      <c r="F147" s="456"/>
      <c r="G147" s="456"/>
      <c r="H147" s="456"/>
      <c r="I147" s="456"/>
      <c r="J147" s="456"/>
      <c r="K147" s="456"/>
      <c r="L147" s="456"/>
      <c r="M147" s="456"/>
      <c r="N147" s="456"/>
      <c r="O147" s="456"/>
      <c r="P147" s="456"/>
      <c r="Q147" s="456"/>
      <c r="R147" s="454"/>
      <c r="S147" s="454"/>
      <c r="T147" s="454"/>
      <c r="U147" s="454"/>
      <c r="V147" s="465"/>
      <c r="W147" s="443"/>
      <c r="X147" s="443"/>
      <c r="Y147" s="443"/>
      <c r="Z147" s="443"/>
      <c r="AA147" s="443"/>
      <c r="AB147" s="443"/>
      <c r="AC147" s="443"/>
      <c r="AD147" s="443"/>
      <c r="AE147" s="443"/>
      <c r="AF147" s="443"/>
      <c r="AG147" s="444"/>
    </row>
    <row r="148" spans="2:33" x14ac:dyDescent="0.35">
      <c r="B148" s="464"/>
      <c r="C148" s="456"/>
      <c r="D148" s="456"/>
      <c r="E148" s="456"/>
      <c r="F148" s="456"/>
      <c r="G148" s="456"/>
      <c r="H148" s="456"/>
      <c r="I148" s="456"/>
      <c r="J148" s="456"/>
      <c r="K148" s="456"/>
      <c r="L148" s="456"/>
      <c r="M148" s="456"/>
      <c r="N148" s="456"/>
      <c r="O148" s="456"/>
      <c r="P148" s="456"/>
      <c r="Q148" s="456"/>
      <c r="R148" s="454"/>
      <c r="S148" s="454"/>
      <c r="T148" s="454"/>
      <c r="U148" s="454"/>
      <c r="V148" s="465"/>
      <c r="W148" s="443"/>
      <c r="X148" s="443"/>
      <c r="Y148" s="443"/>
      <c r="Z148" s="443"/>
      <c r="AA148" s="443"/>
      <c r="AB148" s="443"/>
      <c r="AC148" s="443"/>
      <c r="AD148" s="443"/>
      <c r="AE148" s="443"/>
      <c r="AF148" s="443"/>
      <c r="AG148" s="444"/>
    </row>
    <row r="149" spans="2:33" x14ac:dyDescent="0.35">
      <c r="B149" s="473" t="s">
        <v>130</v>
      </c>
      <c r="C149" s="474" t="s">
        <v>390</v>
      </c>
      <c r="D149" s="474" t="s">
        <v>111</v>
      </c>
      <c r="E149" s="474" t="s">
        <v>392</v>
      </c>
      <c r="F149" s="474" t="s">
        <v>108</v>
      </c>
      <c r="G149" s="474" t="s">
        <v>109</v>
      </c>
      <c r="H149" s="474" t="s">
        <v>393</v>
      </c>
      <c r="I149" s="474" t="s">
        <v>113</v>
      </c>
      <c r="J149" s="474" t="s">
        <v>544</v>
      </c>
      <c r="K149" s="474" t="s">
        <v>114</v>
      </c>
      <c r="L149" s="474" t="s">
        <v>115</v>
      </c>
      <c r="M149" s="474" t="s">
        <v>116</v>
      </c>
      <c r="N149" s="474" t="s">
        <v>117</v>
      </c>
      <c r="O149" s="474" t="s">
        <v>118</v>
      </c>
      <c r="P149" s="456"/>
      <c r="Q149" s="456"/>
      <c r="R149" s="454"/>
      <c r="S149" s="454"/>
      <c r="T149" s="454"/>
      <c r="U149" s="454"/>
      <c r="V149" s="465"/>
      <c r="W149" s="443"/>
      <c r="X149" s="443"/>
      <c r="Y149" s="443"/>
      <c r="Z149" s="443"/>
      <c r="AA149" s="443"/>
      <c r="AB149" s="443"/>
      <c r="AC149" s="443"/>
      <c r="AD149" s="443"/>
      <c r="AE149" s="443"/>
      <c r="AF149" s="443"/>
      <c r="AG149" s="444"/>
    </row>
    <row r="150" spans="2:33" x14ac:dyDescent="0.35">
      <c r="B150" s="475" t="e">
        <f>IF(C150="","",Tables!A6)</f>
        <v>#N/A</v>
      </c>
      <c r="C150" s="476" t="e">
        <f>IF(D150="","",Tables!B6)</f>
        <v>#N/A</v>
      </c>
      <c r="D150" s="476" t="e">
        <f>IF(HLOOKUP($C$135,Tables!$A$1:$H$23,ROW()-144)=0,"",HLOOKUP($C$135,Tables!$A$1:$H$23,ROW()-144))</f>
        <v>#N/A</v>
      </c>
      <c r="E150" s="451" t="e">
        <f>IF(D150="","",((65-C150)/(65-$G$139))*$G$137*$G$140)</f>
        <v>#N/A</v>
      </c>
      <c r="F150" s="451" t="e">
        <f>IF(D150="","",IF(OR(C150&gt;=45,C150&lt;=17),$C$49+((($C$43-$C$49)*(C150-17))/(47-17)),$C$49+((($C$46-$C$49)*(C150-17))/(35-17))))</f>
        <v>#N/A</v>
      </c>
      <c r="G150" s="451" t="e">
        <f>IF(D150="","",MIN(E150/F150,1))</f>
        <v>#N/A</v>
      </c>
      <c r="H150" s="451" t="e">
        <f>IF(D150="","",IF(OR(C150&gt;=45,C150&lt;=17),$I$49+((($I$43-$I$49)*(C150-17))/(47-17)),$I$49+((($I$46-$I$49)*(C150-17))/(35-17))))</f>
        <v>#N/A</v>
      </c>
      <c r="I150" s="451" t="e">
        <f>IF(D150="","",F150/(3.413*H150))</f>
        <v>#N/A</v>
      </c>
      <c r="J150" s="451" t="e">
        <f>IF(D150="","",IF(OR(C150&lt;=$C$140,I150&lt;1),0,IF(AND(C150&gt;$C$140,C150&lt;=$C$138,I150&gt;=1),0.5,1)))</f>
        <v>#N/A</v>
      </c>
      <c r="K150" s="451" t="e">
        <f>IF(D150="","",1-$C$146*(1-G150))</f>
        <v>#N/A</v>
      </c>
      <c r="L150" s="451" t="e">
        <f>IF(D150="","",((G150*H150*J150)/K150)*D150)</f>
        <v>#N/A</v>
      </c>
      <c r="M150" s="511" t="e">
        <f>IF(D150="","",((E150-(G150*F150*J150))/3.413)*D150)</f>
        <v>#N/A</v>
      </c>
      <c r="N150" s="451" t="e">
        <f>IF(D150="","",E150*D150)</f>
        <v>#N/A</v>
      </c>
      <c r="O150" s="451" t="e">
        <f>IF(D150="","",IF('General Info and Test Results'!$C$34="Yes",1+0.03*(1-((MAX('H2 Test Recorded Data'!$D$11,1.5)-1.5)/(MIN('H2 Test Recorded Data'!$D$12,12)-1.5))),1))</f>
        <v>#N/A</v>
      </c>
      <c r="P150" s="456"/>
      <c r="Q150" s="456"/>
      <c r="R150" s="454"/>
      <c r="S150" s="454"/>
      <c r="T150" s="454"/>
      <c r="U150" s="454"/>
      <c r="V150" s="465"/>
      <c r="W150" s="443"/>
      <c r="X150" s="443"/>
      <c r="Y150" s="443"/>
      <c r="Z150" s="443"/>
      <c r="AA150" s="443"/>
      <c r="AB150" s="443"/>
      <c r="AC150" s="443"/>
      <c r="AD150" s="443"/>
      <c r="AE150" s="443"/>
      <c r="AF150" s="443"/>
      <c r="AG150" s="444"/>
    </row>
    <row r="151" spans="2:33" x14ac:dyDescent="0.35">
      <c r="B151" s="475" t="e">
        <f>IF(C151="","",Tables!A7)</f>
        <v>#N/A</v>
      </c>
      <c r="C151" s="476" t="e">
        <f>IF(D151="","",Tables!B7)</f>
        <v>#N/A</v>
      </c>
      <c r="D151" s="476" t="e">
        <f>IF(HLOOKUP($C$135,Tables!$A$1:$H$23,ROW()-144)=0,"",HLOOKUP($C$135,Tables!$A$1:$H$23,ROW()-144))</f>
        <v>#N/A</v>
      </c>
      <c r="E151" s="451" t="e">
        <f t="shared" ref="E151:E166" si="34">IF(D151="","",((65-C151)/(65-$G$139))*$G$137*$G$140)</f>
        <v>#N/A</v>
      </c>
      <c r="F151" s="451" t="e">
        <f t="shared" ref="F151:F166" si="35">IF(D151="","",IF(OR(C151&gt;=45,C151&lt;=17),$C$49+((($C$43-$C$49)*(C151-17))/(47-17)),$C$49+((($C$46-$C$49)*(C151-17))/(35-17))))</f>
        <v>#N/A</v>
      </c>
      <c r="G151" s="451" t="e">
        <f t="shared" ref="G151:G166" si="36">IF(D151="","",MIN(E151/F151,1))</f>
        <v>#N/A</v>
      </c>
      <c r="H151" s="451" t="e">
        <f t="shared" ref="H151:H166" si="37">IF(D151="","",IF(OR(C151&gt;=45,C151&lt;=17),$I$49+((($I$43-$I$49)*(C151-17))/(47-17)),$I$49+((($I$46-$I$49)*(C151-17))/(35-17))))</f>
        <v>#N/A</v>
      </c>
      <c r="I151" s="451" t="e">
        <f t="shared" ref="I151:I166" si="38">IF(D151="","",F151/(3.413*H151))</f>
        <v>#N/A</v>
      </c>
      <c r="J151" s="451" t="e">
        <f t="shared" ref="J151:J166" si="39">IF(D151="","",IF(OR(C151&lt;=$C$140,I151&lt;1),0,IF(AND(C151&gt;$C$140,C151&lt;=$C$138,I151&gt;=1),0.5,1)))</f>
        <v>#N/A</v>
      </c>
      <c r="K151" s="451" t="e">
        <f t="shared" ref="K151:K166" si="40">IF(D151="","",1-$C$146*(1-G151))</f>
        <v>#N/A</v>
      </c>
      <c r="L151" s="451" t="e">
        <f t="shared" ref="L151:L166" si="41">IF(D151="","",((G151*H151*J151)/K151)*D151)</f>
        <v>#N/A</v>
      </c>
      <c r="M151" s="451" t="e">
        <f t="shared" ref="M151:M166" si="42">IF(D151="","",((E151-(G151*F151*J151))/3.413)*D151)</f>
        <v>#N/A</v>
      </c>
      <c r="N151" s="451" t="e">
        <f>IF(D151="","",E151*D151)</f>
        <v>#N/A</v>
      </c>
      <c r="O151" s="451" t="e">
        <f>IF(D151="","",IF('General Info and Test Results'!$C$34="Yes",1+0.03*(1-((MAX('H2 Test Recorded Data'!$D$11,1.5)-1.5)/(MIN('H1 Test Recorded Data'!$D$10,12)-1.5))),1))</f>
        <v>#N/A</v>
      </c>
      <c r="P151" s="456"/>
      <c r="Q151" s="456"/>
      <c r="R151" s="454"/>
      <c r="S151" s="454"/>
      <c r="T151" s="454"/>
      <c r="U151" s="454"/>
      <c r="V151" s="465"/>
      <c r="W151" s="443"/>
      <c r="X151" s="443"/>
      <c r="Y151" s="443"/>
      <c r="Z151" s="443"/>
      <c r="AA151" s="443"/>
      <c r="AB151" s="443"/>
      <c r="AC151" s="443"/>
      <c r="AD151" s="443"/>
      <c r="AE151" s="443"/>
      <c r="AF151" s="443"/>
      <c r="AG151" s="444"/>
    </row>
    <row r="152" spans="2:33" x14ac:dyDescent="0.35">
      <c r="B152" s="475" t="e">
        <f>IF(C152="","",Tables!A8)</f>
        <v>#N/A</v>
      </c>
      <c r="C152" s="476" t="e">
        <f>IF(D152="","",Tables!B8)</f>
        <v>#N/A</v>
      </c>
      <c r="D152" s="476" t="e">
        <f>IF(HLOOKUP($C$135,Tables!$A$1:$H$23,ROW()-144)=0,"",HLOOKUP($C$135,Tables!$A$1:$H$23,ROW()-144))</f>
        <v>#N/A</v>
      </c>
      <c r="E152" s="451" t="e">
        <f t="shared" si="34"/>
        <v>#N/A</v>
      </c>
      <c r="F152" s="451" t="e">
        <f t="shared" si="35"/>
        <v>#N/A</v>
      </c>
      <c r="G152" s="451" t="e">
        <f t="shared" si="36"/>
        <v>#N/A</v>
      </c>
      <c r="H152" s="451" t="e">
        <f t="shared" si="37"/>
        <v>#N/A</v>
      </c>
      <c r="I152" s="451" t="e">
        <f t="shared" si="38"/>
        <v>#N/A</v>
      </c>
      <c r="J152" s="451" t="e">
        <f t="shared" si="39"/>
        <v>#N/A</v>
      </c>
      <c r="K152" s="451" t="e">
        <f t="shared" si="40"/>
        <v>#N/A</v>
      </c>
      <c r="L152" s="451" t="e">
        <f t="shared" si="41"/>
        <v>#N/A</v>
      </c>
      <c r="M152" s="451" t="e">
        <f t="shared" si="42"/>
        <v>#N/A</v>
      </c>
      <c r="N152" s="451" t="e">
        <f t="shared" ref="N152:N166" si="43">IF(D152="","",E152*D152)</f>
        <v>#N/A</v>
      </c>
      <c r="O152" s="451" t="e">
        <f>IF(D152="","",IF('General Info and Test Results'!$C$34="Yes",1+0.03*(1-((MAX('H2 Test Recorded Data'!$D$11,1.5)-1.5)/(MIN('H1 Test Recorded Data'!$D$10,12)-1.5))),1))</f>
        <v>#N/A</v>
      </c>
      <c r="P152" s="456"/>
      <c r="Q152" s="456"/>
      <c r="R152" s="454"/>
      <c r="S152" s="454"/>
      <c r="T152" s="454"/>
      <c r="U152" s="454"/>
      <c r="V152" s="465"/>
      <c r="W152" s="443"/>
      <c r="X152" s="443"/>
      <c r="Y152" s="443"/>
      <c r="Z152" s="443"/>
      <c r="AA152" s="443"/>
      <c r="AB152" s="443"/>
      <c r="AC152" s="443"/>
      <c r="AD152" s="443"/>
      <c r="AE152" s="443"/>
      <c r="AF152" s="443"/>
      <c r="AG152" s="444"/>
    </row>
    <row r="153" spans="2:33" x14ac:dyDescent="0.35">
      <c r="B153" s="475" t="e">
        <f>IF(C153="","",Tables!A9)</f>
        <v>#N/A</v>
      </c>
      <c r="C153" s="476" t="e">
        <f>IF(D153="","",Tables!B9)</f>
        <v>#N/A</v>
      </c>
      <c r="D153" s="476" t="e">
        <f>IF(HLOOKUP($C$135,Tables!$A$1:$H$23,ROW()-144)=0,"",HLOOKUP($C$135,Tables!$A$1:$H$23,ROW()-144))</f>
        <v>#N/A</v>
      </c>
      <c r="E153" s="451" t="e">
        <f t="shared" si="34"/>
        <v>#N/A</v>
      </c>
      <c r="F153" s="451" t="e">
        <f t="shared" si="35"/>
        <v>#N/A</v>
      </c>
      <c r="G153" s="451" t="e">
        <f t="shared" si="36"/>
        <v>#N/A</v>
      </c>
      <c r="H153" s="451" t="e">
        <f t="shared" si="37"/>
        <v>#N/A</v>
      </c>
      <c r="I153" s="451" t="e">
        <f t="shared" si="38"/>
        <v>#N/A</v>
      </c>
      <c r="J153" s="451" t="e">
        <f t="shared" si="39"/>
        <v>#N/A</v>
      </c>
      <c r="K153" s="451" t="e">
        <f t="shared" si="40"/>
        <v>#N/A</v>
      </c>
      <c r="L153" s="451" t="e">
        <f t="shared" si="41"/>
        <v>#N/A</v>
      </c>
      <c r="M153" s="451" t="e">
        <f t="shared" si="42"/>
        <v>#N/A</v>
      </c>
      <c r="N153" s="451" t="e">
        <f t="shared" si="43"/>
        <v>#N/A</v>
      </c>
      <c r="O153" s="451" t="e">
        <f>IF(D153="","",IF('General Info and Test Results'!$C$34="Yes",1+0.03*(1-((MAX('H2 Test Recorded Data'!$D$11,1.5)-1.5)/(MIN('H1 Test Recorded Data'!$D$10,12)-1.5))),1))</f>
        <v>#N/A</v>
      </c>
      <c r="P153" s="456"/>
      <c r="Q153" s="456"/>
      <c r="R153" s="454"/>
      <c r="S153" s="454"/>
      <c r="T153" s="454"/>
      <c r="U153" s="454"/>
      <c r="V153" s="465"/>
      <c r="W153" s="443"/>
      <c r="X153" s="443"/>
      <c r="Y153" s="443"/>
      <c r="Z153" s="443"/>
      <c r="AA153" s="443"/>
      <c r="AB153" s="443"/>
      <c r="AC153" s="443"/>
      <c r="AD153" s="443"/>
      <c r="AE153" s="443"/>
      <c r="AF153" s="443"/>
      <c r="AG153" s="444"/>
    </row>
    <row r="154" spans="2:33" x14ac:dyDescent="0.35">
      <c r="B154" s="475" t="e">
        <f>IF(C154="","",Tables!A10)</f>
        <v>#N/A</v>
      </c>
      <c r="C154" s="476" t="e">
        <f>IF(D154="","",Tables!B10)</f>
        <v>#N/A</v>
      </c>
      <c r="D154" s="476" t="e">
        <f>IF(HLOOKUP($C$135,Tables!$A$1:$H$23,ROW()-144)=0,"",HLOOKUP($C$135,Tables!$A$1:$H$23,ROW()-144))</f>
        <v>#N/A</v>
      </c>
      <c r="E154" s="451" t="e">
        <f t="shared" si="34"/>
        <v>#N/A</v>
      </c>
      <c r="F154" s="451" t="e">
        <f t="shared" si="35"/>
        <v>#N/A</v>
      </c>
      <c r="G154" s="451" t="e">
        <f t="shared" si="36"/>
        <v>#N/A</v>
      </c>
      <c r="H154" s="451" t="e">
        <f t="shared" si="37"/>
        <v>#N/A</v>
      </c>
      <c r="I154" s="451" t="e">
        <f t="shared" si="38"/>
        <v>#N/A</v>
      </c>
      <c r="J154" s="451" t="e">
        <f t="shared" si="39"/>
        <v>#N/A</v>
      </c>
      <c r="K154" s="451" t="e">
        <f t="shared" si="40"/>
        <v>#N/A</v>
      </c>
      <c r="L154" s="451" t="e">
        <f t="shared" si="41"/>
        <v>#N/A</v>
      </c>
      <c r="M154" s="451" t="e">
        <f t="shared" si="42"/>
        <v>#N/A</v>
      </c>
      <c r="N154" s="451" t="e">
        <f t="shared" si="43"/>
        <v>#N/A</v>
      </c>
      <c r="O154" s="451" t="e">
        <f>IF(D154="","",IF('General Info and Test Results'!$C$34="Yes",1+0.03*(1-((MAX('H2 Test Recorded Data'!$D$11,1.5)-1.5)/(MIN('H1 Test Recorded Data'!$D$10,12)-1.5))),1))</f>
        <v>#N/A</v>
      </c>
      <c r="P154" s="456"/>
      <c r="Q154" s="456"/>
      <c r="R154" s="454"/>
      <c r="S154" s="454"/>
      <c r="T154" s="454"/>
      <c r="U154" s="454"/>
      <c r="V154" s="465"/>
      <c r="W154" s="443"/>
      <c r="X154" s="443"/>
      <c r="Y154" s="443"/>
      <c r="Z154" s="443"/>
      <c r="AA154" s="443"/>
      <c r="AB154" s="443"/>
      <c r="AC154" s="443"/>
      <c r="AD154" s="443"/>
      <c r="AE154" s="443"/>
      <c r="AF154" s="443"/>
      <c r="AG154" s="444"/>
    </row>
    <row r="155" spans="2:33" x14ac:dyDescent="0.35">
      <c r="B155" s="475" t="e">
        <f>IF(C155="","",Tables!A11)</f>
        <v>#N/A</v>
      </c>
      <c r="C155" s="476" t="e">
        <f>IF(D155="","",Tables!B11)</f>
        <v>#N/A</v>
      </c>
      <c r="D155" s="476" t="e">
        <f>IF(HLOOKUP($C$135,Tables!$A$1:$H$23,ROW()-144)=0,"",HLOOKUP($C$135,Tables!$A$1:$H$23,ROW()-144))</f>
        <v>#N/A</v>
      </c>
      <c r="E155" s="451" t="e">
        <f t="shared" si="34"/>
        <v>#N/A</v>
      </c>
      <c r="F155" s="451" t="e">
        <f t="shared" si="35"/>
        <v>#N/A</v>
      </c>
      <c r="G155" s="451" t="e">
        <f t="shared" si="36"/>
        <v>#N/A</v>
      </c>
      <c r="H155" s="451" t="e">
        <f t="shared" si="37"/>
        <v>#N/A</v>
      </c>
      <c r="I155" s="451" t="e">
        <f t="shared" si="38"/>
        <v>#N/A</v>
      </c>
      <c r="J155" s="451" t="e">
        <f t="shared" si="39"/>
        <v>#N/A</v>
      </c>
      <c r="K155" s="451" t="e">
        <f t="shared" si="40"/>
        <v>#N/A</v>
      </c>
      <c r="L155" s="451" t="e">
        <f t="shared" si="41"/>
        <v>#N/A</v>
      </c>
      <c r="M155" s="451" t="e">
        <f t="shared" si="42"/>
        <v>#N/A</v>
      </c>
      <c r="N155" s="451" t="e">
        <f t="shared" si="43"/>
        <v>#N/A</v>
      </c>
      <c r="O155" s="451" t="e">
        <f>IF(D155="","",IF('General Info and Test Results'!$C$34="Yes",1+0.03*(1-((MAX('H2 Test Recorded Data'!$D$11,1.5)-1.5)/(MIN('H1 Test Recorded Data'!$D$10,12)-1.5))),1))</f>
        <v>#N/A</v>
      </c>
      <c r="P155" s="456"/>
      <c r="Q155" s="456"/>
      <c r="R155" s="454"/>
      <c r="S155" s="454"/>
      <c r="T155" s="454"/>
      <c r="U155" s="454"/>
      <c r="V155" s="465"/>
      <c r="W155" s="443"/>
      <c r="X155" s="443"/>
      <c r="Y155" s="443"/>
      <c r="Z155" s="443"/>
      <c r="AA155" s="443"/>
      <c r="AB155" s="443"/>
      <c r="AC155" s="443"/>
      <c r="AD155" s="443"/>
      <c r="AE155" s="443"/>
      <c r="AF155" s="443"/>
      <c r="AG155" s="444"/>
    </row>
    <row r="156" spans="2:33" x14ac:dyDescent="0.35">
      <c r="B156" s="475" t="e">
        <f>IF(C156="","",Tables!A12)</f>
        <v>#N/A</v>
      </c>
      <c r="C156" s="476" t="e">
        <f>IF(D156="","",Tables!B12)</f>
        <v>#N/A</v>
      </c>
      <c r="D156" s="476" t="e">
        <f>IF(HLOOKUP($C$135,Tables!$A$1:$H$23,ROW()-144)=0,"",HLOOKUP($C$135,Tables!$A$1:$H$23,ROW()-144))</f>
        <v>#N/A</v>
      </c>
      <c r="E156" s="451" t="e">
        <f t="shared" si="34"/>
        <v>#N/A</v>
      </c>
      <c r="F156" s="451" t="e">
        <f t="shared" si="35"/>
        <v>#N/A</v>
      </c>
      <c r="G156" s="451" t="e">
        <f t="shared" si="36"/>
        <v>#N/A</v>
      </c>
      <c r="H156" s="451" t="e">
        <f t="shared" si="37"/>
        <v>#N/A</v>
      </c>
      <c r="I156" s="451" t="e">
        <f t="shared" si="38"/>
        <v>#N/A</v>
      </c>
      <c r="J156" s="451" t="e">
        <f t="shared" si="39"/>
        <v>#N/A</v>
      </c>
      <c r="K156" s="451" t="e">
        <f t="shared" si="40"/>
        <v>#N/A</v>
      </c>
      <c r="L156" s="451" t="e">
        <f t="shared" si="41"/>
        <v>#N/A</v>
      </c>
      <c r="M156" s="451" t="e">
        <f t="shared" si="42"/>
        <v>#N/A</v>
      </c>
      <c r="N156" s="451" t="e">
        <f t="shared" si="43"/>
        <v>#N/A</v>
      </c>
      <c r="O156" s="451" t="e">
        <f>IF(D156="","",IF('General Info and Test Results'!$C$34="Yes",1+0.03*(1-((MAX('H2 Test Recorded Data'!$D$11,1.5)-1.5)/(MIN('H1 Test Recorded Data'!$D$10,12)-1.5))),1))</f>
        <v>#N/A</v>
      </c>
      <c r="P156" s="456"/>
      <c r="Q156" s="456"/>
      <c r="R156" s="454"/>
      <c r="S156" s="454"/>
      <c r="T156" s="454"/>
      <c r="U156" s="454"/>
      <c r="V156" s="465"/>
      <c r="W156" s="443"/>
      <c r="X156" s="443"/>
      <c r="Y156" s="443"/>
      <c r="Z156" s="443"/>
      <c r="AA156" s="443"/>
      <c r="AB156" s="443"/>
      <c r="AC156" s="443"/>
      <c r="AD156" s="443"/>
      <c r="AE156" s="443"/>
      <c r="AF156" s="443"/>
      <c r="AG156" s="444"/>
    </row>
    <row r="157" spans="2:33" x14ac:dyDescent="0.35">
      <c r="B157" s="475" t="e">
        <f>IF(C157="","",Tables!A13)</f>
        <v>#N/A</v>
      </c>
      <c r="C157" s="476" t="e">
        <f>IF(D157="","",Tables!B13)</f>
        <v>#N/A</v>
      </c>
      <c r="D157" s="476" t="e">
        <f>IF(HLOOKUP($C$135,Tables!$A$1:$H$23,ROW()-144)=0,"",HLOOKUP($C$135,Tables!$A$1:$H$23,ROW()-144))</f>
        <v>#N/A</v>
      </c>
      <c r="E157" s="451" t="e">
        <f t="shared" si="34"/>
        <v>#N/A</v>
      </c>
      <c r="F157" s="451" t="e">
        <f t="shared" si="35"/>
        <v>#N/A</v>
      </c>
      <c r="G157" s="451" t="e">
        <f t="shared" si="36"/>
        <v>#N/A</v>
      </c>
      <c r="H157" s="451" t="e">
        <f t="shared" si="37"/>
        <v>#N/A</v>
      </c>
      <c r="I157" s="451" t="e">
        <f t="shared" si="38"/>
        <v>#N/A</v>
      </c>
      <c r="J157" s="451" t="e">
        <f t="shared" si="39"/>
        <v>#N/A</v>
      </c>
      <c r="K157" s="451" t="e">
        <f t="shared" si="40"/>
        <v>#N/A</v>
      </c>
      <c r="L157" s="451" t="e">
        <f t="shared" si="41"/>
        <v>#N/A</v>
      </c>
      <c r="M157" s="451" t="e">
        <f t="shared" si="42"/>
        <v>#N/A</v>
      </c>
      <c r="N157" s="451" t="e">
        <f t="shared" si="43"/>
        <v>#N/A</v>
      </c>
      <c r="O157" s="451" t="e">
        <f>IF(D157="","",IF('General Info and Test Results'!$C$34="Yes",1+0.03*(1-((MAX('H2 Test Recorded Data'!$D$11,1.5)-1.5)/(MIN('H1 Test Recorded Data'!$D$10,12)-1.5))),1))</f>
        <v>#N/A</v>
      </c>
      <c r="P157" s="456"/>
      <c r="Q157" s="456"/>
      <c r="R157" s="454"/>
      <c r="S157" s="454"/>
      <c r="T157" s="454"/>
      <c r="U157" s="454"/>
      <c r="V157" s="465"/>
      <c r="W157" s="443"/>
      <c r="X157" s="443"/>
      <c r="Y157" s="443"/>
      <c r="Z157" s="443"/>
      <c r="AA157" s="443"/>
      <c r="AB157" s="443"/>
      <c r="AC157" s="443"/>
      <c r="AD157" s="443"/>
      <c r="AE157" s="443"/>
      <c r="AF157" s="443"/>
      <c r="AG157" s="444"/>
    </row>
    <row r="158" spans="2:33" x14ac:dyDescent="0.35">
      <c r="B158" s="475" t="e">
        <f>IF(C158="","",Tables!A14)</f>
        <v>#N/A</v>
      </c>
      <c r="C158" s="476" t="e">
        <f>IF(D158="","",Tables!B14)</f>
        <v>#N/A</v>
      </c>
      <c r="D158" s="476" t="e">
        <f>IF(HLOOKUP($C$135,Tables!$A$1:$H$23,ROW()-144)=0,"",HLOOKUP($C$135,Tables!$A$1:$H$23,ROW()-144))</f>
        <v>#N/A</v>
      </c>
      <c r="E158" s="451" t="e">
        <f t="shared" si="34"/>
        <v>#N/A</v>
      </c>
      <c r="F158" s="451" t="e">
        <f t="shared" si="35"/>
        <v>#N/A</v>
      </c>
      <c r="G158" s="451" t="e">
        <f t="shared" si="36"/>
        <v>#N/A</v>
      </c>
      <c r="H158" s="451" t="e">
        <f t="shared" si="37"/>
        <v>#N/A</v>
      </c>
      <c r="I158" s="451" t="e">
        <f t="shared" si="38"/>
        <v>#N/A</v>
      </c>
      <c r="J158" s="451" t="e">
        <f t="shared" si="39"/>
        <v>#N/A</v>
      </c>
      <c r="K158" s="451" t="e">
        <f t="shared" si="40"/>
        <v>#N/A</v>
      </c>
      <c r="L158" s="451" t="e">
        <f t="shared" si="41"/>
        <v>#N/A</v>
      </c>
      <c r="M158" s="451" t="e">
        <f t="shared" si="42"/>
        <v>#N/A</v>
      </c>
      <c r="N158" s="451" t="e">
        <f t="shared" si="43"/>
        <v>#N/A</v>
      </c>
      <c r="O158" s="451" t="e">
        <f>IF(D158="","",IF('General Info and Test Results'!$C$34="Yes",1+0.03*(1-((MAX('H2 Test Recorded Data'!$D$11,1.5)-1.5)/(MIN('H1 Test Recorded Data'!$D$10,12)-1.5))),1))</f>
        <v>#N/A</v>
      </c>
      <c r="P158" s="456"/>
      <c r="Q158" s="456"/>
      <c r="R158" s="454"/>
      <c r="S158" s="454"/>
      <c r="T158" s="454"/>
      <c r="U158" s="454"/>
      <c r="V158" s="465"/>
      <c r="W158" s="443"/>
      <c r="X158" s="443"/>
      <c r="Y158" s="443"/>
      <c r="Z158" s="443"/>
      <c r="AA158" s="443"/>
      <c r="AB158" s="443"/>
      <c r="AC158" s="443"/>
      <c r="AD158" s="443"/>
      <c r="AE158" s="443"/>
      <c r="AF158" s="443"/>
      <c r="AG158" s="444"/>
    </row>
    <row r="159" spans="2:33" x14ac:dyDescent="0.35">
      <c r="B159" s="475" t="e">
        <f>IF(C159="","",Tables!A15)</f>
        <v>#N/A</v>
      </c>
      <c r="C159" s="476" t="e">
        <f>IF(D159="","",Tables!B15)</f>
        <v>#N/A</v>
      </c>
      <c r="D159" s="476" t="e">
        <f>IF(HLOOKUP($C$135,Tables!$A$1:$H$23,ROW()-144)=0,"",HLOOKUP($C$135,Tables!$A$1:$H$23,ROW()-144))</f>
        <v>#N/A</v>
      </c>
      <c r="E159" s="451" t="e">
        <f t="shared" si="34"/>
        <v>#N/A</v>
      </c>
      <c r="F159" s="451" t="e">
        <f t="shared" si="35"/>
        <v>#N/A</v>
      </c>
      <c r="G159" s="451" t="e">
        <f t="shared" si="36"/>
        <v>#N/A</v>
      </c>
      <c r="H159" s="451" t="e">
        <f t="shared" si="37"/>
        <v>#N/A</v>
      </c>
      <c r="I159" s="451" t="e">
        <f t="shared" si="38"/>
        <v>#N/A</v>
      </c>
      <c r="J159" s="451" t="e">
        <f t="shared" si="39"/>
        <v>#N/A</v>
      </c>
      <c r="K159" s="451" t="e">
        <f t="shared" si="40"/>
        <v>#N/A</v>
      </c>
      <c r="L159" s="451" t="e">
        <f t="shared" si="41"/>
        <v>#N/A</v>
      </c>
      <c r="M159" s="451" t="e">
        <f t="shared" si="42"/>
        <v>#N/A</v>
      </c>
      <c r="N159" s="451" t="e">
        <f t="shared" si="43"/>
        <v>#N/A</v>
      </c>
      <c r="O159" s="451" t="e">
        <f>IF(D159="","",IF('General Info and Test Results'!$C$34="Yes",1+0.03*(1-((MAX('H2 Test Recorded Data'!$D$11,1.5)-1.5)/(MIN('H1 Test Recorded Data'!$D$10,12)-1.5))),1))</f>
        <v>#N/A</v>
      </c>
      <c r="P159" s="456"/>
      <c r="Q159" s="456"/>
      <c r="R159" s="454"/>
      <c r="S159" s="454"/>
      <c r="T159" s="454"/>
      <c r="U159" s="454"/>
      <c r="V159" s="465"/>
      <c r="W159" s="443"/>
      <c r="X159" s="443"/>
      <c r="Y159" s="443"/>
      <c r="Z159" s="443"/>
      <c r="AA159" s="443"/>
      <c r="AB159" s="443"/>
      <c r="AC159" s="443"/>
      <c r="AD159" s="443"/>
      <c r="AE159" s="443"/>
      <c r="AF159" s="443"/>
      <c r="AG159" s="444"/>
    </row>
    <row r="160" spans="2:33" x14ac:dyDescent="0.35">
      <c r="B160" s="475" t="e">
        <f>IF(C160="","",Tables!A16)</f>
        <v>#N/A</v>
      </c>
      <c r="C160" s="476" t="e">
        <f>IF(D160="","",Tables!B16)</f>
        <v>#N/A</v>
      </c>
      <c r="D160" s="476" t="e">
        <f>IF(HLOOKUP($C$135,Tables!$A$1:$H$23,ROW()-144)=0,"",HLOOKUP($C$135,Tables!$A$1:$H$23,ROW()-144))</f>
        <v>#N/A</v>
      </c>
      <c r="E160" s="451" t="e">
        <f t="shared" si="34"/>
        <v>#N/A</v>
      </c>
      <c r="F160" s="451" t="e">
        <f t="shared" si="35"/>
        <v>#N/A</v>
      </c>
      <c r="G160" s="451" t="e">
        <f t="shared" si="36"/>
        <v>#N/A</v>
      </c>
      <c r="H160" s="451" t="e">
        <f t="shared" si="37"/>
        <v>#N/A</v>
      </c>
      <c r="I160" s="451" t="e">
        <f t="shared" si="38"/>
        <v>#N/A</v>
      </c>
      <c r="J160" s="451" t="e">
        <f t="shared" si="39"/>
        <v>#N/A</v>
      </c>
      <c r="K160" s="451" t="e">
        <f t="shared" si="40"/>
        <v>#N/A</v>
      </c>
      <c r="L160" s="451" t="e">
        <f t="shared" si="41"/>
        <v>#N/A</v>
      </c>
      <c r="M160" s="451" t="e">
        <f t="shared" si="42"/>
        <v>#N/A</v>
      </c>
      <c r="N160" s="451" t="e">
        <f t="shared" si="43"/>
        <v>#N/A</v>
      </c>
      <c r="O160" s="451" t="e">
        <f>IF(D160="","",IF('General Info and Test Results'!$C$34="Yes",1+0.03*(1-((MAX('H2 Test Recorded Data'!$D$11,1.5)-1.5)/(MIN('H1 Test Recorded Data'!$D$10,12)-1.5))),1))</f>
        <v>#N/A</v>
      </c>
      <c r="P160" s="456"/>
      <c r="Q160" s="456"/>
      <c r="R160" s="454"/>
      <c r="S160" s="454"/>
      <c r="T160" s="454"/>
      <c r="U160" s="454"/>
      <c r="V160" s="465"/>
      <c r="W160" s="443"/>
      <c r="X160" s="443"/>
      <c r="Y160" s="443"/>
      <c r="Z160" s="443"/>
      <c r="AA160" s="443"/>
      <c r="AB160" s="443"/>
      <c r="AC160" s="443"/>
      <c r="AD160" s="443"/>
      <c r="AE160" s="443"/>
      <c r="AF160" s="443"/>
      <c r="AG160" s="444"/>
    </row>
    <row r="161" spans="2:33" x14ac:dyDescent="0.35">
      <c r="B161" s="475" t="e">
        <f>IF(C161="","",Tables!A17)</f>
        <v>#N/A</v>
      </c>
      <c r="C161" s="476" t="e">
        <f>IF(D161="","",Tables!B17)</f>
        <v>#N/A</v>
      </c>
      <c r="D161" s="476" t="e">
        <f>IF(HLOOKUP($C$135,Tables!$A$1:$H$23,ROW()-144)=0,"",HLOOKUP($C$135,Tables!$A$1:$H$23,ROW()-144))</f>
        <v>#N/A</v>
      </c>
      <c r="E161" s="451" t="e">
        <f t="shared" si="34"/>
        <v>#N/A</v>
      </c>
      <c r="F161" s="451" t="e">
        <f t="shared" si="35"/>
        <v>#N/A</v>
      </c>
      <c r="G161" s="451" t="e">
        <f t="shared" si="36"/>
        <v>#N/A</v>
      </c>
      <c r="H161" s="451" t="e">
        <f t="shared" si="37"/>
        <v>#N/A</v>
      </c>
      <c r="I161" s="451" t="e">
        <f t="shared" si="38"/>
        <v>#N/A</v>
      </c>
      <c r="J161" s="451" t="e">
        <f t="shared" si="39"/>
        <v>#N/A</v>
      </c>
      <c r="K161" s="451" t="e">
        <f t="shared" si="40"/>
        <v>#N/A</v>
      </c>
      <c r="L161" s="451" t="e">
        <f t="shared" si="41"/>
        <v>#N/A</v>
      </c>
      <c r="M161" s="451" t="e">
        <f t="shared" si="42"/>
        <v>#N/A</v>
      </c>
      <c r="N161" s="451" t="e">
        <f t="shared" si="43"/>
        <v>#N/A</v>
      </c>
      <c r="O161" s="451" t="e">
        <f>IF(D161="","",IF('General Info and Test Results'!$C$34="Yes",1+0.03*(1-((MAX('H2 Test Recorded Data'!$D$11,1.5)-1.5)/(MIN('H1 Test Recorded Data'!$D$10,12)-1.5))),1))</f>
        <v>#N/A</v>
      </c>
      <c r="P161" s="456"/>
      <c r="Q161" s="456"/>
      <c r="R161" s="454"/>
      <c r="S161" s="454"/>
      <c r="T161" s="454"/>
      <c r="U161" s="454"/>
      <c r="V161" s="465"/>
      <c r="W161" s="443"/>
      <c r="X161" s="443"/>
      <c r="Y161" s="443"/>
      <c r="Z161" s="443"/>
      <c r="AA161" s="443"/>
      <c r="AB161" s="443"/>
      <c r="AC161" s="443"/>
      <c r="AD161" s="443"/>
      <c r="AE161" s="443"/>
      <c r="AF161" s="443"/>
      <c r="AG161" s="444"/>
    </row>
    <row r="162" spans="2:33" x14ac:dyDescent="0.35">
      <c r="B162" s="475" t="e">
        <f>IF(C162="","",Tables!A18)</f>
        <v>#N/A</v>
      </c>
      <c r="C162" s="476" t="e">
        <f>IF(D162="","",Tables!B18)</f>
        <v>#N/A</v>
      </c>
      <c r="D162" s="476" t="e">
        <f>IF(HLOOKUP($C$135,Tables!$A$1:$H$23,ROW()-144)=0,"",HLOOKUP($C$135,Tables!$A$1:$H$23,ROW()-144))</f>
        <v>#N/A</v>
      </c>
      <c r="E162" s="451" t="e">
        <f t="shared" si="34"/>
        <v>#N/A</v>
      </c>
      <c r="F162" s="451" t="e">
        <f t="shared" si="35"/>
        <v>#N/A</v>
      </c>
      <c r="G162" s="451" t="e">
        <f t="shared" si="36"/>
        <v>#N/A</v>
      </c>
      <c r="H162" s="451" t="e">
        <f t="shared" si="37"/>
        <v>#N/A</v>
      </c>
      <c r="I162" s="451" t="e">
        <f t="shared" si="38"/>
        <v>#N/A</v>
      </c>
      <c r="J162" s="451" t="e">
        <f t="shared" si="39"/>
        <v>#N/A</v>
      </c>
      <c r="K162" s="451" t="e">
        <f t="shared" si="40"/>
        <v>#N/A</v>
      </c>
      <c r="L162" s="451" t="e">
        <f t="shared" si="41"/>
        <v>#N/A</v>
      </c>
      <c r="M162" s="451" t="e">
        <f t="shared" si="42"/>
        <v>#N/A</v>
      </c>
      <c r="N162" s="451" t="e">
        <f t="shared" si="43"/>
        <v>#N/A</v>
      </c>
      <c r="O162" s="451" t="e">
        <f>IF(D162="","",IF('General Info and Test Results'!$C$34="Yes",1+0.03*(1-((MAX('H2 Test Recorded Data'!$D$11,1.5)-1.5)/(MIN('H1 Test Recorded Data'!$D$10,12)-1.5))),1))</f>
        <v>#N/A</v>
      </c>
      <c r="P162" s="456"/>
      <c r="Q162" s="456"/>
      <c r="R162" s="454"/>
      <c r="S162" s="454"/>
      <c r="T162" s="454"/>
      <c r="U162" s="454"/>
      <c r="V162" s="465"/>
      <c r="W162" s="443"/>
      <c r="X162" s="443"/>
      <c r="Y162" s="443"/>
      <c r="Z162" s="443"/>
      <c r="AA162" s="443"/>
      <c r="AB162" s="443"/>
      <c r="AC162" s="443"/>
      <c r="AD162" s="443"/>
      <c r="AE162" s="443"/>
      <c r="AF162" s="443"/>
      <c r="AG162" s="444"/>
    </row>
    <row r="163" spans="2:33" x14ac:dyDescent="0.35">
      <c r="B163" s="475" t="e">
        <f>IF(C163="","",Tables!A19)</f>
        <v>#N/A</v>
      </c>
      <c r="C163" s="476" t="e">
        <f>IF(D163="","",Tables!B19)</f>
        <v>#N/A</v>
      </c>
      <c r="D163" s="476" t="e">
        <f>IF(HLOOKUP($C$135,Tables!$A$1:$H$23,ROW()-144)=0,"",HLOOKUP($C$135,Tables!$A$1:$H$23,ROW()-144))</f>
        <v>#N/A</v>
      </c>
      <c r="E163" s="451" t="e">
        <f t="shared" si="34"/>
        <v>#N/A</v>
      </c>
      <c r="F163" s="451" t="e">
        <f t="shared" si="35"/>
        <v>#N/A</v>
      </c>
      <c r="G163" s="451" t="e">
        <f t="shared" si="36"/>
        <v>#N/A</v>
      </c>
      <c r="H163" s="451" t="e">
        <f t="shared" si="37"/>
        <v>#N/A</v>
      </c>
      <c r="I163" s="451" t="e">
        <f t="shared" si="38"/>
        <v>#N/A</v>
      </c>
      <c r="J163" s="451" t="e">
        <f t="shared" si="39"/>
        <v>#N/A</v>
      </c>
      <c r="K163" s="451" t="e">
        <f t="shared" si="40"/>
        <v>#N/A</v>
      </c>
      <c r="L163" s="451" t="e">
        <f t="shared" si="41"/>
        <v>#N/A</v>
      </c>
      <c r="M163" s="451" t="e">
        <f t="shared" si="42"/>
        <v>#N/A</v>
      </c>
      <c r="N163" s="451" t="e">
        <f t="shared" si="43"/>
        <v>#N/A</v>
      </c>
      <c r="O163" s="451" t="e">
        <f>IF(D163="","",IF('General Info and Test Results'!$C$34="Yes",1+0.03*(1-((MAX('H2 Test Recorded Data'!$D$11,1.5)-1.5)/(MIN('H1 Test Recorded Data'!$D$10,12)-1.5))),1))</f>
        <v>#N/A</v>
      </c>
      <c r="P163" s="456"/>
      <c r="Q163" s="456"/>
      <c r="R163" s="454"/>
      <c r="S163" s="454"/>
      <c r="T163" s="454"/>
      <c r="U163" s="454"/>
      <c r="V163" s="465"/>
      <c r="W163" s="443"/>
      <c r="X163" s="443"/>
      <c r="Y163" s="443"/>
      <c r="Z163" s="443"/>
      <c r="AA163" s="443"/>
      <c r="AB163" s="443"/>
      <c r="AC163" s="443"/>
      <c r="AD163" s="443"/>
      <c r="AE163" s="443"/>
      <c r="AF163" s="443"/>
      <c r="AG163" s="444"/>
    </row>
    <row r="164" spans="2:33" x14ac:dyDescent="0.35">
      <c r="B164" s="475" t="e">
        <f>IF(C164="","",Tables!A20)</f>
        <v>#N/A</v>
      </c>
      <c r="C164" s="476" t="e">
        <f>IF(D164="","",Tables!B20)</f>
        <v>#N/A</v>
      </c>
      <c r="D164" s="476" t="e">
        <f>IF(HLOOKUP($C$135,Tables!$A$1:$H$23,ROW()-144)=0,"",HLOOKUP($C$135,Tables!$A$1:$H$23,ROW()-144))</f>
        <v>#N/A</v>
      </c>
      <c r="E164" s="451" t="e">
        <f t="shared" si="34"/>
        <v>#N/A</v>
      </c>
      <c r="F164" s="451" t="e">
        <f t="shared" si="35"/>
        <v>#N/A</v>
      </c>
      <c r="G164" s="451" t="e">
        <f t="shared" si="36"/>
        <v>#N/A</v>
      </c>
      <c r="H164" s="451" t="e">
        <f t="shared" si="37"/>
        <v>#N/A</v>
      </c>
      <c r="I164" s="451" t="e">
        <f t="shared" si="38"/>
        <v>#N/A</v>
      </c>
      <c r="J164" s="451" t="e">
        <f>IF(D164="","",IF(OR(C164&lt;=$C$140,I164&lt;1),0,IF(AND(C164&gt;$C$140,C164&lt;=$C$138,I164&gt;=1),0.5,1)))</f>
        <v>#N/A</v>
      </c>
      <c r="K164" s="451" t="e">
        <f t="shared" si="40"/>
        <v>#N/A</v>
      </c>
      <c r="L164" s="451" t="e">
        <f t="shared" si="41"/>
        <v>#N/A</v>
      </c>
      <c r="M164" s="451" t="e">
        <f t="shared" si="42"/>
        <v>#N/A</v>
      </c>
      <c r="N164" s="451" t="e">
        <f t="shared" si="43"/>
        <v>#N/A</v>
      </c>
      <c r="O164" s="451" t="e">
        <f>IF(D164="","",IF('General Info and Test Results'!$C$34="Yes",1+0.03*(1-((MAX('H2 Test Recorded Data'!$D$11,1.5)-1.5)/(MIN('H1 Test Recorded Data'!#REF!,12)-1.5))),1))</f>
        <v>#N/A</v>
      </c>
      <c r="P164" s="456"/>
      <c r="Q164" s="456"/>
      <c r="R164" s="454"/>
      <c r="S164" s="454"/>
      <c r="T164" s="454"/>
      <c r="U164" s="454"/>
      <c r="V164" s="465"/>
      <c r="W164" s="443"/>
      <c r="X164" s="443"/>
      <c r="Y164" s="443"/>
      <c r="Z164" s="443"/>
      <c r="AA164" s="443"/>
      <c r="AB164" s="443"/>
      <c r="AC164" s="443"/>
      <c r="AD164" s="443"/>
      <c r="AE164" s="443"/>
      <c r="AF164" s="443"/>
      <c r="AG164" s="444"/>
    </row>
    <row r="165" spans="2:33" x14ac:dyDescent="0.35">
      <c r="B165" s="475" t="e">
        <f>IF(C165="","",Tables!A21)</f>
        <v>#N/A</v>
      </c>
      <c r="C165" s="476" t="e">
        <f>IF(D165="","",Tables!B21)</f>
        <v>#N/A</v>
      </c>
      <c r="D165" s="476" t="e">
        <f>IF(HLOOKUP($C$135,Tables!$A$1:$H$23,ROW()-144)=0,"",HLOOKUP($C$135,Tables!$A$1:$H$23,ROW()-144))</f>
        <v>#N/A</v>
      </c>
      <c r="E165" s="451" t="e">
        <f t="shared" si="34"/>
        <v>#N/A</v>
      </c>
      <c r="F165" s="451" t="e">
        <f t="shared" si="35"/>
        <v>#N/A</v>
      </c>
      <c r="G165" s="451" t="e">
        <f t="shared" si="36"/>
        <v>#N/A</v>
      </c>
      <c r="H165" s="451" t="e">
        <f t="shared" si="37"/>
        <v>#N/A</v>
      </c>
      <c r="I165" s="451" t="e">
        <f t="shared" si="38"/>
        <v>#N/A</v>
      </c>
      <c r="J165" s="451" t="e">
        <f t="shared" si="39"/>
        <v>#N/A</v>
      </c>
      <c r="K165" s="451" t="e">
        <f t="shared" si="40"/>
        <v>#N/A</v>
      </c>
      <c r="L165" s="451" t="e">
        <f t="shared" si="41"/>
        <v>#N/A</v>
      </c>
      <c r="M165" s="451" t="e">
        <f t="shared" si="42"/>
        <v>#N/A</v>
      </c>
      <c r="N165" s="451" t="e">
        <f t="shared" si="43"/>
        <v>#N/A</v>
      </c>
      <c r="O165" s="451" t="e">
        <f>IF(D165="","",IF('General Info and Test Results'!$C$34="Yes",1+0.03*(1-((MAX('H2 Test Recorded Data'!$D$11,1.5)-1.5)/(MIN('H1 Test Recorded Data'!#REF!,12)-1.5))),1))</f>
        <v>#N/A</v>
      </c>
      <c r="P165" s="456"/>
      <c r="Q165" s="456"/>
      <c r="R165" s="454"/>
      <c r="S165" s="454"/>
      <c r="T165" s="454"/>
      <c r="U165" s="454"/>
      <c r="V165" s="465"/>
      <c r="W165" s="443"/>
      <c r="X165" s="443"/>
      <c r="Y165" s="443"/>
      <c r="Z165" s="443"/>
      <c r="AA165" s="443"/>
      <c r="AB165" s="443"/>
      <c r="AC165" s="443"/>
      <c r="AD165" s="443"/>
      <c r="AE165" s="443"/>
      <c r="AF165" s="443"/>
      <c r="AG165" s="444"/>
    </row>
    <row r="166" spans="2:33" x14ac:dyDescent="0.35">
      <c r="B166" s="475" t="e">
        <f>IF(C166="","",Tables!A22)</f>
        <v>#N/A</v>
      </c>
      <c r="C166" s="476" t="e">
        <f>IF(D166="","",Tables!B22)</f>
        <v>#N/A</v>
      </c>
      <c r="D166" s="476" t="e">
        <f>IF(HLOOKUP($C$135,Tables!$A$1:$H$23,ROW()-144)=0,"",HLOOKUP($C$135,Tables!$A$1:$H$23,ROW()-144))</f>
        <v>#N/A</v>
      </c>
      <c r="E166" s="451" t="e">
        <f t="shared" si="34"/>
        <v>#N/A</v>
      </c>
      <c r="F166" s="451" t="e">
        <f t="shared" si="35"/>
        <v>#N/A</v>
      </c>
      <c r="G166" s="451" t="e">
        <f t="shared" si="36"/>
        <v>#N/A</v>
      </c>
      <c r="H166" s="451" t="e">
        <f t="shared" si="37"/>
        <v>#N/A</v>
      </c>
      <c r="I166" s="451" t="e">
        <f t="shared" si="38"/>
        <v>#N/A</v>
      </c>
      <c r="J166" s="451" t="e">
        <f t="shared" si="39"/>
        <v>#N/A</v>
      </c>
      <c r="K166" s="451" t="e">
        <f t="shared" si="40"/>
        <v>#N/A</v>
      </c>
      <c r="L166" s="451" t="e">
        <f t="shared" si="41"/>
        <v>#N/A</v>
      </c>
      <c r="M166" s="451" t="e">
        <f t="shared" si="42"/>
        <v>#N/A</v>
      </c>
      <c r="N166" s="451" t="e">
        <f t="shared" si="43"/>
        <v>#N/A</v>
      </c>
      <c r="O166" s="451" t="e">
        <f>IF(D166="","",IF('General Info and Test Results'!$C$34="Yes",1+0.03*(1-((MAX('H2 Test Recorded Data'!$D$11,1.5)-1.5)/(MIN('H1 Test Recorded Data'!#REF!,12)-1.5))),1))</f>
        <v>#N/A</v>
      </c>
      <c r="P166" s="456"/>
      <c r="Q166" s="456"/>
      <c r="R166" s="454"/>
      <c r="S166" s="454"/>
      <c r="T166" s="454"/>
      <c r="U166" s="454"/>
      <c r="V166" s="465"/>
      <c r="W166" s="443"/>
      <c r="X166" s="443"/>
      <c r="Y166" s="443"/>
      <c r="Z166" s="443"/>
      <c r="AA166" s="443"/>
      <c r="AB166" s="443"/>
      <c r="AC166" s="443"/>
      <c r="AD166" s="443"/>
      <c r="AE166" s="443"/>
      <c r="AF166" s="443"/>
      <c r="AG166" s="444"/>
    </row>
    <row r="167" spans="2:33" x14ac:dyDescent="0.35">
      <c r="B167" s="475"/>
      <c r="C167" s="476"/>
      <c r="D167" s="476"/>
      <c r="E167" s="451"/>
      <c r="F167" s="451"/>
      <c r="G167" s="451"/>
      <c r="H167" s="451"/>
      <c r="I167" s="451"/>
      <c r="J167" s="451"/>
      <c r="K167" s="451"/>
      <c r="L167" s="451"/>
      <c r="M167" s="451"/>
      <c r="N167" s="451"/>
      <c r="O167" s="451"/>
      <c r="P167" s="456"/>
      <c r="Q167" s="456"/>
      <c r="R167" s="454"/>
      <c r="S167" s="454"/>
      <c r="T167" s="454"/>
      <c r="U167" s="454"/>
      <c r="V167" s="465"/>
      <c r="W167" s="443"/>
      <c r="X167" s="443"/>
      <c r="Y167" s="443"/>
      <c r="Z167" s="443"/>
      <c r="AA167" s="443"/>
      <c r="AB167" s="443"/>
      <c r="AC167" s="443"/>
      <c r="AD167" s="443"/>
      <c r="AE167" s="443"/>
      <c r="AF167" s="443"/>
      <c r="AG167" s="444"/>
    </row>
    <row r="168" spans="2:33" x14ac:dyDescent="0.35">
      <c r="B168" s="464"/>
      <c r="C168" s="456"/>
      <c r="D168" s="456"/>
      <c r="E168" s="456"/>
      <c r="F168" s="456"/>
      <c r="G168" s="456"/>
      <c r="H168" s="456"/>
      <c r="I168" s="456"/>
      <c r="J168" s="456"/>
      <c r="K168" s="456"/>
      <c r="L168" s="456"/>
      <c r="M168" s="456"/>
      <c r="N168" s="456"/>
      <c r="O168" s="456"/>
      <c r="P168" s="456"/>
      <c r="Q168" s="456"/>
      <c r="R168" s="454"/>
      <c r="S168" s="454"/>
      <c r="T168" s="454"/>
      <c r="U168" s="454"/>
      <c r="V168" s="465"/>
      <c r="W168" s="443"/>
      <c r="X168" s="443"/>
      <c r="Y168" s="443"/>
      <c r="Z168" s="443"/>
      <c r="AA168" s="443"/>
      <c r="AB168" s="443"/>
      <c r="AC168" s="443"/>
      <c r="AD168" s="443"/>
      <c r="AE168" s="443"/>
      <c r="AF168" s="443"/>
      <c r="AG168" s="444"/>
    </row>
    <row r="169" spans="2:33" x14ac:dyDescent="0.35">
      <c r="B169" s="512" t="s">
        <v>132</v>
      </c>
      <c r="C169" s="451" t="e">
        <f>SUM(L150:L167)</f>
        <v>#N/A</v>
      </c>
      <c r="D169" s="456"/>
      <c r="E169" s="456"/>
      <c r="F169" s="456"/>
      <c r="G169" s="456"/>
      <c r="H169" s="456"/>
      <c r="I169" s="456"/>
      <c r="J169" s="456"/>
      <c r="K169" s="456"/>
      <c r="L169" s="456"/>
      <c r="M169" s="456"/>
      <c r="N169" s="456"/>
      <c r="O169" s="456"/>
      <c r="P169" s="456"/>
      <c r="Q169" s="456"/>
      <c r="R169" s="454"/>
      <c r="S169" s="454"/>
      <c r="T169" s="454"/>
      <c r="U169" s="454"/>
      <c r="V169" s="465"/>
      <c r="W169" s="443"/>
      <c r="X169" s="443"/>
      <c r="Y169" s="443"/>
      <c r="Z169" s="443"/>
      <c r="AA169" s="443"/>
      <c r="AB169" s="443"/>
      <c r="AC169" s="443"/>
      <c r="AD169" s="443"/>
      <c r="AE169" s="443"/>
      <c r="AF169" s="443"/>
      <c r="AG169" s="444"/>
    </row>
    <row r="170" spans="2:33" x14ac:dyDescent="0.35">
      <c r="B170" s="512" t="s">
        <v>133</v>
      </c>
      <c r="C170" s="451" t="e">
        <f>SUM(M150:M167)</f>
        <v>#N/A</v>
      </c>
      <c r="D170" s="456"/>
      <c r="E170" s="456"/>
      <c r="F170" s="456"/>
      <c r="G170" s="456"/>
      <c r="H170" s="456"/>
      <c r="I170" s="456"/>
      <c r="J170" s="456"/>
      <c r="K170" s="456"/>
      <c r="L170" s="456"/>
      <c r="M170" s="456"/>
      <c r="N170" s="456"/>
      <c r="O170" s="456"/>
      <c r="P170" s="456"/>
      <c r="Q170" s="456"/>
      <c r="R170" s="454"/>
      <c r="S170" s="454"/>
      <c r="T170" s="454"/>
      <c r="U170" s="454"/>
      <c r="V170" s="465"/>
      <c r="W170" s="443"/>
      <c r="X170" s="443"/>
      <c r="Y170" s="443"/>
      <c r="Z170" s="443"/>
      <c r="AA170" s="443"/>
      <c r="AB170" s="443"/>
      <c r="AC170" s="443"/>
      <c r="AD170" s="443"/>
      <c r="AE170" s="443"/>
      <c r="AF170" s="443"/>
      <c r="AG170" s="444"/>
    </row>
    <row r="171" spans="2:33" x14ac:dyDescent="0.35">
      <c r="B171" s="512" t="s">
        <v>131</v>
      </c>
      <c r="C171" s="451" t="e">
        <f>SUM(N150:N167)</f>
        <v>#N/A</v>
      </c>
      <c r="D171" s="456"/>
      <c r="E171" s="456"/>
      <c r="F171" s="456"/>
      <c r="G171" s="456"/>
      <c r="H171" s="456"/>
      <c r="I171" s="456"/>
      <c r="J171" s="456"/>
      <c r="K171" s="456"/>
      <c r="L171" s="456"/>
      <c r="M171" s="456"/>
      <c r="N171" s="456"/>
      <c r="O171" s="456"/>
      <c r="P171" s="456"/>
      <c r="Q171" s="456"/>
      <c r="R171" s="454"/>
      <c r="S171" s="454"/>
      <c r="T171" s="454"/>
      <c r="U171" s="454"/>
      <c r="V171" s="465"/>
      <c r="W171" s="443"/>
      <c r="X171" s="443"/>
      <c r="Y171" s="443"/>
      <c r="Z171" s="443"/>
      <c r="AA171" s="443"/>
      <c r="AB171" s="443"/>
      <c r="AC171" s="443"/>
      <c r="AD171" s="443"/>
      <c r="AE171" s="443"/>
      <c r="AF171" s="443"/>
      <c r="AG171" s="444"/>
    </row>
    <row r="172" spans="2:33" ht="34.5" customHeight="1" thickBot="1" x14ac:dyDescent="0.4">
      <c r="B172" s="445"/>
      <c r="C172" s="554" t="s">
        <v>564</v>
      </c>
      <c r="D172" s="879" t="s">
        <v>592</v>
      </c>
      <c r="E172" s="879"/>
      <c r="F172" s="456"/>
      <c r="G172" s="492"/>
      <c r="H172" s="456"/>
      <c r="I172" s="456"/>
      <c r="J172" s="456"/>
      <c r="K172" s="456"/>
      <c r="L172" s="456"/>
      <c r="M172" s="456"/>
      <c r="N172" s="456"/>
      <c r="O172" s="456"/>
      <c r="P172" s="456"/>
      <c r="Q172" s="456"/>
      <c r="R172" s="454"/>
      <c r="S172" s="454"/>
      <c r="T172" s="454"/>
      <c r="U172" s="454"/>
      <c r="V172" s="465"/>
      <c r="W172" s="443"/>
      <c r="X172" s="443"/>
      <c r="Y172" s="443"/>
      <c r="Z172" s="443"/>
      <c r="AA172" s="443"/>
      <c r="AB172" s="443"/>
      <c r="AC172" s="443"/>
      <c r="AD172" s="443"/>
      <c r="AE172" s="443"/>
      <c r="AF172" s="443"/>
      <c r="AG172" s="444"/>
    </row>
    <row r="173" spans="2:33" ht="18.75" thickBot="1" x14ac:dyDescent="0.4">
      <c r="B173" s="471" t="s">
        <v>119</v>
      </c>
      <c r="C173" s="472" t="e">
        <f>(C171/(C169+C170))*O150</f>
        <v>#N/A</v>
      </c>
      <c r="D173" s="978" t="e">
        <f>MROUND(C173,0.025)</f>
        <v>#N/A</v>
      </c>
      <c r="E173" s="979"/>
      <c r="F173" s="456"/>
      <c r="G173" s="456"/>
      <c r="H173" s="456"/>
      <c r="I173" s="456"/>
      <c r="J173" s="456"/>
      <c r="K173" s="456"/>
      <c r="L173" s="456"/>
      <c r="M173" s="456"/>
      <c r="N173" s="456"/>
      <c r="O173" s="456"/>
      <c r="P173" s="456"/>
      <c r="Q173" s="456"/>
      <c r="R173" s="454"/>
      <c r="S173" s="454"/>
      <c r="T173" s="454"/>
      <c r="U173" s="454"/>
      <c r="V173" s="465"/>
      <c r="W173" s="443"/>
      <c r="X173" s="443"/>
      <c r="Y173" s="443"/>
      <c r="Z173" s="443"/>
      <c r="AA173" s="443"/>
      <c r="AB173" s="443"/>
      <c r="AC173" s="443"/>
      <c r="AD173" s="443"/>
      <c r="AE173" s="443"/>
      <c r="AF173" s="443"/>
      <c r="AG173" s="444"/>
    </row>
    <row r="174" spans="2:33" ht="18.75" thickBot="1" x14ac:dyDescent="0.4">
      <c r="B174" s="464"/>
      <c r="C174" s="456"/>
      <c r="D174" s="456"/>
      <c r="E174" s="456"/>
      <c r="F174" s="456"/>
      <c r="G174" s="456"/>
      <c r="H174" s="456"/>
      <c r="I174" s="456"/>
      <c r="J174" s="456"/>
      <c r="K174" s="456"/>
      <c r="L174" s="456"/>
      <c r="M174" s="456"/>
      <c r="N174" s="456"/>
      <c r="O174" s="456"/>
      <c r="P174" s="456"/>
      <c r="Q174" s="456"/>
      <c r="R174" s="454"/>
      <c r="S174" s="454"/>
      <c r="T174" s="454"/>
      <c r="U174" s="454"/>
      <c r="V174" s="465"/>
      <c r="W174" s="443"/>
      <c r="X174" s="443"/>
      <c r="Y174" s="443"/>
      <c r="Z174" s="443"/>
      <c r="AA174" s="443"/>
      <c r="AB174" s="443"/>
      <c r="AC174" s="443"/>
      <c r="AD174" s="443"/>
      <c r="AE174" s="443"/>
      <c r="AF174" s="443"/>
      <c r="AG174" s="444"/>
    </row>
    <row r="175" spans="2:33" ht="18.75" thickBot="1" x14ac:dyDescent="0.4">
      <c r="B175" s="464"/>
      <c r="C175" s="456"/>
      <c r="D175" s="456"/>
      <c r="E175" s="456"/>
      <c r="F175" s="456"/>
      <c r="G175" s="456"/>
      <c r="H175" s="456"/>
      <c r="I175" s="456"/>
      <c r="J175" s="456"/>
      <c r="K175" s="456"/>
      <c r="L175" s="456"/>
      <c r="M175" s="456"/>
      <c r="N175" s="456"/>
      <c r="O175" s="456"/>
      <c r="P175" s="456"/>
      <c r="Q175" s="456"/>
      <c r="R175" s="454"/>
      <c r="S175" s="454"/>
      <c r="T175" s="454"/>
      <c r="U175" s="454"/>
      <c r="V175" s="465"/>
      <c r="W175" s="443"/>
      <c r="X175" s="443"/>
      <c r="Y175" s="442"/>
      <c r="Z175" s="513" t="s">
        <v>276</v>
      </c>
      <c r="AA175" s="514"/>
      <c r="AB175" s="514"/>
      <c r="AC175" s="514"/>
      <c r="AD175" s="514"/>
      <c r="AE175" s="515"/>
      <c r="AF175" s="443"/>
      <c r="AG175" s="444"/>
    </row>
    <row r="176" spans="2:33" ht="18" customHeight="1" x14ac:dyDescent="0.35">
      <c r="B176" s="516" t="s">
        <v>203</v>
      </c>
      <c r="C176" s="467"/>
      <c r="D176" s="467"/>
      <c r="E176" s="467"/>
      <c r="F176" s="467"/>
      <c r="G176" s="467"/>
      <c r="H176" s="467"/>
      <c r="I176" s="467"/>
      <c r="J176" s="467"/>
      <c r="K176" s="467"/>
      <c r="L176" s="467"/>
      <c r="M176" s="467"/>
      <c r="N176" s="467"/>
      <c r="O176" s="467"/>
      <c r="P176" s="467"/>
      <c r="Q176" s="467"/>
      <c r="R176" s="468"/>
      <c r="S176" s="454"/>
      <c r="T176" s="454"/>
      <c r="U176" s="454"/>
      <c r="V176" s="465"/>
      <c r="W176" s="443"/>
      <c r="X176" s="443"/>
      <c r="Y176" s="517"/>
      <c r="Z176" s="518"/>
      <c r="AA176" s="518"/>
      <c r="AB176" s="519"/>
      <c r="AC176" s="519"/>
      <c r="AD176" s="519"/>
      <c r="AE176" s="520"/>
      <c r="AF176" s="443"/>
      <c r="AG176" s="444"/>
    </row>
    <row r="177" spans="2:33" x14ac:dyDescent="0.35">
      <c r="B177" s="464"/>
      <c r="C177" s="456"/>
      <c r="D177" s="456"/>
      <c r="E177" s="456"/>
      <c r="F177" s="456"/>
      <c r="G177" s="456"/>
      <c r="H177" s="456"/>
      <c r="I177" s="456"/>
      <c r="J177" s="456"/>
      <c r="K177" s="456"/>
      <c r="L177" s="456"/>
      <c r="M177" s="456"/>
      <c r="N177" s="456"/>
      <c r="O177" s="456"/>
      <c r="P177" s="456"/>
      <c r="Q177" s="456"/>
      <c r="R177" s="454"/>
      <c r="S177" s="454"/>
      <c r="T177" s="454"/>
      <c r="U177" s="454"/>
      <c r="V177" s="465"/>
      <c r="W177" s="443"/>
      <c r="X177" s="443"/>
      <c r="Y177" s="521"/>
      <c r="Z177" s="522" t="s">
        <v>287</v>
      </c>
      <c r="AA177" s="523" t="e">
        <f>$C$44/AA178</f>
        <v>#VALUE!</v>
      </c>
      <c r="AB177" s="524"/>
      <c r="AC177" s="524"/>
      <c r="AD177" s="524"/>
      <c r="AE177" s="525"/>
      <c r="AF177" s="443"/>
      <c r="AG177" s="444"/>
    </row>
    <row r="178" spans="2:33" s="199" customFormat="1" x14ac:dyDescent="0.35">
      <c r="B178" s="502" t="s">
        <v>399</v>
      </c>
      <c r="C178" s="470">
        <f>IF(C53="", 0.25, ROUND(MIN(0.25,((1-(($C$53/(3.413*$I$53))/($C$44/(3.413*$I$44))))/(1-$C$53/($C$44*#REF!)))),2))</f>
        <v>0.25</v>
      </c>
      <c r="D178" s="504"/>
      <c r="E178" s="526" t="s">
        <v>268</v>
      </c>
      <c r="F178" s="527"/>
      <c r="G178" s="504"/>
      <c r="H178" s="504"/>
      <c r="I178" s="504"/>
      <c r="J178" s="504"/>
      <c r="K178" s="504"/>
      <c r="L178" s="504"/>
      <c r="M178" s="504"/>
      <c r="N178" s="504"/>
      <c r="O178" s="504"/>
      <c r="P178" s="504"/>
      <c r="Q178" s="504"/>
      <c r="R178" s="505"/>
      <c r="S178" s="505"/>
      <c r="T178" s="505"/>
      <c r="U178" s="505"/>
      <c r="V178" s="528"/>
      <c r="W178" s="529"/>
      <c r="X178" s="529"/>
      <c r="Y178" s="530" t="s">
        <v>290</v>
      </c>
      <c r="Z178" s="524" t="s">
        <v>286</v>
      </c>
      <c r="AA178" s="531" t="e">
        <f>(($C$56-$C$44)/(62-47))</f>
        <v>#VALUE!</v>
      </c>
      <c r="AB178" s="524"/>
      <c r="AC178" s="524"/>
      <c r="AD178" s="524"/>
      <c r="AE178" s="525"/>
      <c r="AF178" s="529"/>
      <c r="AG178" s="532"/>
    </row>
    <row r="179" spans="2:33" s="199" customFormat="1" x14ac:dyDescent="0.35">
      <c r="B179" s="533"/>
      <c r="C179" s="504"/>
      <c r="D179" s="504"/>
      <c r="E179" s="534" t="s">
        <v>267</v>
      </c>
      <c r="F179" s="527"/>
      <c r="G179" s="504"/>
      <c r="H179" s="504"/>
      <c r="I179" s="504"/>
      <c r="J179" s="504"/>
      <c r="K179" s="504"/>
      <c r="L179" s="504"/>
      <c r="M179" s="504"/>
      <c r="N179" s="504"/>
      <c r="O179" s="504"/>
      <c r="P179" s="504"/>
      <c r="Q179" s="504"/>
      <c r="R179" s="505"/>
      <c r="S179" s="505"/>
      <c r="T179" s="505"/>
      <c r="U179" s="505"/>
      <c r="V179" s="528"/>
      <c r="W179" s="529"/>
      <c r="X179" s="529"/>
      <c r="Y179" s="530" t="s">
        <v>288</v>
      </c>
      <c r="Z179" s="524" t="s">
        <v>285</v>
      </c>
      <c r="AA179" s="531" t="e">
        <f>($G$137*$G$140)/(65-$G$139)</f>
        <v>#VALUE!</v>
      </c>
      <c r="AB179" s="535"/>
      <c r="AC179" s="536" t="s">
        <v>284</v>
      </c>
      <c r="AD179" s="536" t="s">
        <v>283</v>
      </c>
      <c r="AE179" s="537" t="s">
        <v>282</v>
      </c>
      <c r="AF179" s="529"/>
      <c r="AG179" s="532"/>
    </row>
    <row r="180" spans="2:33" s="199" customFormat="1" x14ac:dyDescent="0.35">
      <c r="B180" s="506"/>
      <c r="C180" s="504"/>
      <c r="D180" s="504"/>
      <c r="E180" s="504"/>
      <c r="F180" s="504"/>
      <c r="G180" s="504"/>
      <c r="H180" s="504"/>
      <c r="I180" s="504"/>
      <c r="J180" s="504"/>
      <c r="K180" s="504"/>
      <c r="L180" s="504"/>
      <c r="M180" s="504"/>
      <c r="N180" s="504"/>
      <c r="O180" s="504"/>
      <c r="P180" s="504"/>
      <c r="Q180" s="504"/>
      <c r="R180" s="505"/>
      <c r="S180" s="505"/>
      <c r="T180" s="505"/>
      <c r="U180" s="505"/>
      <c r="V180" s="528"/>
      <c r="W180" s="529"/>
      <c r="X180" s="528"/>
      <c r="Y180" s="524" t="s">
        <v>289</v>
      </c>
      <c r="Z180" s="524" t="s">
        <v>291</v>
      </c>
      <c r="AA180" s="538" t="e">
        <f>(($C$48-$C$51)/(35-17))</f>
        <v>#VALUE!</v>
      </c>
      <c r="AB180" s="535"/>
      <c r="AC180" s="539" t="e">
        <f>(47+65*($AA$179/$AA$178)-$AA$177)/(1+($AA$179/$AA$178))</f>
        <v>#VALUE!</v>
      </c>
      <c r="AD180" s="539" t="e">
        <f>IF(OR($AC$182&gt;=45,$AC$182&lt;=17),$AC$182,$AC$183)</f>
        <v>#VALUE!</v>
      </c>
      <c r="AE180" s="540" t="e">
        <f>((65*($AA$179))-$C$57+35*$AC$192)/(($AA$179)+$AC$192)</f>
        <v>#VALUE!</v>
      </c>
      <c r="AF180" s="529"/>
      <c r="AG180" s="532"/>
    </row>
    <row r="181" spans="2:33" x14ac:dyDescent="0.35">
      <c r="B181" s="473" t="s">
        <v>130</v>
      </c>
      <c r="C181" s="474" t="s">
        <v>390</v>
      </c>
      <c r="D181" s="474" t="s">
        <v>111</v>
      </c>
      <c r="E181" s="474" t="s">
        <v>392</v>
      </c>
      <c r="F181" s="474" t="s">
        <v>264</v>
      </c>
      <c r="G181" s="474" t="s">
        <v>265</v>
      </c>
      <c r="H181" s="474" t="s">
        <v>108</v>
      </c>
      <c r="I181" s="474" t="s">
        <v>109</v>
      </c>
      <c r="J181" s="474" t="s">
        <v>269</v>
      </c>
      <c r="K181" s="474" t="s">
        <v>270</v>
      </c>
      <c r="L181" s="474" t="s">
        <v>393</v>
      </c>
      <c r="M181" s="474" t="s">
        <v>266</v>
      </c>
      <c r="N181" s="474" t="s">
        <v>113</v>
      </c>
      <c r="O181" s="474" t="s">
        <v>544</v>
      </c>
      <c r="P181" s="474" t="s">
        <v>114</v>
      </c>
      <c r="Q181" s="474" t="s">
        <v>115</v>
      </c>
      <c r="R181" s="474" t="s">
        <v>116</v>
      </c>
      <c r="S181" s="474" t="s">
        <v>117</v>
      </c>
      <c r="T181" s="474" t="s">
        <v>118</v>
      </c>
      <c r="U181" s="454"/>
      <c r="V181" s="465"/>
      <c r="W181" s="443"/>
      <c r="X181" s="443"/>
      <c r="Y181" s="541" t="s">
        <v>485</v>
      </c>
      <c r="Z181" s="542" t="s">
        <v>486</v>
      </c>
      <c r="AA181" s="543" t="e">
        <f>(($C$45-$C$51)/(47-17))</f>
        <v>#VALUE!</v>
      </c>
      <c r="AB181" s="524"/>
      <c r="AC181" s="524"/>
      <c r="AD181" s="524"/>
      <c r="AE181" s="525"/>
      <c r="AF181" s="443"/>
      <c r="AG181" s="444"/>
    </row>
    <row r="182" spans="2:33" x14ac:dyDescent="0.35">
      <c r="B182" s="475" t="e">
        <f>IF(C182="","",Tables!A6)</f>
        <v>#N/A</v>
      </c>
      <c r="C182" s="476" t="e">
        <f>IF(D182="","",Tables!B6)</f>
        <v>#N/A</v>
      </c>
      <c r="D182" s="476" t="e">
        <f>IF(HLOOKUP($C$135,Tables!$A$1:$H$23,ROW()-176)=0,"",HLOOKUP($C$135,Tables!$A$1:$H$23,ROW()-176))</f>
        <v>#N/A</v>
      </c>
      <c r="E182" s="451" t="e">
        <f>IF(D182="","",((65-C182)/(65-$G$139))*$G$140*$G$137)</f>
        <v>#N/A</v>
      </c>
      <c r="F182" s="451" t="e">
        <f>IF(D182="","",IF(OR(C182&gt;=45,C182&lt;=17),$C$50+((($C$44-$C$50)*(C182-17))/(47-17)),$C$50+((($C$47-$C$50)*(C182-17))/(35-17))))</f>
        <v>#N/A</v>
      </c>
      <c r="G182" s="451" t="e">
        <f>IF(D182="","",IF(OR(C182&gt;=45,C182&lt;=17),$C$51+((($C$45-$C$51)*(C182-17))/(47-17)),$C$51+((($C$48-$C$51)*(C182-17))/(35-17))))</f>
        <v>#N/A</v>
      </c>
      <c r="H182" s="451" t="e">
        <f>IF(D182="","",F182+(((G182-F182)/($F$179-$F$178))*(M182-$F$178)))</f>
        <v>#N/A</v>
      </c>
      <c r="I182" s="451" t="e">
        <f t="shared" ref="I182:I199" si="44">IF(D182="","",MIN(E182/H182,1))</f>
        <v>#N/A</v>
      </c>
      <c r="J182" s="451" t="e">
        <f>IF(D182="","",IF(OR(C182&gt;=45,C182&lt;=17),$I$50+((($I$44-$I$50)*(C182-17))/(47-17)),$I$50+((($I$47-$I$50)*(C182-17))/(35-17))))</f>
        <v>#N/A</v>
      </c>
      <c r="K182" s="451" t="e">
        <f t="shared" ref="K182:K199" si="45">IF(D182="","",IF(OR(C182&gt;=45,C182&lt;=17),$I$51+((($I$45-$I$51)*(C182-17))/(47-17)),$I$51+((($I$48-$I$51)*(C182-17))/(35-17))))</f>
        <v>#N/A</v>
      </c>
      <c r="L182" s="451" t="e">
        <f>IF(D182="","",J182+(((K182-J182)/($F$179-$F$178))*(M182-$F$178)))</f>
        <v>#N/A</v>
      </c>
      <c r="M182" s="544"/>
      <c r="N182" s="451" t="e">
        <f t="shared" ref="N182:N199" si="46">IF(D182="","",H182/(3.413*L182))</f>
        <v>#N/A</v>
      </c>
      <c r="O182" s="451" t="e">
        <f>IF(D182="","",IF(OR(C182&lt;=$C$140,N182&lt;1),0,IF(AND(C182&gt;$C$140,C182&lt;=$C$138,N182&gt;=1),0.5,1)))</f>
        <v>#N/A</v>
      </c>
      <c r="P182" s="451" t="e">
        <f>IF(D182="","",1-$C$178*(1-I182))</f>
        <v>#N/A</v>
      </c>
      <c r="Q182" s="451" t="e">
        <f>IF(D182="","",((I182*L182*O182)/P182)*D182)</f>
        <v>#N/A</v>
      </c>
      <c r="R182" s="451" t="e">
        <f>IF(D182="","",((E182-(I182*H182*O182))/3.413)*D182)</f>
        <v>#N/A</v>
      </c>
      <c r="S182" s="451" t="e">
        <f t="shared" ref="S182:S199" si="47">IF(D182="","",E182*D182)</f>
        <v>#N/A</v>
      </c>
      <c r="T182" s="451" t="e">
        <f>IF(D182="","",IF('General Info and Test Results'!$C$34="Yes",1+(0.03*(1-((MAX(1.5,'H2 Test Recorded Data'!$D$11)-1.5)/(MIN(12,'H2 Test Recorded Data'!$D$12)-1.5)))),1))</f>
        <v>#N/A</v>
      </c>
      <c r="U182" s="454"/>
      <c r="V182" s="465"/>
      <c r="W182" s="443"/>
      <c r="X182" s="443"/>
      <c r="Y182" s="545"/>
      <c r="Z182" s="524"/>
      <c r="AA182" s="524"/>
      <c r="AB182" s="546" t="s">
        <v>545</v>
      </c>
      <c r="AC182" s="546" t="e">
        <f>(65*$AA$179-C51+$AA$181*17)/($AA$181+$AA$179)</f>
        <v>#VALUE!</v>
      </c>
      <c r="AD182" s="524"/>
      <c r="AE182" s="525"/>
      <c r="AF182" s="443"/>
      <c r="AG182" s="444"/>
    </row>
    <row r="183" spans="2:33" x14ac:dyDescent="0.35">
      <c r="B183" s="475" t="e">
        <f>IF(C183="","",Tables!A7)</f>
        <v>#N/A</v>
      </c>
      <c r="C183" s="476" t="e">
        <f>IF(D183="","",Tables!B7)</f>
        <v>#N/A</v>
      </c>
      <c r="D183" s="476" t="e">
        <f>IF(HLOOKUP($C$135,Tables!$A$1:$H$23,ROW()-176)=0,"",HLOOKUP($C$135,Tables!$A$1:$H$23,ROW()-176))</f>
        <v>#N/A</v>
      </c>
      <c r="E183" s="451" t="e">
        <f t="shared" ref="E183:E199" si="48">IF(D183="","",((65-C183)/(65-$G$139))*$G$140*$G$137)</f>
        <v>#N/A</v>
      </c>
      <c r="F183" s="451" t="e">
        <f t="shared" ref="F183:F199" si="49">IF(D183="","",IF(OR(C183&gt;=45,C183&lt;=17),$C$50+((($C$44-$C$50)*(C183-17))/(47-17)),$C$50+((($C$47-$C$50)*(C183-17))/(35-17))))</f>
        <v>#N/A</v>
      </c>
      <c r="G183" s="451" t="e">
        <f t="shared" ref="G183:G199" si="50">IF(D183="","",IF(OR(C183&gt;=45,C183&lt;=17),$C$51+((($C$45-$C$51)*(C183-17))/(47-17)),$C$51+((($C$48-$C$51)*(C183-17))/(35-17))))</f>
        <v>#N/A</v>
      </c>
      <c r="H183" s="451" t="e">
        <f t="shared" ref="H183:H199" si="51">IF(D183="","",F183+(((G183-F183)/($F$179-$F$178))*(M183-$F$178)))</f>
        <v>#N/A</v>
      </c>
      <c r="I183" s="451" t="e">
        <f t="shared" si="44"/>
        <v>#N/A</v>
      </c>
      <c r="J183" s="451" t="e">
        <f t="shared" ref="J183:J199" si="52">IF(D183="","",IF(OR(C183&gt;=45,C183&lt;=17),$I$50+((($I$44-$I$50)*(C183-17))/(47-17)),$I$50+((($I$47-$I$50)*(C183-17))/(35-17))))</f>
        <v>#N/A</v>
      </c>
      <c r="K183" s="451" t="e">
        <f>IF(D183="","",IF(OR(C183&gt;=45,C183&lt;=17),$I$51+((($I$45-$I$51)*(C183-17))/(47-17)),$I$51+((($I$48-$I$51)*(C183-17))/(35-17))))</f>
        <v>#N/A</v>
      </c>
      <c r="L183" s="451" t="e">
        <f t="shared" ref="L183:L199" si="53">IF(D183="","",J183+(((K183-J183)/($F$179-$F$178))*(M183-$F$178)))</f>
        <v>#N/A</v>
      </c>
      <c r="M183" s="544"/>
      <c r="N183" s="451" t="e">
        <f t="shared" si="46"/>
        <v>#N/A</v>
      </c>
      <c r="O183" s="451" t="e">
        <f t="shared" ref="O183:O199" si="54">IF(D183="","",IF(OR(C183&lt;=$C$140,N183&lt;1),0,IF(AND(C183&gt;$C$140,C183&lt;=$C$138,N183&gt;=1),0.5,1)))</f>
        <v>#N/A</v>
      </c>
      <c r="P183" s="451" t="e">
        <f t="shared" ref="P183:P199" si="55">IF(D183="","",1-$C$178*(1-I183))</f>
        <v>#N/A</v>
      </c>
      <c r="Q183" s="451" t="e">
        <f t="shared" ref="Q183:Q199" si="56">IF(D183="","",((I183*L183*O183)/P183)*D183)</f>
        <v>#N/A</v>
      </c>
      <c r="R183" s="451" t="e">
        <f t="shared" ref="R183:R199" si="57">IF(D183="","",((E183-(I183*H183*O183))/3.413)*D183)</f>
        <v>#N/A</v>
      </c>
      <c r="S183" s="451" t="e">
        <f t="shared" si="47"/>
        <v>#N/A</v>
      </c>
      <c r="T183" s="451" t="e">
        <f>IF(D183="","",IF('General Info and Test Results'!$C$34="Yes",1+(0.03*(1-((MAX(1.5,'H2 Test Recorded Data'!$D$11)-1.5)/(MIN(12,'H2 Test Recorded Data'!$D$12)-1.5)))),1))</f>
        <v>#N/A</v>
      </c>
      <c r="U183" s="454"/>
      <c r="V183" s="465"/>
      <c r="W183" s="443"/>
      <c r="X183" s="443"/>
      <c r="Y183" s="545"/>
      <c r="Z183" s="524"/>
      <c r="AA183" s="524"/>
      <c r="AB183" s="546" t="s">
        <v>484</v>
      </c>
      <c r="AC183" s="546" t="e">
        <f>(65*$AA$179+$AA$180*17-$C$51)/($AA$180+$AA$179)</f>
        <v>#VALUE!</v>
      </c>
      <c r="AD183" s="524"/>
      <c r="AE183" s="525"/>
      <c r="AF183" s="443"/>
      <c r="AG183" s="444"/>
    </row>
    <row r="184" spans="2:33" x14ac:dyDescent="0.35">
      <c r="B184" s="475" t="e">
        <f>IF(C184="","",Tables!A8)</f>
        <v>#N/A</v>
      </c>
      <c r="C184" s="476" t="e">
        <f>IF(D184="","",Tables!B8)</f>
        <v>#N/A</v>
      </c>
      <c r="D184" s="476" t="e">
        <f>IF(HLOOKUP($C$135,Tables!$A$1:$H$23,ROW()-176)=0,"",HLOOKUP($C$135,Tables!$A$1:$H$23,ROW()-176))</f>
        <v>#N/A</v>
      </c>
      <c r="E184" s="451" t="e">
        <f t="shared" si="48"/>
        <v>#N/A</v>
      </c>
      <c r="F184" s="451" t="e">
        <f t="shared" si="49"/>
        <v>#N/A</v>
      </c>
      <c r="G184" s="451" t="e">
        <f t="shared" si="50"/>
        <v>#N/A</v>
      </c>
      <c r="H184" s="451" t="e">
        <f t="shared" si="51"/>
        <v>#N/A</v>
      </c>
      <c r="I184" s="451" t="e">
        <f t="shared" si="44"/>
        <v>#N/A</v>
      </c>
      <c r="J184" s="451" t="e">
        <f t="shared" si="52"/>
        <v>#N/A</v>
      </c>
      <c r="K184" s="451" t="e">
        <f t="shared" si="45"/>
        <v>#N/A</v>
      </c>
      <c r="L184" s="451" t="e">
        <f t="shared" si="53"/>
        <v>#N/A</v>
      </c>
      <c r="M184" s="544"/>
      <c r="N184" s="451" t="e">
        <f t="shared" si="46"/>
        <v>#N/A</v>
      </c>
      <c r="O184" s="451" t="e">
        <f t="shared" si="54"/>
        <v>#N/A</v>
      </c>
      <c r="P184" s="451" t="e">
        <f>IF(D184="","",1-$C$178*(1-I184))</f>
        <v>#N/A</v>
      </c>
      <c r="Q184" s="451" t="e">
        <f t="shared" si="56"/>
        <v>#N/A</v>
      </c>
      <c r="R184" s="451" t="e">
        <f t="shared" si="57"/>
        <v>#N/A</v>
      </c>
      <c r="S184" s="451" t="e">
        <f t="shared" si="47"/>
        <v>#N/A</v>
      </c>
      <c r="T184" s="451" t="e">
        <f>IF(D184="","",IF('General Info and Test Results'!$C$34="Yes",1+(0.03*(1-((MAX(1.5,'H2 Test Recorded Data'!$D$11)-1.5)/(MIN(12,'H2 Test Recorded Data'!$D$12)-1.5)))),1))</f>
        <v>#N/A</v>
      </c>
      <c r="U184" s="454"/>
      <c r="V184" s="465"/>
      <c r="W184" s="443"/>
      <c r="X184" s="443"/>
      <c r="Y184" s="545"/>
      <c r="Z184" s="524"/>
      <c r="AA184" s="524"/>
      <c r="AB184" s="524"/>
      <c r="AC184" s="524"/>
      <c r="AD184" s="524"/>
      <c r="AE184" s="525"/>
      <c r="AF184" s="443"/>
      <c r="AG184" s="444"/>
    </row>
    <row r="185" spans="2:33" x14ac:dyDescent="0.35">
      <c r="B185" s="475" t="e">
        <f>IF(C185="","",Tables!A9)</f>
        <v>#N/A</v>
      </c>
      <c r="C185" s="476" t="e">
        <f>IF(D185="","",Tables!B9)</f>
        <v>#N/A</v>
      </c>
      <c r="D185" s="476" t="e">
        <f>IF(HLOOKUP($C$135,Tables!$A$1:$H$23,ROW()-176)=0,"",HLOOKUP($C$135,Tables!$A$1:$H$23,ROW()-176))</f>
        <v>#N/A</v>
      </c>
      <c r="E185" s="451" t="e">
        <f t="shared" si="48"/>
        <v>#N/A</v>
      </c>
      <c r="F185" s="451" t="e">
        <f t="shared" si="49"/>
        <v>#N/A</v>
      </c>
      <c r="G185" s="451" t="e">
        <f t="shared" si="50"/>
        <v>#N/A</v>
      </c>
      <c r="H185" s="451" t="e">
        <f t="shared" si="51"/>
        <v>#N/A</v>
      </c>
      <c r="I185" s="451" t="e">
        <f t="shared" si="44"/>
        <v>#N/A</v>
      </c>
      <c r="J185" s="451" t="e">
        <f t="shared" si="52"/>
        <v>#N/A</v>
      </c>
      <c r="K185" s="451" t="e">
        <f t="shared" si="45"/>
        <v>#N/A</v>
      </c>
      <c r="L185" s="451" t="e">
        <f t="shared" si="53"/>
        <v>#N/A</v>
      </c>
      <c r="M185" s="544"/>
      <c r="N185" s="451" t="e">
        <f t="shared" si="46"/>
        <v>#N/A</v>
      </c>
      <c r="O185" s="451" t="e">
        <f t="shared" si="54"/>
        <v>#N/A</v>
      </c>
      <c r="P185" s="451" t="e">
        <f t="shared" si="55"/>
        <v>#N/A</v>
      </c>
      <c r="Q185" s="451" t="e">
        <f t="shared" si="56"/>
        <v>#N/A</v>
      </c>
      <c r="R185" s="451" t="e">
        <f t="shared" si="57"/>
        <v>#N/A</v>
      </c>
      <c r="S185" s="451" t="e">
        <f t="shared" si="47"/>
        <v>#N/A</v>
      </c>
      <c r="T185" s="451" t="e">
        <f>IF(D185="","",IF('General Info and Test Results'!$C$34="Yes",1+(0.03*(1-((MAX(1.5,'H2 Test Recorded Data'!$D$11)-1.5)/(MIN(12,'H2 Test Recorded Data'!$D$12)-1.5)))),1))</f>
        <v>#N/A</v>
      </c>
      <c r="U185" s="454"/>
      <c r="V185" s="465"/>
      <c r="W185" s="443"/>
      <c r="X185" s="443"/>
      <c r="Y185" s="545"/>
      <c r="Z185" s="524"/>
      <c r="AA185" s="524"/>
      <c r="AB185" s="524"/>
      <c r="AC185" s="524"/>
      <c r="AD185" s="524"/>
      <c r="AE185" s="525"/>
      <c r="AF185" s="443"/>
      <c r="AG185" s="444"/>
    </row>
    <row r="186" spans="2:33" x14ac:dyDescent="0.35">
      <c r="B186" s="475" t="e">
        <f>IF(C186="","",Tables!A10)</f>
        <v>#N/A</v>
      </c>
      <c r="C186" s="476" t="e">
        <f>IF(D186="","",Tables!B10)</f>
        <v>#N/A</v>
      </c>
      <c r="D186" s="476" t="e">
        <f>IF(HLOOKUP($C$135,Tables!$A$1:$H$23,ROW()-176)=0,"",HLOOKUP($C$135,Tables!$A$1:$H$23,ROW()-176))</f>
        <v>#N/A</v>
      </c>
      <c r="E186" s="451" t="e">
        <f t="shared" si="48"/>
        <v>#N/A</v>
      </c>
      <c r="F186" s="451" t="e">
        <f t="shared" si="49"/>
        <v>#N/A</v>
      </c>
      <c r="G186" s="451" t="e">
        <f t="shared" si="50"/>
        <v>#N/A</v>
      </c>
      <c r="H186" s="451" t="e">
        <f t="shared" si="51"/>
        <v>#N/A</v>
      </c>
      <c r="I186" s="451" t="e">
        <f t="shared" si="44"/>
        <v>#N/A</v>
      </c>
      <c r="J186" s="451" t="e">
        <f t="shared" si="52"/>
        <v>#N/A</v>
      </c>
      <c r="K186" s="451" t="e">
        <f t="shared" si="45"/>
        <v>#N/A</v>
      </c>
      <c r="L186" s="451" t="e">
        <f t="shared" si="53"/>
        <v>#N/A</v>
      </c>
      <c r="M186" s="544"/>
      <c r="N186" s="451" t="e">
        <f t="shared" si="46"/>
        <v>#N/A</v>
      </c>
      <c r="O186" s="451" t="e">
        <f t="shared" si="54"/>
        <v>#N/A</v>
      </c>
      <c r="P186" s="451" t="e">
        <f t="shared" si="55"/>
        <v>#N/A</v>
      </c>
      <c r="Q186" s="451" t="e">
        <f t="shared" si="56"/>
        <v>#N/A</v>
      </c>
      <c r="R186" s="451" t="e">
        <f t="shared" si="57"/>
        <v>#N/A</v>
      </c>
      <c r="S186" s="451" t="e">
        <f t="shared" si="47"/>
        <v>#N/A</v>
      </c>
      <c r="T186" s="451" t="e">
        <f>IF(D186="","",IF('General Info and Test Results'!$C$34="Yes",1+(0.03*(1-((MAX(1.5,'H2 Test Recorded Data'!$D$11)-1.5)/(MIN(12,'H2 Test Recorded Data'!$D$12)-1.5)))),1))</f>
        <v>#N/A</v>
      </c>
      <c r="U186" s="454"/>
      <c r="V186" s="465"/>
      <c r="W186" s="443"/>
      <c r="X186" s="443"/>
      <c r="Y186" s="545"/>
      <c r="Z186" s="524"/>
      <c r="AA186" s="524"/>
      <c r="AB186" s="524"/>
      <c r="AC186" s="524"/>
      <c r="AD186" s="524"/>
      <c r="AE186" s="525"/>
      <c r="AF186" s="443"/>
      <c r="AG186" s="444"/>
    </row>
    <row r="187" spans="2:33" x14ac:dyDescent="0.35">
      <c r="B187" s="475" t="e">
        <f>IF(C187="","",Tables!A11)</f>
        <v>#N/A</v>
      </c>
      <c r="C187" s="476" t="e">
        <f>IF(D187="","",Tables!B11)</f>
        <v>#N/A</v>
      </c>
      <c r="D187" s="476" t="e">
        <f>IF(HLOOKUP($C$135,Tables!$A$1:$H$23,ROW()-176)=0,"",HLOOKUP($C$135,Tables!$A$1:$H$23,ROW()-176))</f>
        <v>#N/A</v>
      </c>
      <c r="E187" s="451" t="e">
        <f t="shared" si="48"/>
        <v>#N/A</v>
      </c>
      <c r="F187" s="451" t="e">
        <f t="shared" si="49"/>
        <v>#N/A</v>
      </c>
      <c r="G187" s="451" t="e">
        <f t="shared" si="50"/>
        <v>#N/A</v>
      </c>
      <c r="H187" s="451" t="e">
        <f t="shared" si="51"/>
        <v>#N/A</v>
      </c>
      <c r="I187" s="451" t="e">
        <f t="shared" si="44"/>
        <v>#N/A</v>
      </c>
      <c r="J187" s="451" t="e">
        <f t="shared" si="52"/>
        <v>#N/A</v>
      </c>
      <c r="K187" s="451" t="e">
        <f t="shared" si="45"/>
        <v>#N/A</v>
      </c>
      <c r="L187" s="451" t="e">
        <f t="shared" si="53"/>
        <v>#N/A</v>
      </c>
      <c r="M187" s="544"/>
      <c r="N187" s="451" t="e">
        <f t="shared" si="46"/>
        <v>#N/A</v>
      </c>
      <c r="O187" s="451" t="e">
        <f t="shared" si="54"/>
        <v>#N/A</v>
      </c>
      <c r="P187" s="451" t="e">
        <f t="shared" si="55"/>
        <v>#N/A</v>
      </c>
      <c r="Q187" s="451" t="e">
        <f t="shared" si="56"/>
        <v>#N/A</v>
      </c>
      <c r="R187" s="451" t="e">
        <f t="shared" si="57"/>
        <v>#N/A</v>
      </c>
      <c r="S187" s="451" t="e">
        <f t="shared" si="47"/>
        <v>#N/A</v>
      </c>
      <c r="T187" s="451" t="e">
        <f>IF(D187="","",IF('General Info and Test Results'!$C$34="Yes",1+(0.03*(1-((MAX(1.5,'H2 Test Recorded Data'!$D$11)-1.5)/(MIN(12,'H2 Test Recorded Data'!$D$12)-1.5)))),1))</f>
        <v>#N/A</v>
      </c>
      <c r="U187" s="454"/>
      <c r="V187" s="465"/>
      <c r="W187" s="443"/>
      <c r="X187" s="443"/>
      <c r="Y187" s="545"/>
      <c r="Z187" s="524"/>
      <c r="AA187" s="524"/>
      <c r="AB187" s="524"/>
      <c r="AC187" s="524"/>
      <c r="AD187" s="524"/>
      <c r="AE187" s="525"/>
      <c r="AF187" s="443"/>
      <c r="AG187" s="444"/>
    </row>
    <row r="188" spans="2:33" x14ac:dyDescent="0.35">
      <c r="B188" s="475" t="e">
        <f>IF(C188="","",Tables!A12)</f>
        <v>#N/A</v>
      </c>
      <c r="C188" s="476" t="e">
        <f>IF(D188="","",Tables!B12)</f>
        <v>#N/A</v>
      </c>
      <c r="D188" s="476" t="e">
        <f>IF(HLOOKUP($C$135,Tables!$A$1:$H$23,ROW()-176)=0,"",HLOOKUP($C$135,Tables!$A$1:$H$23,ROW()-176))</f>
        <v>#N/A</v>
      </c>
      <c r="E188" s="451" t="e">
        <f t="shared" si="48"/>
        <v>#N/A</v>
      </c>
      <c r="F188" s="451" t="e">
        <f t="shared" si="49"/>
        <v>#N/A</v>
      </c>
      <c r="G188" s="451" t="e">
        <f t="shared" si="50"/>
        <v>#N/A</v>
      </c>
      <c r="H188" s="451" t="e">
        <f t="shared" si="51"/>
        <v>#N/A</v>
      </c>
      <c r="I188" s="451" t="e">
        <f t="shared" si="44"/>
        <v>#N/A</v>
      </c>
      <c r="J188" s="451" t="e">
        <f t="shared" si="52"/>
        <v>#N/A</v>
      </c>
      <c r="K188" s="451" t="e">
        <f t="shared" si="45"/>
        <v>#N/A</v>
      </c>
      <c r="L188" s="451" t="e">
        <f t="shared" si="53"/>
        <v>#N/A</v>
      </c>
      <c r="M188" s="544"/>
      <c r="N188" s="451" t="e">
        <f t="shared" si="46"/>
        <v>#N/A</v>
      </c>
      <c r="O188" s="451" t="e">
        <f t="shared" si="54"/>
        <v>#N/A</v>
      </c>
      <c r="P188" s="451" t="e">
        <f t="shared" si="55"/>
        <v>#N/A</v>
      </c>
      <c r="Q188" s="451" t="e">
        <f t="shared" si="56"/>
        <v>#N/A</v>
      </c>
      <c r="R188" s="451" t="e">
        <f t="shared" si="57"/>
        <v>#N/A</v>
      </c>
      <c r="S188" s="451" t="e">
        <f t="shared" si="47"/>
        <v>#N/A</v>
      </c>
      <c r="T188" s="451" t="e">
        <f>IF(D188="","",IF('General Info and Test Results'!$C$34="Yes",1+(0.03*(1-((MAX(1.5,'H2 Test Recorded Data'!$D$11)-1.5)/(MIN(12,'H2 Test Recorded Data'!$D$12)-1.5)))),1))</f>
        <v>#N/A</v>
      </c>
      <c r="U188" s="454"/>
      <c r="V188" s="465"/>
      <c r="W188" s="443"/>
      <c r="X188" s="443"/>
      <c r="Y188" s="545"/>
      <c r="Z188" s="524"/>
      <c r="AA188" s="524"/>
      <c r="AB188" s="524"/>
      <c r="AC188" s="524"/>
      <c r="AD188" s="524"/>
      <c r="AE188" s="525"/>
      <c r="AF188" s="443"/>
      <c r="AG188" s="444"/>
    </row>
    <row r="189" spans="2:33" x14ac:dyDescent="0.35">
      <c r="B189" s="475" t="e">
        <f>IF(C189="","",Tables!A13)</f>
        <v>#N/A</v>
      </c>
      <c r="C189" s="476" t="e">
        <f>IF(D189="","",Tables!B13)</f>
        <v>#N/A</v>
      </c>
      <c r="D189" s="476" t="e">
        <f>IF(HLOOKUP($C$135,Tables!$A$1:$H$23,ROW()-176)=0,"",HLOOKUP($C$135,Tables!$A$1:$H$23,ROW()-176))</f>
        <v>#N/A</v>
      </c>
      <c r="E189" s="451" t="e">
        <f t="shared" si="48"/>
        <v>#N/A</v>
      </c>
      <c r="F189" s="451" t="e">
        <f t="shared" si="49"/>
        <v>#N/A</v>
      </c>
      <c r="G189" s="451" t="e">
        <f t="shared" si="50"/>
        <v>#N/A</v>
      </c>
      <c r="H189" s="451" t="e">
        <f t="shared" si="51"/>
        <v>#N/A</v>
      </c>
      <c r="I189" s="451" t="e">
        <f t="shared" si="44"/>
        <v>#N/A</v>
      </c>
      <c r="J189" s="451" t="e">
        <f t="shared" si="52"/>
        <v>#N/A</v>
      </c>
      <c r="K189" s="451" t="e">
        <f t="shared" si="45"/>
        <v>#N/A</v>
      </c>
      <c r="L189" s="451" t="e">
        <f t="shared" si="53"/>
        <v>#N/A</v>
      </c>
      <c r="M189" s="544"/>
      <c r="N189" s="451" t="e">
        <f t="shared" si="46"/>
        <v>#N/A</v>
      </c>
      <c r="O189" s="451" t="e">
        <f t="shared" si="54"/>
        <v>#N/A</v>
      </c>
      <c r="P189" s="451" t="e">
        <f t="shared" si="55"/>
        <v>#N/A</v>
      </c>
      <c r="Q189" s="451" t="e">
        <f t="shared" si="56"/>
        <v>#N/A</v>
      </c>
      <c r="R189" s="451" t="e">
        <f t="shared" si="57"/>
        <v>#N/A</v>
      </c>
      <c r="S189" s="451" t="e">
        <f t="shared" si="47"/>
        <v>#N/A</v>
      </c>
      <c r="T189" s="451" t="e">
        <f>IF(D189="","",IF('General Info and Test Results'!$C$34="Yes",1+(0.03*(1-((MAX(1.5,'H2 Test Recorded Data'!$D$11)-1.5)/(MIN(12,'H2 Test Recorded Data'!$D$12)-1.5)))),1))</f>
        <v>#N/A</v>
      </c>
      <c r="U189" s="454"/>
      <c r="V189" s="465"/>
      <c r="W189" s="443"/>
      <c r="X189" s="443"/>
      <c r="Y189" s="545"/>
      <c r="Z189" s="524"/>
      <c r="AA189" s="524"/>
      <c r="AB189" s="524"/>
      <c r="AC189" s="524"/>
      <c r="AD189" s="524"/>
      <c r="AE189" s="525"/>
      <c r="AF189" s="443"/>
      <c r="AG189" s="444"/>
    </row>
    <row r="190" spans="2:33" x14ac:dyDescent="0.35">
      <c r="B190" s="475" t="e">
        <f>IF(C190="","",Tables!A14)</f>
        <v>#N/A</v>
      </c>
      <c r="C190" s="476" t="e">
        <f>IF(D190="","",Tables!B14)</f>
        <v>#N/A</v>
      </c>
      <c r="D190" s="476" t="e">
        <f>IF(HLOOKUP($C$135,Tables!$A$1:$H$23,ROW()-176)=0,"",HLOOKUP($C$135,Tables!$A$1:$H$23,ROW()-176))</f>
        <v>#N/A</v>
      </c>
      <c r="E190" s="451" t="e">
        <f t="shared" si="48"/>
        <v>#N/A</v>
      </c>
      <c r="F190" s="451" t="e">
        <f t="shared" si="49"/>
        <v>#N/A</v>
      </c>
      <c r="G190" s="451" t="e">
        <f t="shared" si="50"/>
        <v>#N/A</v>
      </c>
      <c r="H190" s="451" t="e">
        <f t="shared" si="51"/>
        <v>#N/A</v>
      </c>
      <c r="I190" s="451" t="e">
        <f t="shared" si="44"/>
        <v>#N/A</v>
      </c>
      <c r="J190" s="451" t="e">
        <f t="shared" si="52"/>
        <v>#N/A</v>
      </c>
      <c r="K190" s="451" t="e">
        <f t="shared" si="45"/>
        <v>#N/A</v>
      </c>
      <c r="L190" s="451" t="e">
        <f t="shared" si="53"/>
        <v>#N/A</v>
      </c>
      <c r="M190" s="544"/>
      <c r="N190" s="451" t="e">
        <f t="shared" si="46"/>
        <v>#N/A</v>
      </c>
      <c r="O190" s="451" t="e">
        <f t="shared" si="54"/>
        <v>#N/A</v>
      </c>
      <c r="P190" s="451" t="e">
        <f t="shared" si="55"/>
        <v>#N/A</v>
      </c>
      <c r="Q190" s="451" t="e">
        <f t="shared" si="56"/>
        <v>#N/A</v>
      </c>
      <c r="R190" s="451" t="e">
        <f t="shared" si="57"/>
        <v>#N/A</v>
      </c>
      <c r="S190" s="451" t="e">
        <f t="shared" si="47"/>
        <v>#N/A</v>
      </c>
      <c r="T190" s="451" t="e">
        <f>IF(D190="","",IF('General Info and Test Results'!$C$34="Yes",1+(0.03*(1-((MAX(1.5,'H2 Test Recorded Data'!$D$11)-1.5)/(MIN(12,'H2 Test Recorded Data'!$D$12)-1.5)))),1))</f>
        <v>#N/A</v>
      </c>
      <c r="U190" s="454"/>
      <c r="V190" s="465"/>
      <c r="W190" s="443"/>
      <c r="X190" s="443"/>
      <c r="Y190" s="545"/>
      <c r="Z190" s="524"/>
      <c r="AA190" s="524"/>
      <c r="AB190" s="524"/>
      <c r="AC190" s="524"/>
      <c r="AD190" s="524"/>
      <c r="AE190" s="525"/>
      <c r="AF190" s="443"/>
      <c r="AG190" s="444"/>
    </row>
    <row r="191" spans="2:33" x14ac:dyDescent="0.35">
      <c r="B191" s="475" t="e">
        <f>IF(C191="","",Tables!A15)</f>
        <v>#N/A</v>
      </c>
      <c r="C191" s="476" t="e">
        <f>IF(D191="","",Tables!B15)</f>
        <v>#N/A</v>
      </c>
      <c r="D191" s="476" t="e">
        <f>IF(HLOOKUP($C$135,Tables!$A$1:$H$23,ROW()-176)=0,"",HLOOKUP($C$135,Tables!$A$1:$H$23,ROW()-176))</f>
        <v>#N/A</v>
      </c>
      <c r="E191" s="451" t="e">
        <f t="shared" si="48"/>
        <v>#N/A</v>
      </c>
      <c r="F191" s="451" t="e">
        <f t="shared" si="49"/>
        <v>#N/A</v>
      </c>
      <c r="G191" s="451" t="e">
        <f t="shared" si="50"/>
        <v>#N/A</v>
      </c>
      <c r="H191" s="451" t="e">
        <f t="shared" si="51"/>
        <v>#N/A</v>
      </c>
      <c r="I191" s="451" t="e">
        <f t="shared" si="44"/>
        <v>#N/A</v>
      </c>
      <c r="J191" s="451" t="e">
        <f t="shared" si="52"/>
        <v>#N/A</v>
      </c>
      <c r="K191" s="451" t="e">
        <f t="shared" si="45"/>
        <v>#N/A</v>
      </c>
      <c r="L191" s="451" t="e">
        <f t="shared" si="53"/>
        <v>#N/A</v>
      </c>
      <c r="M191" s="544"/>
      <c r="N191" s="451" t="e">
        <f t="shared" si="46"/>
        <v>#N/A</v>
      </c>
      <c r="O191" s="451" t="e">
        <f t="shared" si="54"/>
        <v>#N/A</v>
      </c>
      <c r="P191" s="451" t="e">
        <f t="shared" si="55"/>
        <v>#N/A</v>
      </c>
      <c r="Q191" s="451" t="e">
        <f t="shared" si="56"/>
        <v>#N/A</v>
      </c>
      <c r="R191" s="451" t="e">
        <f t="shared" si="57"/>
        <v>#N/A</v>
      </c>
      <c r="S191" s="451" t="e">
        <f t="shared" si="47"/>
        <v>#N/A</v>
      </c>
      <c r="T191" s="451" t="e">
        <f>IF(D191="","",IF('General Info and Test Results'!$C$34="Yes",1+(0.03*(1-((MAX(1.5,'H2 Test Recorded Data'!$D$11)-1.5)/(MIN(12,'H2 Test Recorded Data'!$D$12)-1.5)))),1))</f>
        <v>#N/A</v>
      </c>
      <c r="U191" s="454"/>
      <c r="V191" s="465"/>
      <c r="W191" s="443"/>
      <c r="X191" s="443"/>
      <c r="Y191" s="545"/>
      <c r="Z191" s="524" t="s">
        <v>255</v>
      </c>
      <c r="AA191" s="524"/>
      <c r="AB191" s="524"/>
      <c r="AC191" s="524"/>
      <c r="AD191" s="524"/>
      <c r="AE191" s="525"/>
      <c r="AF191" s="443"/>
      <c r="AG191" s="444"/>
    </row>
    <row r="192" spans="2:33" x14ac:dyDescent="0.35">
      <c r="B192" s="475" t="e">
        <f>IF(C192="","",Tables!A16)</f>
        <v>#N/A</v>
      </c>
      <c r="C192" s="476" t="e">
        <f>IF(D192="","",Tables!B16)</f>
        <v>#N/A</v>
      </c>
      <c r="D192" s="476" t="e">
        <f>IF(HLOOKUP($C$135,Tables!$A$1:$H$23,ROW()-176)=0,"",HLOOKUP($C$135,Tables!$A$1:$H$23,ROW()-176))</f>
        <v>#N/A</v>
      </c>
      <c r="E192" s="451" t="e">
        <f t="shared" si="48"/>
        <v>#N/A</v>
      </c>
      <c r="F192" s="451" t="e">
        <f t="shared" si="49"/>
        <v>#N/A</v>
      </c>
      <c r="G192" s="451" t="e">
        <f t="shared" si="50"/>
        <v>#N/A</v>
      </c>
      <c r="H192" s="451" t="e">
        <f t="shared" si="51"/>
        <v>#N/A</v>
      </c>
      <c r="I192" s="451" t="e">
        <f t="shared" si="44"/>
        <v>#N/A</v>
      </c>
      <c r="J192" s="451" t="e">
        <f t="shared" si="52"/>
        <v>#N/A</v>
      </c>
      <c r="K192" s="451" t="e">
        <f t="shared" si="45"/>
        <v>#N/A</v>
      </c>
      <c r="L192" s="451" t="e">
        <f t="shared" si="53"/>
        <v>#N/A</v>
      </c>
      <c r="M192" s="544"/>
      <c r="N192" s="451" t="e">
        <f t="shared" si="46"/>
        <v>#N/A</v>
      </c>
      <c r="O192" s="451" t="e">
        <f t="shared" si="54"/>
        <v>#N/A</v>
      </c>
      <c r="P192" s="451" t="e">
        <f t="shared" si="55"/>
        <v>#N/A</v>
      </c>
      <c r="Q192" s="451" t="e">
        <f t="shared" si="56"/>
        <v>#N/A</v>
      </c>
      <c r="R192" s="451" t="e">
        <f t="shared" si="57"/>
        <v>#N/A</v>
      </c>
      <c r="S192" s="451" t="e">
        <f t="shared" si="47"/>
        <v>#N/A</v>
      </c>
      <c r="T192" s="451" t="e">
        <f>IF(D192="","",IF('General Info and Test Results'!$C$34="Yes",1+(0.03*(1-((MAX(1.5,'H2 Test Recorded Data'!$D$11)-1.5)/(MIN(12,'H2 Test Recorded Data'!$D$12)-1.5)))),1))</f>
        <v>#N/A</v>
      </c>
      <c r="U192" s="454"/>
      <c r="V192" s="465"/>
      <c r="W192" s="443"/>
      <c r="X192" s="443"/>
      <c r="Y192" s="545"/>
      <c r="Z192" s="536" t="s">
        <v>253</v>
      </c>
      <c r="AA192" s="539" t="e">
        <f>($AC$180^2-$AD$180^2)/($AE$180^2-$AD$180^2)</f>
        <v>#VALUE!</v>
      </c>
      <c r="AB192" s="536" t="s">
        <v>248</v>
      </c>
      <c r="AC192" s="539" t="e">
        <f>((($C$56-$C$44)/(62-47))*(1-$AC$194))+($AC$194*(($C$48-$C$51)/(35-17)))</f>
        <v>#VALUE!</v>
      </c>
      <c r="AD192" s="536" t="s">
        <v>279</v>
      </c>
      <c r="AE192" s="547" t="e">
        <f>$C$44+(($C$56-$C$44)/(62-47))*(35-47)</f>
        <v>#VALUE!</v>
      </c>
      <c r="AF192" s="443"/>
      <c r="AG192" s="444"/>
    </row>
    <row r="193" spans="2:33" x14ac:dyDescent="0.35">
      <c r="B193" s="475" t="e">
        <f>IF(C193="","",Tables!A17)</f>
        <v>#N/A</v>
      </c>
      <c r="C193" s="476" t="e">
        <f>IF(D193="","",Tables!B17)</f>
        <v>#N/A</v>
      </c>
      <c r="D193" s="476" t="e">
        <f>IF(HLOOKUP($C$135,Tables!$A$1:$H$23,ROW()-176)=0,"",HLOOKUP($C$135,Tables!$A$1:$H$23,ROW()-176))</f>
        <v>#N/A</v>
      </c>
      <c r="E193" s="451" t="e">
        <f t="shared" si="48"/>
        <v>#N/A</v>
      </c>
      <c r="F193" s="451" t="e">
        <f t="shared" si="49"/>
        <v>#N/A</v>
      </c>
      <c r="G193" s="451" t="e">
        <f t="shared" si="50"/>
        <v>#N/A</v>
      </c>
      <c r="H193" s="451" t="e">
        <f t="shared" si="51"/>
        <v>#N/A</v>
      </c>
      <c r="I193" s="451" t="e">
        <f t="shared" si="44"/>
        <v>#N/A</v>
      </c>
      <c r="J193" s="451" t="e">
        <f t="shared" si="52"/>
        <v>#N/A</v>
      </c>
      <c r="K193" s="451" t="e">
        <f t="shared" si="45"/>
        <v>#N/A</v>
      </c>
      <c r="L193" s="451" t="e">
        <f t="shared" si="53"/>
        <v>#N/A</v>
      </c>
      <c r="M193" s="544"/>
      <c r="N193" s="451" t="e">
        <f t="shared" si="46"/>
        <v>#N/A</v>
      </c>
      <c r="O193" s="451" t="e">
        <f t="shared" si="54"/>
        <v>#N/A</v>
      </c>
      <c r="P193" s="451" t="e">
        <f t="shared" si="55"/>
        <v>#N/A</v>
      </c>
      <c r="Q193" s="451" t="e">
        <f t="shared" si="56"/>
        <v>#N/A</v>
      </c>
      <c r="R193" s="451" t="e">
        <f t="shared" si="57"/>
        <v>#N/A</v>
      </c>
      <c r="S193" s="451" t="e">
        <f t="shared" si="47"/>
        <v>#N/A</v>
      </c>
      <c r="T193" s="451" t="e">
        <f>IF(D193="","",IF('General Info and Test Results'!$C$34="Yes",1+(0.03*(1-((MAX(1.5,'H2 Test Recorded Data'!$D$11)-1.5)/(MIN(12,'H2 Test Recorded Data'!$D$12)-1.5)))),1))</f>
        <v>#N/A</v>
      </c>
      <c r="U193" s="454"/>
      <c r="V193" s="465"/>
      <c r="W193" s="443"/>
      <c r="X193" s="443"/>
      <c r="Y193" s="545"/>
      <c r="Z193" s="536" t="s">
        <v>195</v>
      </c>
      <c r="AA193" s="539" t="e">
        <f>($AB$199-$AB$197-($AA$192*($AB$199-$AB$198)))/($AD$180-$AC$180-($AA$192*($AD$180-$AE$180)))</f>
        <v>#VALUE!</v>
      </c>
      <c r="AB193" s="536" t="s">
        <v>247</v>
      </c>
      <c r="AC193" s="539" t="e">
        <f>((($I$56-$I$44)/(62-47))*(1-$AC$195))+($AC$195*(($I$48-$I$51)/(35-17)))</f>
        <v>#DIV/0!</v>
      </c>
      <c r="AD193" s="536" t="s">
        <v>280</v>
      </c>
      <c r="AE193" s="547">
        <f>$I$44+(($I$56-$I$44)/(62-47))*(35-47)</f>
        <v>0</v>
      </c>
      <c r="AF193" s="443"/>
      <c r="AG193" s="444"/>
    </row>
    <row r="194" spans="2:33" x14ac:dyDescent="0.35">
      <c r="B194" s="475" t="e">
        <f>IF(C194="","",Tables!A18)</f>
        <v>#N/A</v>
      </c>
      <c r="C194" s="476" t="e">
        <f>IF(D194="","",Tables!B18)</f>
        <v>#N/A</v>
      </c>
      <c r="D194" s="476" t="e">
        <f>IF(HLOOKUP($C$135,Tables!$A$1:$H$23,ROW()-176)=0,"",HLOOKUP($C$135,Tables!$A$1:$H$23,ROW()-176))</f>
        <v>#N/A</v>
      </c>
      <c r="E194" s="451" t="e">
        <f t="shared" si="48"/>
        <v>#N/A</v>
      </c>
      <c r="F194" s="451" t="e">
        <f t="shared" si="49"/>
        <v>#N/A</v>
      </c>
      <c r="G194" s="451" t="e">
        <f t="shared" si="50"/>
        <v>#N/A</v>
      </c>
      <c r="H194" s="451" t="e">
        <f t="shared" si="51"/>
        <v>#N/A</v>
      </c>
      <c r="I194" s="451" t="e">
        <f t="shared" si="44"/>
        <v>#N/A</v>
      </c>
      <c r="J194" s="451" t="e">
        <f t="shared" si="52"/>
        <v>#N/A</v>
      </c>
      <c r="K194" s="451" t="e">
        <f t="shared" si="45"/>
        <v>#N/A</v>
      </c>
      <c r="L194" s="451" t="e">
        <f t="shared" si="53"/>
        <v>#N/A</v>
      </c>
      <c r="M194" s="544"/>
      <c r="N194" s="451" t="e">
        <f t="shared" si="46"/>
        <v>#N/A</v>
      </c>
      <c r="O194" s="451" t="e">
        <f t="shared" si="54"/>
        <v>#N/A</v>
      </c>
      <c r="P194" s="451" t="e">
        <f t="shared" si="55"/>
        <v>#N/A</v>
      </c>
      <c r="Q194" s="451" t="e">
        <f t="shared" si="56"/>
        <v>#N/A</v>
      </c>
      <c r="R194" s="451" t="e">
        <f t="shared" si="57"/>
        <v>#N/A</v>
      </c>
      <c r="S194" s="451" t="e">
        <f t="shared" si="47"/>
        <v>#N/A</v>
      </c>
      <c r="T194" s="451" t="e">
        <f>IF(D194="","",IF('General Info and Test Results'!$C$34="Yes",1+(0.03*(1-((MAX(1.5,'H2 Test Recorded Data'!$D$11)-1.5)/(MIN(12,'H2 Test Recorded Data'!$D$12)-1.5)))),1))</f>
        <v>#N/A</v>
      </c>
      <c r="U194" s="454"/>
      <c r="V194" s="465"/>
      <c r="W194" s="443"/>
      <c r="X194" s="443"/>
      <c r="Y194" s="545"/>
      <c r="Z194" s="536" t="s">
        <v>254</v>
      </c>
      <c r="AA194" s="539" t="e">
        <f>($AB$199-$AB$197-($AA$193*($AD$180-$AC$180)))/($AD$180^2-$AC$180^2)</f>
        <v>#VALUE!</v>
      </c>
      <c r="AB194" s="536" t="s">
        <v>250</v>
      </c>
      <c r="AC194" s="539" t="e">
        <f>($C$57-AE192)/($C$48-AE192)</f>
        <v>#VALUE!</v>
      </c>
      <c r="AD194" s="524"/>
      <c r="AE194" s="525"/>
      <c r="AF194" s="443"/>
      <c r="AG194" s="444"/>
    </row>
    <row r="195" spans="2:33" x14ac:dyDescent="0.35">
      <c r="B195" s="475" t="e">
        <f>IF(C195="","",Tables!A19)</f>
        <v>#N/A</v>
      </c>
      <c r="C195" s="476" t="e">
        <f>IF(D195="","",Tables!B19)</f>
        <v>#N/A</v>
      </c>
      <c r="D195" s="476" t="e">
        <f>IF(HLOOKUP($C$135,Tables!$A$1:$H$23,ROW()-176)=0,"",HLOOKUP($C$135,Tables!$A$1:$H$23,ROW()-176))</f>
        <v>#N/A</v>
      </c>
      <c r="E195" s="451" t="e">
        <f t="shared" si="48"/>
        <v>#N/A</v>
      </c>
      <c r="F195" s="451" t="e">
        <f t="shared" si="49"/>
        <v>#N/A</v>
      </c>
      <c r="G195" s="451" t="e">
        <f t="shared" si="50"/>
        <v>#N/A</v>
      </c>
      <c r="H195" s="451" t="e">
        <f t="shared" si="51"/>
        <v>#N/A</v>
      </c>
      <c r="I195" s="451" t="e">
        <f t="shared" si="44"/>
        <v>#N/A</v>
      </c>
      <c r="J195" s="451" t="e">
        <f t="shared" si="52"/>
        <v>#N/A</v>
      </c>
      <c r="K195" s="451" t="e">
        <f t="shared" si="45"/>
        <v>#N/A</v>
      </c>
      <c r="L195" s="451" t="e">
        <f t="shared" si="53"/>
        <v>#N/A</v>
      </c>
      <c r="M195" s="544"/>
      <c r="N195" s="451" t="e">
        <f t="shared" si="46"/>
        <v>#N/A</v>
      </c>
      <c r="O195" s="451" t="e">
        <f t="shared" si="54"/>
        <v>#N/A</v>
      </c>
      <c r="P195" s="451" t="e">
        <f t="shared" si="55"/>
        <v>#N/A</v>
      </c>
      <c r="Q195" s="451" t="e">
        <f t="shared" si="56"/>
        <v>#N/A</v>
      </c>
      <c r="R195" s="451" t="e">
        <f t="shared" si="57"/>
        <v>#N/A</v>
      </c>
      <c r="S195" s="451" t="e">
        <f t="shared" si="47"/>
        <v>#N/A</v>
      </c>
      <c r="T195" s="451" t="e">
        <f>IF(D195="","",IF('General Info and Test Results'!$C$34="Yes",1+(0.03*(1-((MAX(1.5,'H2 Test Recorded Data'!$D$11)-1.5)/(MIN(12,'H2 Test Recorded Data'!$D$12)-1.5)))),1))</f>
        <v>#N/A</v>
      </c>
      <c r="U195" s="454"/>
      <c r="V195" s="465"/>
      <c r="W195" s="443"/>
      <c r="X195" s="443"/>
      <c r="Y195" s="545"/>
      <c r="Z195" s="536" t="s">
        <v>54</v>
      </c>
      <c r="AA195" s="539" t="e">
        <f>$AB$199-$AA$193*$AD$180-$AA$194*$AD$180^2</f>
        <v>#VALUE!</v>
      </c>
      <c r="AB195" s="536" t="s">
        <v>251</v>
      </c>
      <c r="AC195" s="539" t="e">
        <f>($I$57-AE193)/($I$48-AE193)</f>
        <v>#DIV/0!</v>
      </c>
      <c r="AD195" s="524"/>
      <c r="AE195" s="525"/>
      <c r="AF195" s="443"/>
      <c r="AG195" s="444"/>
    </row>
    <row r="196" spans="2:33" x14ac:dyDescent="0.35">
      <c r="B196" s="475" t="e">
        <f>IF(C196="","",Tables!A20)</f>
        <v>#N/A</v>
      </c>
      <c r="C196" s="476" t="e">
        <f>IF(D196="","",Tables!B20)</f>
        <v>#N/A</v>
      </c>
      <c r="D196" s="476" t="e">
        <f>IF(HLOOKUP($C$135,Tables!$A$1:$H$23,ROW()-176)=0,"",HLOOKUP($C$135,Tables!$A$1:$H$23,ROW()-176))</f>
        <v>#N/A</v>
      </c>
      <c r="E196" s="451" t="e">
        <f t="shared" si="48"/>
        <v>#N/A</v>
      </c>
      <c r="F196" s="451" t="e">
        <f t="shared" si="49"/>
        <v>#N/A</v>
      </c>
      <c r="G196" s="451" t="e">
        <f t="shared" si="50"/>
        <v>#N/A</v>
      </c>
      <c r="H196" s="451" t="e">
        <f t="shared" si="51"/>
        <v>#N/A</v>
      </c>
      <c r="I196" s="451" t="e">
        <f t="shared" si="44"/>
        <v>#N/A</v>
      </c>
      <c r="J196" s="451" t="e">
        <f t="shared" si="52"/>
        <v>#N/A</v>
      </c>
      <c r="K196" s="451" t="e">
        <f t="shared" si="45"/>
        <v>#N/A</v>
      </c>
      <c r="L196" s="451" t="e">
        <f t="shared" si="53"/>
        <v>#N/A</v>
      </c>
      <c r="M196" s="544"/>
      <c r="N196" s="451" t="e">
        <f t="shared" si="46"/>
        <v>#N/A</v>
      </c>
      <c r="O196" s="451" t="e">
        <f t="shared" si="54"/>
        <v>#N/A</v>
      </c>
      <c r="P196" s="451" t="e">
        <f t="shared" si="55"/>
        <v>#N/A</v>
      </c>
      <c r="Q196" s="451" t="e">
        <f t="shared" si="56"/>
        <v>#N/A</v>
      </c>
      <c r="R196" s="451" t="e">
        <f t="shared" si="57"/>
        <v>#N/A</v>
      </c>
      <c r="S196" s="451" t="e">
        <f t="shared" si="47"/>
        <v>#N/A</v>
      </c>
      <c r="T196" s="451" t="e">
        <f>IF(D196="","",IF('General Info and Test Results'!$C$34="Yes",1+(0.03*(1-((MAX(1.5,'H2 Test Recorded Data'!$D$11)-1.5)/(MIN(12,'H2 Test Recorded Data'!$D$12)-1.5)))),1))</f>
        <v>#N/A</v>
      </c>
      <c r="U196" s="454"/>
      <c r="V196" s="465"/>
      <c r="W196" s="443"/>
      <c r="X196" s="443"/>
      <c r="Y196" s="545"/>
      <c r="Z196" s="524"/>
      <c r="AA196" s="524"/>
      <c r="AB196" s="524"/>
      <c r="AC196" s="524"/>
      <c r="AD196" s="524"/>
      <c r="AE196" s="525"/>
      <c r="AF196" s="443"/>
      <c r="AG196" s="444"/>
    </row>
    <row r="197" spans="2:33" x14ac:dyDescent="0.35">
      <c r="B197" s="475" t="e">
        <f>IF(C197="","",Tables!A21)</f>
        <v>#N/A</v>
      </c>
      <c r="C197" s="476" t="e">
        <f>IF(D197="","",Tables!B21)</f>
        <v>#N/A</v>
      </c>
      <c r="D197" s="476" t="e">
        <f>IF(HLOOKUP($C$135,Tables!$A$1:$H$23,ROW()-176)=0,"",HLOOKUP($C$135,Tables!$A$1:$H$23,ROW()-176))</f>
        <v>#N/A</v>
      </c>
      <c r="E197" s="451" t="e">
        <f t="shared" si="48"/>
        <v>#N/A</v>
      </c>
      <c r="F197" s="451" t="e">
        <f t="shared" si="49"/>
        <v>#N/A</v>
      </c>
      <c r="G197" s="451" t="e">
        <f t="shared" si="50"/>
        <v>#N/A</v>
      </c>
      <c r="H197" s="451" t="e">
        <f t="shared" si="51"/>
        <v>#N/A</v>
      </c>
      <c r="I197" s="451" t="e">
        <f t="shared" si="44"/>
        <v>#N/A</v>
      </c>
      <c r="J197" s="451" t="e">
        <f t="shared" si="52"/>
        <v>#N/A</v>
      </c>
      <c r="K197" s="451" t="e">
        <f t="shared" si="45"/>
        <v>#N/A</v>
      </c>
      <c r="L197" s="451" t="e">
        <f t="shared" si="53"/>
        <v>#N/A</v>
      </c>
      <c r="M197" s="544"/>
      <c r="N197" s="451" t="e">
        <f t="shared" si="46"/>
        <v>#N/A</v>
      </c>
      <c r="O197" s="451" t="e">
        <f t="shared" si="54"/>
        <v>#N/A</v>
      </c>
      <c r="P197" s="451" t="e">
        <f t="shared" si="55"/>
        <v>#N/A</v>
      </c>
      <c r="Q197" s="451" t="e">
        <f t="shared" si="56"/>
        <v>#N/A</v>
      </c>
      <c r="R197" s="451" t="e">
        <f t="shared" si="57"/>
        <v>#N/A</v>
      </c>
      <c r="S197" s="451" t="e">
        <f t="shared" si="47"/>
        <v>#N/A</v>
      </c>
      <c r="T197" s="451" t="e">
        <f>IF(D197="","",IF('General Info and Test Results'!$C$34="Yes",1+(0.03*(1-((MAX(1.5,'H2 Test Recorded Data'!$D$11)-1.5)/(MIN(12,'H2 Test Recorded Data'!$D$12)-1.5)))),1))</f>
        <v>#N/A</v>
      </c>
      <c r="U197" s="454"/>
      <c r="V197" s="465"/>
      <c r="W197" s="443"/>
      <c r="X197" s="443"/>
      <c r="Y197" s="545"/>
      <c r="Z197" s="524"/>
      <c r="AA197" s="536" t="s">
        <v>292</v>
      </c>
      <c r="AB197" s="539" t="e">
        <f>($C$44+(($C$56-$C$44)/(62-47))*($AC$180-47))/(3.413*($I$44+(($I$56-$I$44)/(62-47))*($AC$180-47)))</f>
        <v>#VALUE!</v>
      </c>
      <c r="AC197" s="524"/>
      <c r="AD197" s="524"/>
      <c r="AE197" s="525"/>
      <c r="AF197" s="443"/>
      <c r="AG197" s="444"/>
    </row>
    <row r="198" spans="2:33" x14ac:dyDescent="0.35">
      <c r="B198" s="475" t="e">
        <f>IF(C198="","",Tables!A22)</f>
        <v>#N/A</v>
      </c>
      <c r="C198" s="476" t="e">
        <f>IF(D198="","",Tables!B22)</f>
        <v>#N/A</v>
      </c>
      <c r="D198" s="476" t="e">
        <f>IF(HLOOKUP($C$135,Tables!$A$1:$H$23,ROW()-176)=0,"",HLOOKUP($C$135,Tables!$A$1:$H$23,ROW()-176))</f>
        <v>#N/A</v>
      </c>
      <c r="E198" s="451" t="e">
        <f t="shared" si="48"/>
        <v>#N/A</v>
      </c>
      <c r="F198" s="451" t="e">
        <f t="shared" si="49"/>
        <v>#N/A</v>
      </c>
      <c r="G198" s="451" t="e">
        <f t="shared" si="50"/>
        <v>#N/A</v>
      </c>
      <c r="H198" s="451" t="e">
        <f t="shared" si="51"/>
        <v>#N/A</v>
      </c>
      <c r="I198" s="451" t="e">
        <f t="shared" si="44"/>
        <v>#N/A</v>
      </c>
      <c r="J198" s="451" t="e">
        <f t="shared" si="52"/>
        <v>#N/A</v>
      </c>
      <c r="K198" s="451" t="e">
        <f t="shared" si="45"/>
        <v>#N/A</v>
      </c>
      <c r="L198" s="451" t="e">
        <f t="shared" si="53"/>
        <v>#N/A</v>
      </c>
      <c r="M198" s="544"/>
      <c r="N198" s="451" t="e">
        <f t="shared" si="46"/>
        <v>#N/A</v>
      </c>
      <c r="O198" s="451" t="e">
        <f t="shared" si="54"/>
        <v>#N/A</v>
      </c>
      <c r="P198" s="451" t="e">
        <f t="shared" si="55"/>
        <v>#N/A</v>
      </c>
      <c r="Q198" s="451" t="e">
        <f t="shared" si="56"/>
        <v>#N/A</v>
      </c>
      <c r="R198" s="451" t="e">
        <f t="shared" si="57"/>
        <v>#N/A</v>
      </c>
      <c r="S198" s="451" t="e">
        <f t="shared" si="47"/>
        <v>#N/A</v>
      </c>
      <c r="T198" s="451" t="e">
        <f>IF(D198="","",IF('General Info and Test Results'!$C$34="Yes",1+(0.03*(1-((MAX(1.5,'H2 Test Recorded Data'!$D$11)-1.5)/(MIN(12,'H2 Test Recorded Data'!$D$12)-1.5)))),1))</f>
        <v>#N/A</v>
      </c>
      <c r="U198" s="454"/>
      <c r="V198" s="465"/>
      <c r="W198" s="443"/>
      <c r="X198" s="443"/>
      <c r="Y198" s="545"/>
      <c r="Z198" s="524"/>
      <c r="AA198" s="536" t="s">
        <v>294</v>
      </c>
      <c r="AB198" s="539" t="e">
        <f>($C$57+($AC$192*($AE$180-35)))/(3.413*($I$57+($AC$193*($AE$180-35))))</f>
        <v>#VALUE!</v>
      </c>
      <c r="AC198" s="524"/>
      <c r="AD198" s="524"/>
      <c r="AE198" s="525"/>
      <c r="AF198" s="443"/>
      <c r="AG198" s="444"/>
    </row>
    <row r="199" spans="2:33" x14ac:dyDescent="0.35">
      <c r="B199" s="475" t="e">
        <f>IF(C199="","",Tables!A23)</f>
        <v>#N/A</v>
      </c>
      <c r="C199" s="476" t="e">
        <f>IF(D199="","",Tables!B23)</f>
        <v>#N/A</v>
      </c>
      <c r="D199" s="476" t="e">
        <f>IF(HLOOKUP($C$135,Tables!$A$1:$H$23,ROW()-176)=0,"",HLOOKUP($C$135,Tables!$A$1:$H$23,ROW()-176))</f>
        <v>#N/A</v>
      </c>
      <c r="E199" s="451" t="e">
        <f t="shared" si="48"/>
        <v>#N/A</v>
      </c>
      <c r="F199" s="451" t="e">
        <f t="shared" si="49"/>
        <v>#N/A</v>
      </c>
      <c r="G199" s="451" t="e">
        <f t="shared" si="50"/>
        <v>#N/A</v>
      </c>
      <c r="H199" s="451" t="e">
        <f t="shared" si="51"/>
        <v>#N/A</v>
      </c>
      <c r="I199" s="451" t="e">
        <f t="shared" si="44"/>
        <v>#N/A</v>
      </c>
      <c r="J199" s="451" t="e">
        <f t="shared" si="52"/>
        <v>#N/A</v>
      </c>
      <c r="K199" s="451" t="e">
        <f t="shared" si="45"/>
        <v>#N/A</v>
      </c>
      <c r="L199" s="451" t="e">
        <f t="shared" si="53"/>
        <v>#N/A</v>
      </c>
      <c r="M199" s="544"/>
      <c r="N199" s="451" t="e">
        <f t="shared" si="46"/>
        <v>#N/A</v>
      </c>
      <c r="O199" s="451" t="e">
        <f t="shared" si="54"/>
        <v>#N/A</v>
      </c>
      <c r="P199" s="451" t="e">
        <f t="shared" si="55"/>
        <v>#N/A</v>
      </c>
      <c r="Q199" s="451" t="e">
        <f t="shared" si="56"/>
        <v>#N/A</v>
      </c>
      <c r="R199" s="451" t="e">
        <f t="shared" si="57"/>
        <v>#N/A</v>
      </c>
      <c r="S199" s="451" t="e">
        <f t="shared" si="47"/>
        <v>#N/A</v>
      </c>
      <c r="T199" s="451" t="e">
        <f>IF(D199="","",IF('General Info and Test Results'!$C$34="Yes",1+(0.03*(1-((MAX(1.5,'H2 Test Recorded Data'!$D$11)-1.5)/(MIN(12,'H2 Test Recorded Data'!$D$12)-1.5)))),1))</f>
        <v>#N/A</v>
      </c>
      <c r="U199" s="454"/>
      <c r="V199" s="465"/>
      <c r="W199" s="443"/>
      <c r="X199" s="443"/>
      <c r="Y199" s="545"/>
      <c r="Z199" s="524"/>
      <c r="AA199" s="536" t="s">
        <v>293</v>
      </c>
      <c r="AB199" s="539" t="e">
        <f>IF(OR(AD180&gt;=45,AD180&lt;=17),($C$51+(($C$45-$C$51)*($AD$180-17))/(47-17))/(3.413*($I$51+((($I$45-$I$51)*($AD$180-17))/(47-17)))),($C$51+(($C$48-$C$51)*($AD$180-17))/(35-17))/(3.413*($I$51+((($I$48-$I$51)*($AD$180-17))/(35-17)))))</f>
        <v>#VALUE!</v>
      </c>
      <c r="AC199" s="524"/>
      <c r="AD199" s="524"/>
      <c r="AE199" s="525"/>
      <c r="AF199" s="443"/>
      <c r="AG199" s="444"/>
    </row>
    <row r="200" spans="2:33" ht="18.75" thickBot="1" x14ac:dyDescent="0.4">
      <c r="B200" s="464"/>
      <c r="C200" s="456"/>
      <c r="D200" s="456"/>
      <c r="E200" s="456"/>
      <c r="F200" s="456"/>
      <c r="G200" s="456"/>
      <c r="H200" s="456"/>
      <c r="I200" s="456"/>
      <c r="J200" s="456"/>
      <c r="K200" s="456"/>
      <c r="L200" s="456"/>
      <c r="M200" s="456"/>
      <c r="N200" s="456"/>
      <c r="O200" s="456"/>
      <c r="P200" s="456"/>
      <c r="Q200" s="456"/>
      <c r="R200" s="454"/>
      <c r="S200" s="454"/>
      <c r="T200" s="454"/>
      <c r="U200" s="454"/>
      <c r="V200" s="465"/>
      <c r="W200" s="443"/>
      <c r="X200" s="443"/>
      <c r="Y200" s="548"/>
      <c r="Z200" s="549"/>
      <c r="AA200" s="549"/>
      <c r="AB200" s="549"/>
      <c r="AC200" s="549"/>
      <c r="AD200" s="549"/>
      <c r="AE200" s="550"/>
      <c r="AF200" s="443"/>
      <c r="AG200" s="444"/>
    </row>
    <row r="201" spans="2:33" x14ac:dyDescent="0.35">
      <c r="B201" s="512" t="s">
        <v>132</v>
      </c>
      <c r="C201" s="451" t="e">
        <f>SUM(Q182:Q199)</f>
        <v>#N/A</v>
      </c>
      <c r="D201" s="456"/>
      <c r="E201" s="456"/>
      <c r="F201" s="456"/>
      <c r="G201" s="456"/>
      <c r="H201" s="456"/>
      <c r="I201" s="456"/>
      <c r="J201" s="456"/>
      <c r="K201" s="456"/>
      <c r="L201" s="456"/>
      <c r="M201" s="456"/>
      <c r="N201" s="456"/>
      <c r="O201" s="456"/>
      <c r="P201" s="456"/>
      <c r="Q201" s="456"/>
      <c r="R201" s="454"/>
      <c r="S201" s="454"/>
      <c r="T201" s="454"/>
      <c r="U201" s="454"/>
      <c r="V201" s="465"/>
      <c r="W201" s="443"/>
      <c r="X201" s="443"/>
      <c r="Y201" s="443"/>
      <c r="Z201" s="443"/>
      <c r="AA201" s="443"/>
      <c r="AB201" s="443"/>
      <c r="AC201" s="443"/>
      <c r="AD201" s="443"/>
      <c r="AE201" s="443"/>
      <c r="AF201" s="443"/>
      <c r="AG201" s="444"/>
    </row>
    <row r="202" spans="2:33" x14ac:dyDescent="0.35">
      <c r="B202" s="512" t="s">
        <v>133</v>
      </c>
      <c r="C202" s="451" t="e">
        <f>SUM(R182:R199)</f>
        <v>#N/A</v>
      </c>
      <c r="D202" s="456"/>
      <c r="E202" s="456"/>
      <c r="F202" s="456"/>
      <c r="G202" s="456"/>
      <c r="H202" s="456"/>
      <c r="I202" s="456"/>
      <c r="J202" s="456"/>
      <c r="K202" s="456"/>
      <c r="L202" s="456"/>
      <c r="M202" s="456"/>
      <c r="N202" s="456"/>
      <c r="O202" s="456"/>
      <c r="P202" s="456"/>
      <c r="Q202" s="456"/>
      <c r="R202" s="454"/>
      <c r="S202" s="454"/>
      <c r="T202" s="454"/>
      <c r="U202" s="454"/>
      <c r="V202" s="465"/>
      <c r="W202" s="443"/>
      <c r="X202" s="443"/>
      <c r="Y202" s="443"/>
      <c r="Z202" s="443"/>
      <c r="AA202" s="443"/>
      <c r="AB202" s="443"/>
      <c r="AC202" s="443"/>
      <c r="AD202" s="443"/>
      <c r="AE202" s="443"/>
      <c r="AF202" s="443"/>
      <c r="AG202" s="444"/>
    </row>
    <row r="203" spans="2:33" x14ac:dyDescent="0.35">
      <c r="B203" s="512" t="s">
        <v>131</v>
      </c>
      <c r="C203" s="451" t="e">
        <f>SUM(S182:S199)</f>
        <v>#N/A</v>
      </c>
      <c r="D203" s="456"/>
      <c r="E203" s="456"/>
      <c r="F203" s="456"/>
      <c r="G203" s="456"/>
      <c r="H203" s="456"/>
      <c r="I203" s="456"/>
      <c r="J203" s="456"/>
      <c r="K203" s="456"/>
      <c r="L203" s="456"/>
      <c r="M203" s="456"/>
      <c r="N203" s="456"/>
      <c r="O203" s="456"/>
      <c r="P203" s="456"/>
      <c r="Q203" s="456"/>
      <c r="R203" s="454"/>
      <c r="S203" s="454"/>
      <c r="T203" s="454"/>
      <c r="U203" s="454"/>
      <c r="V203" s="465"/>
      <c r="W203" s="443"/>
      <c r="X203" s="443"/>
      <c r="Y203" s="443"/>
      <c r="Z203" s="443"/>
      <c r="AA203" s="443"/>
      <c r="AB203" s="443"/>
      <c r="AC203" s="443"/>
      <c r="AD203" s="443"/>
      <c r="AE203" s="443"/>
      <c r="AF203" s="443"/>
      <c r="AG203" s="444"/>
    </row>
    <row r="204" spans="2:33" ht="38.25" customHeight="1" thickBot="1" x14ac:dyDescent="0.4">
      <c r="B204" s="445"/>
      <c r="C204" s="554" t="s">
        <v>564</v>
      </c>
      <c r="D204" s="879" t="s">
        <v>592</v>
      </c>
      <c r="E204" s="879"/>
      <c r="F204" s="456"/>
      <c r="G204" s="456"/>
      <c r="H204" s="456"/>
      <c r="I204" s="456"/>
      <c r="J204" s="456"/>
      <c r="K204" s="456"/>
      <c r="L204" s="456"/>
      <c r="M204" s="456"/>
      <c r="N204" s="456"/>
      <c r="O204" s="456"/>
      <c r="P204" s="456"/>
      <c r="Q204" s="456"/>
      <c r="R204" s="454"/>
      <c r="S204" s="454"/>
      <c r="T204" s="454"/>
      <c r="U204" s="454"/>
      <c r="V204" s="465"/>
      <c r="W204" s="443"/>
      <c r="X204" s="443"/>
      <c r="Y204" s="443"/>
      <c r="Z204" s="443"/>
      <c r="AA204" s="443"/>
      <c r="AB204" s="443"/>
      <c r="AC204" s="443"/>
      <c r="AD204" s="443"/>
      <c r="AE204" s="443"/>
      <c r="AF204" s="443"/>
      <c r="AG204" s="444"/>
    </row>
    <row r="205" spans="2:33" ht="18.75" thickBot="1" x14ac:dyDescent="0.4">
      <c r="B205" s="471" t="s">
        <v>119</v>
      </c>
      <c r="C205" s="472" t="e">
        <f>(C203/(C201+C202))*T182</f>
        <v>#N/A</v>
      </c>
      <c r="D205" s="977" t="e">
        <f>MROUND(C205,0.025)</f>
        <v>#N/A</v>
      </c>
      <c r="E205" s="977"/>
      <c r="F205" s="456"/>
      <c r="G205" s="456"/>
      <c r="H205" s="456"/>
      <c r="I205" s="456"/>
      <c r="J205" s="456"/>
      <c r="K205" s="456"/>
      <c r="L205" s="456"/>
      <c r="M205" s="456"/>
      <c r="N205" s="456"/>
      <c r="O205" s="456"/>
      <c r="P205" s="456"/>
      <c r="Q205" s="456"/>
      <c r="R205" s="454"/>
      <c r="S205" s="454"/>
      <c r="T205" s="454"/>
      <c r="U205" s="454"/>
      <c r="V205" s="465"/>
      <c r="W205" s="443"/>
      <c r="X205" s="443"/>
      <c r="Y205" s="443"/>
      <c r="Z205" s="443"/>
      <c r="AA205" s="443"/>
      <c r="AB205" s="443"/>
      <c r="AC205" s="443"/>
      <c r="AD205" s="443"/>
      <c r="AE205" s="443"/>
      <c r="AF205" s="443"/>
      <c r="AG205" s="444"/>
    </row>
    <row r="206" spans="2:33" x14ac:dyDescent="0.35">
      <c r="B206" s="464"/>
      <c r="C206" s="456"/>
      <c r="D206" s="456"/>
      <c r="E206" s="456"/>
      <c r="F206" s="456"/>
      <c r="G206" s="456"/>
      <c r="H206" s="456"/>
      <c r="I206" s="456"/>
      <c r="J206" s="456"/>
      <c r="K206" s="456"/>
      <c r="L206" s="456"/>
      <c r="M206" s="456"/>
      <c r="N206" s="456"/>
      <c r="O206" s="456"/>
      <c r="P206" s="456"/>
      <c r="Q206" s="456"/>
      <c r="R206" s="454"/>
      <c r="S206" s="454"/>
      <c r="T206" s="454"/>
      <c r="U206" s="454"/>
      <c r="V206" s="465"/>
      <c r="W206" s="443"/>
      <c r="X206" s="443"/>
      <c r="Y206" s="443"/>
      <c r="Z206" s="443"/>
      <c r="AA206" s="443"/>
      <c r="AB206" s="443"/>
      <c r="AC206" s="443"/>
      <c r="AD206" s="443"/>
      <c r="AE206" s="443"/>
      <c r="AF206" s="443"/>
      <c r="AG206" s="444"/>
    </row>
    <row r="207" spans="2:33" x14ac:dyDescent="0.35">
      <c r="B207" s="466" t="s">
        <v>227</v>
      </c>
      <c r="C207" s="467"/>
      <c r="D207" s="467"/>
      <c r="E207" s="467"/>
      <c r="F207" s="467"/>
      <c r="G207" s="467"/>
      <c r="H207" s="467"/>
      <c r="I207" s="467"/>
      <c r="J207" s="467"/>
      <c r="K207" s="467"/>
      <c r="L207" s="467"/>
      <c r="M207" s="467"/>
      <c r="N207" s="467"/>
      <c r="O207" s="467"/>
      <c r="P207" s="467"/>
      <c r="Q207" s="467"/>
      <c r="R207" s="468"/>
      <c r="S207" s="454"/>
      <c r="T207" s="454"/>
      <c r="U207" s="454"/>
      <c r="V207" s="465"/>
      <c r="W207" s="443"/>
      <c r="X207" s="443"/>
      <c r="Y207" s="443"/>
      <c r="Z207" s="443"/>
      <c r="AA207" s="443"/>
      <c r="AB207" s="443"/>
      <c r="AC207" s="443"/>
      <c r="AD207" s="443"/>
      <c r="AE207" s="443"/>
      <c r="AF207" s="443"/>
      <c r="AG207" s="444"/>
    </row>
    <row r="208" spans="2:33" x14ac:dyDescent="0.35">
      <c r="B208" s="464"/>
      <c r="C208" s="456"/>
      <c r="D208" s="456"/>
      <c r="E208" s="456"/>
      <c r="F208" s="456"/>
      <c r="G208" s="456"/>
      <c r="H208" s="456"/>
      <c r="I208" s="456"/>
      <c r="J208" s="456"/>
      <c r="K208" s="456"/>
      <c r="L208" s="456"/>
      <c r="M208" s="456"/>
      <c r="N208" s="456"/>
      <c r="O208" s="456"/>
      <c r="P208" s="456"/>
      <c r="Q208" s="456"/>
      <c r="R208" s="454"/>
      <c r="S208" s="454"/>
      <c r="T208" s="454"/>
      <c r="U208" s="454"/>
      <c r="V208" s="465"/>
      <c r="W208" s="443"/>
      <c r="X208" s="443"/>
      <c r="Y208" s="443"/>
      <c r="Z208" s="443"/>
      <c r="AA208" s="443"/>
      <c r="AB208" s="443"/>
      <c r="AC208" s="443"/>
      <c r="AD208" s="443"/>
      <c r="AE208" s="443"/>
      <c r="AF208" s="443"/>
      <c r="AG208" s="444"/>
    </row>
    <row r="209" spans="2:33" x14ac:dyDescent="0.35">
      <c r="B209" s="509" t="s">
        <v>350</v>
      </c>
      <c r="C209" s="551">
        <f>IF(C53="", 0.25, ROUND(MIN(0.25,((1-((C53/(3.413*I53))/(C44/(3.413*I44))))/(1-C53/(C44*#REF!)))),2))</f>
        <v>0.25</v>
      </c>
      <c r="D209" s="456"/>
      <c r="E209" s="986" t="s">
        <v>301</v>
      </c>
      <c r="F209" s="988"/>
      <c r="G209" s="490" t="s">
        <v>549</v>
      </c>
      <c r="H209" s="552"/>
      <c r="I209" s="456"/>
      <c r="J209" s="456"/>
      <c r="K209" s="456"/>
      <c r="L209" s="456"/>
      <c r="M209" s="456"/>
      <c r="N209" s="456"/>
      <c r="O209" s="456"/>
      <c r="P209" s="456"/>
      <c r="Q209" s="456"/>
      <c r="R209" s="454"/>
      <c r="S209" s="454"/>
      <c r="T209" s="454"/>
      <c r="U209" s="454"/>
      <c r="V209" s="465"/>
      <c r="W209" s="443"/>
      <c r="X209" s="443"/>
      <c r="Y209" s="443"/>
      <c r="Z209" s="443"/>
      <c r="AA209" s="443"/>
      <c r="AB209" s="443"/>
      <c r="AC209" s="443"/>
      <c r="AD209" s="443"/>
      <c r="AE209" s="443"/>
      <c r="AF209" s="443"/>
      <c r="AG209" s="444"/>
    </row>
    <row r="210" spans="2:33" ht="36" x14ac:dyDescent="0.35">
      <c r="B210" s="469" t="s">
        <v>478</v>
      </c>
      <c r="C210" s="551">
        <f>IF(C54="", $C$209, ROUND(MIN(0.25,((1-((C54/(3.413*I54))/(C45/(3.413*I45))))/(1-C54/(C45*#REF!)))),2))</f>
        <v>0.25</v>
      </c>
      <c r="D210" s="456"/>
      <c r="E210" s="987"/>
      <c r="F210" s="989"/>
      <c r="G210" s="456"/>
      <c r="H210" s="456"/>
      <c r="I210" s="456"/>
      <c r="J210" s="456"/>
      <c r="K210" s="456"/>
      <c r="L210" s="456"/>
      <c r="M210" s="456"/>
      <c r="N210" s="456"/>
      <c r="O210" s="456"/>
      <c r="P210" s="456"/>
      <c r="Q210" s="456"/>
      <c r="R210" s="454"/>
      <c r="S210" s="454"/>
      <c r="T210" s="454"/>
      <c r="U210" s="454"/>
      <c r="V210" s="465"/>
      <c r="W210" s="443"/>
      <c r="X210" s="443"/>
      <c r="Y210" s="443"/>
      <c r="Z210" s="443"/>
      <c r="AA210" s="443"/>
      <c r="AB210" s="443"/>
      <c r="AC210" s="443"/>
      <c r="AD210" s="443"/>
      <c r="AE210" s="443"/>
      <c r="AF210" s="443"/>
      <c r="AG210" s="444"/>
    </row>
    <row r="211" spans="2:33" x14ac:dyDescent="0.35">
      <c r="B211" s="464"/>
      <c r="C211" s="456"/>
      <c r="D211" s="456"/>
      <c r="E211" s="456"/>
      <c r="F211" s="456"/>
      <c r="G211" s="456"/>
      <c r="H211" s="456"/>
      <c r="I211" s="456"/>
      <c r="J211" s="456"/>
      <c r="K211" s="456"/>
      <c r="L211" s="456"/>
      <c r="M211" s="456"/>
      <c r="N211" s="456"/>
      <c r="O211" s="456"/>
      <c r="P211" s="456"/>
      <c r="Q211" s="456"/>
      <c r="R211" s="454"/>
      <c r="S211" s="454"/>
      <c r="T211" s="454"/>
      <c r="U211" s="454"/>
      <c r="V211" s="465"/>
      <c r="W211" s="443"/>
      <c r="X211" s="443"/>
      <c r="Y211" s="443"/>
      <c r="Z211" s="443"/>
      <c r="AA211" s="443"/>
      <c r="AB211" s="443"/>
      <c r="AC211" s="443"/>
      <c r="AD211" s="443"/>
      <c r="AE211" s="443"/>
      <c r="AF211" s="443"/>
      <c r="AG211" s="444"/>
    </row>
    <row r="212" spans="2:33" x14ac:dyDescent="0.35">
      <c r="B212" s="473" t="s">
        <v>130</v>
      </c>
      <c r="C212" s="474" t="s">
        <v>390</v>
      </c>
      <c r="D212" s="474" t="s">
        <v>111</v>
      </c>
      <c r="E212" s="474" t="s">
        <v>392</v>
      </c>
      <c r="F212" s="553" t="s">
        <v>264</v>
      </c>
      <c r="G212" s="553" t="s">
        <v>265</v>
      </c>
      <c r="H212" s="553" t="s">
        <v>271</v>
      </c>
      <c r="I212" s="553" t="s">
        <v>479</v>
      </c>
      <c r="J212" s="553" t="s">
        <v>269</v>
      </c>
      <c r="K212" s="553" t="s">
        <v>270</v>
      </c>
      <c r="L212" s="553" t="s">
        <v>302</v>
      </c>
      <c r="M212" s="553" t="s">
        <v>544</v>
      </c>
      <c r="N212" s="553" t="s">
        <v>114</v>
      </c>
      <c r="O212" s="553" t="s">
        <v>115</v>
      </c>
      <c r="P212" s="474" t="s">
        <v>116</v>
      </c>
      <c r="Q212" s="474" t="s">
        <v>117</v>
      </c>
      <c r="R212" s="474" t="s">
        <v>118</v>
      </c>
      <c r="S212" s="454"/>
      <c r="T212" s="454"/>
      <c r="U212" s="454"/>
      <c r="V212" s="465"/>
      <c r="W212" s="443"/>
      <c r="X212" s="443"/>
      <c r="Y212" s="443"/>
      <c r="Z212" s="443"/>
      <c r="AA212" s="443"/>
      <c r="AB212" s="443"/>
      <c r="AC212" s="443"/>
      <c r="AD212" s="443"/>
      <c r="AE212" s="443"/>
      <c r="AF212" s="443"/>
      <c r="AG212" s="444"/>
    </row>
    <row r="213" spans="2:33" x14ac:dyDescent="0.35">
      <c r="B213" s="475" t="e">
        <f>IF(C213="","",Tables!A6)</f>
        <v>#N/A</v>
      </c>
      <c r="C213" s="476" t="e">
        <f>IF(D213="","",Tables!B6)</f>
        <v>#N/A</v>
      </c>
      <c r="D213" s="476" t="e">
        <f>IF(HLOOKUP($C$135,Tables!$A$1:$H$23,ROW()-207)=0,"",HLOOKUP($C$135,Tables!$A$1:$H$23,ROW()-207))</f>
        <v>#N/A</v>
      </c>
      <c r="E213" s="451" t="e">
        <f>IF(D213="","",((65-C213)/(65-$G$139))*$G$140*$G$137)</f>
        <v>#N/A</v>
      </c>
      <c r="F213" s="451" t="e">
        <f>IF(D213="","",IF(C213&gt;=40,$C$44+((($C$56-$C$44)*(C213-47))/(62-47)),IF(C213&lt;17,$C$50+((($C$44-$C$50)*(C213-17))/(47-17)),$C$50+((($C$47-$C$50)*(C213-17))/(35-17)))))</f>
        <v>#N/A</v>
      </c>
      <c r="G213" s="451" t="e">
        <f>IF(D213="","",IF(OR(C213&gt;=45,C213&lt;=17),$C$51+((($C$45-$C$51)*(C213-17))/(47-17)),$C$51+((($C$48-$C$51)*(C213-17))/(35-17))))</f>
        <v>#N/A</v>
      </c>
      <c r="H213" s="451" t="e">
        <f>IF(D213="","",IF(F213&gt;=E213,E213/F213,IF(OR(AND(F213&lt;E213,G213&gt;E213, $F$209="No"),AND(F213&lt;E213,G213&gt;E213, $F$209="Yes", C213&lt;$H$209) ),(G213-E213)/(G213-F213),1)))</f>
        <v>#N/A</v>
      </c>
      <c r="I213" s="451" t="e">
        <f t="shared" ref="I213:I230" si="58">IF(E213="","",IF(G213&gt;=F213,F213/G213,IF(OR(AND(G213&lt;F213,H213&gt;F213, $F$209="No"),AND(G213&lt;F213,H213&gt;F213, $F$209="Yes", D213&lt;$H$209) ),(H213-F213)/(H213-G213),1)))</f>
        <v>#N/A</v>
      </c>
      <c r="J213" s="451" t="e">
        <f>IF(D213="","",IF(C213&gt;=40,$I$44+((($I$56-$I$44)*(C213-47))/(62-47)),IF(C213&lt;17,$I$50+((($I$44-$I$50)*(C213-17))/(47-17)),$I$50+((($I$47-$I$50)*(C213-17))/(35-17)))))</f>
        <v>#N/A</v>
      </c>
      <c r="K213" s="451" t="e">
        <f>IF(D213="","",IF(OR(C213&gt;=45,C213&lt;=17),$I$51+((($I$45-$I$51)*(C213-17))/(47-17)),$I$51+((($I$48-$I$51)*(C213-17))/(35-17))))</f>
        <v>#N/A</v>
      </c>
      <c r="L213" s="451" t="e">
        <f>IF(D213="","",G213/(3.413*K213))</f>
        <v>#N/A</v>
      </c>
      <c r="M213" s="451" t="e">
        <f>IF(D213="","",IF(OR(F213&gt;=E213,AND(F213&lt;E213,G213&gt;E213),AND(G213&gt;E213,$F$209="Yes",$H$209&gt;=C213)),IF(C213&lt;=$C$140,0,IF(C213&gt;$C$138,1,0.5)),IF(OR(C213&lt;=$C$140,L213&lt;1),0,IF(AND(C213&gt;$C$140,C213&lt;=$C$138,L213&gt;=1),0.5,1))))</f>
        <v>#N/A</v>
      </c>
      <c r="N213" s="451" t="e">
        <f>IF(D213="","",IF(F213&gt;=E213,(1-($C$209*(1-H213))),IF(AND($F$209="Yes",C213&gt;=$H$209,E213&lt;G213),(1-($C$210*(1-I213))),"N/A")))</f>
        <v>#N/A</v>
      </c>
      <c r="O213" s="451" t="e">
        <f>IF(D213="","",IF(F213&gt;=E213,(H213*J213*M213/N213*D213),IF(AND(G213&gt;E213,$F$209="Yes", C213&gt;=$H$209),(I213*K213*M213/N213*D213),IF(OR(AND(F213&lt;E213,E213&lt;G213,$F$209="No"),AND(F213&lt;E213,E213&lt;G213,$F$209="Yes",C213&lt;$H$209)),(H213*J213+I213*K213)*M213*D213,IF(E213&gt;G213,((K213*M213*D213)),"Error - Check Data")))))</f>
        <v>#N/A</v>
      </c>
      <c r="P213" s="451" t="e">
        <f>IF(D213="","",IF(F213&gt;=E213,((E213*(1-M213))/3.413)*D213,IF(AND($F$209="Yes",E213&lt;G213, C213&gt;=$H$209),((E213*(1-M213))/3.413)*D213,IF(OR(AND(F213&lt;E213,E213&lt;G213,$F$209="No"),AND(F213&lt;E213,E213&lt;G213,$F$209="Yes", C213&lt;$H$209)),((E213*(1-M213))/3.413)*D213,IF(E213&gt;=G213,((E213-(G213*M213))/3.413)*D213,"Error-Check Data")))))</f>
        <v>#N/A</v>
      </c>
      <c r="Q213" s="451" t="e">
        <f t="shared" ref="Q213:Q230" si="59">IF(D213="","",E213*D213)</f>
        <v>#N/A</v>
      </c>
      <c r="R213" s="451" t="e">
        <f>IF(B213="","",IF('General Info and Test Results'!$C$34="Yes",1+(0.03*(1-((MAX(1.5,'H2 Test Recorded Data'!$D$11)-1.5)/(MIN(12,'H2 Test Recorded Data'!$D$12)-1.5)))),1))</f>
        <v>#N/A</v>
      </c>
      <c r="S213" s="454"/>
      <c r="T213" s="454"/>
      <c r="U213" s="454"/>
      <c r="V213" s="465"/>
      <c r="W213" s="443"/>
      <c r="X213" s="443"/>
      <c r="Y213" s="443"/>
      <c r="Z213" s="443"/>
      <c r="AA213" s="443"/>
      <c r="AB213" s="443"/>
      <c r="AC213" s="443"/>
      <c r="AD213" s="443"/>
      <c r="AE213" s="443"/>
      <c r="AF213" s="443"/>
      <c r="AG213" s="444"/>
    </row>
    <row r="214" spans="2:33" x14ac:dyDescent="0.35">
      <c r="B214" s="475" t="e">
        <f>IF(C214="","",Tables!A7)</f>
        <v>#N/A</v>
      </c>
      <c r="C214" s="476" t="e">
        <f>IF(D214="","",Tables!B7)</f>
        <v>#N/A</v>
      </c>
      <c r="D214" s="476" t="e">
        <f>IF(HLOOKUP($C$135,Tables!$A$1:$H$23,ROW()-207)=0,"",HLOOKUP($C$135,Tables!$A$1:$H$23,ROW()-207))</f>
        <v>#N/A</v>
      </c>
      <c r="E214" s="451" t="e">
        <f t="shared" ref="E214:E230" si="60">IF(D214="","",((65-C214)/(65-$G$139))*$G$140*$G$137)</f>
        <v>#N/A</v>
      </c>
      <c r="F214" s="451" t="e">
        <f t="shared" ref="F214:F230" si="61">IF(D214="","",IF(C214&gt;=40,$C$44+((($C$56-$C$44)*(C214-47))/(62-47)),IF(C214&lt;17,$C$50+((($C$44-$C$50)*(C214-17))/(47-17)),$C$50+((($C$47-$C$50)*(C214-17))/(35-17)))))</f>
        <v>#N/A</v>
      </c>
      <c r="G214" s="451" t="e">
        <f t="shared" ref="G214:G230" si="62">IF(D214="","",IF(OR(C214&gt;=45,C214&lt;=17),$C$51+((($C$45-$C$51)*(C214-17))/(47-17)),$C$51+((($C$48-$C$51)*(C214-17))/(35-17))))</f>
        <v>#N/A</v>
      </c>
      <c r="H214" s="451" t="e">
        <f t="shared" ref="H214:H230" si="63">IF(D214="","",IF(F214&gt;=E214,E214/F214,IF(OR(AND(F214&lt;E214,G214&gt;E214, $F$209="No"),AND(F214&lt;E214,G214&gt;E214, $F$209="Yes", C214&lt;$H$209) ),(G214-E214)/(G214-F214),1)))</f>
        <v>#N/A</v>
      </c>
      <c r="I214" s="451" t="e">
        <f t="shared" si="58"/>
        <v>#N/A</v>
      </c>
      <c r="J214" s="451" t="e">
        <f t="shared" ref="J214:J230" si="64">IF(D214="","",IF(C214&gt;=40,$I$44+((($I$56-$I$44)*(C214-47))/(62-47)),IF(C214&lt;17,$I$50+((($I$44-$I$50)*(C214-17))/(47-17)),$I$50+((($I$47-$I$50)*(C214-17))/(35-17)))))</f>
        <v>#N/A</v>
      </c>
      <c r="K214" s="451" t="e">
        <f t="shared" ref="K214:K230" si="65">IF(D214="","",IF(OR(C214&gt;=45,C214&lt;=17),$I$51+((($I$45-$I$51)*(C214-17))/(47-17)),$I$51+((($I$48-$I$51)*(C214-17))/(35-17))))</f>
        <v>#N/A</v>
      </c>
      <c r="L214" s="451" t="e">
        <f t="shared" ref="L214:L230" si="66">IF(D214="","",G214/(3.413*K214))</f>
        <v>#N/A</v>
      </c>
      <c r="M214" s="451" t="e">
        <f t="shared" ref="M214:M229" si="67">IF(D214="","",IF(OR(F214&gt;=E214,AND(F214&lt;E214,G214&gt;E214),AND(G214&gt;E214,$F$209="Yes",$H$209&gt;=C214)),IF(C214&lt;=$C$140,0,IF(C214&gt;$C$138,1,0.5)),IF(OR(C214&lt;=$C$140,L214&lt;1),0,IF(AND(C214&gt;$C$140,C214&lt;=$C$138,L214&gt;=1),0.5,1))))</f>
        <v>#N/A</v>
      </c>
      <c r="N214" s="451" t="e">
        <f t="shared" ref="N214:N230" si="68">IF(D214="","",IF(F214&gt;=E214,(1-($C$209*(1-H214))),IF(AND($F$209="Yes",C214&gt;=$H$209,E214&lt;G214),(1-($C$210*(1-I214))),"N/A")))</f>
        <v>#N/A</v>
      </c>
      <c r="O214" s="451" t="e">
        <f t="shared" ref="O214:O230" si="69">IF(D214="","",IF(F214&gt;=E214,(H214*J214*M214/N214*D214),IF(AND(G214&gt;E214,$F$209="Yes", C214&gt;=$H$209),(I214*K214*M214/N214*D214),IF(OR(AND(F214&lt;E214,E214&lt;G214,$F$209="No"),AND(F214&lt;E214,E214&lt;G214,$F$209="Yes",C214&lt;$H$209)),(H214*J214+I214*K214)*M214*D214,IF(E214&gt;G214,((K214*M214*D214)),"Error - Check Data")))))</f>
        <v>#N/A</v>
      </c>
      <c r="P214" s="451" t="e">
        <f t="shared" ref="P214:P230" si="70">IF(D214="","",IF(F214&gt;=E214,((E214*(1-M214))/3.413)*D214,IF(AND($F$209="Yes",E214&lt;G214, C214&gt;=$H$209),((E214*(1-M214))/3.413)*D214,IF(OR(AND(F214&lt;E214,E214&lt;G214,$F$209="No"),AND(F214&lt;E214,E214&lt;G214,$F$209="Yes", C214&lt;$H$209)),((E214*(1-M214))/3.413)*D214,IF(E214&gt;=G214,((E214-(G214*M214))/3.413)*D214,"Error-Check Data")))))</f>
        <v>#N/A</v>
      </c>
      <c r="Q214" s="451" t="e">
        <f t="shared" si="59"/>
        <v>#N/A</v>
      </c>
      <c r="R214" s="451" t="e">
        <f>IF(B214="","",IF('General Info and Test Results'!$C$34="Yes",1+(0.03*(1-((MAX(1.5,'H2 Test Recorded Data'!$D$11)-1.5)/(MIN(12,'H2 Test Recorded Data'!$D$12)-1.5)))),1))</f>
        <v>#N/A</v>
      </c>
      <c r="S214" s="454"/>
      <c r="T214" s="454"/>
      <c r="U214" s="454"/>
      <c r="V214" s="465"/>
      <c r="W214" s="443"/>
      <c r="X214" s="443"/>
      <c r="Y214" s="443"/>
      <c r="Z214" s="443"/>
      <c r="AA214" s="443"/>
      <c r="AB214" s="443"/>
      <c r="AC214" s="443"/>
      <c r="AD214" s="443"/>
      <c r="AE214" s="443"/>
      <c r="AF214" s="443"/>
      <c r="AG214" s="444"/>
    </row>
    <row r="215" spans="2:33" x14ac:dyDescent="0.35">
      <c r="B215" s="475" t="e">
        <f>IF(C215="","",Tables!A8)</f>
        <v>#N/A</v>
      </c>
      <c r="C215" s="476" t="e">
        <f>IF(D215="","",Tables!B8)</f>
        <v>#N/A</v>
      </c>
      <c r="D215" s="476" t="e">
        <f>IF(HLOOKUP($C$135,Tables!$A$1:$H$23,ROW()-207)=0,"",HLOOKUP($C$135,Tables!$A$1:$H$23,ROW()-207))</f>
        <v>#N/A</v>
      </c>
      <c r="E215" s="451" t="e">
        <f t="shared" si="60"/>
        <v>#N/A</v>
      </c>
      <c r="F215" s="451" t="e">
        <f t="shared" si="61"/>
        <v>#N/A</v>
      </c>
      <c r="G215" s="451" t="e">
        <f t="shared" si="62"/>
        <v>#N/A</v>
      </c>
      <c r="H215" s="451" t="e">
        <f t="shared" si="63"/>
        <v>#N/A</v>
      </c>
      <c r="I215" s="451" t="e">
        <f t="shared" si="58"/>
        <v>#N/A</v>
      </c>
      <c r="J215" s="451" t="e">
        <f t="shared" si="64"/>
        <v>#N/A</v>
      </c>
      <c r="K215" s="451" t="e">
        <f t="shared" si="65"/>
        <v>#N/A</v>
      </c>
      <c r="L215" s="451" t="e">
        <f t="shared" si="66"/>
        <v>#N/A</v>
      </c>
      <c r="M215" s="451" t="e">
        <f t="shared" si="67"/>
        <v>#N/A</v>
      </c>
      <c r="N215" s="451" t="e">
        <f t="shared" si="68"/>
        <v>#N/A</v>
      </c>
      <c r="O215" s="451" t="e">
        <f t="shared" si="69"/>
        <v>#N/A</v>
      </c>
      <c r="P215" s="451" t="e">
        <f t="shared" si="70"/>
        <v>#N/A</v>
      </c>
      <c r="Q215" s="451" t="e">
        <f t="shared" si="59"/>
        <v>#N/A</v>
      </c>
      <c r="R215" s="451" t="e">
        <f>IF(B215="","",IF('General Info and Test Results'!$C$34="Yes",1+(0.03*(1-((MAX(1.5,'H2 Test Recorded Data'!$D$11)-1.5)/(MIN(12,'H2 Test Recorded Data'!$D$12)-1.5)))),1))</f>
        <v>#N/A</v>
      </c>
      <c r="S215" s="454"/>
      <c r="T215" s="454"/>
      <c r="U215" s="454"/>
      <c r="V215" s="465"/>
      <c r="W215" s="443"/>
      <c r="X215" s="443"/>
      <c r="Y215" s="443"/>
      <c r="Z215" s="443"/>
      <c r="AA215" s="443"/>
      <c r="AB215" s="443"/>
      <c r="AC215" s="443"/>
      <c r="AD215" s="443"/>
      <c r="AE215" s="443"/>
      <c r="AF215" s="443"/>
      <c r="AG215" s="444"/>
    </row>
    <row r="216" spans="2:33" x14ac:dyDescent="0.35">
      <c r="B216" s="475" t="e">
        <f>IF(C216="","",Tables!A9)</f>
        <v>#N/A</v>
      </c>
      <c r="C216" s="476" t="e">
        <f>IF(D216="","",Tables!B9)</f>
        <v>#N/A</v>
      </c>
      <c r="D216" s="476" t="e">
        <f>IF(HLOOKUP($C$135,Tables!$A$1:$H$23,ROW()-207)=0,"",HLOOKUP($C$135,Tables!$A$1:$H$23,ROW()-207))</f>
        <v>#N/A</v>
      </c>
      <c r="E216" s="451" t="e">
        <f t="shared" si="60"/>
        <v>#N/A</v>
      </c>
      <c r="F216" s="451" t="e">
        <f t="shared" si="61"/>
        <v>#N/A</v>
      </c>
      <c r="G216" s="451" t="e">
        <f t="shared" si="62"/>
        <v>#N/A</v>
      </c>
      <c r="H216" s="451" t="e">
        <f t="shared" si="63"/>
        <v>#N/A</v>
      </c>
      <c r="I216" s="451" t="e">
        <f t="shared" si="58"/>
        <v>#N/A</v>
      </c>
      <c r="J216" s="451" t="e">
        <f t="shared" si="64"/>
        <v>#N/A</v>
      </c>
      <c r="K216" s="451" t="e">
        <f t="shared" si="65"/>
        <v>#N/A</v>
      </c>
      <c r="L216" s="451" t="e">
        <f t="shared" si="66"/>
        <v>#N/A</v>
      </c>
      <c r="M216" s="451" t="e">
        <f t="shared" si="67"/>
        <v>#N/A</v>
      </c>
      <c r="N216" s="451" t="e">
        <f t="shared" si="68"/>
        <v>#N/A</v>
      </c>
      <c r="O216" s="451" t="e">
        <f t="shared" si="69"/>
        <v>#N/A</v>
      </c>
      <c r="P216" s="451" t="e">
        <f t="shared" si="70"/>
        <v>#N/A</v>
      </c>
      <c r="Q216" s="451" t="e">
        <f t="shared" si="59"/>
        <v>#N/A</v>
      </c>
      <c r="R216" s="451" t="e">
        <f>IF(B216="","",IF('General Info and Test Results'!$C$34="Yes",1+(0.03*(1-((MAX(1.5,'H2 Test Recorded Data'!$D$11)-1.5)/(MIN(12,'H2 Test Recorded Data'!$D$12)-1.5)))),1))</f>
        <v>#N/A</v>
      </c>
      <c r="S216" s="454"/>
      <c r="T216" s="454"/>
      <c r="U216" s="454"/>
      <c r="V216" s="465"/>
      <c r="W216" s="443"/>
      <c r="X216" s="443"/>
      <c r="Y216" s="443"/>
      <c r="Z216" s="443"/>
      <c r="AA216" s="443"/>
      <c r="AB216" s="443"/>
      <c r="AC216" s="443"/>
      <c r="AD216" s="443"/>
      <c r="AE216" s="443"/>
      <c r="AF216" s="443"/>
      <c r="AG216" s="444"/>
    </row>
    <row r="217" spans="2:33" x14ac:dyDescent="0.35">
      <c r="B217" s="475" t="e">
        <f>IF(C217="","",Tables!A10)</f>
        <v>#N/A</v>
      </c>
      <c r="C217" s="476" t="e">
        <f>IF(D217="","",Tables!B10)</f>
        <v>#N/A</v>
      </c>
      <c r="D217" s="476" t="e">
        <f>IF(HLOOKUP($C$135,Tables!$A$1:$H$23,ROW()-207)=0,"",HLOOKUP($C$135,Tables!$A$1:$H$23,ROW()-207))</f>
        <v>#N/A</v>
      </c>
      <c r="E217" s="451" t="e">
        <f t="shared" si="60"/>
        <v>#N/A</v>
      </c>
      <c r="F217" s="451" t="e">
        <f t="shared" si="61"/>
        <v>#N/A</v>
      </c>
      <c r="G217" s="451" t="e">
        <f t="shared" si="62"/>
        <v>#N/A</v>
      </c>
      <c r="H217" s="451" t="e">
        <f t="shared" si="63"/>
        <v>#N/A</v>
      </c>
      <c r="I217" s="451" t="e">
        <f t="shared" si="58"/>
        <v>#N/A</v>
      </c>
      <c r="J217" s="451" t="e">
        <f t="shared" si="64"/>
        <v>#N/A</v>
      </c>
      <c r="K217" s="451" t="e">
        <f t="shared" si="65"/>
        <v>#N/A</v>
      </c>
      <c r="L217" s="451" t="e">
        <f t="shared" si="66"/>
        <v>#N/A</v>
      </c>
      <c r="M217" s="451" t="e">
        <f t="shared" si="67"/>
        <v>#N/A</v>
      </c>
      <c r="N217" s="451" t="e">
        <f t="shared" si="68"/>
        <v>#N/A</v>
      </c>
      <c r="O217" s="451" t="e">
        <f t="shared" si="69"/>
        <v>#N/A</v>
      </c>
      <c r="P217" s="451" t="e">
        <f t="shared" si="70"/>
        <v>#N/A</v>
      </c>
      <c r="Q217" s="451" t="e">
        <f t="shared" si="59"/>
        <v>#N/A</v>
      </c>
      <c r="R217" s="451" t="e">
        <f>IF(B217="","",IF('General Info and Test Results'!$C$34="Yes",1+(0.03*(1-((MAX(1.5,'H2 Test Recorded Data'!$D$11)-1.5)/(MIN(12,'H2 Test Recorded Data'!$D$12)-1.5)))),1))</f>
        <v>#N/A</v>
      </c>
      <c r="S217" s="454"/>
      <c r="T217" s="454"/>
      <c r="U217" s="454"/>
      <c r="V217" s="465"/>
      <c r="W217" s="443"/>
      <c r="X217" s="443"/>
      <c r="Y217" s="443"/>
      <c r="Z217" s="443"/>
      <c r="AA217" s="443"/>
      <c r="AB217" s="443"/>
      <c r="AC217" s="443"/>
      <c r="AD217" s="443"/>
      <c r="AE217" s="443"/>
      <c r="AF217" s="443"/>
      <c r="AG217" s="444"/>
    </row>
    <row r="218" spans="2:33" x14ac:dyDescent="0.35">
      <c r="B218" s="475" t="e">
        <f>IF(C218="","",Tables!A11)</f>
        <v>#N/A</v>
      </c>
      <c r="C218" s="476" t="e">
        <f>IF(D218="","",Tables!B11)</f>
        <v>#N/A</v>
      </c>
      <c r="D218" s="476" t="e">
        <f>IF(HLOOKUP($C$135,Tables!$A$1:$H$23,ROW()-207)=0,"",HLOOKUP($C$135,Tables!$A$1:$H$23,ROW()-207))</f>
        <v>#N/A</v>
      </c>
      <c r="E218" s="451" t="e">
        <f t="shared" si="60"/>
        <v>#N/A</v>
      </c>
      <c r="F218" s="451" t="e">
        <f t="shared" si="61"/>
        <v>#N/A</v>
      </c>
      <c r="G218" s="451" t="e">
        <f t="shared" si="62"/>
        <v>#N/A</v>
      </c>
      <c r="H218" s="451" t="e">
        <f t="shared" si="63"/>
        <v>#N/A</v>
      </c>
      <c r="I218" s="451" t="e">
        <f t="shared" si="58"/>
        <v>#N/A</v>
      </c>
      <c r="J218" s="451" t="e">
        <f t="shared" si="64"/>
        <v>#N/A</v>
      </c>
      <c r="K218" s="451" t="e">
        <f t="shared" si="65"/>
        <v>#N/A</v>
      </c>
      <c r="L218" s="451" t="e">
        <f t="shared" si="66"/>
        <v>#N/A</v>
      </c>
      <c r="M218" s="451" t="e">
        <f t="shared" si="67"/>
        <v>#N/A</v>
      </c>
      <c r="N218" s="451" t="e">
        <f t="shared" si="68"/>
        <v>#N/A</v>
      </c>
      <c r="O218" s="451" t="e">
        <f t="shared" si="69"/>
        <v>#N/A</v>
      </c>
      <c r="P218" s="451" t="e">
        <f t="shared" si="70"/>
        <v>#N/A</v>
      </c>
      <c r="Q218" s="451" t="e">
        <f t="shared" si="59"/>
        <v>#N/A</v>
      </c>
      <c r="R218" s="451" t="e">
        <f>IF(B218="","",IF('General Info and Test Results'!$C$34="Yes",1+(0.03*(1-((MAX(1.5,'H2 Test Recorded Data'!$D$11)-1.5)/(MIN(12,'H2 Test Recorded Data'!$D$12)-1.5)))),1))</f>
        <v>#N/A</v>
      </c>
      <c r="S218" s="454"/>
      <c r="T218" s="454"/>
      <c r="U218" s="454"/>
      <c r="V218" s="465"/>
      <c r="W218" s="443"/>
      <c r="X218" s="443"/>
      <c r="Y218" s="443"/>
      <c r="Z218" s="443"/>
      <c r="AA218" s="443"/>
      <c r="AB218" s="443"/>
      <c r="AC218" s="443"/>
      <c r="AD218" s="443"/>
      <c r="AE218" s="443"/>
      <c r="AF218" s="443"/>
      <c r="AG218" s="444"/>
    </row>
    <row r="219" spans="2:33" x14ac:dyDescent="0.35">
      <c r="B219" s="475" t="e">
        <f>IF(C219="","",Tables!A12)</f>
        <v>#N/A</v>
      </c>
      <c r="C219" s="476" t="e">
        <f>IF(D219="","",Tables!B12)</f>
        <v>#N/A</v>
      </c>
      <c r="D219" s="476" t="e">
        <f>IF(HLOOKUP($C$135,Tables!$A$1:$H$23,ROW()-207)=0,"",HLOOKUP($C$135,Tables!$A$1:$H$23,ROW()-207))</f>
        <v>#N/A</v>
      </c>
      <c r="E219" s="451" t="e">
        <f t="shared" si="60"/>
        <v>#N/A</v>
      </c>
      <c r="F219" s="451" t="e">
        <f t="shared" si="61"/>
        <v>#N/A</v>
      </c>
      <c r="G219" s="451" t="e">
        <f t="shared" si="62"/>
        <v>#N/A</v>
      </c>
      <c r="H219" s="451" t="e">
        <f t="shared" si="63"/>
        <v>#N/A</v>
      </c>
      <c r="I219" s="451" t="e">
        <f t="shared" si="58"/>
        <v>#N/A</v>
      </c>
      <c r="J219" s="451" t="e">
        <f t="shared" si="64"/>
        <v>#N/A</v>
      </c>
      <c r="K219" s="451" t="e">
        <f t="shared" si="65"/>
        <v>#N/A</v>
      </c>
      <c r="L219" s="451" t="e">
        <f t="shared" si="66"/>
        <v>#N/A</v>
      </c>
      <c r="M219" s="451" t="e">
        <f t="shared" si="67"/>
        <v>#N/A</v>
      </c>
      <c r="N219" s="451" t="e">
        <f t="shared" si="68"/>
        <v>#N/A</v>
      </c>
      <c r="O219" s="451" t="e">
        <f t="shared" si="69"/>
        <v>#N/A</v>
      </c>
      <c r="P219" s="451" t="e">
        <f t="shared" si="70"/>
        <v>#N/A</v>
      </c>
      <c r="Q219" s="451" t="e">
        <f t="shared" si="59"/>
        <v>#N/A</v>
      </c>
      <c r="R219" s="451" t="e">
        <f>IF(B219="","",IF('General Info and Test Results'!$C$34="Yes",1+(0.03*(1-((MAX(1.5,'H2 Test Recorded Data'!$D$11)-1.5)/(MIN(12,'H2 Test Recorded Data'!$D$12)-1.5)))),1))</f>
        <v>#N/A</v>
      </c>
      <c r="S219" s="454"/>
      <c r="T219" s="454"/>
      <c r="U219" s="454"/>
      <c r="V219" s="465"/>
      <c r="W219" s="443"/>
      <c r="X219" s="443"/>
      <c r="Y219" s="443"/>
      <c r="Z219" s="443"/>
      <c r="AA219" s="443"/>
      <c r="AB219" s="443"/>
      <c r="AC219" s="443"/>
      <c r="AD219" s="443"/>
      <c r="AE219" s="443"/>
      <c r="AF219" s="443"/>
      <c r="AG219" s="444"/>
    </row>
    <row r="220" spans="2:33" x14ac:dyDescent="0.35">
      <c r="B220" s="475" t="e">
        <f>IF(C220="","",Tables!A13)</f>
        <v>#N/A</v>
      </c>
      <c r="C220" s="476" t="e">
        <f>IF(D220="","",Tables!B13)</f>
        <v>#N/A</v>
      </c>
      <c r="D220" s="476" t="e">
        <f>IF(HLOOKUP($C$135,Tables!$A$1:$H$23,ROW()-207)=0,"",HLOOKUP($C$135,Tables!$A$1:$H$23,ROW()-207))</f>
        <v>#N/A</v>
      </c>
      <c r="E220" s="451" t="e">
        <f t="shared" si="60"/>
        <v>#N/A</v>
      </c>
      <c r="F220" s="451" t="e">
        <f t="shared" si="61"/>
        <v>#N/A</v>
      </c>
      <c r="G220" s="451" t="e">
        <f t="shared" si="62"/>
        <v>#N/A</v>
      </c>
      <c r="H220" s="451" t="e">
        <f t="shared" si="63"/>
        <v>#N/A</v>
      </c>
      <c r="I220" s="451" t="e">
        <f t="shared" si="58"/>
        <v>#N/A</v>
      </c>
      <c r="J220" s="451" t="e">
        <f t="shared" si="64"/>
        <v>#N/A</v>
      </c>
      <c r="K220" s="451" t="e">
        <f t="shared" si="65"/>
        <v>#N/A</v>
      </c>
      <c r="L220" s="451" t="e">
        <f t="shared" si="66"/>
        <v>#N/A</v>
      </c>
      <c r="M220" s="451" t="e">
        <f t="shared" si="67"/>
        <v>#N/A</v>
      </c>
      <c r="N220" s="451" t="e">
        <f t="shared" si="68"/>
        <v>#N/A</v>
      </c>
      <c r="O220" s="451" t="e">
        <f t="shared" si="69"/>
        <v>#N/A</v>
      </c>
      <c r="P220" s="451" t="e">
        <f t="shared" si="70"/>
        <v>#N/A</v>
      </c>
      <c r="Q220" s="451" t="e">
        <f t="shared" si="59"/>
        <v>#N/A</v>
      </c>
      <c r="R220" s="451" t="e">
        <f>IF(B220="","",IF('General Info and Test Results'!$C$34="Yes",1+(0.03*(1-((MAX(1.5,'H2 Test Recorded Data'!$D$11)-1.5)/(MIN(12,'H2 Test Recorded Data'!$D$12)-1.5)))),1))</f>
        <v>#N/A</v>
      </c>
      <c r="S220" s="454"/>
      <c r="T220" s="454"/>
      <c r="U220" s="454"/>
      <c r="V220" s="465"/>
      <c r="W220" s="443"/>
      <c r="X220" s="443"/>
      <c r="Y220" s="443"/>
      <c r="Z220" s="443"/>
      <c r="AA220" s="443"/>
      <c r="AB220" s="443"/>
      <c r="AC220" s="443"/>
      <c r="AD220" s="443"/>
      <c r="AE220" s="443"/>
      <c r="AF220" s="443"/>
      <c r="AG220" s="444"/>
    </row>
    <row r="221" spans="2:33" x14ac:dyDescent="0.35">
      <c r="B221" s="475" t="e">
        <f>IF(C221="","",Tables!A14)</f>
        <v>#N/A</v>
      </c>
      <c r="C221" s="476" t="e">
        <f>IF(D221="","",Tables!B14)</f>
        <v>#N/A</v>
      </c>
      <c r="D221" s="476" t="e">
        <f>IF(HLOOKUP($C$135,Tables!$A$1:$H$23,ROW()-207)=0,"",HLOOKUP($C$135,Tables!$A$1:$H$23,ROW()-207))</f>
        <v>#N/A</v>
      </c>
      <c r="E221" s="451" t="e">
        <f t="shared" si="60"/>
        <v>#N/A</v>
      </c>
      <c r="F221" s="451" t="e">
        <f t="shared" si="61"/>
        <v>#N/A</v>
      </c>
      <c r="G221" s="451" t="e">
        <f t="shared" si="62"/>
        <v>#N/A</v>
      </c>
      <c r="H221" s="451" t="e">
        <f t="shared" si="63"/>
        <v>#N/A</v>
      </c>
      <c r="I221" s="451" t="e">
        <f t="shared" si="58"/>
        <v>#N/A</v>
      </c>
      <c r="J221" s="451" t="e">
        <f t="shared" si="64"/>
        <v>#N/A</v>
      </c>
      <c r="K221" s="451" t="e">
        <f t="shared" si="65"/>
        <v>#N/A</v>
      </c>
      <c r="L221" s="451" t="e">
        <f t="shared" si="66"/>
        <v>#N/A</v>
      </c>
      <c r="M221" s="451" t="e">
        <f t="shared" si="67"/>
        <v>#N/A</v>
      </c>
      <c r="N221" s="451" t="e">
        <f t="shared" si="68"/>
        <v>#N/A</v>
      </c>
      <c r="O221" s="451" t="e">
        <f t="shared" si="69"/>
        <v>#N/A</v>
      </c>
      <c r="P221" s="451" t="e">
        <f t="shared" si="70"/>
        <v>#N/A</v>
      </c>
      <c r="Q221" s="451" t="e">
        <f t="shared" si="59"/>
        <v>#N/A</v>
      </c>
      <c r="R221" s="451" t="e">
        <f>IF(B221="","",IF('General Info and Test Results'!$C$34="Yes",1+(0.03*(1-((MAX(1.5,'H2 Test Recorded Data'!$D$11)-1.5)/(MIN(12,'H2 Test Recorded Data'!$D$12)-1.5)))),1))</f>
        <v>#N/A</v>
      </c>
      <c r="S221" s="454"/>
      <c r="T221" s="454"/>
      <c r="U221" s="454"/>
      <c r="V221" s="465"/>
      <c r="W221" s="443"/>
      <c r="X221" s="443"/>
      <c r="Y221" s="443"/>
      <c r="Z221" s="443"/>
      <c r="AA221" s="443"/>
      <c r="AB221" s="443"/>
      <c r="AC221" s="443"/>
      <c r="AD221" s="443"/>
      <c r="AE221" s="443"/>
      <c r="AF221" s="443"/>
      <c r="AG221" s="444"/>
    </row>
    <row r="222" spans="2:33" x14ac:dyDescent="0.35">
      <c r="B222" s="475" t="e">
        <f>IF(C222="","",Tables!A15)</f>
        <v>#N/A</v>
      </c>
      <c r="C222" s="476" t="e">
        <f>IF(D222="","",Tables!B15)</f>
        <v>#N/A</v>
      </c>
      <c r="D222" s="476" t="e">
        <f>IF(HLOOKUP($C$135,Tables!$A$1:$H$23,ROW()-207)=0,"",HLOOKUP($C$135,Tables!$A$1:$H$23,ROW()-207))</f>
        <v>#N/A</v>
      </c>
      <c r="E222" s="451" t="e">
        <f t="shared" si="60"/>
        <v>#N/A</v>
      </c>
      <c r="F222" s="451" t="e">
        <f t="shared" si="61"/>
        <v>#N/A</v>
      </c>
      <c r="G222" s="451" t="e">
        <f t="shared" si="62"/>
        <v>#N/A</v>
      </c>
      <c r="H222" s="451" t="e">
        <f t="shared" si="63"/>
        <v>#N/A</v>
      </c>
      <c r="I222" s="451" t="e">
        <f t="shared" si="58"/>
        <v>#N/A</v>
      </c>
      <c r="J222" s="451" t="e">
        <f t="shared" si="64"/>
        <v>#N/A</v>
      </c>
      <c r="K222" s="451" t="e">
        <f t="shared" si="65"/>
        <v>#N/A</v>
      </c>
      <c r="L222" s="451" t="e">
        <f t="shared" si="66"/>
        <v>#N/A</v>
      </c>
      <c r="M222" s="451" t="e">
        <f t="shared" si="67"/>
        <v>#N/A</v>
      </c>
      <c r="N222" s="451" t="e">
        <f t="shared" si="68"/>
        <v>#N/A</v>
      </c>
      <c r="O222" s="451" t="e">
        <f t="shared" si="69"/>
        <v>#N/A</v>
      </c>
      <c r="P222" s="451" t="e">
        <f t="shared" si="70"/>
        <v>#N/A</v>
      </c>
      <c r="Q222" s="451" t="e">
        <f t="shared" si="59"/>
        <v>#N/A</v>
      </c>
      <c r="R222" s="451" t="e">
        <f>IF(B222="","",IF('General Info and Test Results'!$C$34="Yes",1+(0.03*(1-((MAX(1.5,'H2 Test Recorded Data'!$D$11)-1.5)/(MIN(12,'H2 Test Recorded Data'!$D$12)-1.5)))),1))</f>
        <v>#N/A</v>
      </c>
      <c r="S222" s="454"/>
      <c r="T222" s="454"/>
      <c r="U222" s="454"/>
      <c r="V222" s="465"/>
      <c r="W222" s="443"/>
      <c r="X222" s="443"/>
      <c r="Y222" s="443"/>
      <c r="Z222" s="443"/>
      <c r="AA222" s="443"/>
      <c r="AB222" s="443"/>
      <c r="AC222" s="443"/>
      <c r="AD222" s="443"/>
      <c r="AE222" s="443"/>
      <c r="AF222" s="443"/>
      <c r="AG222" s="444"/>
    </row>
    <row r="223" spans="2:33" x14ac:dyDescent="0.35">
      <c r="B223" s="475" t="e">
        <f>IF(C223="","",Tables!A16)</f>
        <v>#N/A</v>
      </c>
      <c r="C223" s="476" t="e">
        <f>IF(D223="","",Tables!B16)</f>
        <v>#N/A</v>
      </c>
      <c r="D223" s="476" t="e">
        <f>IF(HLOOKUP($C$135,Tables!$A$1:$H$23,ROW()-207)=0,"",HLOOKUP($C$135,Tables!$A$1:$H$23,ROW()-207))</f>
        <v>#N/A</v>
      </c>
      <c r="E223" s="451" t="e">
        <f t="shared" si="60"/>
        <v>#N/A</v>
      </c>
      <c r="F223" s="451" t="e">
        <f t="shared" si="61"/>
        <v>#N/A</v>
      </c>
      <c r="G223" s="451" t="e">
        <f t="shared" si="62"/>
        <v>#N/A</v>
      </c>
      <c r="H223" s="451" t="e">
        <f t="shared" si="63"/>
        <v>#N/A</v>
      </c>
      <c r="I223" s="451" t="e">
        <f t="shared" si="58"/>
        <v>#N/A</v>
      </c>
      <c r="J223" s="451" t="e">
        <f t="shared" si="64"/>
        <v>#N/A</v>
      </c>
      <c r="K223" s="451" t="e">
        <f t="shared" si="65"/>
        <v>#N/A</v>
      </c>
      <c r="L223" s="451" t="e">
        <f t="shared" si="66"/>
        <v>#N/A</v>
      </c>
      <c r="M223" s="451" t="e">
        <f t="shared" si="67"/>
        <v>#N/A</v>
      </c>
      <c r="N223" s="451" t="e">
        <f t="shared" si="68"/>
        <v>#N/A</v>
      </c>
      <c r="O223" s="451" t="e">
        <f t="shared" si="69"/>
        <v>#N/A</v>
      </c>
      <c r="P223" s="451" t="e">
        <f t="shared" si="70"/>
        <v>#N/A</v>
      </c>
      <c r="Q223" s="451" t="e">
        <f t="shared" si="59"/>
        <v>#N/A</v>
      </c>
      <c r="R223" s="451" t="e">
        <f>IF(B223="","",IF('General Info and Test Results'!$C$34="Yes",1+(0.03*(1-((MAX(1.5,'H2 Test Recorded Data'!$D$11)-1.5)/(MIN(12,'H2 Test Recorded Data'!$D$12)-1.5)))),1))</f>
        <v>#N/A</v>
      </c>
      <c r="S223" s="454"/>
      <c r="T223" s="454"/>
      <c r="U223" s="454"/>
      <c r="V223" s="465"/>
      <c r="W223" s="443"/>
      <c r="X223" s="443"/>
      <c r="Y223" s="443"/>
      <c r="Z223" s="443"/>
      <c r="AA223" s="443"/>
      <c r="AB223" s="443"/>
      <c r="AC223" s="443"/>
      <c r="AD223" s="443"/>
      <c r="AE223" s="443"/>
      <c r="AF223" s="443"/>
      <c r="AG223" s="444"/>
    </row>
    <row r="224" spans="2:33" x14ac:dyDescent="0.35">
      <c r="B224" s="475" t="e">
        <f>IF(C224="","",Tables!A17)</f>
        <v>#N/A</v>
      </c>
      <c r="C224" s="476" t="e">
        <f>IF(D224="","",Tables!B17)</f>
        <v>#N/A</v>
      </c>
      <c r="D224" s="476" t="e">
        <f>IF(HLOOKUP($C$135,Tables!$A$1:$H$23,ROW()-207)=0,"",HLOOKUP($C$135,Tables!$A$1:$H$23,ROW()-207))</f>
        <v>#N/A</v>
      </c>
      <c r="E224" s="451" t="e">
        <f t="shared" si="60"/>
        <v>#N/A</v>
      </c>
      <c r="F224" s="451" t="e">
        <f t="shared" si="61"/>
        <v>#N/A</v>
      </c>
      <c r="G224" s="451" t="e">
        <f t="shared" si="62"/>
        <v>#N/A</v>
      </c>
      <c r="H224" s="451" t="e">
        <f t="shared" si="63"/>
        <v>#N/A</v>
      </c>
      <c r="I224" s="451" t="e">
        <f t="shared" si="58"/>
        <v>#N/A</v>
      </c>
      <c r="J224" s="451" t="e">
        <f t="shared" si="64"/>
        <v>#N/A</v>
      </c>
      <c r="K224" s="451" t="e">
        <f t="shared" si="65"/>
        <v>#N/A</v>
      </c>
      <c r="L224" s="451" t="e">
        <f t="shared" si="66"/>
        <v>#N/A</v>
      </c>
      <c r="M224" s="451" t="e">
        <f t="shared" si="67"/>
        <v>#N/A</v>
      </c>
      <c r="N224" s="451" t="e">
        <f t="shared" si="68"/>
        <v>#N/A</v>
      </c>
      <c r="O224" s="451" t="e">
        <f t="shared" si="69"/>
        <v>#N/A</v>
      </c>
      <c r="P224" s="451" t="e">
        <f t="shared" si="70"/>
        <v>#N/A</v>
      </c>
      <c r="Q224" s="451" t="e">
        <f t="shared" si="59"/>
        <v>#N/A</v>
      </c>
      <c r="R224" s="451" t="e">
        <f>IF(B224="","",IF('General Info and Test Results'!$C$34="Yes",1+(0.03*(1-((MAX(1.5,'H2 Test Recorded Data'!$D$11)-1.5)/(MIN(12,'H2 Test Recorded Data'!$D$12)-1.5)))),1))</f>
        <v>#N/A</v>
      </c>
      <c r="S224" s="454"/>
      <c r="T224" s="454"/>
      <c r="U224" s="454"/>
      <c r="V224" s="465"/>
      <c r="W224" s="443"/>
      <c r="X224" s="443"/>
      <c r="Y224" s="443"/>
      <c r="Z224" s="443"/>
      <c r="AA224" s="443"/>
      <c r="AB224" s="443"/>
      <c r="AC224" s="443"/>
      <c r="AD224" s="443"/>
      <c r="AE224" s="443"/>
      <c r="AF224" s="443"/>
      <c r="AG224" s="444"/>
    </row>
    <row r="225" spans="2:33" x14ac:dyDescent="0.35">
      <c r="B225" s="475" t="e">
        <f>IF(C225="","",Tables!A18)</f>
        <v>#N/A</v>
      </c>
      <c r="C225" s="476" t="e">
        <f>IF(D225="","",Tables!B18)</f>
        <v>#N/A</v>
      </c>
      <c r="D225" s="476" t="e">
        <f>IF(HLOOKUP($C$135,Tables!$A$1:$H$23,ROW()-207)=0,"",HLOOKUP($C$135,Tables!$A$1:$H$23,ROW()-207))</f>
        <v>#N/A</v>
      </c>
      <c r="E225" s="451" t="e">
        <f t="shared" si="60"/>
        <v>#N/A</v>
      </c>
      <c r="F225" s="451" t="e">
        <f t="shared" si="61"/>
        <v>#N/A</v>
      </c>
      <c r="G225" s="451" t="e">
        <f t="shared" si="62"/>
        <v>#N/A</v>
      </c>
      <c r="H225" s="451" t="e">
        <f t="shared" si="63"/>
        <v>#N/A</v>
      </c>
      <c r="I225" s="451" t="e">
        <f t="shared" si="58"/>
        <v>#N/A</v>
      </c>
      <c r="J225" s="451" t="e">
        <f t="shared" si="64"/>
        <v>#N/A</v>
      </c>
      <c r="K225" s="451" t="e">
        <f t="shared" si="65"/>
        <v>#N/A</v>
      </c>
      <c r="L225" s="451" t="e">
        <f t="shared" si="66"/>
        <v>#N/A</v>
      </c>
      <c r="M225" s="451" t="e">
        <f t="shared" si="67"/>
        <v>#N/A</v>
      </c>
      <c r="N225" s="451" t="e">
        <f t="shared" si="68"/>
        <v>#N/A</v>
      </c>
      <c r="O225" s="451" t="e">
        <f t="shared" si="69"/>
        <v>#N/A</v>
      </c>
      <c r="P225" s="451" t="e">
        <f t="shared" si="70"/>
        <v>#N/A</v>
      </c>
      <c r="Q225" s="451" t="e">
        <f t="shared" si="59"/>
        <v>#N/A</v>
      </c>
      <c r="R225" s="451" t="e">
        <f>IF(B225="","",IF('General Info and Test Results'!$C$34="Yes",1+(0.03*(1-((MAX(1.5,'H2 Test Recorded Data'!$D$11)-1.5)/(MIN(12,'H2 Test Recorded Data'!$D$12)-1.5)))),1))</f>
        <v>#N/A</v>
      </c>
      <c r="S225" s="454"/>
      <c r="T225" s="454"/>
      <c r="U225" s="454"/>
      <c r="V225" s="465"/>
      <c r="W225" s="443"/>
      <c r="X225" s="443"/>
      <c r="Y225" s="443"/>
      <c r="Z225" s="443"/>
      <c r="AA225" s="443"/>
      <c r="AB225" s="443"/>
      <c r="AC225" s="443"/>
      <c r="AD225" s="443"/>
      <c r="AE225" s="443"/>
      <c r="AF225" s="443"/>
      <c r="AG225" s="444"/>
    </row>
    <row r="226" spans="2:33" x14ac:dyDescent="0.35">
      <c r="B226" s="475" t="e">
        <f>IF(C226="","",Tables!A19)</f>
        <v>#N/A</v>
      </c>
      <c r="C226" s="476" t="e">
        <f>IF(D226="","",Tables!B19)</f>
        <v>#N/A</v>
      </c>
      <c r="D226" s="476" t="e">
        <f>IF(HLOOKUP($C$135,Tables!$A$1:$H$23,ROW()-207)=0,"",HLOOKUP($C$135,Tables!$A$1:$H$23,ROW()-207))</f>
        <v>#N/A</v>
      </c>
      <c r="E226" s="451" t="e">
        <f t="shared" si="60"/>
        <v>#N/A</v>
      </c>
      <c r="F226" s="451" t="e">
        <f t="shared" si="61"/>
        <v>#N/A</v>
      </c>
      <c r="G226" s="451" t="e">
        <f t="shared" si="62"/>
        <v>#N/A</v>
      </c>
      <c r="H226" s="451" t="e">
        <f t="shared" si="63"/>
        <v>#N/A</v>
      </c>
      <c r="I226" s="451" t="e">
        <f t="shared" si="58"/>
        <v>#N/A</v>
      </c>
      <c r="J226" s="451" t="e">
        <f t="shared" si="64"/>
        <v>#N/A</v>
      </c>
      <c r="K226" s="451" t="e">
        <f t="shared" si="65"/>
        <v>#N/A</v>
      </c>
      <c r="L226" s="451" t="e">
        <f t="shared" si="66"/>
        <v>#N/A</v>
      </c>
      <c r="M226" s="451" t="e">
        <f t="shared" si="67"/>
        <v>#N/A</v>
      </c>
      <c r="N226" s="451" t="e">
        <f t="shared" si="68"/>
        <v>#N/A</v>
      </c>
      <c r="O226" s="451" t="e">
        <f t="shared" si="69"/>
        <v>#N/A</v>
      </c>
      <c r="P226" s="451" t="e">
        <f t="shared" si="70"/>
        <v>#N/A</v>
      </c>
      <c r="Q226" s="451" t="e">
        <f t="shared" si="59"/>
        <v>#N/A</v>
      </c>
      <c r="R226" s="451" t="e">
        <f>IF(B226="","",IF('General Info and Test Results'!$C$34="Yes",1+(0.03*(1-((MAX(1.5,'H2 Test Recorded Data'!$D$11)-1.5)/(MIN(12,'H2 Test Recorded Data'!$D$12)-1.5)))),1))</f>
        <v>#N/A</v>
      </c>
      <c r="S226" s="454"/>
      <c r="T226" s="454"/>
      <c r="U226" s="454"/>
      <c r="V226" s="465"/>
      <c r="W226" s="443"/>
      <c r="X226" s="443"/>
      <c r="Y226" s="443"/>
      <c r="Z226" s="443"/>
      <c r="AA226" s="443"/>
      <c r="AB226" s="443"/>
      <c r="AC226" s="443"/>
      <c r="AD226" s="443"/>
      <c r="AE226" s="443"/>
      <c r="AF226" s="443"/>
      <c r="AG226" s="444"/>
    </row>
    <row r="227" spans="2:33" x14ac:dyDescent="0.35">
      <c r="B227" s="475" t="e">
        <f>IF(C227="","",Tables!A20)</f>
        <v>#N/A</v>
      </c>
      <c r="C227" s="476" t="e">
        <f>IF(D227="","",Tables!B20)</f>
        <v>#N/A</v>
      </c>
      <c r="D227" s="476" t="e">
        <f>IF(HLOOKUP($C$135,Tables!$A$1:$H$23,ROW()-207)=0,"",HLOOKUP($C$135,Tables!$A$1:$H$23,ROW()-207))</f>
        <v>#N/A</v>
      </c>
      <c r="E227" s="451" t="e">
        <f t="shared" si="60"/>
        <v>#N/A</v>
      </c>
      <c r="F227" s="451" t="e">
        <f t="shared" si="61"/>
        <v>#N/A</v>
      </c>
      <c r="G227" s="451" t="e">
        <f t="shared" si="62"/>
        <v>#N/A</v>
      </c>
      <c r="H227" s="451" t="e">
        <f t="shared" si="63"/>
        <v>#N/A</v>
      </c>
      <c r="I227" s="451" t="e">
        <f t="shared" si="58"/>
        <v>#N/A</v>
      </c>
      <c r="J227" s="451" t="e">
        <f t="shared" si="64"/>
        <v>#N/A</v>
      </c>
      <c r="K227" s="451" t="e">
        <f t="shared" si="65"/>
        <v>#N/A</v>
      </c>
      <c r="L227" s="451" t="e">
        <f t="shared" si="66"/>
        <v>#N/A</v>
      </c>
      <c r="M227" s="451" t="e">
        <f t="shared" si="67"/>
        <v>#N/A</v>
      </c>
      <c r="N227" s="451" t="e">
        <f t="shared" si="68"/>
        <v>#N/A</v>
      </c>
      <c r="O227" s="451" t="e">
        <f t="shared" si="69"/>
        <v>#N/A</v>
      </c>
      <c r="P227" s="451" t="e">
        <f t="shared" si="70"/>
        <v>#N/A</v>
      </c>
      <c r="Q227" s="451" t="e">
        <f t="shared" si="59"/>
        <v>#N/A</v>
      </c>
      <c r="R227" s="451" t="e">
        <f>IF(B227="","",IF('General Info and Test Results'!$C$34="Yes",1+(0.03*(1-((MAX(1.5,'H2 Test Recorded Data'!$D$11)-1.5)/(MIN(12,'H2 Test Recorded Data'!$D$12)-1.5)))),1))</f>
        <v>#N/A</v>
      </c>
      <c r="S227" s="454"/>
      <c r="T227" s="454"/>
      <c r="U227" s="454"/>
      <c r="V227" s="465"/>
      <c r="W227" s="443"/>
      <c r="X227" s="443"/>
      <c r="Y227" s="443"/>
      <c r="Z227" s="443"/>
      <c r="AA227" s="443"/>
      <c r="AB227" s="443"/>
      <c r="AC227" s="443"/>
      <c r="AD227" s="443"/>
      <c r="AE227" s="443"/>
      <c r="AF227" s="443"/>
      <c r="AG227" s="444"/>
    </row>
    <row r="228" spans="2:33" x14ac:dyDescent="0.35">
      <c r="B228" s="475" t="e">
        <f>IF(C228="","",Tables!A21)</f>
        <v>#N/A</v>
      </c>
      <c r="C228" s="476" t="e">
        <f>IF(D228="","",Tables!B21)</f>
        <v>#N/A</v>
      </c>
      <c r="D228" s="476" t="e">
        <f>IF(HLOOKUP($C$135,Tables!$A$1:$H$23,ROW()-207)=0,"",HLOOKUP($C$135,Tables!$A$1:$H$23,ROW()-207))</f>
        <v>#N/A</v>
      </c>
      <c r="E228" s="451" t="e">
        <f t="shared" si="60"/>
        <v>#N/A</v>
      </c>
      <c r="F228" s="451" t="e">
        <f t="shared" si="61"/>
        <v>#N/A</v>
      </c>
      <c r="G228" s="451" t="e">
        <f t="shared" si="62"/>
        <v>#N/A</v>
      </c>
      <c r="H228" s="451" t="e">
        <f t="shared" si="63"/>
        <v>#N/A</v>
      </c>
      <c r="I228" s="451" t="e">
        <f t="shared" si="58"/>
        <v>#N/A</v>
      </c>
      <c r="J228" s="451" t="e">
        <f t="shared" si="64"/>
        <v>#N/A</v>
      </c>
      <c r="K228" s="451" t="e">
        <f t="shared" si="65"/>
        <v>#N/A</v>
      </c>
      <c r="L228" s="451" t="e">
        <f t="shared" si="66"/>
        <v>#N/A</v>
      </c>
      <c r="M228" s="451" t="e">
        <f t="shared" si="67"/>
        <v>#N/A</v>
      </c>
      <c r="N228" s="451" t="e">
        <f t="shared" si="68"/>
        <v>#N/A</v>
      </c>
      <c r="O228" s="451" t="e">
        <f t="shared" si="69"/>
        <v>#N/A</v>
      </c>
      <c r="P228" s="451" t="e">
        <f t="shared" si="70"/>
        <v>#N/A</v>
      </c>
      <c r="Q228" s="451" t="e">
        <f t="shared" si="59"/>
        <v>#N/A</v>
      </c>
      <c r="R228" s="451" t="e">
        <f>IF(B228="","",IF('General Info and Test Results'!$C$34="Yes",1+(0.03*(1-((MAX(1.5,'H2 Test Recorded Data'!$D$11)-1.5)/(MIN(12,'H2 Test Recorded Data'!$D$12)-1.5)))),1))</f>
        <v>#N/A</v>
      </c>
      <c r="S228" s="454"/>
      <c r="T228" s="454"/>
      <c r="U228" s="454"/>
      <c r="V228" s="465"/>
      <c r="W228" s="443"/>
      <c r="X228" s="443"/>
      <c r="Y228" s="443"/>
      <c r="Z228" s="443"/>
      <c r="AA228" s="443"/>
      <c r="AB228" s="443"/>
      <c r="AC228" s="443"/>
      <c r="AD228" s="443"/>
      <c r="AE228" s="443"/>
      <c r="AF228" s="443"/>
      <c r="AG228" s="444"/>
    </row>
    <row r="229" spans="2:33" x14ac:dyDescent="0.35">
      <c r="B229" s="475" t="e">
        <f>IF(C229="","",Tables!A22)</f>
        <v>#N/A</v>
      </c>
      <c r="C229" s="476" t="e">
        <f>IF(D229="","",Tables!B22)</f>
        <v>#N/A</v>
      </c>
      <c r="D229" s="476" t="e">
        <f>IF(HLOOKUP($C$135,Tables!$A$1:$H$23,ROW()-207)=0,"",HLOOKUP($C$135,Tables!$A$1:$H$23,ROW()-207))</f>
        <v>#N/A</v>
      </c>
      <c r="E229" s="451" t="e">
        <f t="shared" si="60"/>
        <v>#N/A</v>
      </c>
      <c r="F229" s="451" t="e">
        <f t="shared" si="61"/>
        <v>#N/A</v>
      </c>
      <c r="G229" s="451" t="e">
        <f t="shared" si="62"/>
        <v>#N/A</v>
      </c>
      <c r="H229" s="451" t="e">
        <f t="shared" si="63"/>
        <v>#N/A</v>
      </c>
      <c r="I229" s="451" t="e">
        <f t="shared" si="58"/>
        <v>#N/A</v>
      </c>
      <c r="J229" s="451" t="e">
        <f t="shared" si="64"/>
        <v>#N/A</v>
      </c>
      <c r="K229" s="451" t="e">
        <f t="shared" si="65"/>
        <v>#N/A</v>
      </c>
      <c r="L229" s="451" t="e">
        <f t="shared" si="66"/>
        <v>#N/A</v>
      </c>
      <c r="M229" s="451" t="e">
        <f t="shared" si="67"/>
        <v>#N/A</v>
      </c>
      <c r="N229" s="451" t="e">
        <f t="shared" si="68"/>
        <v>#N/A</v>
      </c>
      <c r="O229" s="451" t="e">
        <f t="shared" si="69"/>
        <v>#N/A</v>
      </c>
      <c r="P229" s="451" t="e">
        <f t="shared" si="70"/>
        <v>#N/A</v>
      </c>
      <c r="Q229" s="451" t="e">
        <f t="shared" si="59"/>
        <v>#N/A</v>
      </c>
      <c r="R229" s="451" t="e">
        <f>IF(B229="","",IF('General Info and Test Results'!$C$34="Yes",1+(0.03*(1-((MAX(1.5,'H2 Test Recorded Data'!$D$11)-1.5)/(MIN(12,'H2 Test Recorded Data'!$D$12)-1.5)))),1))</f>
        <v>#N/A</v>
      </c>
      <c r="S229" s="454"/>
      <c r="T229" s="454"/>
      <c r="U229" s="454"/>
      <c r="V229" s="465"/>
      <c r="W229" s="443"/>
      <c r="X229" s="443"/>
      <c r="Y229" s="443"/>
      <c r="Z229" s="443"/>
      <c r="AA229" s="443"/>
      <c r="AB229" s="443"/>
      <c r="AC229" s="443"/>
      <c r="AD229" s="443"/>
      <c r="AE229" s="443"/>
      <c r="AF229" s="443"/>
      <c r="AG229" s="444"/>
    </row>
    <row r="230" spans="2:33" x14ac:dyDescent="0.35">
      <c r="B230" s="475" t="e">
        <f>IF(C230="","",Tables!A23)</f>
        <v>#N/A</v>
      </c>
      <c r="C230" s="476" t="e">
        <f>IF(D230="","",Tables!B23)</f>
        <v>#N/A</v>
      </c>
      <c r="D230" s="476" t="e">
        <f>IF(HLOOKUP($C$135,Tables!$A$1:$H$23,ROW()-207)=0,"",HLOOKUP($C$135,Tables!$A$1:$H$23,ROW()-207))</f>
        <v>#N/A</v>
      </c>
      <c r="E230" s="451" t="e">
        <f t="shared" si="60"/>
        <v>#N/A</v>
      </c>
      <c r="F230" s="451" t="e">
        <f t="shared" si="61"/>
        <v>#N/A</v>
      </c>
      <c r="G230" s="451" t="e">
        <f t="shared" si="62"/>
        <v>#N/A</v>
      </c>
      <c r="H230" s="451" t="e">
        <f t="shared" si="63"/>
        <v>#N/A</v>
      </c>
      <c r="I230" s="451" t="e">
        <f t="shared" si="58"/>
        <v>#N/A</v>
      </c>
      <c r="J230" s="451" t="e">
        <f t="shared" si="64"/>
        <v>#N/A</v>
      </c>
      <c r="K230" s="451" t="e">
        <f t="shared" si="65"/>
        <v>#N/A</v>
      </c>
      <c r="L230" s="451" t="e">
        <f t="shared" si="66"/>
        <v>#N/A</v>
      </c>
      <c r="M230" s="451" t="e">
        <f>IF(D230="","",IF(OR(F230&gt;=E230,AND(F230&lt;E230,G230&gt;E230),AND(G230&gt;E230,$F$209="Yes",$H$209&gt;=C230)),IF(C230&lt;=$C$140,0,IF(C230&gt;$C$138,1,0.5)),IF(OR(C230&lt;=$C$140,L230&lt;1),0,IF(AND(C230&gt;$C$140,C230&lt;=$C$138,L230&gt;=1),0.5,1))))</f>
        <v>#N/A</v>
      </c>
      <c r="N230" s="451" t="e">
        <f t="shared" si="68"/>
        <v>#N/A</v>
      </c>
      <c r="O230" s="451" t="e">
        <f t="shared" si="69"/>
        <v>#N/A</v>
      </c>
      <c r="P230" s="451" t="e">
        <f t="shared" si="70"/>
        <v>#N/A</v>
      </c>
      <c r="Q230" s="451" t="e">
        <f t="shared" si="59"/>
        <v>#N/A</v>
      </c>
      <c r="R230" s="451" t="e">
        <f>IF(B230="","",IF('General Info and Test Results'!$C$34="Yes",1+(0.03*(1-((MAX(1.5,'H2 Test Recorded Data'!$D$11)-1.5)/(MIN(12,'H2 Test Recorded Data'!$D$12)-1.5)))),1))</f>
        <v>#N/A</v>
      </c>
      <c r="S230" s="454"/>
      <c r="T230" s="454"/>
      <c r="U230" s="454"/>
      <c r="V230" s="465"/>
      <c r="W230" s="443"/>
      <c r="X230" s="443"/>
      <c r="Y230" s="443"/>
      <c r="Z230" s="443"/>
      <c r="AA230" s="443"/>
      <c r="AB230" s="443"/>
      <c r="AC230" s="443"/>
      <c r="AD230" s="443"/>
      <c r="AE230" s="443"/>
      <c r="AF230" s="443"/>
      <c r="AG230" s="444"/>
    </row>
    <row r="231" spans="2:33" x14ac:dyDescent="0.35">
      <c r="B231" s="464"/>
      <c r="C231" s="456"/>
      <c r="D231" s="456"/>
      <c r="E231" s="456"/>
      <c r="F231" s="456"/>
      <c r="G231" s="456"/>
      <c r="H231" s="456"/>
      <c r="I231" s="456"/>
      <c r="J231" s="456"/>
      <c r="K231" s="456"/>
      <c r="L231" s="456"/>
      <c r="M231" s="456"/>
      <c r="N231" s="456"/>
      <c r="O231" s="456"/>
      <c r="P231" s="456"/>
      <c r="Q231" s="456"/>
      <c r="R231" s="454"/>
      <c r="S231" s="454"/>
      <c r="T231" s="454"/>
      <c r="U231" s="454"/>
      <c r="V231" s="465"/>
      <c r="W231" s="443"/>
      <c r="X231" s="443"/>
      <c r="Y231" s="443"/>
      <c r="Z231" s="443"/>
      <c r="AA231" s="443"/>
      <c r="AB231" s="443"/>
      <c r="AC231" s="443"/>
      <c r="AD231" s="443"/>
      <c r="AE231" s="443"/>
      <c r="AF231" s="443"/>
      <c r="AG231" s="444"/>
    </row>
    <row r="232" spans="2:33" x14ac:dyDescent="0.35">
      <c r="B232" s="512" t="s">
        <v>132</v>
      </c>
      <c r="C232" s="451" t="e">
        <f>SUM(O213:O228)</f>
        <v>#N/A</v>
      </c>
      <c r="D232" s="456"/>
      <c r="E232" s="456"/>
      <c r="F232" s="456"/>
      <c r="G232" s="456"/>
      <c r="H232" s="456"/>
      <c r="I232" s="456"/>
      <c r="J232" s="456"/>
      <c r="K232" s="456"/>
      <c r="L232" s="456"/>
      <c r="M232" s="456"/>
      <c r="N232" s="456"/>
      <c r="O232" s="456"/>
      <c r="P232" s="456"/>
      <c r="Q232" s="456"/>
      <c r="R232" s="454"/>
      <c r="S232" s="454"/>
      <c r="T232" s="454"/>
      <c r="U232" s="454"/>
      <c r="V232" s="465"/>
      <c r="W232" s="443"/>
      <c r="X232" s="443"/>
      <c r="Y232" s="443"/>
      <c r="Z232" s="443"/>
      <c r="AA232" s="443"/>
      <c r="AB232" s="443"/>
      <c r="AC232" s="443"/>
      <c r="AD232" s="443"/>
      <c r="AE232" s="443"/>
      <c r="AF232" s="443"/>
      <c r="AG232" s="444"/>
    </row>
    <row r="233" spans="2:33" x14ac:dyDescent="0.35">
      <c r="B233" s="512" t="s">
        <v>133</v>
      </c>
      <c r="C233" s="451" t="e">
        <f>SUM(P213:P228)</f>
        <v>#N/A</v>
      </c>
      <c r="D233" s="456"/>
      <c r="E233" s="456"/>
      <c r="F233" s="456"/>
      <c r="G233" s="456"/>
      <c r="H233" s="456"/>
      <c r="I233" s="456"/>
      <c r="J233" s="456"/>
      <c r="K233" s="456"/>
      <c r="L233" s="456"/>
      <c r="M233" s="456"/>
      <c r="N233" s="456"/>
      <c r="O233" s="456"/>
      <c r="P233" s="456"/>
      <c r="Q233" s="456"/>
      <c r="R233" s="454"/>
      <c r="S233" s="454"/>
      <c r="T233" s="454"/>
      <c r="U233" s="454"/>
      <c r="V233" s="465"/>
      <c r="W233" s="443"/>
      <c r="X233" s="443"/>
      <c r="Y233" s="443"/>
      <c r="Z233" s="443"/>
      <c r="AA233" s="443"/>
      <c r="AB233" s="443"/>
      <c r="AC233" s="443"/>
      <c r="AD233" s="443"/>
      <c r="AE233" s="443"/>
      <c r="AF233" s="443"/>
      <c r="AG233" s="444"/>
    </row>
    <row r="234" spans="2:33" x14ac:dyDescent="0.35">
      <c r="B234" s="512" t="s">
        <v>131</v>
      </c>
      <c r="C234" s="451" t="e">
        <f>SUM(Q213:Q228)</f>
        <v>#N/A</v>
      </c>
      <c r="D234" s="456"/>
      <c r="E234" s="456"/>
      <c r="F234" s="456"/>
      <c r="G234" s="456"/>
      <c r="H234" s="456"/>
      <c r="I234" s="456"/>
      <c r="J234" s="456"/>
      <c r="K234" s="456"/>
      <c r="L234" s="456"/>
      <c r="M234" s="456"/>
      <c r="N234" s="456"/>
      <c r="O234" s="456"/>
      <c r="P234" s="456"/>
      <c r="Q234" s="456"/>
      <c r="R234" s="454"/>
      <c r="S234" s="454"/>
      <c r="T234" s="454"/>
      <c r="U234" s="454"/>
      <c r="V234" s="465"/>
      <c r="W234" s="443"/>
      <c r="X234" s="443"/>
      <c r="Y234" s="443"/>
      <c r="Z234" s="443"/>
      <c r="AA234" s="443"/>
      <c r="AB234" s="443"/>
      <c r="AC234" s="443"/>
      <c r="AD234" s="443"/>
      <c r="AE234" s="443"/>
      <c r="AF234" s="443"/>
      <c r="AG234" s="444"/>
    </row>
    <row r="235" spans="2:33" ht="37.5" customHeight="1" thickBot="1" x14ac:dyDescent="0.4">
      <c r="B235" s="445"/>
      <c r="C235" s="554" t="s">
        <v>564</v>
      </c>
      <c r="D235" s="879" t="s">
        <v>592</v>
      </c>
      <c r="E235" s="879"/>
      <c r="F235" s="456"/>
      <c r="G235" s="456"/>
      <c r="H235" s="456"/>
      <c r="I235" s="456"/>
      <c r="J235" s="456"/>
      <c r="K235" s="456"/>
      <c r="L235" s="456"/>
      <c r="M235" s="456"/>
      <c r="N235" s="456"/>
      <c r="O235" s="456"/>
      <c r="P235" s="456"/>
      <c r="Q235" s="456"/>
      <c r="R235" s="454"/>
      <c r="S235" s="454"/>
      <c r="T235" s="454"/>
      <c r="U235" s="454"/>
      <c r="V235" s="465"/>
      <c r="W235" s="443"/>
      <c r="X235" s="443"/>
      <c r="Y235" s="443"/>
      <c r="Z235" s="443"/>
      <c r="AA235" s="443"/>
      <c r="AB235" s="443"/>
      <c r="AC235" s="443"/>
      <c r="AD235" s="443"/>
      <c r="AE235" s="443"/>
      <c r="AF235" s="443"/>
      <c r="AG235" s="444"/>
    </row>
    <row r="236" spans="2:33" ht="18.75" thickBot="1" x14ac:dyDescent="0.4">
      <c r="B236" s="471" t="s">
        <v>119</v>
      </c>
      <c r="C236" s="472" t="e">
        <f>C234/(C232+C233)*R213</f>
        <v>#N/A</v>
      </c>
      <c r="D236" s="977" t="e">
        <f>MROUND(C236,0.025)</f>
        <v>#N/A</v>
      </c>
      <c r="E236" s="977"/>
      <c r="F236" s="456"/>
      <c r="G236" s="456"/>
      <c r="H236" s="456"/>
      <c r="I236" s="456"/>
      <c r="J236" s="456"/>
      <c r="K236" s="456"/>
      <c r="L236" s="456"/>
      <c r="M236" s="456"/>
      <c r="N236" s="456"/>
      <c r="O236" s="456"/>
      <c r="P236" s="456"/>
      <c r="Q236" s="456"/>
      <c r="R236" s="454"/>
      <c r="S236" s="454"/>
      <c r="T236" s="454"/>
      <c r="U236" s="454"/>
      <c r="V236" s="465"/>
      <c r="W236" s="443"/>
      <c r="X236" s="443"/>
      <c r="Y236" s="443"/>
      <c r="Z236" s="443"/>
      <c r="AA236" s="443"/>
      <c r="AB236" s="443"/>
      <c r="AC236" s="443"/>
      <c r="AD236" s="443"/>
      <c r="AE236" s="443"/>
      <c r="AF236" s="443"/>
      <c r="AG236" s="444"/>
    </row>
    <row r="237" spans="2:33" x14ac:dyDescent="0.35">
      <c r="B237" s="464"/>
      <c r="C237" s="456"/>
      <c r="D237" s="456"/>
      <c r="E237" s="456"/>
      <c r="F237" s="456"/>
      <c r="G237" s="456"/>
      <c r="H237" s="456"/>
      <c r="I237" s="456"/>
      <c r="J237" s="456"/>
      <c r="K237" s="456"/>
      <c r="L237" s="456"/>
      <c r="M237" s="456"/>
      <c r="N237" s="456"/>
      <c r="O237" s="456"/>
      <c r="P237" s="456"/>
      <c r="Q237" s="456"/>
      <c r="R237" s="454"/>
      <c r="S237" s="454"/>
      <c r="T237" s="454"/>
      <c r="U237" s="454"/>
      <c r="V237" s="465"/>
      <c r="W237" s="443"/>
      <c r="X237" s="443"/>
      <c r="Y237" s="443"/>
      <c r="Z237" s="443"/>
      <c r="AA237" s="443"/>
      <c r="AB237" s="443"/>
      <c r="AC237" s="443"/>
      <c r="AD237" s="443"/>
      <c r="AE237" s="443"/>
      <c r="AF237" s="443"/>
      <c r="AG237" s="444"/>
    </row>
    <row r="238" spans="2:33" x14ac:dyDescent="0.35">
      <c r="B238" s="464"/>
      <c r="C238" s="456"/>
      <c r="D238" s="456"/>
      <c r="E238" s="456"/>
      <c r="F238" s="456"/>
      <c r="G238" s="456"/>
      <c r="H238" s="456"/>
      <c r="I238" s="456"/>
      <c r="J238" s="456"/>
      <c r="K238" s="456"/>
      <c r="L238" s="456"/>
      <c r="M238" s="456"/>
      <c r="N238" s="456"/>
      <c r="O238" s="456"/>
      <c r="P238" s="456"/>
      <c r="Q238" s="456"/>
      <c r="R238" s="454"/>
      <c r="S238" s="454"/>
      <c r="T238" s="454"/>
      <c r="U238" s="454"/>
      <c r="V238" s="465"/>
      <c r="W238" s="443"/>
      <c r="X238" s="443"/>
      <c r="Y238" s="443"/>
      <c r="Z238" s="443"/>
      <c r="AA238" s="443"/>
      <c r="AB238" s="443"/>
      <c r="AC238" s="443"/>
      <c r="AD238" s="443"/>
      <c r="AE238" s="443"/>
      <c r="AF238" s="443"/>
      <c r="AG238" s="444"/>
    </row>
    <row r="239" spans="2:33" x14ac:dyDescent="0.35">
      <c r="B239" s="466" t="s">
        <v>233</v>
      </c>
      <c r="C239" s="467"/>
      <c r="D239" s="467"/>
      <c r="E239" s="467"/>
      <c r="F239" s="467"/>
      <c r="G239" s="467"/>
      <c r="H239" s="467"/>
      <c r="I239" s="467"/>
      <c r="J239" s="467"/>
      <c r="K239" s="467"/>
      <c r="L239" s="467"/>
      <c r="M239" s="467"/>
      <c r="N239" s="467"/>
      <c r="O239" s="467"/>
      <c r="P239" s="467"/>
      <c r="Q239" s="467"/>
      <c r="R239" s="468"/>
      <c r="S239" s="454"/>
      <c r="T239" s="454"/>
      <c r="U239" s="454"/>
      <c r="V239" s="465"/>
      <c r="W239" s="443"/>
      <c r="X239" s="443"/>
      <c r="Y239" s="443"/>
      <c r="Z239" s="443"/>
      <c r="AA239" s="443"/>
      <c r="AB239" s="443"/>
      <c r="AC239" s="443"/>
      <c r="AD239" s="443"/>
      <c r="AE239" s="443"/>
      <c r="AF239" s="443"/>
      <c r="AG239" s="444"/>
    </row>
    <row r="240" spans="2:33" x14ac:dyDescent="0.35">
      <c r="B240" s="464"/>
      <c r="C240" s="456"/>
      <c r="D240" s="456"/>
      <c r="E240" s="456"/>
      <c r="F240" s="456"/>
      <c r="G240" s="456"/>
      <c r="H240" s="456"/>
      <c r="I240" s="456"/>
      <c r="J240" s="456"/>
      <c r="K240" s="456"/>
      <c r="L240" s="456"/>
      <c r="M240" s="456"/>
      <c r="N240" s="456"/>
      <c r="O240" s="456"/>
      <c r="P240" s="456"/>
      <c r="Q240" s="456"/>
      <c r="R240" s="454"/>
      <c r="S240" s="454"/>
      <c r="T240" s="454"/>
      <c r="U240" s="454"/>
      <c r="V240" s="465"/>
      <c r="W240" s="443"/>
      <c r="X240" s="443"/>
      <c r="Y240" s="443"/>
      <c r="Z240" s="443"/>
      <c r="AA240" s="443"/>
      <c r="AB240" s="443"/>
      <c r="AC240" s="443"/>
      <c r="AD240" s="443"/>
      <c r="AE240" s="443"/>
      <c r="AF240" s="443"/>
      <c r="AG240" s="444"/>
    </row>
    <row r="241" spans="2:33" x14ac:dyDescent="0.35">
      <c r="B241" s="464"/>
      <c r="C241" s="456"/>
      <c r="D241" s="456"/>
      <c r="E241" s="456"/>
      <c r="F241" s="456"/>
      <c r="G241" s="456"/>
      <c r="H241" s="456"/>
      <c r="I241" s="456"/>
      <c r="J241" s="456"/>
      <c r="K241" s="456"/>
      <c r="L241" s="456"/>
      <c r="M241" s="456"/>
      <c r="N241" s="456"/>
      <c r="O241" s="456"/>
      <c r="P241" s="456"/>
      <c r="Q241" s="456"/>
      <c r="R241" s="454"/>
      <c r="S241" s="454"/>
      <c r="T241" s="454"/>
      <c r="U241" s="454"/>
      <c r="V241" s="465"/>
      <c r="W241" s="443"/>
      <c r="X241" s="443"/>
      <c r="Y241" s="443"/>
      <c r="Z241" s="443"/>
      <c r="AA241" s="443"/>
      <c r="AB241" s="443"/>
      <c r="AC241" s="443"/>
      <c r="AD241" s="443"/>
      <c r="AE241" s="443"/>
      <c r="AF241" s="443"/>
      <c r="AG241" s="444"/>
    </row>
    <row r="242" spans="2:33" x14ac:dyDescent="0.35">
      <c r="B242" s="509" t="s">
        <v>399</v>
      </c>
      <c r="C242" s="451">
        <f>IF(C55="", 0.25, ROUND(MIN(0.25,((1-((C55/(3.413*I55))/(C56/(3.413*I56))))/(1-C55/(C56*'Optional H0C Test Recorded Data'!D13)))),2))</f>
        <v>0.25</v>
      </c>
      <c r="D242" s="456"/>
      <c r="E242" s="456"/>
      <c r="F242" s="456"/>
      <c r="G242" s="456"/>
      <c r="H242" s="456"/>
      <c r="I242" s="456"/>
      <c r="J242" s="456"/>
      <c r="K242" s="456"/>
      <c r="L242" s="456"/>
      <c r="M242" s="456"/>
      <c r="N242" s="456"/>
      <c r="O242" s="456"/>
      <c r="P242" s="456"/>
      <c r="Q242" s="456"/>
      <c r="R242" s="454"/>
      <c r="S242" s="454"/>
      <c r="T242" s="454"/>
      <c r="U242" s="454"/>
      <c r="V242" s="465"/>
      <c r="W242" s="443"/>
      <c r="X242" s="443"/>
      <c r="Y242" s="443"/>
      <c r="Z242" s="443"/>
      <c r="AA242" s="443"/>
      <c r="AB242" s="443"/>
      <c r="AC242" s="443"/>
      <c r="AD242" s="443"/>
      <c r="AE242" s="443"/>
      <c r="AF242" s="443"/>
      <c r="AG242" s="444"/>
    </row>
    <row r="243" spans="2:33" x14ac:dyDescent="0.35">
      <c r="B243" s="445"/>
      <c r="C243" s="456"/>
      <c r="D243" s="456"/>
      <c r="E243" s="456"/>
      <c r="F243" s="456"/>
      <c r="G243" s="456"/>
      <c r="H243" s="456"/>
      <c r="I243" s="456"/>
      <c r="J243" s="456"/>
      <c r="K243" s="456"/>
      <c r="L243" s="456"/>
      <c r="M243" s="456"/>
      <c r="N243" s="456"/>
      <c r="O243" s="456"/>
      <c r="P243" s="456"/>
      <c r="Q243" s="456"/>
      <c r="R243" s="454"/>
      <c r="S243" s="454"/>
      <c r="T243" s="454"/>
      <c r="U243" s="454"/>
      <c r="V243" s="465"/>
      <c r="W243" s="443"/>
      <c r="X243" s="443"/>
      <c r="Y243" s="443"/>
      <c r="Z243" s="443"/>
      <c r="AA243" s="443"/>
      <c r="AB243" s="443"/>
      <c r="AC243" s="443"/>
      <c r="AD243" s="443"/>
      <c r="AE243" s="443"/>
      <c r="AF243" s="443"/>
      <c r="AG243" s="444"/>
    </row>
    <row r="244" spans="2:33" x14ac:dyDescent="0.35">
      <c r="B244" s="464"/>
      <c r="C244" s="456"/>
      <c r="D244" s="456"/>
      <c r="E244" s="456"/>
      <c r="F244" s="456"/>
      <c r="G244" s="456"/>
      <c r="H244" s="456"/>
      <c r="I244" s="456"/>
      <c r="J244" s="456"/>
      <c r="K244" s="456"/>
      <c r="L244" s="456"/>
      <c r="M244" s="456"/>
      <c r="N244" s="456"/>
      <c r="O244" s="456"/>
      <c r="P244" s="456"/>
      <c r="Q244" s="456"/>
      <c r="R244" s="454"/>
      <c r="S244" s="454"/>
      <c r="T244" s="454"/>
      <c r="U244" s="454"/>
      <c r="V244" s="465"/>
      <c r="W244" s="443"/>
      <c r="X244" s="443"/>
      <c r="Y244" s="443"/>
      <c r="Z244" s="443"/>
      <c r="AA244" s="443"/>
      <c r="AB244" s="443"/>
      <c r="AC244" s="443"/>
      <c r="AD244" s="443"/>
      <c r="AE244" s="443"/>
      <c r="AF244" s="443"/>
      <c r="AG244" s="444"/>
    </row>
    <row r="245" spans="2:33" x14ac:dyDescent="0.35">
      <c r="B245" s="464"/>
      <c r="C245" s="456"/>
      <c r="D245" s="456"/>
      <c r="E245" s="456"/>
      <c r="F245" s="456"/>
      <c r="G245" s="456"/>
      <c r="H245" s="456"/>
      <c r="I245" s="456"/>
      <c r="J245" s="456"/>
      <c r="K245" s="456"/>
      <c r="L245" s="456"/>
      <c r="M245" s="456"/>
      <c r="N245" s="456"/>
      <c r="O245" s="456"/>
      <c r="P245" s="456"/>
      <c r="Q245" s="456"/>
      <c r="R245" s="454"/>
      <c r="S245" s="454"/>
      <c r="T245" s="454"/>
      <c r="U245" s="454"/>
      <c r="V245" s="465"/>
      <c r="W245" s="443"/>
      <c r="X245" s="443"/>
      <c r="Y245" s="443"/>
      <c r="Z245" s="443"/>
      <c r="AA245" s="443"/>
      <c r="AB245" s="443"/>
      <c r="AC245" s="443"/>
      <c r="AD245" s="443"/>
      <c r="AE245" s="443"/>
      <c r="AF245" s="443"/>
      <c r="AG245" s="444"/>
    </row>
    <row r="246" spans="2:33" x14ac:dyDescent="0.35">
      <c r="B246" s="473" t="s">
        <v>130</v>
      </c>
      <c r="C246" s="474" t="s">
        <v>390</v>
      </c>
      <c r="D246" s="474" t="s">
        <v>111</v>
      </c>
      <c r="E246" s="474" t="s">
        <v>392</v>
      </c>
      <c r="F246" s="553" t="s">
        <v>264</v>
      </c>
      <c r="G246" s="553" t="s">
        <v>275</v>
      </c>
      <c r="H246" s="553" t="s">
        <v>265</v>
      </c>
      <c r="I246" s="553" t="s">
        <v>271</v>
      </c>
      <c r="J246" s="553" t="s">
        <v>272</v>
      </c>
      <c r="K246" s="553" t="s">
        <v>269</v>
      </c>
      <c r="L246" s="553" t="s">
        <v>483</v>
      </c>
      <c r="M246" s="553" t="s">
        <v>270</v>
      </c>
      <c r="N246" s="553" t="s">
        <v>295</v>
      </c>
      <c r="O246" s="553" t="s">
        <v>281</v>
      </c>
      <c r="P246" s="553" t="s">
        <v>113</v>
      </c>
      <c r="Q246" s="553" t="s">
        <v>544</v>
      </c>
      <c r="R246" s="553" t="s">
        <v>114</v>
      </c>
      <c r="S246" s="553" t="s">
        <v>115</v>
      </c>
      <c r="T246" s="474" t="s">
        <v>116</v>
      </c>
      <c r="U246" s="474" t="s">
        <v>117</v>
      </c>
      <c r="V246" s="474" t="s">
        <v>118</v>
      </c>
      <c r="W246" s="454"/>
      <c r="X246" s="454"/>
      <c r="Y246" s="443"/>
      <c r="Z246" s="443"/>
      <c r="AA246" s="443"/>
      <c r="AB246" s="443"/>
      <c r="AC246" s="443"/>
      <c r="AD246" s="443"/>
      <c r="AE246" s="443"/>
      <c r="AF246" s="443"/>
      <c r="AG246" s="444"/>
    </row>
    <row r="247" spans="2:33" x14ac:dyDescent="0.35">
      <c r="B247" s="475" t="e">
        <f>IF(C247="","",Tables!A6)</f>
        <v>#N/A</v>
      </c>
      <c r="C247" s="476" t="e">
        <f>IF(D247="","",Tables!B6)</f>
        <v>#N/A</v>
      </c>
      <c r="D247" s="476" t="e">
        <f>IF(HLOOKUP($C$135,Tables!$A$1:$H$23,ROW()-241)=0,"",HLOOKUP($C$135,Tables!$A$1:$H$23,ROW()-241))</f>
        <v>#N/A</v>
      </c>
      <c r="E247" s="451" t="e">
        <f>IF(D247="","",((65-C247)/(65-$G$139))*$G$140*$G$137)</f>
        <v>#N/A</v>
      </c>
      <c r="F247" s="451" t="e">
        <f>IF(D247="","",$C$44+(($C$56-$C$44)/(62-47))*(C247-47))</f>
        <v>#N/A</v>
      </c>
      <c r="G247" s="451" t="e">
        <f>IF(E247="","",$C$57+($AC$192*(C247-35)))</f>
        <v>#N/A</v>
      </c>
      <c r="H247" s="451" t="e">
        <f>IF(D247="","",IF(OR(C247&gt;=45,C247&lt;=17),$C$51+((($C$45-$C$51)*(C247-17))/(47-17)),$C$51+((($C$48-$C$51)*(C247-17))/(35-17))))</f>
        <v>#N/A</v>
      </c>
      <c r="I247" s="451" t="e">
        <f>IF(D247="","",IF(F247&gt;=E247,E247/F247,1))</f>
        <v>#N/A</v>
      </c>
      <c r="J247" s="451" t="e">
        <f t="shared" ref="J247:J264" si="71">IF(D247="","",IF(H247&gt;E247,E247/H247,IF(AND(F247&lt;E247,H247&gt;E247),1-I247," ")))</f>
        <v>#N/A</v>
      </c>
      <c r="K247" s="451" t="e">
        <f>IF(D247="","",$I$44+(($I$56-$I$44)/(62-47))*(C247-47))</f>
        <v>#N/A</v>
      </c>
      <c r="L247" s="451" t="e">
        <f>IF(E247="","",$I$57+($AC$193*(C247-35)))</f>
        <v>#N/A</v>
      </c>
      <c r="M247" s="451" t="e">
        <f>IF(D247="","",IF(OR(C247&gt;=45,C247&lt;=17),$I$51+((($I$45-$I$51)*(C247-17))/(47-17)),$I$51+((($I$48-$I$51)*(C247-17))/(35-17))))</f>
        <v>#N/A</v>
      </c>
      <c r="N247" s="451" t="e">
        <f>IF(D247="","",IF(AND('General Info and Test Results'!$C$36= "Yes", 'General Info and Test Results'!$C$25="Central Heat Pump"), IF(AND($AC$180&gt;C247,C247&gt;$AE$180),$AB$197+(($AB$198-$AB$197)/($AE$180-$AC$180))*(C247-$AC$180),$AB$198+(($AB$199-$AB$198)/($AD$180-$AE$180))*(C247-$AE$180)), $AA$195+$AA$193*C247+$AA$194*C247^2))</f>
        <v>#N/A</v>
      </c>
      <c r="O247" s="451" t="e">
        <f>IF(D247="","",E247/(3.413*N247))</f>
        <v>#N/A</v>
      </c>
      <c r="P247" s="451" t="e">
        <f>IF(D247="","",H247/(3.413*M247))</f>
        <v>#N/A</v>
      </c>
      <c r="Q247" s="451" t="e">
        <f>IF(D247="","",IF(E247&gt;=H247,IF(OR(C247&lt;=$C$140,P247&lt;1),0,IF(AND($C$140&lt;C247,C247&lt;=$C$138,P247&gt;=1),0.5,1)),IF(C247&lt;=$C$140,0,IF(AND($C$140&lt;C247,C247&lt;=$C$138),0.5,1))))</f>
        <v>#N/A</v>
      </c>
      <c r="R247" s="451" t="e">
        <f t="shared" ref="R247:R264" si="72">IF(D247="","",1-$C$242*(1-I247))</f>
        <v>#N/A</v>
      </c>
      <c r="S247" s="451" t="e">
        <f>IF(D247="","",IF(F247&gt;=E247,((I247*K247*Q247*D247)/R247),IF(AND(F247&lt;E247,E247&lt;H247),O247*Q247*D247,IF(E247&gt;=H247,M247*Q247*D247,"ERROR"))))</f>
        <v>#N/A</v>
      </c>
      <c r="T247" s="451" t="e">
        <f>IF(D247="","",IF(E247&gt;=H247,((E247-(H247*Q247))/3.413)*D247,((E247*(1-Q247))/3.413)*D247))</f>
        <v>#N/A</v>
      </c>
      <c r="U247" s="451" t="e">
        <f t="shared" ref="U247:U264" si="73">IF(D247="","",E247*D247)</f>
        <v>#N/A</v>
      </c>
      <c r="V247" s="451" t="e">
        <f>IF(D247="","",IF('General Info and Test Results'!$C$34="Yes",1+(0.03*(1-((MAX('H2 Test Recorded Data'!$D$11,1.5)-1.5)/(MIN('H2 Test Recorded Data'!$D$12,12)-1.5)))),1))</f>
        <v>#N/A</v>
      </c>
      <c r="W247" s="454"/>
      <c r="X247" s="454"/>
      <c r="Y247" s="443"/>
      <c r="Z247" s="443"/>
      <c r="AA247" s="443"/>
      <c r="AB247" s="443"/>
      <c r="AC247" s="443"/>
      <c r="AD247" s="443"/>
      <c r="AE247" s="443"/>
      <c r="AF247" s="443"/>
      <c r="AG247" s="444"/>
    </row>
    <row r="248" spans="2:33" x14ac:dyDescent="0.35">
      <c r="B248" s="475" t="e">
        <f>IF(C248="","",Tables!A7)</f>
        <v>#N/A</v>
      </c>
      <c r="C248" s="476" t="e">
        <f>IF(D248="","",Tables!B7)</f>
        <v>#N/A</v>
      </c>
      <c r="D248" s="476" t="e">
        <f>IF(HLOOKUP($C$135,Tables!$A$1:$H$23,ROW()-241)=0,"",HLOOKUP($C$135,Tables!$A$1:$H$23,ROW()-241))</f>
        <v>#N/A</v>
      </c>
      <c r="E248" s="451" t="e">
        <f t="shared" ref="E248:E264" si="74">IF(D248="","",((65-C248)/(65-$G$139))*$G$140*$G$137)</f>
        <v>#N/A</v>
      </c>
      <c r="F248" s="451" t="e">
        <f t="shared" ref="F248:F264" si="75">IF(D248="","",$C$44+(($C$56-$C$44)/(62-47))*(C248-47))</f>
        <v>#N/A</v>
      </c>
      <c r="G248" s="451" t="e">
        <f t="shared" ref="G248:G264" si="76">IF(E248="","",$C$57+($AC$192*(C248-35)))</f>
        <v>#N/A</v>
      </c>
      <c r="H248" s="451" t="e">
        <f t="shared" ref="H248:H264" si="77">IF(D248="","",IF(OR(C248&gt;=45,C248&lt;=17),$C$51+((($C$45-$C$51)*(C248-17))/(47-17)),$C$51+((($C$48-$C$51)*(C248-17))/(35-17))))</f>
        <v>#N/A</v>
      </c>
      <c r="I248" s="451" t="e">
        <f t="shared" ref="I248:I264" si="78">IF(D248="","",IF(F248&gt;=E248,E248/F248,1))</f>
        <v>#N/A</v>
      </c>
      <c r="J248" s="451" t="e">
        <f t="shared" si="71"/>
        <v>#N/A</v>
      </c>
      <c r="K248" s="451" t="e">
        <f t="shared" ref="K248:K264" si="79">IF(D248="","",$I$44+(($I$56-$I$44)/(62-47))*(C248-47))</f>
        <v>#N/A</v>
      </c>
      <c r="L248" s="451" t="e">
        <f t="shared" ref="L248:L264" si="80">IF(E248="","",$I$57+($AC$193*(C248-35)))</f>
        <v>#N/A</v>
      </c>
      <c r="M248" s="451" t="e">
        <f t="shared" ref="M248:M264" si="81">IF(D248="","",IF(OR(C248&gt;=45,C248&lt;=17),$I$51+((($I$45-$I$51)*(C248-17))/(47-17)),$I$51+((($I$48-$I$51)*(C248-17))/(35-17))))</f>
        <v>#N/A</v>
      </c>
      <c r="N248" s="451" t="e">
        <f>IF(D248="","",IF(AND('General Info and Test Results'!$C$36= "Yes", 'General Info and Test Results'!$C$25="Central Heat Pump"), IF(AND($AC$180&gt;C248,C248&gt;$AE$180),$AB$197+(($AB$198-$AB$197)/($AE$180-$AC$180))*(C248-$AC$180),$AB$198+(($AB$199-$AB$198)/($AD$180-$AE$180))*(C248-$AE$180)), $AA$195+$AA$193*C248+$AA$194*C248^2))</f>
        <v>#N/A</v>
      </c>
      <c r="O248" s="451" t="e">
        <f t="shared" ref="O248:O264" si="82">IF(D248="","",E248/(3.413*N248))</f>
        <v>#N/A</v>
      </c>
      <c r="P248" s="451" t="e">
        <f t="shared" ref="P248:P264" si="83">IF(D248="","",H248/(3.413*M248))</f>
        <v>#N/A</v>
      </c>
      <c r="Q248" s="451" t="e">
        <f t="shared" ref="Q248:Q264" si="84">IF(D248="","",IF(E248&gt;=H248,IF(OR(C248&lt;=$C$140,P248&lt;1),0,IF(AND($C$140&lt;C248,C248&lt;=$C$138,P248&gt;=1),0.5,1)),IF(C248&lt;=$C$140,0,IF(AND($C$140&lt;C248,C248&lt;=$C$138),0.5,1))))</f>
        <v>#N/A</v>
      </c>
      <c r="R248" s="451" t="e">
        <f t="shared" si="72"/>
        <v>#N/A</v>
      </c>
      <c r="S248" s="451" t="e">
        <f t="shared" ref="S248:S264" si="85">IF(D248="","",IF(F248&gt;=E248,((I248*K248*Q248*D248)/R248),IF(AND(F248&lt;E248,E248&lt;H248),O248*Q248*D248,IF(E248&gt;=H248,M248*Q248*D248,"ERROR"))))</f>
        <v>#N/A</v>
      </c>
      <c r="T248" s="451" t="e">
        <f t="shared" ref="T248:T264" si="86">IF(D248="","",IF(E248&gt;=H248,((E248-(H248*Q248))/3.413)*D248,((E248*(1-Q248))/3.413)*D248))</f>
        <v>#N/A</v>
      </c>
      <c r="U248" s="451" t="e">
        <f t="shared" si="73"/>
        <v>#N/A</v>
      </c>
      <c r="V248" s="451" t="e">
        <f>IF(D248="","",IF('General Info and Test Results'!$C$34="Yes",1+(0.03*(1-((MAX('H2 Test Recorded Data'!$D$11,1.5)-1.5)/(MIN('H2 Test Recorded Data'!$D$12,12)-1.5)))),1))</f>
        <v>#N/A</v>
      </c>
      <c r="W248" s="454"/>
      <c r="X248" s="454"/>
      <c r="Y248" s="443"/>
      <c r="Z248" s="443"/>
      <c r="AA248" s="443"/>
      <c r="AB248" s="443"/>
      <c r="AC248" s="443"/>
      <c r="AD248" s="443"/>
      <c r="AE248" s="443"/>
      <c r="AF248" s="443"/>
      <c r="AG248" s="444"/>
    </row>
    <row r="249" spans="2:33" x14ac:dyDescent="0.35">
      <c r="B249" s="475" t="e">
        <f>IF(C249="","",Tables!A8)</f>
        <v>#N/A</v>
      </c>
      <c r="C249" s="476" t="e">
        <f>IF(D249="","",Tables!B8)</f>
        <v>#N/A</v>
      </c>
      <c r="D249" s="476" t="e">
        <f>IF(HLOOKUP($C$135,Tables!$A$1:$H$23,ROW()-241)=0,"",HLOOKUP($C$135,Tables!$A$1:$H$23,ROW()-241))</f>
        <v>#N/A</v>
      </c>
      <c r="E249" s="451" t="e">
        <f t="shared" si="74"/>
        <v>#N/A</v>
      </c>
      <c r="F249" s="451" t="e">
        <f t="shared" si="75"/>
        <v>#N/A</v>
      </c>
      <c r="G249" s="451" t="e">
        <f t="shared" si="76"/>
        <v>#N/A</v>
      </c>
      <c r="H249" s="451" t="e">
        <f t="shared" si="77"/>
        <v>#N/A</v>
      </c>
      <c r="I249" s="451" t="e">
        <f t="shared" si="78"/>
        <v>#N/A</v>
      </c>
      <c r="J249" s="451" t="e">
        <f t="shared" si="71"/>
        <v>#N/A</v>
      </c>
      <c r="K249" s="451" t="e">
        <f t="shared" si="79"/>
        <v>#N/A</v>
      </c>
      <c r="L249" s="451" t="e">
        <f t="shared" si="80"/>
        <v>#N/A</v>
      </c>
      <c r="M249" s="451" t="e">
        <f t="shared" si="81"/>
        <v>#N/A</v>
      </c>
      <c r="N249" s="451" t="e">
        <f>IF(D249="","",IF(AND('General Info and Test Results'!$C$36= "Yes", 'General Info and Test Results'!$C$25="Central Heat Pump"), IF(AND($AC$180&gt;C249,C249&gt;$AE$180),$AB$197+(($AB$198-$AB$197)/($AE$180-$AC$180))*(C249-$AC$180),$AB$198+(($AB$199-$AB$198)/($AD$180-$AE$180))*(C249-$AE$180)), $AA$195+$AA$193*C249+$AA$194*C249^2))</f>
        <v>#N/A</v>
      </c>
      <c r="O249" s="451" t="e">
        <f t="shared" si="82"/>
        <v>#N/A</v>
      </c>
      <c r="P249" s="451" t="e">
        <f t="shared" si="83"/>
        <v>#N/A</v>
      </c>
      <c r="Q249" s="451" t="e">
        <f t="shared" si="84"/>
        <v>#N/A</v>
      </c>
      <c r="R249" s="451" t="e">
        <f t="shared" si="72"/>
        <v>#N/A</v>
      </c>
      <c r="S249" s="451" t="e">
        <f t="shared" si="85"/>
        <v>#N/A</v>
      </c>
      <c r="T249" s="451" t="e">
        <f t="shared" si="86"/>
        <v>#N/A</v>
      </c>
      <c r="U249" s="451" t="e">
        <f t="shared" si="73"/>
        <v>#N/A</v>
      </c>
      <c r="V249" s="451" t="e">
        <f>IF(D249="","",IF('General Info and Test Results'!$C$34="Yes",1+(0.03*(1-((MAX('H2 Test Recorded Data'!$D$11,1.5)-1.5)/(MIN('H2 Test Recorded Data'!$D$12,12)-1.5)))),1))</f>
        <v>#N/A</v>
      </c>
      <c r="W249" s="454"/>
      <c r="X249" s="454"/>
      <c r="Y249" s="443"/>
      <c r="Z249" s="443"/>
      <c r="AA249" s="443"/>
      <c r="AB249" s="443"/>
      <c r="AC249" s="443"/>
      <c r="AD249" s="443"/>
      <c r="AE249" s="443"/>
      <c r="AF249" s="443"/>
      <c r="AG249" s="444"/>
    </row>
    <row r="250" spans="2:33" x14ac:dyDescent="0.35">
      <c r="B250" s="475" t="e">
        <f>IF(C250="","",Tables!A9)</f>
        <v>#N/A</v>
      </c>
      <c r="C250" s="476" t="e">
        <f>IF(D250="","",Tables!B9)</f>
        <v>#N/A</v>
      </c>
      <c r="D250" s="476" t="e">
        <f>IF(HLOOKUP($C$135,Tables!$A$1:$H$23,ROW()-241)=0,"",HLOOKUP($C$135,Tables!$A$1:$H$23,ROW()-241))</f>
        <v>#N/A</v>
      </c>
      <c r="E250" s="451" t="e">
        <f t="shared" si="74"/>
        <v>#N/A</v>
      </c>
      <c r="F250" s="451" t="e">
        <f t="shared" si="75"/>
        <v>#N/A</v>
      </c>
      <c r="G250" s="451" t="e">
        <f t="shared" si="76"/>
        <v>#N/A</v>
      </c>
      <c r="H250" s="451" t="e">
        <f t="shared" si="77"/>
        <v>#N/A</v>
      </c>
      <c r="I250" s="451" t="e">
        <f t="shared" si="78"/>
        <v>#N/A</v>
      </c>
      <c r="J250" s="451" t="e">
        <f t="shared" si="71"/>
        <v>#N/A</v>
      </c>
      <c r="K250" s="451" t="e">
        <f t="shared" si="79"/>
        <v>#N/A</v>
      </c>
      <c r="L250" s="451" t="e">
        <f t="shared" si="80"/>
        <v>#N/A</v>
      </c>
      <c r="M250" s="451" t="e">
        <f t="shared" si="81"/>
        <v>#N/A</v>
      </c>
      <c r="N250" s="451" t="e">
        <f>IF(D250="","",IF(AND('General Info and Test Results'!$C$36= "Yes", 'General Info and Test Results'!$C$25="Central Heat Pump"), IF(AND($AC$180&gt;C250,C250&gt;$AE$180),$AB$197+(($AB$198-$AB$197)/($AE$180-$AC$180))*(C250-$AC$180),$AB$198+(($AB$199-$AB$198)/($AD$180-$AE$180))*(C250-$AE$180)), $AA$195+$AA$193*C250+$AA$194*C250^2))</f>
        <v>#N/A</v>
      </c>
      <c r="O250" s="451" t="e">
        <f t="shared" si="82"/>
        <v>#N/A</v>
      </c>
      <c r="P250" s="451" t="e">
        <f t="shared" si="83"/>
        <v>#N/A</v>
      </c>
      <c r="Q250" s="451" t="e">
        <f t="shared" si="84"/>
        <v>#N/A</v>
      </c>
      <c r="R250" s="451" t="e">
        <f t="shared" si="72"/>
        <v>#N/A</v>
      </c>
      <c r="S250" s="451" t="e">
        <f t="shared" si="85"/>
        <v>#N/A</v>
      </c>
      <c r="T250" s="451" t="e">
        <f t="shared" si="86"/>
        <v>#N/A</v>
      </c>
      <c r="U250" s="451" t="e">
        <f t="shared" si="73"/>
        <v>#N/A</v>
      </c>
      <c r="V250" s="451" t="e">
        <f>IF(D250="","",IF('General Info and Test Results'!$C$34="Yes",1+(0.03*(1-((MAX('H2 Test Recorded Data'!$D$11,1.5)-1.5)/(MIN('H2 Test Recorded Data'!$D$12,12)-1.5)))),1))</f>
        <v>#N/A</v>
      </c>
      <c r="W250" s="454"/>
      <c r="X250" s="454"/>
      <c r="Y250" s="443"/>
      <c r="Z250" s="443"/>
      <c r="AA250" s="443"/>
      <c r="AB250" s="443"/>
      <c r="AC250" s="443"/>
      <c r="AD250" s="443"/>
      <c r="AE250" s="443"/>
      <c r="AF250" s="443"/>
      <c r="AG250" s="444"/>
    </row>
    <row r="251" spans="2:33" x14ac:dyDescent="0.35">
      <c r="B251" s="475" t="e">
        <f>IF(C251="","",Tables!A10)</f>
        <v>#N/A</v>
      </c>
      <c r="C251" s="476" t="e">
        <f>IF(D251="","",Tables!B10)</f>
        <v>#N/A</v>
      </c>
      <c r="D251" s="476" t="e">
        <f>IF(HLOOKUP($C$135,Tables!$A$1:$H$23,ROW()-241)=0,"",HLOOKUP($C$135,Tables!$A$1:$H$23,ROW()-241))</f>
        <v>#N/A</v>
      </c>
      <c r="E251" s="451" t="e">
        <f t="shared" si="74"/>
        <v>#N/A</v>
      </c>
      <c r="F251" s="451" t="e">
        <f t="shared" si="75"/>
        <v>#N/A</v>
      </c>
      <c r="G251" s="451" t="e">
        <f t="shared" si="76"/>
        <v>#N/A</v>
      </c>
      <c r="H251" s="451" t="e">
        <f t="shared" si="77"/>
        <v>#N/A</v>
      </c>
      <c r="I251" s="451" t="e">
        <f t="shared" si="78"/>
        <v>#N/A</v>
      </c>
      <c r="J251" s="451" t="e">
        <f t="shared" si="71"/>
        <v>#N/A</v>
      </c>
      <c r="K251" s="451" t="e">
        <f t="shared" si="79"/>
        <v>#N/A</v>
      </c>
      <c r="L251" s="451" t="e">
        <f t="shared" si="80"/>
        <v>#N/A</v>
      </c>
      <c r="M251" s="451" t="e">
        <f t="shared" si="81"/>
        <v>#N/A</v>
      </c>
      <c r="N251" s="451" t="e">
        <f>IF(D251="","",IF(AND('General Info and Test Results'!$C$36= "Yes", 'General Info and Test Results'!$C$25="Central Heat Pump"), IF(AND($AC$180&gt;C251,C251&gt;$AE$180),$AB$197+(($AB$198-$AB$197)/($AE$180-$AC$180))*(C251-$AC$180),$AB$198+(($AB$199-$AB$198)/($AD$180-$AE$180))*(C251-$AE$180)), $AA$195+$AA$193*C251+$AA$194*C251^2))</f>
        <v>#N/A</v>
      </c>
      <c r="O251" s="451" t="e">
        <f t="shared" si="82"/>
        <v>#N/A</v>
      </c>
      <c r="P251" s="451" t="e">
        <f t="shared" si="83"/>
        <v>#N/A</v>
      </c>
      <c r="Q251" s="451" t="e">
        <f t="shared" si="84"/>
        <v>#N/A</v>
      </c>
      <c r="R251" s="451" t="e">
        <f t="shared" si="72"/>
        <v>#N/A</v>
      </c>
      <c r="S251" s="451" t="e">
        <f t="shared" si="85"/>
        <v>#N/A</v>
      </c>
      <c r="T251" s="451" t="e">
        <f t="shared" si="86"/>
        <v>#N/A</v>
      </c>
      <c r="U251" s="451" t="e">
        <f t="shared" si="73"/>
        <v>#N/A</v>
      </c>
      <c r="V251" s="451" t="e">
        <f>IF(D251="","",IF('General Info and Test Results'!$C$34="Yes",1+(0.03*(1-((MAX('H2 Test Recorded Data'!$D$11,1.5)-1.5)/(MIN('H2 Test Recorded Data'!$D$12,12)-1.5)))),1))</f>
        <v>#N/A</v>
      </c>
      <c r="W251" s="454"/>
      <c r="X251" s="454"/>
      <c r="Y251" s="443"/>
      <c r="Z251" s="443"/>
      <c r="AA251" s="443"/>
      <c r="AB251" s="443"/>
      <c r="AC251" s="443"/>
      <c r="AD251" s="443"/>
      <c r="AE251" s="443"/>
      <c r="AF251" s="443"/>
      <c r="AG251" s="444"/>
    </row>
    <row r="252" spans="2:33" x14ac:dyDescent="0.35">
      <c r="B252" s="475" t="e">
        <f>IF(C252="","",Tables!A11)</f>
        <v>#N/A</v>
      </c>
      <c r="C252" s="476" t="e">
        <f>IF(D252="","",Tables!B11)</f>
        <v>#N/A</v>
      </c>
      <c r="D252" s="476" t="e">
        <f>IF(HLOOKUP($C$135,Tables!$A$1:$H$23,ROW()-241)=0,"",HLOOKUP($C$135,Tables!$A$1:$H$23,ROW()-241))</f>
        <v>#N/A</v>
      </c>
      <c r="E252" s="451" t="e">
        <f t="shared" si="74"/>
        <v>#N/A</v>
      </c>
      <c r="F252" s="451" t="e">
        <f t="shared" si="75"/>
        <v>#N/A</v>
      </c>
      <c r="G252" s="451" t="e">
        <f>IF(E252="","",$C$57+($AC$192*(C252-35)))</f>
        <v>#N/A</v>
      </c>
      <c r="H252" s="451" t="e">
        <f t="shared" si="77"/>
        <v>#N/A</v>
      </c>
      <c r="I252" s="451" t="e">
        <f t="shared" si="78"/>
        <v>#N/A</v>
      </c>
      <c r="J252" s="451" t="e">
        <f t="shared" si="71"/>
        <v>#N/A</v>
      </c>
      <c r="K252" s="451" t="e">
        <f t="shared" si="79"/>
        <v>#N/A</v>
      </c>
      <c r="L252" s="451" t="e">
        <f t="shared" si="80"/>
        <v>#N/A</v>
      </c>
      <c r="M252" s="451" t="e">
        <f t="shared" si="81"/>
        <v>#N/A</v>
      </c>
      <c r="N252" s="451" t="e">
        <f>IF(D252="","",IF(AND('General Info and Test Results'!$C$36= "Yes", 'General Info and Test Results'!$C$25="Central Heat Pump"), IF(AND($AC$180&gt;C252,C252&gt;$AE$180),$AB$197+(($AB$198-$AB$197)/($AE$180-$AC$180))*(C252-$AC$180),$AB$198+(($AB$199-$AB$198)/($AD$180-$AE$180))*(C252-$AE$180)), $AA$195+$AA$193*C252+$AA$194*C252^2))</f>
        <v>#N/A</v>
      </c>
      <c r="O252" s="451" t="e">
        <f t="shared" si="82"/>
        <v>#N/A</v>
      </c>
      <c r="P252" s="451" t="e">
        <f t="shared" si="83"/>
        <v>#N/A</v>
      </c>
      <c r="Q252" s="451" t="e">
        <f t="shared" si="84"/>
        <v>#N/A</v>
      </c>
      <c r="R252" s="451" t="e">
        <f t="shared" si="72"/>
        <v>#N/A</v>
      </c>
      <c r="S252" s="451" t="e">
        <f t="shared" si="85"/>
        <v>#N/A</v>
      </c>
      <c r="T252" s="451" t="e">
        <f t="shared" si="86"/>
        <v>#N/A</v>
      </c>
      <c r="U252" s="451" t="e">
        <f t="shared" si="73"/>
        <v>#N/A</v>
      </c>
      <c r="V252" s="451" t="e">
        <f>IF(D252="","",IF('General Info and Test Results'!$C$34="Yes",1+(0.03*(1-((MAX('H2 Test Recorded Data'!$D$11,1.5)-1.5)/(MIN('H2 Test Recorded Data'!$D$12,12)-1.5)))),1))</f>
        <v>#N/A</v>
      </c>
      <c r="W252" s="454"/>
      <c r="X252" s="454"/>
      <c r="Y252" s="443"/>
      <c r="Z252" s="443"/>
      <c r="AA252" s="443"/>
      <c r="AB252" s="443"/>
      <c r="AC252" s="443"/>
      <c r="AD252" s="443"/>
      <c r="AE252" s="443"/>
      <c r="AF252" s="443"/>
      <c r="AG252" s="444"/>
    </row>
    <row r="253" spans="2:33" x14ac:dyDescent="0.35">
      <c r="B253" s="475" t="e">
        <f>IF(C253="","",Tables!A12)</f>
        <v>#N/A</v>
      </c>
      <c r="C253" s="476" t="e">
        <f>IF(D253="","",Tables!B12)</f>
        <v>#N/A</v>
      </c>
      <c r="D253" s="476" t="e">
        <f>IF(HLOOKUP($C$135,Tables!$A$1:$H$23,ROW()-241)=0,"",HLOOKUP($C$135,Tables!$A$1:$H$23,ROW()-241))</f>
        <v>#N/A</v>
      </c>
      <c r="E253" s="451" t="e">
        <f t="shared" si="74"/>
        <v>#N/A</v>
      </c>
      <c r="F253" s="451" t="e">
        <f t="shared" si="75"/>
        <v>#N/A</v>
      </c>
      <c r="G253" s="451" t="e">
        <f t="shared" si="76"/>
        <v>#N/A</v>
      </c>
      <c r="H253" s="451" t="e">
        <f t="shared" si="77"/>
        <v>#N/A</v>
      </c>
      <c r="I253" s="451" t="e">
        <f t="shared" si="78"/>
        <v>#N/A</v>
      </c>
      <c r="J253" s="451" t="e">
        <f t="shared" si="71"/>
        <v>#N/A</v>
      </c>
      <c r="K253" s="451" t="e">
        <f t="shared" si="79"/>
        <v>#N/A</v>
      </c>
      <c r="L253" s="451" t="e">
        <f t="shared" si="80"/>
        <v>#N/A</v>
      </c>
      <c r="M253" s="451" t="e">
        <f t="shared" si="81"/>
        <v>#N/A</v>
      </c>
      <c r="N253" s="451" t="e">
        <f>IF(D253="","",IF(AND('General Info and Test Results'!$C$36= "Yes", 'General Info and Test Results'!$C$25="Central Heat Pump"), IF(AND($AC$180&gt;C253,C253&gt;$AE$180),$AB$197+(($AB$198-$AB$197)/($AE$180-$AC$180))*(C253-$AC$180),$AB$198+(($AB$199-$AB$198)/($AD$180-$AE$180))*(C253-$AE$180)), $AA$195+$AA$193*C253+$AA$194*C253^2))</f>
        <v>#N/A</v>
      </c>
      <c r="O253" s="451" t="e">
        <f t="shared" si="82"/>
        <v>#N/A</v>
      </c>
      <c r="P253" s="451" t="e">
        <f t="shared" si="83"/>
        <v>#N/A</v>
      </c>
      <c r="Q253" s="451" t="e">
        <f t="shared" si="84"/>
        <v>#N/A</v>
      </c>
      <c r="R253" s="451" t="e">
        <f t="shared" si="72"/>
        <v>#N/A</v>
      </c>
      <c r="S253" s="451" t="e">
        <f t="shared" si="85"/>
        <v>#N/A</v>
      </c>
      <c r="T253" s="451" t="e">
        <f t="shared" si="86"/>
        <v>#N/A</v>
      </c>
      <c r="U253" s="451" t="e">
        <f t="shared" si="73"/>
        <v>#N/A</v>
      </c>
      <c r="V253" s="451" t="e">
        <f>IF(D253="","",IF('General Info and Test Results'!$C$34="Yes",1+(0.03*(1-((MAX('H2 Test Recorded Data'!$D$11,1.5)-1.5)/(MIN('H2 Test Recorded Data'!$D$12,12)-1.5)))),1))</f>
        <v>#N/A</v>
      </c>
      <c r="W253" s="454"/>
      <c r="X253" s="454"/>
      <c r="Y253" s="443"/>
      <c r="Z253" s="443"/>
      <c r="AA253" s="443"/>
      <c r="AB253" s="443"/>
      <c r="AC253" s="443"/>
      <c r="AD253" s="443"/>
      <c r="AE253" s="443"/>
      <c r="AF253" s="443"/>
      <c r="AG253" s="444"/>
    </row>
    <row r="254" spans="2:33" x14ac:dyDescent="0.35">
      <c r="B254" s="475" t="e">
        <f>IF(C254="","",Tables!A13)</f>
        <v>#N/A</v>
      </c>
      <c r="C254" s="476" t="e">
        <f>IF(D254="","",Tables!B13)</f>
        <v>#N/A</v>
      </c>
      <c r="D254" s="476" t="e">
        <f>IF(HLOOKUP($C$135,Tables!$A$1:$H$23,ROW()-241)=0,"",HLOOKUP($C$135,Tables!$A$1:$H$23,ROW()-241))</f>
        <v>#N/A</v>
      </c>
      <c r="E254" s="451" t="e">
        <f t="shared" si="74"/>
        <v>#N/A</v>
      </c>
      <c r="F254" s="451" t="e">
        <f t="shared" si="75"/>
        <v>#N/A</v>
      </c>
      <c r="G254" s="451" t="e">
        <f t="shared" si="76"/>
        <v>#N/A</v>
      </c>
      <c r="H254" s="451" t="e">
        <f t="shared" si="77"/>
        <v>#N/A</v>
      </c>
      <c r="I254" s="451" t="e">
        <f t="shared" si="78"/>
        <v>#N/A</v>
      </c>
      <c r="J254" s="451" t="e">
        <f t="shared" si="71"/>
        <v>#N/A</v>
      </c>
      <c r="K254" s="451" t="e">
        <f t="shared" si="79"/>
        <v>#N/A</v>
      </c>
      <c r="L254" s="451" t="e">
        <f t="shared" si="80"/>
        <v>#N/A</v>
      </c>
      <c r="M254" s="451" t="e">
        <f t="shared" si="81"/>
        <v>#N/A</v>
      </c>
      <c r="N254" s="451" t="e">
        <f>IF(D254="","",IF(AND('General Info and Test Results'!$C$36= "Yes", 'General Info and Test Results'!$C$25="Central Heat Pump"), IF(AND($AC$180&gt;C254,C254&gt;$AE$180),$AB$197+(($AB$198-$AB$197)/($AE$180-$AC$180))*(C254-$AC$180),$AB$198+(($AB$199-$AB$198)/($AD$180-$AE$180))*(C254-$AE$180)), $AA$195+$AA$193*C254+$AA$194*C254^2))</f>
        <v>#N/A</v>
      </c>
      <c r="O254" s="451" t="e">
        <f t="shared" si="82"/>
        <v>#N/A</v>
      </c>
      <c r="P254" s="451" t="e">
        <f t="shared" si="83"/>
        <v>#N/A</v>
      </c>
      <c r="Q254" s="451" t="e">
        <f t="shared" si="84"/>
        <v>#N/A</v>
      </c>
      <c r="R254" s="451" t="e">
        <f t="shared" si="72"/>
        <v>#N/A</v>
      </c>
      <c r="S254" s="451" t="e">
        <f t="shared" si="85"/>
        <v>#N/A</v>
      </c>
      <c r="T254" s="451" t="e">
        <f t="shared" si="86"/>
        <v>#N/A</v>
      </c>
      <c r="U254" s="451" t="e">
        <f t="shared" si="73"/>
        <v>#N/A</v>
      </c>
      <c r="V254" s="451" t="e">
        <f>IF(D254="","",IF('General Info and Test Results'!$C$34="Yes",1+(0.03*(1-((MAX('H2 Test Recorded Data'!$D$11,1.5)-1.5)/(MIN('H2 Test Recorded Data'!$D$12,12)-1.5)))),1))</f>
        <v>#N/A</v>
      </c>
      <c r="W254" s="454"/>
      <c r="X254" s="454"/>
      <c r="Y254" s="443"/>
      <c r="Z254" s="443"/>
      <c r="AA254" s="443"/>
      <c r="AB254" s="443"/>
      <c r="AC254" s="443"/>
      <c r="AD254" s="443"/>
      <c r="AE254" s="443"/>
      <c r="AF254" s="443"/>
      <c r="AG254" s="444"/>
    </row>
    <row r="255" spans="2:33" x14ac:dyDescent="0.35">
      <c r="B255" s="475" t="e">
        <f>IF(C255="","",Tables!A14)</f>
        <v>#N/A</v>
      </c>
      <c r="C255" s="476" t="e">
        <f>IF(D255="","",Tables!B14)</f>
        <v>#N/A</v>
      </c>
      <c r="D255" s="476" t="e">
        <f>IF(HLOOKUP($C$135,Tables!$A$1:$H$23,ROW()-241)=0,"",HLOOKUP($C$135,Tables!$A$1:$H$23,ROW()-241))</f>
        <v>#N/A</v>
      </c>
      <c r="E255" s="451" t="e">
        <f t="shared" si="74"/>
        <v>#N/A</v>
      </c>
      <c r="F255" s="451" t="e">
        <f t="shared" si="75"/>
        <v>#N/A</v>
      </c>
      <c r="G255" s="451" t="e">
        <f t="shared" si="76"/>
        <v>#N/A</v>
      </c>
      <c r="H255" s="451" t="e">
        <f t="shared" si="77"/>
        <v>#N/A</v>
      </c>
      <c r="I255" s="451" t="e">
        <f t="shared" si="78"/>
        <v>#N/A</v>
      </c>
      <c r="J255" s="451" t="e">
        <f t="shared" si="71"/>
        <v>#N/A</v>
      </c>
      <c r="K255" s="451" t="e">
        <f t="shared" si="79"/>
        <v>#N/A</v>
      </c>
      <c r="L255" s="451" t="e">
        <f t="shared" si="80"/>
        <v>#N/A</v>
      </c>
      <c r="M255" s="451" t="e">
        <f t="shared" si="81"/>
        <v>#N/A</v>
      </c>
      <c r="N255" s="451" t="e">
        <f>IF(D255="","",IF(AND('General Info and Test Results'!$C$36= "Yes", 'General Info and Test Results'!$C$25="Central Heat Pump"), IF(AND($AC$180&gt;C255,C255&gt;$AE$180),$AB$197+(($AB$198-$AB$197)/($AE$180-$AC$180))*(C255-$AC$180),$AB$198+(($AB$199-$AB$198)/($AD$180-$AE$180))*(C255-$AE$180)), $AA$195+$AA$193*C255+$AA$194*C255^2))</f>
        <v>#N/A</v>
      </c>
      <c r="O255" s="451" t="e">
        <f t="shared" si="82"/>
        <v>#N/A</v>
      </c>
      <c r="P255" s="451" t="e">
        <f t="shared" si="83"/>
        <v>#N/A</v>
      </c>
      <c r="Q255" s="451" t="e">
        <f t="shared" si="84"/>
        <v>#N/A</v>
      </c>
      <c r="R255" s="451" t="e">
        <f t="shared" si="72"/>
        <v>#N/A</v>
      </c>
      <c r="S255" s="451" t="e">
        <f t="shared" si="85"/>
        <v>#N/A</v>
      </c>
      <c r="T255" s="451" t="e">
        <f t="shared" si="86"/>
        <v>#N/A</v>
      </c>
      <c r="U255" s="451" t="e">
        <f t="shared" si="73"/>
        <v>#N/A</v>
      </c>
      <c r="V255" s="451" t="e">
        <f>IF(D255="","",IF('General Info and Test Results'!$C$34="Yes",1+(0.03*(1-((MAX('H2 Test Recorded Data'!$D$11,1.5)-1.5)/(MIN('H2 Test Recorded Data'!$D$12,12)-1.5)))),1))</f>
        <v>#N/A</v>
      </c>
      <c r="W255" s="454"/>
      <c r="X255" s="454"/>
      <c r="Y255" s="443"/>
      <c r="Z255" s="443"/>
      <c r="AA255" s="443"/>
      <c r="AB255" s="443"/>
      <c r="AC255" s="443"/>
      <c r="AD255" s="443"/>
      <c r="AE255" s="443"/>
      <c r="AF255" s="443"/>
      <c r="AG255" s="444"/>
    </row>
    <row r="256" spans="2:33" x14ac:dyDescent="0.35">
      <c r="B256" s="475" t="e">
        <f>IF(C256="","",Tables!A15)</f>
        <v>#N/A</v>
      </c>
      <c r="C256" s="476" t="e">
        <f>IF(D256="","",Tables!B15)</f>
        <v>#N/A</v>
      </c>
      <c r="D256" s="476" t="e">
        <f>IF(HLOOKUP($C$135,Tables!$A$1:$H$23,ROW()-241)=0,"",HLOOKUP($C$135,Tables!$A$1:$H$23,ROW()-241))</f>
        <v>#N/A</v>
      </c>
      <c r="E256" s="451" t="e">
        <f t="shared" si="74"/>
        <v>#N/A</v>
      </c>
      <c r="F256" s="451" t="e">
        <f t="shared" si="75"/>
        <v>#N/A</v>
      </c>
      <c r="G256" s="451" t="e">
        <f t="shared" si="76"/>
        <v>#N/A</v>
      </c>
      <c r="H256" s="451" t="e">
        <f t="shared" si="77"/>
        <v>#N/A</v>
      </c>
      <c r="I256" s="451" t="e">
        <f t="shared" si="78"/>
        <v>#N/A</v>
      </c>
      <c r="J256" s="451" t="e">
        <f t="shared" si="71"/>
        <v>#N/A</v>
      </c>
      <c r="K256" s="451" t="e">
        <f t="shared" si="79"/>
        <v>#N/A</v>
      </c>
      <c r="L256" s="451" t="e">
        <f t="shared" si="80"/>
        <v>#N/A</v>
      </c>
      <c r="M256" s="451" t="e">
        <f t="shared" si="81"/>
        <v>#N/A</v>
      </c>
      <c r="N256" s="451" t="e">
        <f>IF(D256="","",IF(AND('General Info and Test Results'!$C$36= "Yes", 'General Info and Test Results'!$C$25="Central Heat Pump"), IF(AND($AC$180&gt;C256,C256&gt;$AE$180),$AB$197+(($AB$198-$AB$197)/($AE$180-$AC$180))*(C256-$AC$180),$AB$198+(($AB$199-$AB$198)/($AD$180-$AE$180))*(C256-$AE$180)), $AA$195+$AA$193*C256+$AA$194*C256^2))</f>
        <v>#N/A</v>
      </c>
      <c r="O256" s="451" t="e">
        <f t="shared" si="82"/>
        <v>#N/A</v>
      </c>
      <c r="P256" s="451" t="e">
        <f t="shared" si="83"/>
        <v>#N/A</v>
      </c>
      <c r="Q256" s="451" t="e">
        <f t="shared" si="84"/>
        <v>#N/A</v>
      </c>
      <c r="R256" s="451" t="e">
        <f t="shared" si="72"/>
        <v>#N/A</v>
      </c>
      <c r="S256" s="451" t="e">
        <f t="shared" si="85"/>
        <v>#N/A</v>
      </c>
      <c r="T256" s="451" t="e">
        <f t="shared" si="86"/>
        <v>#N/A</v>
      </c>
      <c r="U256" s="451" t="e">
        <f t="shared" si="73"/>
        <v>#N/A</v>
      </c>
      <c r="V256" s="451" t="e">
        <f>IF(D256="","",IF('General Info and Test Results'!$C$34="Yes",1+(0.03*(1-((MAX('H2 Test Recorded Data'!$D$11,1.5)-1.5)/(MIN('H2 Test Recorded Data'!$D$12,12)-1.5)))),1))</f>
        <v>#N/A</v>
      </c>
      <c r="W256" s="454"/>
      <c r="X256" s="454"/>
      <c r="Y256" s="443"/>
      <c r="Z256" s="443"/>
      <c r="AA256" s="443"/>
      <c r="AB256" s="443"/>
      <c r="AC256" s="443"/>
      <c r="AD256" s="443"/>
      <c r="AE256" s="443"/>
      <c r="AF256" s="443"/>
      <c r="AG256" s="444"/>
    </row>
    <row r="257" spans="2:33" x14ac:dyDescent="0.35">
      <c r="B257" s="475" t="e">
        <f>IF(C257="","",Tables!A16)</f>
        <v>#N/A</v>
      </c>
      <c r="C257" s="476" t="e">
        <f>IF(D257="","",Tables!B16)</f>
        <v>#N/A</v>
      </c>
      <c r="D257" s="476" t="e">
        <f>IF(HLOOKUP($C$135,Tables!$A$1:$H$23,ROW()-241)=0,"",HLOOKUP($C$135,Tables!$A$1:$H$23,ROW()-241))</f>
        <v>#N/A</v>
      </c>
      <c r="E257" s="451" t="e">
        <f t="shared" si="74"/>
        <v>#N/A</v>
      </c>
      <c r="F257" s="451" t="e">
        <f t="shared" si="75"/>
        <v>#N/A</v>
      </c>
      <c r="G257" s="451" t="e">
        <f t="shared" si="76"/>
        <v>#N/A</v>
      </c>
      <c r="H257" s="451" t="e">
        <f t="shared" si="77"/>
        <v>#N/A</v>
      </c>
      <c r="I257" s="451" t="e">
        <f t="shared" si="78"/>
        <v>#N/A</v>
      </c>
      <c r="J257" s="451" t="e">
        <f t="shared" si="71"/>
        <v>#N/A</v>
      </c>
      <c r="K257" s="451" t="e">
        <f t="shared" si="79"/>
        <v>#N/A</v>
      </c>
      <c r="L257" s="451" t="e">
        <f t="shared" si="80"/>
        <v>#N/A</v>
      </c>
      <c r="M257" s="451" t="e">
        <f t="shared" si="81"/>
        <v>#N/A</v>
      </c>
      <c r="N257" s="451" t="e">
        <f>IF(D257="","",IF(AND('General Info and Test Results'!$C$36= "Yes", 'General Info and Test Results'!$C$25="Central Heat Pump"), IF(AND($AC$180&gt;C257,C257&gt;$AE$180),$AB$197+(($AB$198-$AB$197)/($AE$180-$AC$180))*(C257-$AC$180),$AB$198+(($AB$199-$AB$198)/($AD$180-$AE$180))*(C257-$AE$180)), $AA$195+$AA$193*C257+$AA$194*C257^2))</f>
        <v>#N/A</v>
      </c>
      <c r="O257" s="451" t="e">
        <f t="shared" si="82"/>
        <v>#N/A</v>
      </c>
      <c r="P257" s="451" t="e">
        <f t="shared" si="83"/>
        <v>#N/A</v>
      </c>
      <c r="Q257" s="451" t="e">
        <f t="shared" si="84"/>
        <v>#N/A</v>
      </c>
      <c r="R257" s="451" t="e">
        <f t="shared" si="72"/>
        <v>#N/A</v>
      </c>
      <c r="S257" s="451" t="e">
        <f t="shared" si="85"/>
        <v>#N/A</v>
      </c>
      <c r="T257" s="451" t="e">
        <f t="shared" si="86"/>
        <v>#N/A</v>
      </c>
      <c r="U257" s="451" t="e">
        <f t="shared" si="73"/>
        <v>#N/A</v>
      </c>
      <c r="V257" s="451" t="e">
        <f>IF(D257="","",IF('General Info and Test Results'!$C$34="Yes",1+(0.03*(1-((MAX('H2 Test Recorded Data'!$D$11,1.5)-1.5)/(MIN('H2 Test Recorded Data'!$D$12,12)-1.5)))),1))</f>
        <v>#N/A</v>
      </c>
      <c r="W257" s="454"/>
      <c r="X257" s="454"/>
      <c r="Y257" s="443"/>
      <c r="Z257" s="443"/>
      <c r="AA257" s="443"/>
      <c r="AB257" s="443"/>
      <c r="AC257" s="443"/>
      <c r="AD257" s="443"/>
      <c r="AE257" s="443"/>
      <c r="AF257" s="443"/>
      <c r="AG257" s="444"/>
    </row>
    <row r="258" spans="2:33" x14ac:dyDescent="0.35">
      <c r="B258" s="475" t="e">
        <f>IF(C258="","",Tables!A17)</f>
        <v>#N/A</v>
      </c>
      <c r="C258" s="476" t="e">
        <f>IF(D258="","",Tables!B17)</f>
        <v>#N/A</v>
      </c>
      <c r="D258" s="476" t="e">
        <f>IF(HLOOKUP($C$135,Tables!$A$1:$H$23,ROW()-241)=0,"",HLOOKUP($C$135,Tables!$A$1:$H$23,ROW()-241))</f>
        <v>#N/A</v>
      </c>
      <c r="E258" s="451" t="e">
        <f t="shared" si="74"/>
        <v>#N/A</v>
      </c>
      <c r="F258" s="451" t="e">
        <f t="shared" si="75"/>
        <v>#N/A</v>
      </c>
      <c r="G258" s="451" t="e">
        <f t="shared" si="76"/>
        <v>#N/A</v>
      </c>
      <c r="H258" s="451" t="e">
        <f t="shared" si="77"/>
        <v>#N/A</v>
      </c>
      <c r="I258" s="451" t="e">
        <f t="shared" si="78"/>
        <v>#N/A</v>
      </c>
      <c r="J258" s="451" t="e">
        <f t="shared" si="71"/>
        <v>#N/A</v>
      </c>
      <c r="K258" s="451" t="e">
        <f t="shared" si="79"/>
        <v>#N/A</v>
      </c>
      <c r="L258" s="451" t="e">
        <f t="shared" si="80"/>
        <v>#N/A</v>
      </c>
      <c r="M258" s="451" t="e">
        <f t="shared" si="81"/>
        <v>#N/A</v>
      </c>
      <c r="N258" s="451" t="e">
        <f>IF(D258="","",IF(AND('General Info and Test Results'!$C$36= "Yes", 'General Info and Test Results'!$C$25="Central Heat Pump"), IF(AND($AC$180&gt;C258,C258&gt;$AE$180),$AB$197+(($AB$198-$AB$197)/($AE$180-$AC$180))*(C258-$AC$180),$AB$198+(($AB$199-$AB$198)/($AD$180-$AE$180))*(C258-$AE$180)), $AA$195+$AA$193*C258+$AA$194*C258^2))</f>
        <v>#N/A</v>
      </c>
      <c r="O258" s="451" t="e">
        <f t="shared" si="82"/>
        <v>#N/A</v>
      </c>
      <c r="P258" s="451" t="e">
        <f t="shared" si="83"/>
        <v>#N/A</v>
      </c>
      <c r="Q258" s="451" t="e">
        <f t="shared" si="84"/>
        <v>#N/A</v>
      </c>
      <c r="R258" s="451" t="e">
        <f t="shared" si="72"/>
        <v>#N/A</v>
      </c>
      <c r="S258" s="451" t="e">
        <f t="shared" si="85"/>
        <v>#N/A</v>
      </c>
      <c r="T258" s="451" t="e">
        <f t="shared" si="86"/>
        <v>#N/A</v>
      </c>
      <c r="U258" s="451" t="e">
        <f t="shared" si="73"/>
        <v>#N/A</v>
      </c>
      <c r="V258" s="451" t="e">
        <f>IF(D258="","",IF('General Info and Test Results'!$C$34="Yes",1+(0.03*(1-((MAX('H2 Test Recorded Data'!$D$11,1.5)-1.5)/(MIN('H2 Test Recorded Data'!$D$12,12)-1.5)))),1))</f>
        <v>#N/A</v>
      </c>
      <c r="W258" s="454"/>
      <c r="X258" s="454"/>
      <c r="Y258" s="443"/>
      <c r="Z258" s="443"/>
      <c r="AA258" s="443"/>
      <c r="AB258" s="443"/>
      <c r="AC258" s="443"/>
      <c r="AD258" s="443"/>
      <c r="AE258" s="443"/>
      <c r="AF258" s="443"/>
      <c r="AG258" s="444"/>
    </row>
    <row r="259" spans="2:33" x14ac:dyDescent="0.35">
      <c r="B259" s="475" t="e">
        <f>IF(C259="","",Tables!A18)</f>
        <v>#N/A</v>
      </c>
      <c r="C259" s="476" t="e">
        <f>IF(D259="","",Tables!B18)</f>
        <v>#N/A</v>
      </c>
      <c r="D259" s="476" t="e">
        <f>IF(HLOOKUP($C$135,Tables!$A$1:$H$23,ROW()-241)=0,"",HLOOKUP($C$135,Tables!$A$1:$H$23,ROW()-241))</f>
        <v>#N/A</v>
      </c>
      <c r="E259" s="451" t="e">
        <f t="shared" si="74"/>
        <v>#N/A</v>
      </c>
      <c r="F259" s="451" t="e">
        <f t="shared" si="75"/>
        <v>#N/A</v>
      </c>
      <c r="G259" s="451" t="e">
        <f t="shared" si="76"/>
        <v>#N/A</v>
      </c>
      <c r="H259" s="451" t="e">
        <f t="shared" si="77"/>
        <v>#N/A</v>
      </c>
      <c r="I259" s="451" t="e">
        <f t="shared" si="78"/>
        <v>#N/A</v>
      </c>
      <c r="J259" s="451" t="e">
        <f t="shared" si="71"/>
        <v>#N/A</v>
      </c>
      <c r="K259" s="451" t="e">
        <f t="shared" si="79"/>
        <v>#N/A</v>
      </c>
      <c r="L259" s="451" t="e">
        <f t="shared" si="80"/>
        <v>#N/A</v>
      </c>
      <c r="M259" s="451" t="e">
        <f t="shared" si="81"/>
        <v>#N/A</v>
      </c>
      <c r="N259" s="451" t="e">
        <f>IF(D259="","",IF(AND('General Info and Test Results'!$C$36= "Yes", 'General Info and Test Results'!$C$25="Central Heat Pump"), IF(AND($AC$180&gt;C259,C259&gt;$AE$180),$AB$197+(($AB$198-$AB$197)/($AE$180-$AC$180))*(C259-$AC$180),$AB$198+(($AB$199-$AB$198)/($AD$180-$AE$180))*(C259-$AE$180)), $AA$195+$AA$193*C259+$AA$194*C259^2))</f>
        <v>#N/A</v>
      </c>
      <c r="O259" s="451" t="e">
        <f t="shared" si="82"/>
        <v>#N/A</v>
      </c>
      <c r="P259" s="451" t="e">
        <f t="shared" si="83"/>
        <v>#N/A</v>
      </c>
      <c r="Q259" s="451" t="e">
        <f t="shared" si="84"/>
        <v>#N/A</v>
      </c>
      <c r="R259" s="451" t="e">
        <f t="shared" si="72"/>
        <v>#N/A</v>
      </c>
      <c r="S259" s="451" t="e">
        <f t="shared" si="85"/>
        <v>#N/A</v>
      </c>
      <c r="T259" s="451" t="e">
        <f t="shared" si="86"/>
        <v>#N/A</v>
      </c>
      <c r="U259" s="451" t="e">
        <f t="shared" si="73"/>
        <v>#N/A</v>
      </c>
      <c r="V259" s="451" t="e">
        <f>IF(D259="","",IF('General Info and Test Results'!$C$34="Yes",1+(0.03*(1-((MAX('H2 Test Recorded Data'!$D$11,1.5)-1.5)/(MIN('H2 Test Recorded Data'!$D$12,12)-1.5)))),1))</f>
        <v>#N/A</v>
      </c>
      <c r="W259" s="454"/>
      <c r="X259" s="454"/>
      <c r="Y259" s="443"/>
      <c r="Z259" s="443"/>
      <c r="AA259" s="443"/>
      <c r="AB259" s="443"/>
      <c r="AC259" s="443"/>
      <c r="AD259" s="443"/>
      <c r="AE259" s="443"/>
      <c r="AF259" s="443"/>
      <c r="AG259" s="444"/>
    </row>
    <row r="260" spans="2:33" x14ac:dyDescent="0.35">
      <c r="B260" s="475" t="e">
        <f>IF(C260="","",Tables!A19)</f>
        <v>#N/A</v>
      </c>
      <c r="C260" s="476" t="e">
        <f>IF(D260="","",Tables!B19)</f>
        <v>#N/A</v>
      </c>
      <c r="D260" s="476" t="e">
        <f>IF(HLOOKUP($C$135,Tables!$A$1:$H$23,ROW()-241)=0,"",HLOOKUP($C$135,Tables!$A$1:$H$23,ROW()-241))</f>
        <v>#N/A</v>
      </c>
      <c r="E260" s="451" t="e">
        <f t="shared" si="74"/>
        <v>#N/A</v>
      </c>
      <c r="F260" s="451" t="e">
        <f t="shared" si="75"/>
        <v>#N/A</v>
      </c>
      <c r="G260" s="451" t="e">
        <f t="shared" si="76"/>
        <v>#N/A</v>
      </c>
      <c r="H260" s="451" t="e">
        <f t="shared" si="77"/>
        <v>#N/A</v>
      </c>
      <c r="I260" s="451" t="e">
        <f t="shared" si="78"/>
        <v>#N/A</v>
      </c>
      <c r="J260" s="451" t="e">
        <f t="shared" si="71"/>
        <v>#N/A</v>
      </c>
      <c r="K260" s="451" t="e">
        <f t="shared" si="79"/>
        <v>#N/A</v>
      </c>
      <c r="L260" s="451" t="e">
        <f t="shared" si="80"/>
        <v>#N/A</v>
      </c>
      <c r="M260" s="451" t="e">
        <f t="shared" si="81"/>
        <v>#N/A</v>
      </c>
      <c r="N260" s="451" t="e">
        <f>IF(D260="","",IF(AND('General Info and Test Results'!$C$36= "Yes", 'General Info and Test Results'!$C$25="Central Heat Pump"), IF(AND($AC$180&gt;C260,C260&gt;$AE$180),$AB$197+(($AB$198-$AB$197)/($AE$180-$AC$180))*(C260-$AC$180),$AB$198+(($AB$199-$AB$198)/($AD$180-$AE$180))*(C260-$AE$180)), $AA$195+$AA$193*C260+$AA$194*C260^2))</f>
        <v>#N/A</v>
      </c>
      <c r="O260" s="451" t="e">
        <f t="shared" si="82"/>
        <v>#N/A</v>
      </c>
      <c r="P260" s="451" t="e">
        <f t="shared" si="83"/>
        <v>#N/A</v>
      </c>
      <c r="Q260" s="451" t="e">
        <f t="shared" si="84"/>
        <v>#N/A</v>
      </c>
      <c r="R260" s="451" t="e">
        <f t="shared" si="72"/>
        <v>#N/A</v>
      </c>
      <c r="S260" s="451" t="e">
        <f t="shared" si="85"/>
        <v>#N/A</v>
      </c>
      <c r="T260" s="451" t="e">
        <f t="shared" si="86"/>
        <v>#N/A</v>
      </c>
      <c r="U260" s="451" t="e">
        <f t="shared" si="73"/>
        <v>#N/A</v>
      </c>
      <c r="V260" s="451" t="e">
        <f>IF(D260="","",IF('General Info and Test Results'!$C$34="Yes",1+(0.03*(1-((MAX('H2 Test Recorded Data'!$D$11,1.5)-1.5)/(MIN('H2 Test Recorded Data'!$D$12,12)-1.5)))),1))</f>
        <v>#N/A</v>
      </c>
      <c r="W260" s="454"/>
      <c r="X260" s="454"/>
      <c r="Y260" s="443"/>
      <c r="Z260" s="443"/>
      <c r="AA260" s="443"/>
      <c r="AB260" s="443"/>
      <c r="AC260" s="443"/>
      <c r="AD260" s="443"/>
      <c r="AE260" s="443"/>
      <c r="AF260" s="443"/>
      <c r="AG260" s="444"/>
    </row>
    <row r="261" spans="2:33" x14ac:dyDescent="0.35">
      <c r="B261" s="475" t="e">
        <f>IF(C261="","",Tables!A20)</f>
        <v>#N/A</v>
      </c>
      <c r="C261" s="476" t="e">
        <f>IF(D261="","",Tables!B20)</f>
        <v>#N/A</v>
      </c>
      <c r="D261" s="476" t="e">
        <f>IF(HLOOKUP($C$135,Tables!$A$1:$H$23,ROW()-241)=0,"",HLOOKUP($C$135,Tables!$A$1:$H$23,ROW()-241))</f>
        <v>#N/A</v>
      </c>
      <c r="E261" s="451" t="e">
        <f t="shared" si="74"/>
        <v>#N/A</v>
      </c>
      <c r="F261" s="451" t="e">
        <f t="shared" si="75"/>
        <v>#N/A</v>
      </c>
      <c r="G261" s="451" t="e">
        <f t="shared" si="76"/>
        <v>#N/A</v>
      </c>
      <c r="H261" s="451" t="e">
        <f t="shared" si="77"/>
        <v>#N/A</v>
      </c>
      <c r="I261" s="451" t="e">
        <f t="shared" si="78"/>
        <v>#N/A</v>
      </c>
      <c r="J261" s="451" t="e">
        <f t="shared" si="71"/>
        <v>#N/A</v>
      </c>
      <c r="K261" s="451" t="e">
        <f t="shared" si="79"/>
        <v>#N/A</v>
      </c>
      <c r="L261" s="451" t="e">
        <f t="shared" si="80"/>
        <v>#N/A</v>
      </c>
      <c r="M261" s="451" t="e">
        <f t="shared" si="81"/>
        <v>#N/A</v>
      </c>
      <c r="N261" s="451" t="e">
        <f>IF(D261="","",IF(AND('General Info and Test Results'!$C$36= "Yes", 'General Info and Test Results'!$C$25="Central Heat Pump"), IF(AND($AC$180&gt;C261,C261&gt;$AE$180),$AB$197+(($AB$198-$AB$197)/($AE$180-$AC$180))*(C261-$AC$180),$AB$198+(($AB$199-$AB$198)/($AD$180-$AE$180))*(C261-$AE$180)), $AA$195+$AA$193*C261+$AA$194*C261^2))</f>
        <v>#N/A</v>
      </c>
      <c r="O261" s="451" t="e">
        <f t="shared" si="82"/>
        <v>#N/A</v>
      </c>
      <c r="P261" s="451" t="e">
        <f t="shared" si="83"/>
        <v>#N/A</v>
      </c>
      <c r="Q261" s="451" t="e">
        <f t="shared" si="84"/>
        <v>#N/A</v>
      </c>
      <c r="R261" s="451" t="e">
        <f t="shared" si="72"/>
        <v>#N/A</v>
      </c>
      <c r="S261" s="451" t="e">
        <f t="shared" si="85"/>
        <v>#N/A</v>
      </c>
      <c r="T261" s="451" t="e">
        <f t="shared" si="86"/>
        <v>#N/A</v>
      </c>
      <c r="U261" s="451" t="e">
        <f t="shared" si="73"/>
        <v>#N/A</v>
      </c>
      <c r="V261" s="451" t="e">
        <f>IF(D261="","",IF('General Info and Test Results'!$C$34="Yes",1+(0.03*(1-((MAX('H2 Test Recorded Data'!$D$11,1.5)-1.5)/(MIN('H2 Test Recorded Data'!$D$12,12)-1.5)))),1))</f>
        <v>#N/A</v>
      </c>
      <c r="W261" s="454"/>
      <c r="X261" s="454"/>
      <c r="Y261" s="443"/>
      <c r="Z261" s="443"/>
      <c r="AA261" s="443"/>
      <c r="AB261" s="443"/>
      <c r="AC261" s="443"/>
      <c r="AD261" s="443"/>
      <c r="AE261" s="443"/>
      <c r="AF261" s="443"/>
      <c r="AG261" s="444"/>
    </row>
    <row r="262" spans="2:33" x14ac:dyDescent="0.35">
      <c r="B262" s="475" t="e">
        <f>IF(C262="","",Tables!A21)</f>
        <v>#N/A</v>
      </c>
      <c r="C262" s="476" t="e">
        <f>IF(D262="","",Tables!B21)</f>
        <v>#N/A</v>
      </c>
      <c r="D262" s="476" t="e">
        <f>IF(HLOOKUP($C$135,Tables!$A$1:$H$23,ROW()-241)=0,"",HLOOKUP($C$135,Tables!$A$1:$H$23,ROW()-241))</f>
        <v>#N/A</v>
      </c>
      <c r="E262" s="451" t="e">
        <f t="shared" si="74"/>
        <v>#N/A</v>
      </c>
      <c r="F262" s="451" t="e">
        <f t="shared" si="75"/>
        <v>#N/A</v>
      </c>
      <c r="G262" s="451" t="e">
        <f t="shared" si="76"/>
        <v>#N/A</v>
      </c>
      <c r="H262" s="451" t="e">
        <f t="shared" si="77"/>
        <v>#N/A</v>
      </c>
      <c r="I262" s="451" t="e">
        <f t="shared" si="78"/>
        <v>#N/A</v>
      </c>
      <c r="J262" s="451" t="e">
        <f t="shared" si="71"/>
        <v>#N/A</v>
      </c>
      <c r="K262" s="451" t="e">
        <f t="shared" si="79"/>
        <v>#N/A</v>
      </c>
      <c r="L262" s="451" t="e">
        <f t="shared" si="80"/>
        <v>#N/A</v>
      </c>
      <c r="M262" s="451" t="e">
        <f t="shared" si="81"/>
        <v>#N/A</v>
      </c>
      <c r="N262" s="451" t="e">
        <f>IF(D262="","",IF(AND('General Info and Test Results'!$C$36= "Yes", 'General Info and Test Results'!$C$25="Central Heat Pump"), IF(AND($AC$180&gt;C262,C262&gt;$AE$180),$AB$197+(($AB$198-$AB$197)/($AE$180-$AC$180))*(C262-$AC$180),$AB$198+(($AB$199-$AB$198)/($AD$180-$AE$180))*(C262-$AE$180)), $AA$195+$AA$193*C262+$AA$194*C262^2))</f>
        <v>#N/A</v>
      </c>
      <c r="O262" s="451" t="e">
        <f t="shared" si="82"/>
        <v>#N/A</v>
      </c>
      <c r="P262" s="451" t="e">
        <f t="shared" si="83"/>
        <v>#N/A</v>
      </c>
      <c r="Q262" s="451" t="e">
        <f t="shared" si="84"/>
        <v>#N/A</v>
      </c>
      <c r="R262" s="451" t="e">
        <f t="shared" si="72"/>
        <v>#N/A</v>
      </c>
      <c r="S262" s="451" t="e">
        <f t="shared" si="85"/>
        <v>#N/A</v>
      </c>
      <c r="T262" s="451" t="e">
        <f t="shared" si="86"/>
        <v>#N/A</v>
      </c>
      <c r="U262" s="451" t="e">
        <f t="shared" si="73"/>
        <v>#N/A</v>
      </c>
      <c r="V262" s="451" t="e">
        <f>IF(D262="","",IF('General Info and Test Results'!$C$34="Yes",1+(0.03*(1-((MAX('H2 Test Recorded Data'!$D$11,1.5)-1.5)/(MIN('H2 Test Recorded Data'!$D$12,12)-1.5)))),1))</f>
        <v>#N/A</v>
      </c>
      <c r="W262" s="454"/>
      <c r="X262" s="454"/>
      <c r="Y262" s="443"/>
      <c r="Z262" s="443"/>
      <c r="AA262" s="443"/>
      <c r="AB262" s="443"/>
      <c r="AC262" s="443"/>
      <c r="AD262" s="443"/>
      <c r="AE262" s="443"/>
      <c r="AF262" s="443"/>
      <c r="AG262" s="444"/>
    </row>
    <row r="263" spans="2:33" x14ac:dyDescent="0.35">
      <c r="B263" s="475" t="e">
        <f>IF(C263="","",Tables!A22)</f>
        <v>#N/A</v>
      </c>
      <c r="C263" s="476" t="e">
        <f>IF(D263="","",Tables!B22)</f>
        <v>#N/A</v>
      </c>
      <c r="D263" s="476" t="e">
        <f>IF(HLOOKUP($C$135,Tables!$A$1:$H$23,ROW()-241)=0,"",HLOOKUP($C$135,Tables!$A$1:$H$23,ROW()-241))</f>
        <v>#N/A</v>
      </c>
      <c r="E263" s="451" t="e">
        <f t="shared" si="74"/>
        <v>#N/A</v>
      </c>
      <c r="F263" s="451" t="e">
        <f t="shared" si="75"/>
        <v>#N/A</v>
      </c>
      <c r="G263" s="451" t="e">
        <f t="shared" si="76"/>
        <v>#N/A</v>
      </c>
      <c r="H263" s="451" t="e">
        <f t="shared" si="77"/>
        <v>#N/A</v>
      </c>
      <c r="I263" s="451" t="e">
        <f t="shared" si="78"/>
        <v>#N/A</v>
      </c>
      <c r="J263" s="451" t="e">
        <f t="shared" si="71"/>
        <v>#N/A</v>
      </c>
      <c r="K263" s="451" t="e">
        <f t="shared" si="79"/>
        <v>#N/A</v>
      </c>
      <c r="L263" s="451" t="e">
        <f t="shared" si="80"/>
        <v>#N/A</v>
      </c>
      <c r="M263" s="451" t="e">
        <f t="shared" si="81"/>
        <v>#N/A</v>
      </c>
      <c r="N263" s="451" t="e">
        <f>IF(D263="","",IF(AND('General Info and Test Results'!$C$36= "Yes", 'General Info and Test Results'!$C$25="Central Heat Pump"), IF(AND($AC$180&gt;C263,C263&gt;$AE$180),$AB$197+(($AB$198-$AB$197)/($AE$180-$AC$180))*(C263-$AC$180),$AB$198+(($AB$199-$AB$198)/($AD$180-$AE$180))*(C263-$AE$180)), $AA$195+$AA$193*C263+$AA$194*C263^2))</f>
        <v>#N/A</v>
      </c>
      <c r="O263" s="451" t="e">
        <f t="shared" si="82"/>
        <v>#N/A</v>
      </c>
      <c r="P263" s="451" t="e">
        <f t="shared" si="83"/>
        <v>#N/A</v>
      </c>
      <c r="Q263" s="451" t="e">
        <f t="shared" si="84"/>
        <v>#N/A</v>
      </c>
      <c r="R263" s="451" t="e">
        <f t="shared" si="72"/>
        <v>#N/A</v>
      </c>
      <c r="S263" s="451" t="e">
        <f t="shared" si="85"/>
        <v>#N/A</v>
      </c>
      <c r="T263" s="451" t="e">
        <f t="shared" si="86"/>
        <v>#N/A</v>
      </c>
      <c r="U263" s="451" t="e">
        <f t="shared" si="73"/>
        <v>#N/A</v>
      </c>
      <c r="V263" s="451" t="e">
        <f>IF(D263="","",IF('General Info and Test Results'!$C$34="Yes",1+(0.03*(1-((MAX('H2 Test Recorded Data'!$D$11,1.5)-1.5)/(MIN('H2 Test Recorded Data'!$D$12,12)-1.5)))),1))</f>
        <v>#N/A</v>
      </c>
      <c r="W263" s="454"/>
      <c r="X263" s="454"/>
      <c r="Y263" s="443"/>
      <c r="Z263" s="443"/>
      <c r="AA263" s="443"/>
      <c r="AB263" s="443"/>
      <c r="AC263" s="443"/>
      <c r="AD263" s="443"/>
      <c r="AE263" s="443"/>
      <c r="AF263" s="443"/>
      <c r="AG263" s="444"/>
    </row>
    <row r="264" spans="2:33" x14ac:dyDescent="0.35">
      <c r="B264" s="475" t="e">
        <f>IF(C264="","",Tables!A23)</f>
        <v>#N/A</v>
      </c>
      <c r="C264" s="476" t="e">
        <f>IF(D264="","",Tables!B23)</f>
        <v>#N/A</v>
      </c>
      <c r="D264" s="476" t="e">
        <f>IF(HLOOKUP($C$135,Tables!$A$1:$H$23,ROW()-241)=0,"",HLOOKUP($C$135,Tables!$A$1:$H$23,ROW()-241))</f>
        <v>#N/A</v>
      </c>
      <c r="E264" s="451" t="e">
        <f t="shared" si="74"/>
        <v>#N/A</v>
      </c>
      <c r="F264" s="451" t="e">
        <f t="shared" si="75"/>
        <v>#N/A</v>
      </c>
      <c r="G264" s="451" t="e">
        <f t="shared" si="76"/>
        <v>#N/A</v>
      </c>
      <c r="H264" s="451" t="e">
        <f t="shared" si="77"/>
        <v>#N/A</v>
      </c>
      <c r="I264" s="451" t="e">
        <f t="shared" si="78"/>
        <v>#N/A</v>
      </c>
      <c r="J264" s="451" t="e">
        <f t="shared" si="71"/>
        <v>#N/A</v>
      </c>
      <c r="K264" s="451" t="e">
        <f t="shared" si="79"/>
        <v>#N/A</v>
      </c>
      <c r="L264" s="451" t="e">
        <f t="shared" si="80"/>
        <v>#N/A</v>
      </c>
      <c r="M264" s="451" t="e">
        <f t="shared" si="81"/>
        <v>#N/A</v>
      </c>
      <c r="N264" s="451" t="e">
        <f>IF(D264="","",IF(AND('General Info and Test Results'!$C$36= "Yes", 'General Info and Test Results'!$C$25="Central Heat Pump"), IF(AND($AC$180&gt;C264,C264&gt;$AE$180),$AB$197+(($AB$198-$AB$197)/($AE$180-$AC$180))*(C264-$AC$180),$AB$198+(($AB$199-$AB$198)/($AD$180-$AE$180))*(C264-$AE$180)), $AA$195+$AA$193*C264+$AA$194*C264^2))</f>
        <v>#N/A</v>
      </c>
      <c r="O264" s="451" t="e">
        <f t="shared" si="82"/>
        <v>#N/A</v>
      </c>
      <c r="P264" s="451" t="e">
        <f t="shared" si="83"/>
        <v>#N/A</v>
      </c>
      <c r="Q264" s="451" t="e">
        <f t="shared" si="84"/>
        <v>#N/A</v>
      </c>
      <c r="R264" s="451" t="e">
        <f t="shared" si="72"/>
        <v>#N/A</v>
      </c>
      <c r="S264" s="451" t="e">
        <f t="shared" si="85"/>
        <v>#N/A</v>
      </c>
      <c r="T264" s="451" t="e">
        <f t="shared" si="86"/>
        <v>#N/A</v>
      </c>
      <c r="U264" s="451" t="e">
        <f t="shared" si="73"/>
        <v>#N/A</v>
      </c>
      <c r="V264" s="451" t="e">
        <f>IF(D264="","",IF('General Info and Test Results'!$C$34="Yes",1+(0.03*(1-((MAX('H2 Test Recorded Data'!$D$11,1.5)-1.5)/(MIN('H2 Test Recorded Data'!$D$12,12)-1.5)))),1))</f>
        <v>#N/A</v>
      </c>
      <c r="W264" s="454"/>
      <c r="X264" s="454"/>
      <c r="Y264" s="443"/>
      <c r="Z264" s="443"/>
      <c r="AA264" s="443"/>
      <c r="AB264" s="443"/>
      <c r="AC264" s="443"/>
      <c r="AD264" s="443"/>
      <c r="AE264" s="443"/>
      <c r="AF264" s="443"/>
      <c r="AG264" s="444"/>
    </row>
    <row r="265" spans="2:33" x14ac:dyDescent="0.35">
      <c r="B265" s="464"/>
      <c r="C265" s="456"/>
      <c r="D265" s="456"/>
      <c r="E265" s="456"/>
      <c r="F265" s="456"/>
      <c r="G265" s="456"/>
      <c r="H265" s="456"/>
      <c r="I265" s="456"/>
      <c r="J265" s="456"/>
      <c r="K265" s="456"/>
      <c r="L265" s="456"/>
      <c r="M265" s="456"/>
      <c r="N265" s="456"/>
      <c r="O265" s="456"/>
      <c r="P265" s="456"/>
      <c r="Q265" s="456"/>
      <c r="R265" s="454"/>
      <c r="S265" s="454"/>
      <c r="T265" s="454"/>
      <c r="U265" s="454"/>
      <c r="V265" s="465"/>
      <c r="W265" s="443"/>
      <c r="X265" s="454"/>
      <c r="Y265" s="443"/>
      <c r="Z265" s="443"/>
      <c r="AA265" s="443"/>
      <c r="AB265" s="443"/>
      <c r="AC265" s="443"/>
      <c r="AD265" s="443"/>
      <c r="AE265" s="443"/>
      <c r="AF265" s="443"/>
      <c r="AG265" s="444"/>
    </row>
    <row r="266" spans="2:33" x14ac:dyDescent="0.35">
      <c r="B266" s="512" t="s">
        <v>132</v>
      </c>
      <c r="C266" s="451" t="e">
        <f>SUM(S247:S262)</f>
        <v>#N/A</v>
      </c>
      <c r="D266" s="456"/>
      <c r="E266" s="456"/>
      <c r="F266" s="456"/>
      <c r="G266" s="456"/>
      <c r="H266" s="456"/>
      <c r="I266" s="456"/>
      <c r="J266" s="456"/>
      <c r="K266" s="456"/>
      <c r="L266" s="456"/>
      <c r="M266" s="456"/>
      <c r="N266" s="456"/>
      <c r="O266" s="456"/>
      <c r="P266" s="456"/>
      <c r="Q266" s="456"/>
      <c r="R266" s="454"/>
      <c r="S266" s="454"/>
      <c r="T266" s="454"/>
      <c r="U266" s="454"/>
      <c r="V266" s="465"/>
      <c r="W266" s="443"/>
      <c r="X266" s="443"/>
      <c r="Y266" s="443"/>
      <c r="Z266" s="443"/>
      <c r="AA266" s="443"/>
      <c r="AB266" s="443"/>
      <c r="AC266" s="443"/>
      <c r="AD266" s="443"/>
      <c r="AE266" s="443"/>
      <c r="AF266" s="443"/>
      <c r="AG266" s="444"/>
    </row>
    <row r="267" spans="2:33" x14ac:dyDescent="0.35">
      <c r="B267" s="512" t="s">
        <v>133</v>
      </c>
      <c r="C267" s="451" t="e">
        <f>SUM(T247:T262)</f>
        <v>#N/A</v>
      </c>
      <c r="D267" s="456"/>
      <c r="E267" s="456"/>
      <c r="F267" s="456"/>
      <c r="G267" s="456"/>
      <c r="H267" s="456"/>
      <c r="I267" s="456"/>
      <c r="J267" s="456"/>
      <c r="K267" s="456"/>
      <c r="L267" s="456"/>
      <c r="M267" s="456"/>
      <c r="N267" s="456"/>
      <c r="O267" s="456"/>
      <c r="P267" s="456"/>
      <c r="Q267" s="456"/>
      <c r="R267" s="454"/>
      <c r="S267" s="454"/>
      <c r="T267" s="454"/>
      <c r="U267" s="454"/>
      <c r="V267" s="465"/>
      <c r="W267" s="443"/>
      <c r="X267" s="443"/>
      <c r="Y267" s="443"/>
      <c r="Z267" s="443"/>
      <c r="AA267" s="443"/>
      <c r="AB267" s="443"/>
      <c r="AC267" s="443"/>
      <c r="AD267" s="443"/>
      <c r="AE267" s="443"/>
      <c r="AF267" s="443"/>
      <c r="AG267" s="444"/>
    </row>
    <row r="268" spans="2:33" x14ac:dyDescent="0.35">
      <c r="B268" s="512" t="s">
        <v>131</v>
      </c>
      <c r="C268" s="451" t="e">
        <f>SUM(U247:U262)</f>
        <v>#N/A</v>
      </c>
      <c r="D268" s="456"/>
      <c r="E268" s="456"/>
      <c r="F268" s="456"/>
      <c r="G268" s="456"/>
      <c r="H268" s="456"/>
      <c r="I268" s="456"/>
      <c r="J268" s="456"/>
      <c r="K268" s="456"/>
      <c r="L268" s="456"/>
      <c r="M268" s="456"/>
      <c r="N268" s="456"/>
      <c r="O268" s="456"/>
      <c r="P268" s="456"/>
      <c r="Q268" s="456"/>
      <c r="R268" s="454"/>
      <c r="S268" s="454"/>
      <c r="T268" s="454"/>
      <c r="U268" s="454"/>
      <c r="V268" s="465"/>
      <c r="W268" s="443"/>
      <c r="X268" s="443"/>
      <c r="Y268" s="443"/>
      <c r="Z268" s="443"/>
      <c r="AA268" s="443"/>
      <c r="AB268" s="443"/>
      <c r="AC268" s="443"/>
      <c r="AD268" s="443"/>
      <c r="AE268" s="443"/>
      <c r="AF268" s="443"/>
      <c r="AG268" s="444"/>
    </row>
    <row r="269" spans="2:33" ht="41.25" customHeight="1" thickBot="1" x14ac:dyDescent="0.4">
      <c r="B269" s="445"/>
      <c r="C269" s="554" t="s">
        <v>564</v>
      </c>
      <c r="D269" s="879" t="s">
        <v>592</v>
      </c>
      <c r="E269" s="879"/>
      <c r="F269" s="456"/>
      <c r="G269" s="456"/>
      <c r="H269" s="456"/>
      <c r="I269" s="456"/>
      <c r="J269" s="456"/>
      <c r="K269" s="456"/>
      <c r="L269" s="456"/>
      <c r="M269" s="456"/>
      <c r="N269" s="456"/>
      <c r="O269" s="456"/>
      <c r="P269" s="456"/>
      <c r="Q269" s="456"/>
      <c r="R269" s="454"/>
      <c r="S269" s="454"/>
      <c r="T269" s="454"/>
      <c r="U269" s="454"/>
      <c r="V269" s="465"/>
      <c r="W269" s="443"/>
      <c r="X269" s="443"/>
      <c r="Y269" s="443"/>
      <c r="Z269" s="443"/>
      <c r="AA269" s="443"/>
      <c r="AB269" s="443"/>
      <c r="AC269" s="443"/>
      <c r="AD269" s="443"/>
      <c r="AE269" s="443"/>
      <c r="AF269" s="443"/>
      <c r="AG269" s="444"/>
    </row>
    <row r="270" spans="2:33" ht="18.75" thickBot="1" x14ac:dyDescent="0.4">
      <c r="B270" s="471" t="s">
        <v>119</v>
      </c>
      <c r="C270" s="472" t="e">
        <f>C268/(C266+C267)*V247</f>
        <v>#N/A</v>
      </c>
      <c r="D270" s="977" t="e">
        <f>MROUND(C270,0.025)</f>
        <v>#N/A</v>
      </c>
      <c r="E270" s="977"/>
      <c r="F270" s="456"/>
      <c r="G270" s="456"/>
      <c r="H270" s="456"/>
      <c r="I270" s="456"/>
      <c r="J270" s="456"/>
      <c r="K270" s="456"/>
      <c r="L270" s="456"/>
      <c r="M270" s="456"/>
      <c r="N270" s="456"/>
      <c r="O270" s="456"/>
      <c r="P270" s="456"/>
      <c r="Q270" s="456"/>
      <c r="R270" s="454"/>
      <c r="S270" s="454"/>
      <c r="T270" s="454"/>
      <c r="U270" s="454"/>
      <c r="V270" s="465"/>
      <c r="W270" s="443"/>
      <c r="X270" s="443"/>
      <c r="Y270" s="443"/>
      <c r="Z270" s="443"/>
      <c r="AA270" s="443"/>
      <c r="AB270" s="443"/>
      <c r="AC270" s="443"/>
      <c r="AD270" s="443"/>
      <c r="AE270" s="443"/>
      <c r="AF270" s="443"/>
      <c r="AG270" s="444"/>
    </row>
    <row r="271" spans="2:33" ht="18.75" thickBot="1" x14ac:dyDescent="0.4">
      <c r="B271" s="498"/>
      <c r="C271" s="462"/>
      <c r="D271" s="462"/>
      <c r="E271" s="462"/>
      <c r="F271" s="462"/>
      <c r="G271" s="462"/>
      <c r="H271" s="462"/>
      <c r="I271" s="462"/>
      <c r="J271" s="462"/>
      <c r="K271" s="462"/>
      <c r="L271" s="462"/>
      <c r="M271" s="462"/>
      <c r="N271" s="462"/>
      <c r="O271" s="462"/>
      <c r="P271" s="462"/>
      <c r="Q271" s="462"/>
      <c r="R271" s="499"/>
      <c r="S271" s="499"/>
      <c r="T271" s="499"/>
      <c r="U271" s="499"/>
      <c r="V271" s="500"/>
      <c r="W271" s="443"/>
      <c r="X271" s="443"/>
      <c r="Y271" s="443"/>
      <c r="Z271" s="443"/>
      <c r="AA271" s="443"/>
      <c r="AB271" s="443"/>
      <c r="AC271" s="443"/>
      <c r="AD271" s="443"/>
      <c r="AE271" s="443"/>
      <c r="AF271" s="443"/>
      <c r="AG271" s="444"/>
    </row>
    <row r="272" spans="2:33" x14ac:dyDescent="0.35">
      <c r="B272" s="456"/>
      <c r="C272" s="456"/>
      <c r="D272" s="456"/>
      <c r="E272" s="456"/>
      <c r="F272" s="456"/>
      <c r="G272" s="456"/>
      <c r="H272" s="456"/>
      <c r="I272" s="456"/>
      <c r="J272" s="456"/>
      <c r="K272" s="456"/>
      <c r="L272" s="456"/>
      <c r="M272" s="456"/>
      <c r="N272" s="456"/>
      <c r="O272" s="456"/>
      <c r="P272" s="456"/>
      <c r="Q272" s="456"/>
      <c r="R272" s="454"/>
      <c r="S272" s="454"/>
      <c r="T272" s="454"/>
      <c r="U272" s="454"/>
      <c r="V272" s="454"/>
      <c r="W272" s="443"/>
      <c r="X272" s="443"/>
      <c r="Y272" s="443"/>
      <c r="Z272" s="443"/>
      <c r="AA272" s="443"/>
      <c r="AB272" s="443"/>
      <c r="AC272" s="443"/>
      <c r="AD272" s="443"/>
      <c r="AE272" s="443"/>
      <c r="AF272" s="443"/>
      <c r="AG272" s="444"/>
    </row>
    <row r="273" spans="1:33" x14ac:dyDescent="0.35">
      <c r="A273" s="186"/>
      <c r="B273" s="444"/>
      <c r="C273" s="444"/>
      <c r="D273" s="444"/>
      <c r="E273" s="444"/>
      <c r="F273" s="444"/>
      <c r="G273" s="444"/>
      <c r="H273" s="444"/>
      <c r="I273" s="444"/>
      <c r="J273" s="444"/>
      <c r="K273" s="444"/>
      <c r="L273" s="444"/>
      <c r="M273" s="444"/>
      <c r="N273" s="444"/>
      <c r="O273" s="444"/>
      <c r="P273" s="444"/>
      <c r="Q273" s="444"/>
      <c r="R273" s="444"/>
      <c r="S273" s="444"/>
      <c r="T273" s="444"/>
      <c r="U273" s="444"/>
      <c r="V273" s="444"/>
      <c r="W273" s="444"/>
      <c r="X273" s="444"/>
      <c r="Y273" s="444"/>
      <c r="Z273" s="444"/>
      <c r="AA273" s="444"/>
      <c r="AB273" s="444"/>
      <c r="AC273" s="444"/>
      <c r="AD273" s="444"/>
      <c r="AE273" s="444"/>
      <c r="AF273" s="444"/>
      <c r="AG273" s="444"/>
    </row>
  </sheetData>
  <sheetProtection password="D93F" sheet="1" objects="1" scenarios="1" selectLockedCells="1"/>
  <customSheetViews>
    <customSheetView guid="{2A4C6EB9-430A-44F2-86C8-15B50360FC3B}" scale="60" showGridLines="0">
      <selection activeCell="F2" sqref="F2"/>
      <pageMargins left="0.7" right="0.7" top="0.75" bottom="0.75" header="0.3" footer="0.3"/>
      <pageSetup orientation="portrait" r:id="rId1"/>
    </customSheetView>
    <customSheetView guid="{B3BD5AF3-9A64-4EA7-AE1F-3CC326849B8F}" scale="80" showGridLines="0" topLeftCell="B16">
      <selection activeCell="D19" sqref="D19"/>
      <pageMargins left="0.7" right="0.7" top="0.75" bottom="0.75" header="0.3" footer="0.3"/>
      <pageSetup orientation="portrait" r:id="rId2"/>
    </customSheetView>
  </customSheetViews>
  <mergeCells count="41">
    <mergeCell ref="B11:G11"/>
    <mergeCell ref="G3:H3"/>
    <mergeCell ref="B61:S61"/>
    <mergeCell ref="B133:V133"/>
    <mergeCell ref="U88:AA88"/>
    <mergeCell ref="C24:F25"/>
    <mergeCell ref="G24:H25"/>
    <mergeCell ref="E26:F26"/>
    <mergeCell ref="C26:D26"/>
    <mergeCell ref="I24:J26"/>
    <mergeCell ref="D68:E68"/>
    <mergeCell ref="D69:E69"/>
    <mergeCell ref="D88:E88"/>
    <mergeCell ref="D89:E89"/>
    <mergeCell ref="D109:E109"/>
    <mergeCell ref="D108:E108"/>
    <mergeCell ref="B2:C2"/>
    <mergeCell ref="D12:G12"/>
    <mergeCell ref="B23:J23"/>
    <mergeCell ref="E209:E210"/>
    <mergeCell ref="F209:F210"/>
    <mergeCell ref="E140:F140"/>
    <mergeCell ref="B138:B139"/>
    <mergeCell ref="B140:B141"/>
    <mergeCell ref="C138:C139"/>
    <mergeCell ref="C140:C141"/>
    <mergeCell ref="E135:F135"/>
    <mergeCell ref="E137:F137"/>
    <mergeCell ref="E139:F139"/>
    <mergeCell ref="E138:F138"/>
    <mergeCell ref="E136:F136"/>
    <mergeCell ref="D128:E128"/>
    <mergeCell ref="D270:E270"/>
    <mergeCell ref="D129:E129"/>
    <mergeCell ref="D172:E172"/>
    <mergeCell ref="D204:E204"/>
    <mergeCell ref="D235:E235"/>
    <mergeCell ref="D269:E269"/>
    <mergeCell ref="D173:E173"/>
    <mergeCell ref="D205:E205"/>
    <mergeCell ref="D236:E236"/>
  </mergeCells>
  <phoneticPr fontId="27" type="noConversion"/>
  <conditionalFormatting sqref="C86:C87 C89 C74 C28 E28 G28:I28 B77:P84">
    <cfRule type="expression" dxfId="23" priority="298" stopIfTrue="1">
      <formula>OR($H$4="Heating Only Central Heat Pump",$H$6="Fixed Speed",$H$5&lt;&gt;"Single-Speed")</formula>
    </cfRule>
  </conditionalFormatting>
  <conditionalFormatting sqref="C31:C32 E31:E32 G31:I32 G29:I29 E29 C29">
    <cfRule type="expression" dxfId="22" priority="293" stopIfTrue="1">
      <formula>OR($H$4 = "Heating Only Central Heat Pump",AND($H$5 = "Single-Speed",$H$6 = "Fixed Speed"))</formula>
    </cfRule>
  </conditionalFormatting>
  <conditionalFormatting sqref="C106:C107 C109 C93 C35 E35 G35:I35 C38 E38 G38:I38 B97:N104">
    <cfRule type="expression" dxfId="21" priority="292" stopIfTrue="1">
      <formula>OR($H$5&lt;&gt;"Two-Speed",$H$4="Heating Only Central Heat Pump")</formula>
    </cfRule>
  </conditionalFormatting>
  <conditionalFormatting sqref="C44:C45 E44:E45 G44:I45 C48 E48 G48:I48 C51 E51 G51:I51">
    <cfRule type="expression" dxfId="20" priority="286" stopIfTrue="1">
      <formula>OR($H$4 = "Central Air Conditioner",AND($H$5="Single-Speed", $H$6="Fixed Speed"))</formula>
    </cfRule>
  </conditionalFormatting>
  <conditionalFormatting sqref="C27 E27 G27:I27 C30 E30 G30:I30 C33 E33 G33:I33 C36 E36 G36:I36 C65:C67 C69">
    <cfRule type="expression" dxfId="19" priority="39" stopIfTrue="1">
      <formula>OR($H$4="Heating Only Central Heat Pump",$H$6="Variable Speed",$H$5&lt;&gt;"Single-Speed")</formula>
    </cfRule>
  </conditionalFormatting>
  <conditionalFormatting sqref="U89:AA113 C114 C126:C127 C129 C40:C42 E40:E42 G40:I42 B117:Q124">
    <cfRule type="expression" dxfId="18" priority="37" stopIfTrue="1">
      <formula>OR($H$4 = "Heating Only Central Heat Pump", $H$5 &lt;&gt; "Variable-Speed")</formula>
    </cfRule>
  </conditionalFormatting>
  <conditionalFormatting sqref="C34 C37 E34 E37 G34:I34 G37:I37">
    <cfRule type="expression" dxfId="17" priority="34" stopIfTrue="1">
      <formula>OR($H$4 = "Heating Only Central Heat Pump",$H$5 = "Variable-Speed",AND($H$5 = "Single-Speed",$H$6 = "Fixed Speed"))</formula>
    </cfRule>
  </conditionalFormatting>
  <conditionalFormatting sqref="C39 E39 G39:I39">
    <cfRule type="expression" dxfId="16" priority="33" stopIfTrue="1">
      <formula>OR($H$4 = "Heating Only Central Heat Pump",$H$5 = "Single-Speed")</formula>
    </cfRule>
  </conditionalFormatting>
  <conditionalFormatting sqref="C43 E43 G43:I43 C46 E46 G46:I46 C49 E49 G49:I49 C52 E52 G52:I52">
    <cfRule type="expression" dxfId="15" priority="30" stopIfTrue="1">
      <formula>OR($H$4="Central Air Conditioner", $H$5&lt;&gt;"Single-Speed",$H$6 = "Variable Speed")</formula>
    </cfRule>
  </conditionalFormatting>
  <conditionalFormatting sqref="C178 F178:F179 C201:C203 C205 B182:T199">
    <cfRule type="expression" dxfId="14" priority="29" stopIfTrue="1">
      <formula>OR($H$4 = "Central Air Conditioner", $H$5 &lt;&gt; "Single-Speed", $H$6 = "Fixed Speed")</formula>
    </cfRule>
  </conditionalFormatting>
  <conditionalFormatting sqref="F209:F210 H209 C232:C234 C236 C209 C54 E54 G54:I54 B213:R230">
    <cfRule type="expression" dxfId="13" priority="23" stopIfTrue="1">
      <formula>OR($H$4 = "Central Air Conditioner",$H$5 &lt;&gt; "Two-Speed")</formula>
    </cfRule>
  </conditionalFormatting>
  <conditionalFormatting sqref="C270 C266:C268 C242 C57:C58 E57:E58 G57:I58 C55 E55 G55:I55 Y176:AE200 P247:V264 B247:N264">
    <cfRule type="expression" dxfId="12" priority="20" stopIfTrue="1">
      <formula>OR($H$4 = "Central Air Conditioner", $H$5 &lt;&gt; "Variable-Speed")</formula>
    </cfRule>
  </conditionalFormatting>
  <conditionalFormatting sqref="C56 E56 G56:I56">
    <cfRule type="expression" dxfId="11" priority="19" stopIfTrue="1">
      <formula>OR($H$4 = "Central Air Conditioner", $H$5 = "Single-Speed")</formula>
    </cfRule>
  </conditionalFormatting>
  <conditionalFormatting sqref="C47 C50 C53 E53 E50 E47 G47:I47 G50:I50 G53:I53">
    <cfRule type="expression" dxfId="10" priority="21" stopIfTrue="1">
      <formula>OR($H$4 = "Central Air Conditioner",$H$5="Variable-Speed",AND($H$5 = "Single-Speed",$H$6 = "Fixed Speed"))</formula>
    </cfRule>
  </conditionalFormatting>
  <conditionalFormatting sqref="C94">
    <cfRule type="expression" dxfId="9" priority="10" stopIfTrue="1">
      <formula>OR($H$5&lt;&gt;"Two-Speed",$H$4="Heating Only Central Heat Pump")</formula>
    </cfRule>
  </conditionalFormatting>
  <conditionalFormatting sqref="C210">
    <cfRule type="expression" dxfId="8" priority="9" stopIfTrue="1">
      <formula>OR($H$4 = "Central Air Conditioner",$H$5 &lt;&gt; "Two-Speed")</formula>
    </cfRule>
  </conditionalFormatting>
  <conditionalFormatting sqref="O247:O264">
    <cfRule type="expression" dxfId="7" priority="8" stopIfTrue="1">
      <formula>OR($H$4 = "Central Air Conditioner", $H$5 &lt;&gt; "Variable-Speed")</formula>
    </cfRule>
  </conditionalFormatting>
  <conditionalFormatting sqref="G93:G94">
    <cfRule type="expression" dxfId="6" priority="7" stopIfTrue="1">
      <formula>OR($H$4 = "Central Air Conditioner",$H$5 &lt;&gt; "Two-Speed")</formula>
    </cfRule>
  </conditionalFormatting>
  <conditionalFormatting sqref="C146 C169:C171 C173 B150:O167">
    <cfRule type="expression" dxfId="5" priority="6" stopIfTrue="1">
      <formula>OR($H$4="Central Air Conditioner", $H$5&lt;&gt;"Single-Speed",$H$6 = "Variable Speed")</formula>
    </cfRule>
  </conditionalFormatting>
  <conditionalFormatting sqref="G135:G136 C135:C136 G138:G140">
    <cfRule type="expression" dxfId="4" priority="5" stopIfTrue="1">
      <formula>$H$4 = "Central Air Conditioner"</formula>
    </cfRule>
  </conditionalFormatting>
  <conditionalFormatting sqref="G137">
    <cfRule type="expression" dxfId="3" priority="4" stopIfTrue="1">
      <formula>$H$4 = "Central Air Conditioner"</formula>
    </cfRule>
  </conditionalFormatting>
  <conditionalFormatting sqref="C138:C141">
    <cfRule type="expression" dxfId="2" priority="3" stopIfTrue="1">
      <formula>$H$4 = "Central Air Conditioner"</formula>
    </cfRule>
  </conditionalFormatting>
  <conditionalFormatting sqref="D109">
    <cfRule type="expression" dxfId="1" priority="2" stopIfTrue="1">
      <formula>$H$4 = "Central Air Conditioner"</formula>
    </cfRule>
  </conditionalFormatting>
  <conditionalFormatting sqref="D173">
    <cfRule type="expression" dxfId="0" priority="1" stopIfTrue="1">
      <formula>$H$4 = "Central Air Conditioner"</formula>
    </cfRule>
  </conditionalFormatting>
  <dataValidations count="4">
    <dataValidation type="list" showInputMessage="1" showErrorMessage="1" sqref="C135">
      <formula1>Region</formula1>
    </dataValidation>
    <dataValidation type="list" showInputMessage="1" showErrorMessage="1" sqref="G135">
      <formula1>Min_Max</formula1>
    </dataValidation>
    <dataValidation type="list" showInputMessage="1" showErrorMessage="1" sqref="G136">
      <formula1>H1_Type</formula1>
    </dataValidation>
    <dataValidation type="list" allowBlank="1" showInputMessage="1" showErrorMessage="1" sqref="F209:F210 G93">
      <formula1>"Yes, No"</formula1>
    </dataValidation>
  </dataValidations>
  <hyperlinks>
    <hyperlink ref="E3" location="Instructions!A1" display="Back to Instructions"/>
  </hyperlinks>
  <pageMargins left="0.7" right="0.7" top="0.75" bottom="0.75" header="0.3" footer="0.3"/>
  <pageSetup orientation="portrait" r:id="rId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rgb="FF0070C0"/>
  </sheetPr>
  <dimension ref="A1:H62"/>
  <sheetViews>
    <sheetView showGridLines="0" zoomScale="80" zoomScaleNormal="80" workbookViewId="0">
      <selection activeCell="E3" sqref="E3:F3"/>
    </sheetView>
  </sheetViews>
  <sheetFormatPr defaultColWidth="9.140625" defaultRowHeight="16.5" x14ac:dyDescent="0.3"/>
  <cols>
    <col min="1" max="1" width="5.85546875" style="6" customWidth="1"/>
    <col min="2" max="2" width="30.42578125" style="6" customWidth="1"/>
    <col min="3" max="3" width="56.140625" style="6" customWidth="1"/>
    <col min="4" max="4" width="11.5703125" style="6" customWidth="1"/>
    <col min="5" max="5" width="17.7109375" style="6" customWidth="1"/>
    <col min="6" max="6" width="69.42578125" style="6" customWidth="1"/>
    <col min="7" max="7" width="4.28515625" style="6" customWidth="1"/>
    <col min="8" max="8" width="2.28515625" style="18" customWidth="1"/>
    <col min="9" max="16384" width="9.140625" style="6"/>
  </cols>
  <sheetData>
    <row r="1" spans="2:8" ht="19.5" customHeight="1" thickBot="1" x14ac:dyDescent="0.35">
      <c r="H1" s="181"/>
    </row>
    <row r="2" spans="2:8" s="1" customFormat="1" ht="18" thickBot="1" x14ac:dyDescent="0.35">
      <c r="B2" s="764" t="s">
        <v>562</v>
      </c>
      <c r="C2" s="765"/>
      <c r="H2" s="19"/>
    </row>
    <row r="3" spans="2:8" s="124" customFormat="1" ht="18.75" customHeight="1" x14ac:dyDescent="0.3">
      <c r="B3" s="297" t="s">
        <v>563</v>
      </c>
      <c r="C3" s="298" t="str">
        <f>'Version Control'!C3</f>
        <v>Residential Central Air Conditioners and Heat Pumps</v>
      </c>
      <c r="E3" s="827" t="s">
        <v>540</v>
      </c>
      <c r="F3" s="827"/>
      <c r="H3" s="126"/>
    </row>
    <row r="4" spans="2:8" s="1" customFormat="1" x14ac:dyDescent="0.3">
      <c r="B4" s="299" t="s">
        <v>140</v>
      </c>
      <c r="C4" s="300" t="str">
        <f>'Version Control'!C4</f>
        <v>v2.1</v>
      </c>
      <c r="H4" s="19"/>
    </row>
    <row r="5" spans="2:8" s="1" customFormat="1" x14ac:dyDescent="0.3">
      <c r="B5" s="299" t="s">
        <v>462</v>
      </c>
      <c r="C5" s="301">
        <f>'Version Control'!C5</f>
        <v>42653</v>
      </c>
      <c r="H5" s="19"/>
    </row>
    <row r="6" spans="2:8" s="1" customFormat="1" x14ac:dyDescent="0.3">
      <c r="B6" s="302" t="s">
        <v>139</v>
      </c>
      <c r="C6" s="303" t="str">
        <f ca="1">MID(CELL("filename",$A$1), FIND("]", CELL("filename", $A$1))+ 1, 255)</f>
        <v>Test Comments</v>
      </c>
      <c r="H6" s="19"/>
    </row>
    <row r="7" spans="2:8" s="1" customFormat="1" ht="36.75" customHeight="1" x14ac:dyDescent="0.3">
      <c r="B7" s="304" t="s">
        <v>138</v>
      </c>
      <c r="C7" s="305" t="str">
        <f ca="1">MID(CELL("FILENAME",F16),FIND("[",CELL("FILENAME",F16))+1,FIND("]",CELL("FILENAME",F16))-FIND("[",CELL("FILENAME",F16))-1)</f>
        <v>Residential Central Air Conditioners and Heat Pumps - v2.1.xlsx</v>
      </c>
      <c r="H7" s="19"/>
    </row>
    <row r="8" spans="2:8" ht="17.25" thickBot="1" x14ac:dyDescent="0.35">
      <c r="B8" s="306" t="s">
        <v>141</v>
      </c>
      <c r="C8" s="307" t="str">
        <f>'Version Control'!C8</f>
        <v>[MM/DD/YYYY]</v>
      </c>
      <c r="H8" s="19"/>
    </row>
    <row r="9" spans="2:8" x14ac:dyDescent="0.3">
      <c r="H9" s="19"/>
    </row>
    <row r="10" spans="2:8" ht="17.25" thickBot="1" x14ac:dyDescent="0.35">
      <c r="H10" s="19"/>
    </row>
    <row r="11" spans="2:8" ht="18" thickBot="1" x14ac:dyDescent="0.35">
      <c r="B11" s="1016" t="s">
        <v>542</v>
      </c>
      <c r="C11" s="1017"/>
      <c r="D11" s="1017"/>
      <c r="E11" s="1017"/>
      <c r="F11" s="1018"/>
      <c r="H11" s="19"/>
    </row>
    <row r="12" spans="2:8" x14ac:dyDescent="0.3">
      <c r="B12" s="811"/>
      <c r="C12" s="812"/>
      <c r="D12" s="812"/>
      <c r="E12" s="812"/>
      <c r="F12" s="813"/>
      <c r="H12" s="19"/>
    </row>
    <row r="13" spans="2:8" x14ac:dyDescent="0.3">
      <c r="B13" s="814"/>
      <c r="C13" s="815"/>
      <c r="D13" s="815"/>
      <c r="E13" s="815"/>
      <c r="F13" s="816"/>
      <c r="H13" s="19"/>
    </row>
    <row r="14" spans="2:8" x14ac:dyDescent="0.3">
      <c r="B14" s="814"/>
      <c r="C14" s="815"/>
      <c r="D14" s="815"/>
      <c r="E14" s="815"/>
      <c r="F14" s="816"/>
      <c r="H14" s="19"/>
    </row>
    <row r="15" spans="2:8" x14ac:dyDescent="0.3">
      <c r="B15" s="817"/>
      <c r="C15" s="818"/>
      <c r="D15" s="818"/>
      <c r="E15" s="818"/>
      <c r="F15" s="819"/>
      <c r="H15" s="19"/>
    </row>
    <row r="16" spans="2:8" x14ac:dyDescent="0.3">
      <c r="B16" s="2"/>
      <c r="C16" s="8"/>
      <c r="D16" s="8"/>
      <c r="E16" s="8"/>
      <c r="F16" s="3"/>
      <c r="H16" s="19"/>
    </row>
    <row r="17" spans="2:8" x14ac:dyDescent="0.3">
      <c r="B17" s="811"/>
      <c r="C17" s="812"/>
      <c r="D17" s="812"/>
      <c r="E17" s="812"/>
      <c r="F17" s="813"/>
      <c r="H17" s="19"/>
    </row>
    <row r="18" spans="2:8" x14ac:dyDescent="0.3">
      <c r="B18" s="814"/>
      <c r="C18" s="815"/>
      <c r="D18" s="815"/>
      <c r="E18" s="815"/>
      <c r="F18" s="816"/>
      <c r="H18" s="19"/>
    </row>
    <row r="19" spans="2:8" x14ac:dyDescent="0.3">
      <c r="B19" s="814"/>
      <c r="C19" s="815"/>
      <c r="D19" s="815"/>
      <c r="E19" s="815"/>
      <c r="F19" s="816"/>
      <c r="H19" s="19"/>
    </row>
    <row r="20" spans="2:8" x14ac:dyDescent="0.3">
      <c r="B20" s="817"/>
      <c r="C20" s="818"/>
      <c r="D20" s="818"/>
      <c r="E20" s="818"/>
      <c r="F20" s="819"/>
      <c r="H20" s="19"/>
    </row>
    <row r="21" spans="2:8" x14ac:dyDescent="0.3">
      <c r="B21" s="2"/>
      <c r="C21" s="8"/>
      <c r="D21" s="8"/>
      <c r="E21" s="8"/>
      <c r="F21" s="3"/>
      <c r="H21" s="19"/>
    </row>
    <row r="22" spans="2:8" x14ac:dyDescent="0.3">
      <c r="B22" s="811"/>
      <c r="C22" s="812"/>
      <c r="D22" s="812"/>
      <c r="E22" s="812"/>
      <c r="F22" s="813"/>
      <c r="H22" s="19"/>
    </row>
    <row r="23" spans="2:8" x14ac:dyDescent="0.3">
      <c r="B23" s="814"/>
      <c r="C23" s="815"/>
      <c r="D23" s="815"/>
      <c r="E23" s="815"/>
      <c r="F23" s="816"/>
      <c r="H23" s="19"/>
    </row>
    <row r="24" spans="2:8" x14ac:dyDescent="0.3">
      <c r="B24" s="814"/>
      <c r="C24" s="815"/>
      <c r="D24" s="815"/>
      <c r="E24" s="815"/>
      <c r="F24" s="816"/>
      <c r="H24" s="19"/>
    </row>
    <row r="25" spans="2:8" x14ac:dyDescent="0.3">
      <c r="B25" s="817"/>
      <c r="C25" s="818"/>
      <c r="D25" s="818"/>
      <c r="E25" s="818"/>
      <c r="F25" s="819"/>
      <c r="H25" s="19"/>
    </row>
    <row r="26" spans="2:8" x14ac:dyDescent="0.3">
      <c r="B26" s="2"/>
      <c r="C26" s="8"/>
      <c r="D26" s="8"/>
      <c r="E26" s="8"/>
      <c r="F26" s="3"/>
      <c r="H26" s="19"/>
    </row>
    <row r="27" spans="2:8" x14ac:dyDescent="0.3">
      <c r="B27" s="811"/>
      <c r="C27" s="812"/>
      <c r="D27" s="812"/>
      <c r="E27" s="812"/>
      <c r="F27" s="813"/>
      <c r="H27" s="19"/>
    </row>
    <row r="28" spans="2:8" x14ac:dyDescent="0.3">
      <c r="B28" s="814"/>
      <c r="C28" s="815"/>
      <c r="D28" s="815"/>
      <c r="E28" s="815"/>
      <c r="F28" s="816"/>
      <c r="H28" s="19"/>
    </row>
    <row r="29" spans="2:8" x14ac:dyDescent="0.3">
      <c r="B29" s="814"/>
      <c r="C29" s="815"/>
      <c r="D29" s="815"/>
      <c r="E29" s="815"/>
      <c r="F29" s="816"/>
      <c r="H29" s="19"/>
    </row>
    <row r="30" spans="2:8" x14ac:dyDescent="0.3">
      <c r="B30" s="817"/>
      <c r="C30" s="818"/>
      <c r="D30" s="818"/>
      <c r="E30" s="818"/>
      <c r="F30" s="819"/>
      <c r="H30" s="19"/>
    </row>
    <row r="31" spans="2:8" x14ac:dyDescent="0.3">
      <c r="B31" s="2"/>
      <c r="C31" s="8"/>
      <c r="D31" s="8"/>
      <c r="E31" s="8"/>
      <c r="F31" s="3"/>
      <c r="H31" s="19"/>
    </row>
    <row r="32" spans="2:8" x14ac:dyDescent="0.3">
      <c r="B32" s="811"/>
      <c r="C32" s="812"/>
      <c r="D32" s="812"/>
      <c r="E32" s="812"/>
      <c r="F32" s="813"/>
      <c r="H32" s="19"/>
    </row>
    <row r="33" spans="2:8" x14ac:dyDescent="0.3">
      <c r="B33" s="814"/>
      <c r="C33" s="815"/>
      <c r="D33" s="815"/>
      <c r="E33" s="815"/>
      <c r="F33" s="816"/>
      <c r="H33" s="19"/>
    </row>
    <row r="34" spans="2:8" x14ac:dyDescent="0.3">
      <c r="B34" s="814"/>
      <c r="C34" s="815"/>
      <c r="D34" s="815"/>
      <c r="E34" s="815"/>
      <c r="F34" s="816"/>
      <c r="H34" s="19"/>
    </row>
    <row r="35" spans="2:8" x14ac:dyDescent="0.3">
      <c r="B35" s="817"/>
      <c r="C35" s="818"/>
      <c r="D35" s="818"/>
      <c r="E35" s="818"/>
      <c r="F35" s="819"/>
      <c r="H35" s="19"/>
    </row>
    <row r="36" spans="2:8" x14ac:dyDescent="0.3">
      <c r="B36" s="2"/>
      <c r="C36" s="8"/>
      <c r="D36" s="8"/>
      <c r="E36" s="8"/>
      <c r="F36" s="3"/>
      <c r="H36" s="19"/>
    </row>
    <row r="37" spans="2:8" x14ac:dyDescent="0.3">
      <c r="B37" s="811"/>
      <c r="C37" s="812"/>
      <c r="D37" s="812"/>
      <c r="E37" s="812"/>
      <c r="F37" s="813"/>
      <c r="H37" s="19"/>
    </row>
    <row r="38" spans="2:8" x14ac:dyDescent="0.3">
      <c r="B38" s="814"/>
      <c r="C38" s="815"/>
      <c r="D38" s="815"/>
      <c r="E38" s="815"/>
      <c r="F38" s="816"/>
      <c r="H38" s="19"/>
    </row>
    <row r="39" spans="2:8" x14ac:dyDescent="0.3">
      <c r="B39" s="814"/>
      <c r="C39" s="815"/>
      <c r="D39" s="815"/>
      <c r="E39" s="815"/>
      <c r="F39" s="816"/>
      <c r="H39" s="19"/>
    </row>
    <row r="40" spans="2:8" x14ac:dyDescent="0.3">
      <c r="B40" s="817"/>
      <c r="C40" s="818"/>
      <c r="D40" s="818"/>
      <c r="E40" s="818"/>
      <c r="F40" s="819"/>
      <c r="H40" s="19"/>
    </row>
    <row r="41" spans="2:8" x14ac:dyDescent="0.3">
      <c r="B41" s="2"/>
      <c r="C41" s="8"/>
      <c r="D41" s="8"/>
      <c r="E41" s="8"/>
      <c r="F41" s="3"/>
      <c r="H41" s="19"/>
    </row>
    <row r="42" spans="2:8" x14ac:dyDescent="0.3">
      <c r="B42" s="811"/>
      <c r="C42" s="812"/>
      <c r="D42" s="812"/>
      <c r="E42" s="812"/>
      <c r="F42" s="813"/>
      <c r="H42" s="19"/>
    </row>
    <row r="43" spans="2:8" x14ac:dyDescent="0.3">
      <c r="B43" s="814"/>
      <c r="C43" s="815"/>
      <c r="D43" s="815"/>
      <c r="E43" s="815"/>
      <c r="F43" s="816"/>
      <c r="H43" s="19"/>
    </row>
    <row r="44" spans="2:8" x14ac:dyDescent="0.3">
      <c r="B44" s="814"/>
      <c r="C44" s="815"/>
      <c r="D44" s="815"/>
      <c r="E44" s="815"/>
      <c r="F44" s="816"/>
      <c r="H44" s="19"/>
    </row>
    <row r="45" spans="2:8" x14ac:dyDescent="0.3">
      <c r="B45" s="817"/>
      <c r="C45" s="818"/>
      <c r="D45" s="818"/>
      <c r="E45" s="818"/>
      <c r="F45" s="819"/>
      <c r="H45" s="19"/>
    </row>
    <row r="46" spans="2:8" x14ac:dyDescent="0.3">
      <c r="B46" s="2"/>
      <c r="C46" s="8"/>
      <c r="D46" s="8"/>
      <c r="E46" s="8"/>
      <c r="F46" s="3"/>
      <c r="H46" s="19"/>
    </row>
    <row r="47" spans="2:8" x14ac:dyDescent="0.3">
      <c r="B47" s="811"/>
      <c r="C47" s="812"/>
      <c r="D47" s="812"/>
      <c r="E47" s="812"/>
      <c r="F47" s="813"/>
      <c r="H47" s="19"/>
    </row>
    <row r="48" spans="2:8" x14ac:dyDescent="0.3">
      <c r="B48" s="814"/>
      <c r="C48" s="815"/>
      <c r="D48" s="815"/>
      <c r="E48" s="815"/>
      <c r="F48" s="816"/>
      <c r="H48" s="19"/>
    </row>
    <row r="49" spans="1:8" x14ac:dyDescent="0.3">
      <c r="B49" s="814"/>
      <c r="C49" s="815"/>
      <c r="D49" s="815"/>
      <c r="E49" s="815"/>
      <c r="F49" s="816"/>
      <c r="H49" s="19"/>
    </row>
    <row r="50" spans="1:8" x14ac:dyDescent="0.3">
      <c r="B50" s="817"/>
      <c r="C50" s="818"/>
      <c r="D50" s="818"/>
      <c r="E50" s="818"/>
      <c r="F50" s="819"/>
      <c r="H50" s="19"/>
    </row>
    <row r="51" spans="1:8" x14ac:dyDescent="0.3">
      <c r="B51" s="2"/>
      <c r="C51" s="8"/>
      <c r="D51" s="8"/>
      <c r="E51" s="8"/>
      <c r="F51" s="3"/>
      <c r="H51" s="19"/>
    </row>
    <row r="52" spans="1:8" x14ac:dyDescent="0.3">
      <c r="B52" s="811"/>
      <c r="C52" s="812"/>
      <c r="D52" s="812"/>
      <c r="E52" s="812"/>
      <c r="F52" s="813"/>
      <c r="H52" s="19"/>
    </row>
    <row r="53" spans="1:8" x14ac:dyDescent="0.3">
      <c r="B53" s="814"/>
      <c r="C53" s="815"/>
      <c r="D53" s="815"/>
      <c r="E53" s="815"/>
      <c r="F53" s="816"/>
      <c r="H53" s="19"/>
    </row>
    <row r="54" spans="1:8" x14ac:dyDescent="0.3">
      <c r="B54" s="814"/>
      <c r="C54" s="815"/>
      <c r="D54" s="815"/>
      <c r="E54" s="815"/>
      <c r="F54" s="816"/>
      <c r="H54" s="19"/>
    </row>
    <row r="55" spans="1:8" x14ac:dyDescent="0.3">
      <c r="B55" s="817"/>
      <c r="C55" s="818"/>
      <c r="D55" s="818"/>
      <c r="E55" s="818"/>
      <c r="F55" s="819"/>
      <c r="H55" s="19"/>
    </row>
    <row r="56" spans="1:8" x14ac:dyDescent="0.3">
      <c r="B56" s="2"/>
      <c r="C56" s="8"/>
      <c r="D56" s="8"/>
      <c r="E56" s="8"/>
      <c r="F56" s="3"/>
      <c r="H56" s="19"/>
    </row>
    <row r="57" spans="1:8" x14ac:dyDescent="0.3">
      <c r="B57" s="811"/>
      <c r="C57" s="812"/>
      <c r="D57" s="812"/>
      <c r="E57" s="812"/>
      <c r="F57" s="813"/>
      <c r="H57" s="19"/>
    </row>
    <row r="58" spans="1:8" x14ac:dyDescent="0.3">
      <c r="B58" s="814"/>
      <c r="C58" s="815"/>
      <c r="D58" s="815"/>
      <c r="E58" s="815"/>
      <c r="F58" s="816"/>
      <c r="H58" s="19"/>
    </row>
    <row r="59" spans="1:8" x14ac:dyDescent="0.3">
      <c r="B59" s="814"/>
      <c r="C59" s="815"/>
      <c r="D59" s="815"/>
      <c r="E59" s="815"/>
      <c r="F59" s="816"/>
      <c r="H59" s="19"/>
    </row>
    <row r="60" spans="1:8" ht="17.25" thickBot="1" x14ac:dyDescent="0.35">
      <c r="B60" s="820"/>
      <c r="C60" s="821"/>
      <c r="D60" s="821"/>
      <c r="E60" s="821"/>
      <c r="F60" s="822"/>
      <c r="H60" s="19"/>
    </row>
    <row r="61" spans="1:8" x14ac:dyDescent="0.3">
      <c r="H61" s="19"/>
    </row>
    <row r="62" spans="1:8" s="18" customFormat="1" x14ac:dyDescent="0.3">
      <c r="A62" s="19"/>
      <c r="B62" s="19"/>
      <c r="C62" s="19"/>
      <c r="D62" s="19"/>
      <c r="E62" s="19"/>
      <c r="F62" s="19"/>
      <c r="G62" s="19"/>
      <c r="H62" s="19"/>
    </row>
  </sheetData>
  <sheetProtection password="D93F" sheet="1" objects="1" scenarios="1" selectLockedCells="1"/>
  <customSheetViews>
    <customSheetView guid="{2A4C6EB9-430A-44F2-86C8-15B50360FC3B}" scale="60" showGridLines="0">
      <selection activeCell="F2" sqref="F2"/>
      <pageMargins left="0.7" right="0.7" top="0.75" bottom="0.75" header="0.3" footer="0.3"/>
    </customSheetView>
    <customSheetView guid="{B3BD5AF3-9A64-4EA7-AE1F-3CC326849B8F}" scale="60" showGridLines="0">
      <selection activeCell="F2" sqref="F2"/>
      <pageMargins left="0.7" right="0.7" top="0.75" bottom="0.75" header="0.3" footer="0.3"/>
    </customSheetView>
  </customSheetViews>
  <mergeCells count="13">
    <mergeCell ref="B2:C2"/>
    <mergeCell ref="E3:F3"/>
    <mergeCell ref="B11:F11"/>
    <mergeCell ref="B57:F60"/>
    <mergeCell ref="B12:F15"/>
    <mergeCell ref="B17:F20"/>
    <mergeCell ref="B22:F25"/>
    <mergeCell ref="B27:F30"/>
    <mergeCell ref="B32:F35"/>
    <mergeCell ref="B37:F40"/>
    <mergeCell ref="B42:F45"/>
    <mergeCell ref="B47:F50"/>
    <mergeCell ref="B52:F55"/>
  </mergeCells>
  <phoneticPr fontId="27" type="noConversion"/>
  <hyperlinks>
    <hyperlink ref="E3" location="Instructions!A1" display="Back to Instructions"/>
    <hyperlink ref="E3:F3" location="Instructions!A1" display="Back to Instructions tab"/>
  </hyperlink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H23"/>
  <sheetViews>
    <sheetView showGridLines="0" zoomScale="80" zoomScaleNormal="80" workbookViewId="0">
      <selection activeCell="E3" sqref="E3:F3"/>
    </sheetView>
  </sheetViews>
  <sheetFormatPr defaultColWidth="9.140625" defaultRowHeight="16.5" x14ac:dyDescent="0.3"/>
  <cols>
    <col min="1" max="1" width="5.85546875" style="6" customWidth="1"/>
    <col min="2" max="2" width="30.42578125" style="6" customWidth="1"/>
    <col min="3" max="3" width="56.140625" style="6" customWidth="1"/>
    <col min="4" max="4" width="11.5703125" style="6" customWidth="1"/>
    <col min="5" max="5" width="17.7109375" style="6" customWidth="1"/>
    <col min="6" max="6" width="69.42578125" style="6" customWidth="1"/>
    <col min="7" max="7" width="4.28515625" style="6" customWidth="1"/>
    <col min="8" max="8" width="2.28515625" style="18" customWidth="1"/>
    <col min="9" max="16384" width="9.140625" style="6"/>
  </cols>
  <sheetData>
    <row r="1" spans="2:8" ht="19.5" customHeight="1" thickBot="1" x14ac:dyDescent="0.35">
      <c r="H1" s="181"/>
    </row>
    <row r="2" spans="2:8" s="1" customFormat="1" ht="18" thickBot="1" x14ac:dyDescent="0.35">
      <c r="B2" s="764" t="s">
        <v>562</v>
      </c>
      <c r="C2" s="765"/>
      <c r="H2" s="19"/>
    </row>
    <row r="3" spans="2:8" s="124" customFormat="1" ht="18.75" customHeight="1" x14ac:dyDescent="0.3">
      <c r="B3" s="297" t="s">
        <v>563</v>
      </c>
      <c r="C3" s="298" t="str">
        <f>'Version Control'!C3</f>
        <v>Residential Central Air Conditioners and Heat Pumps</v>
      </c>
      <c r="E3" s="827" t="s">
        <v>540</v>
      </c>
      <c r="F3" s="827"/>
      <c r="H3" s="126"/>
    </row>
    <row r="4" spans="2:8" s="1" customFormat="1" x14ac:dyDescent="0.3">
      <c r="B4" s="299" t="s">
        <v>140</v>
      </c>
      <c r="C4" s="300" t="str">
        <f>'Version Control'!C4</f>
        <v>v2.1</v>
      </c>
      <c r="H4" s="19"/>
    </row>
    <row r="5" spans="2:8" s="1" customFormat="1" x14ac:dyDescent="0.3">
      <c r="B5" s="299" t="s">
        <v>462</v>
      </c>
      <c r="C5" s="301">
        <f>'Version Control'!C5</f>
        <v>42653</v>
      </c>
      <c r="H5" s="19"/>
    </row>
    <row r="6" spans="2:8" s="1" customFormat="1" x14ac:dyDescent="0.3">
      <c r="B6" s="302" t="s">
        <v>139</v>
      </c>
      <c r="C6" s="303" t="str">
        <f ca="1">MID(CELL("filename",$A$1), FIND("]", CELL("filename", $A$1))+ 1, 255)</f>
        <v>Test Report Attachments</v>
      </c>
      <c r="H6" s="19"/>
    </row>
    <row r="7" spans="2:8" s="1" customFormat="1" ht="36.75" customHeight="1" x14ac:dyDescent="0.3">
      <c r="B7" s="304" t="s">
        <v>138</v>
      </c>
      <c r="C7" s="305" t="str">
        <f ca="1">MID(CELL("FILENAME",F16),FIND("[",CELL("FILENAME",F16))+1,FIND("]",CELL("FILENAME",F16))-FIND("[",CELL("FILENAME",F16))-1)</f>
        <v>Residential Central Air Conditioners and Heat Pumps - v2.1.xlsx</v>
      </c>
      <c r="H7" s="19"/>
    </row>
    <row r="8" spans="2:8" ht="17.25" thickBot="1" x14ac:dyDescent="0.35">
      <c r="B8" s="306" t="s">
        <v>141</v>
      </c>
      <c r="C8" s="307" t="str">
        <f>'Version Control'!C8</f>
        <v>[MM/DD/YYYY]</v>
      </c>
      <c r="H8" s="19"/>
    </row>
    <row r="9" spans="2:8" x14ac:dyDescent="0.3">
      <c r="H9" s="19"/>
    </row>
    <row r="10" spans="2:8" ht="17.25" thickBot="1" x14ac:dyDescent="0.35">
      <c r="H10" s="19"/>
    </row>
    <row r="11" spans="2:8" ht="18" thickBot="1" x14ac:dyDescent="0.35">
      <c r="B11" s="1016" t="s">
        <v>609</v>
      </c>
      <c r="C11" s="1017"/>
      <c r="D11" s="1017"/>
      <c r="E11" s="1017"/>
      <c r="F11" s="1018"/>
      <c r="H11" s="19"/>
    </row>
    <row r="12" spans="2:8" x14ac:dyDescent="0.3">
      <c r="B12" s="1022"/>
      <c r="C12" s="1023"/>
      <c r="D12" s="1023"/>
      <c r="E12" s="1023"/>
      <c r="F12" s="1024"/>
      <c r="H12" s="19"/>
    </row>
    <row r="13" spans="2:8" x14ac:dyDescent="0.3">
      <c r="B13" s="1019"/>
      <c r="C13" s="1020"/>
      <c r="D13" s="1020"/>
      <c r="E13" s="1020"/>
      <c r="F13" s="1021"/>
      <c r="H13" s="19"/>
    </row>
    <row r="14" spans="2:8" x14ac:dyDescent="0.3">
      <c r="B14" s="1019"/>
      <c r="C14" s="1020"/>
      <c r="D14" s="1020"/>
      <c r="E14" s="1020"/>
      <c r="F14" s="1021"/>
      <c r="H14" s="19"/>
    </row>
    <row r="15" spans="2:8" x14ac:dyDescent="0.3">
      <c r="B15" s="1019"/>
      <c r="C15" s="1020"/>
      <c r="D15" s="1020"/>
      <c r="E15" s="1020"/>
      <c r="F15" s="1021"/>
      <c r="H15" s="19"/>
    </row>
    <row r="16" spans="2:8" x14ac:dyDescent="0.3">
      <c r="B16" s="1019"/>
      <c r="C16" s="1020"/>
      <c r="D16" s="1020"/>
      <c r="E16" s="1020"/>
      <c r="F16" s="1021"/>
      <c r="H16" s="19"/>
    </row>
    <row r="17" spans="1:8" x14ac:dyDescent="0.3">
      <c r="B17" s="1019"/>
      <c r="C17" s="1020"/>
      <c r="D17" s="1020"/>
      <c r="E17" s="1020"/>
      <c r="F17" s="1021"/>
      <c r="H17" s="19"/>
    </row>
    <row r="18" spans="1:8" x14ac:dyDescent="0.3">
      <c r="B18" s="1019"/>
      <c r="C18" s="1020"/>
      <c r="D18" s="1020"/>
      <c r="E18" s="1020"/>
      <c r="F18" s="1021"/>
      <c r="H18" s="19"/>
    </row>
    <row r="19" spans="1:8" x14ac:dyDescent="0.3">
      <c r="B19" s="1019"/>
      <c r="C19" s="1020"/>
      <c r="D19" s="1020"/>
      <c r="E19" s="1020"/>
      <c r="F19" s="1021"/>
      <c r="H19" s="19"/>
    </row>
    <row r="20" spans="1:8" x14ac:dyDescent="0.3">
      <c r="B20" s="1019"/>
      <c r="C20" s="1020"/>
      <c r="D20" s="1020"/>
      <c r="E20" s="1020"/>
      <c r="F20" s="1021"/>
      <c r="H20" s="19"/>
    </row>
    <row r="21" spans="1:8" ht="17.25" thickBot="1" x14ac:dyDescent="0.35">
      <c r="B21" s="1025"/>
      <c r="C21" s="1026"/>
      <c r="D21" s="1026"/>
      <c r="E21" s="1026"/>
      <c r="F21" s="1027"/>
      <c r="H21" s="19"/>
    </row>
    <row r="22" spans="1:8" x14ac:dyDescent="0.3">
      <c r="H22" s="19"/>
    </row>
    <row r="23" spans="1:8" s="18" customFormat="1" x14ac:dyDescent="0.3">
      <c r="A23" s="19"/>
      <c r="B23" s="19"/>
      <c r="C23" s="19"/>
      <c r="D23" s="19"/>
      <c r="E23" s="19"/>
      <c r="F23" s="19"/>
      <c r="G23" s="19"/>
      <c r="H23" s="19"/>
    </row>
  </sheetData>
  <sheetProtection password="D93F" sheet="1" objects="1" scenarios="1" selectLockedCells="1"/>
  <mergeCells count="13">
    <mergeCell ref="B21:F21"/>
    <mergeCell ref="B15:F15"/>
    <mergeCell ref="B16:F16"/>
    <mergeCell ref="B17:F17"/>
    <mergeCell ref="B18:F18"/>
    <mergeCell ref="B19:F19"/>
    <mergeCell ref="B20:F20"/>
    <mergeCell ref="B14:F14"/>
    <mergeCell ref="B2:C2"/>
    <mergeCell ref="E3:F3"/>
    <mergeCell ref="B11:F11"/>
    <mergeCell ref="B12:F12"/>
    <mergeCell ref="B13:F13"/>
  </mergeCells>
  <hyperlinks>
    <hyperlink ref="E3" location="Instructions!A1" display="Back to Instructions"/>
    <hyperlink ref="E3:F3" location="Instructions!A1" display="Back to Instructions tab"/>
  </hyperlink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0070C0"/>
  </sheetPr>
  <dimension ref="A1:G20"/>
  <sheetViews>
    <sheetView showGridLines="0" zoomScale="80" zoomScaleNormal="80" workbookViewId="0">
      <selection activeCell="E3" sqref="E3"/>
    </sheetView>
  </sheetViews>
  <sheetFormatPr defaultColWidth="9.140625" defaultRowHeight="16.5" x14ac:dyDescent="0.3"/>
  <cols>
    <col min="1" max="1" width="4.28515625" style="1" customWidth="1"/>
    <col min="2" max="2" width="30.85546875" style="1" customWidth="1"/>
    <col min="3" max="3" width="56.28515625" style="1" customWidth="1"/>
    <col min="4" max="4" width="21.28515625" style="1" bestFit="1" customWidth="1"/>
    <col min="5" max="5" width="43.5703125" style="1" customWidth="1"/>
    <col min="6" max="6" width="6.28515625" style="1" customWidth="1"/>
    <col min="7" max="7" width="2.85546875" style="1" customWidth="1"/>
    <col min="8" max="16384" width="9.140625" style="1"/>
  </cols>
  <sheetData>
    <row r="1" spans="1:7" ht="17.25" thickBot="1" x14ac:dyDescent="0.35">
      <c r="G1" s="181"/>
    </row>
    <row r="2" spans="1:7" ht="18" thickBot="1" x14ac:dyDescent="0.35">
      <c r="B2" s="764" t="s">
        <v>562</v>
      </c>
      <c r="C2" s="765"/>
      <c r="G2" s="129"/>
    </row>
    <row r="3" spans="1:7" ht="21" customHeight="1" x14ac:dyDescent="0.3">
      <c r="B3" s="297" t="s">
        <v>563</v>
      </c>
      <c r="C3" s="298" t="str">
        <f>'Version Control'!C3</f>
        <v>Residential Central Air Conditioners and Heat Pumps</v>
      </c>
      <c r="E3" s="643" t="s">
        <v>540</v>
      </c>
      <c r="F3" s="642"/>
      <c r="G3" s="129"/>
    </row>
    <row r="4" spans="1:7" x14ac:dyDescent="0.3">
      <c r="B4" s="299" t="s">
        <v>140</v>
      </c>
      <c r="C4" s="300" t="str">
        <f>'Version Control'!C4</f>
        <v>v2.1</v>
      </c>
      <c r="G4" s="129"/>
    </row>
    <row r="5" spans="1:7" x14ac:dyDescent="0.3">
      <c r="B5" s="299" t="s">
        <v>462</v>
      </c>
      <c r="C5" s="301">
        <f>'Version Control'!C5</f>
        <v>42653</v>
      </c>
      <c r="G5" s="129"/>
    </row>
    <row r="6" spans="1:7" x14ac:dyDescent="0.3">
      <c r="B6" s="302" t="s">
        <v>139</v>
      </c>
      <c r="C6" s="303" t="str">
        <f ca="1">MID(CELL("filename",$A$1), FIND("]", CELL("filename", $A$1))+ 1, 255)</f>
        <v>Report Sign-off Block</v>
      </c>
      <c r="G6" s="129"/>
    </row>
    <row r="7" spans="1:7" ht="42" customHeight="1" x14ac:dyDescent="0.3">
      <c r="B7" s="304" t="s">
        <v>138</v>
      </c>
      <c r="C7" s="305" t="str">
        <f ca="1">MID(CELL("FILENAME",F16),FIND("[",CELL("FILENAME",F16))+1,FIND("]",CELL("FILENAME",F16))-FIND("[",CELL("FILENAME",F16))-1)</f>
        <v>Residential Central Air Conditioners and Heat Pumps - v2.1.xlsx</v>
      </c>
      <c r="G7" s="129"/>
    </row>
    <row r="8" spans="1:7" ht="17.25" thickBot="1" x14ac:dyDescent="0.35">
      <c r="B8" s="306" t="s">
        <v>141</v>
      </c>
      <c r="C8" s="307" t="str">
        <f>'Version Control'!C8</f>
        <v>[MM/DD/YYYY]</v>
      </c>
      <c r="G8" s="129"/>
    </row>
    <row r="9" spans="1:7" x14ac:dyDescent="0.3">
      <c r="G9" s="129"/>
    </row>
    <row r="10" spans="1:7" ht="17.25" thickBot="1" x14ac:dyDescent="0.35">
      <c r="B10" s="4"/>
      <c r="G10" s="129"/>
    </row>
    <row r="11" spans="1:7" ht="18" thickBot="1" x14ac:dyDescent="0.35">
      <c r="A11" s="4"/>
      <c r="B11" s="761" t="s">
        <v>146</v>
      </c>
      <c r="C11" s="762"/>
      <c r="D11" s="762"/>
      <c r="E11" s="763"/>
      <c r="G11" s="129"/>
    </row>
    <row r="12" spans="1:7" ht="17.25" customHeight="1" x14ac:dyDescent="0.3">
      <c r="A12" s="4"/>
      <c r="B12" s="1032" t="s">
        <v>465</v>
      </c>
      <c r="C12" s="1033"/>
      <c r="D12" s="1033"/>
      <c r="E12" s="1034"/>
      <c r="G12" s="129"/>
    </row>
    <row r="13" spans="1:7" ht="38.25" customHeight="1" x14ac:dyDescent="0.3">
      <c r="A13" s="4"/>
      <c r="B13" s="1035"/>
      <c r="C13" s="1036"/>
      <c r="D13" s="1036"/>
      <c r="E13" s="1037"/>
      <c r="G13" s="129"/>
    </row>
    <row r="14" spans="1:7" ht="17.25" x14ac:dyDescent="0.35">
      <c r="A14" s="4"/>
      <c r="B14" s="1038" t="s">
        <v>147</v>
      </c>
      <c r="C14" s="1039"/>
      <c r="D14" s="63" t="s">
        <v>144</v>
      </c>
      <c r="E14" s="62" t="s">
        <v>148</v>
      </c>
      <c r="G14" s="129"/>
    </row>
    <row r="15" spans="1:7" x14ac:dyDescent="0.3">
      <c r="A15" s="4"/>
      <c r="B15" s="1028" t="s">
        <v>149</v>
      </c>
      <c r="C15" s="1029"/>
      <c r="D15" s="230" t="str">
        <f>'General Info and Test Results'!C19</f>
        <v>[MM/DD/YYYY]</v>
      </c>
      <c r="E15" s="119" t="s">
        <v>457</v>
      </c>
      <c r="G15" s="129"/>
    </row>
    <row r="16" spans="1:7" x14ac:dyDescent="0.3">
      <c r="A16" s="4"/>
      <c r="B16" s="1028" t="s">
        <v>426</v>
      </c>
      <c r="C16" s="1029"/>
      <c r="D16" s="621" t="s">
        <v>345</v>
      </c>
      <c r="E16" s="119" t="s">
        <v>457</v>
      </c>
      <c r="G16" s="129"/>
    </row>
    <row r="17" spans="1:7" x14ac:dyDescent="0.3">
      <c r="A17" s="4"/>
      <c r="B17" s="1028" t="s">
        <v>456</v>
      </c>
      <c r="C17" s="1029"/>
      <c r="D17" s="621" t="s">
        <v>345</v>
      </c>
      <c r="E17" s="119" t="s">
        <v>457</v>
      </c>
      <c r="G17" s="129"/>
    </row>
    <row r="18" spans="1:7" ht="17.25" thickBot="1" x14ac:dyDescent="0.35">
      <c r="A18" s="4"/>
      <c r="B18" s="1030" t="s">
        <v>464</v>
      </c>
      <c r="C18" s="1031"/>
      <c r="D18" s="622" t="s">
        <v>345</v>
      </c>
      <c r="E18" s="651" t="s">
        <v>457</v>
      </c>
      <c r="G18" s="129"/>
    </row>
    <row r="19" spans="1:7" x14ac:dyDescent="0.3">
      <c r="A19" s="4"/>
      <c r="B19" s="8"/>
      <c r="C19" s="4"/>
      <c r="D19" s="4"/>
      <c r="E19" s="4"/>
      <c r="G19" s="129"/>
    </row>
    <row r="20" spans="1:7" x14ac:dyDescent="0.3">
      <c r="A20" s="231"/>
      <c r="B20" s="161"/>
      <c r="C20" s="161"/>
      <c r="D20" s="161"/>
      <c r="E20" s="161"/>
      <c r="F20" s="129"/>
      <c r="G20" s="129"/>
    </row>
  </sheetData>
  <sheetProtection password="D93F" sheet="1" objects="1" scenarios="1" selectLockedCells="1"/>
  <customSheetViews>
    <customSheetView guid="{2A4C6EB9-430A-44F2-86C8-15B50360FC3B}" scale="80" showGridLines="0" zeroValues="0">
      <selection activeCell="C13" sqref="C13"/>
      <pageMargins left="0.7" right="0.7" top="0.75" bottom="0.75" header="0.3" footer="0.3"/>
      <pageSetup orientation="portrait" r:id="rId1"/>
    </customSheetView>
    <customSheetView guid="{B3BD5AF3-9A64-4EA7-AE1F-3CC326849B8F}" scale="80" showGridLines="0" zeroValues="0">
      <selection activeCell="C6" sqref="C6"/>
      <pageMargins left="0.7" right="0.7" top="0.75" bottom="0.75" header="0.3" footer="0.3"/>
      <pageSetup orientation="portrait" r:id="rId2"/>
    </customSheetView>
  </customSheetViews>
  <mergeCells count="8">
    <mergeCell ref="B2:C2"/>
    <mergeCell ref="B17:C17"/>
    <mergeCell ref="B18:C18"/>
    <mergeCell ref="B11:E11"/>
    <mergeCell ref="B12:E13"/>
    <mergeCell ref="B14:C14"/>
    <mergeCell ref="B15:C15"/>
    <mergeCell ref="B16:C16"/>
  </mergeCells>
  <phoneticPr fontId="27" type="noConversion"/>
  <hyperlinks>
    <hyperlink ref="E3" location="Instructions!A1" display="Back to Instructions"/>
  </hyperlinks>
  <pageMargins left="0.7" right="0.7" top="0.75" bottom="0.75" header="0.3" footer="0.3"/>
  <pageSetup orientation="portrait" r:id="rId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dimension ref="A1:M35"/>
  <sheetViews>
    <sheetView showGridLines="0" zoomScale="80" zoomScaleNormal="80" workbookViewId="0">
      <selection activeCell="J2" sqref="J2"/>
    </sheetView>
  </sheetViews>
  <sheetFormatPr defaultColWidth="21.42578125" defaultRowHeight="16.5" x14ac:dyDescent="0.25"/>
  <cols>
    <col min="1" max="8" width="21.42578125" style="281"/>
    <col min="9" max="9" width="7.85546875" style="280" customWidth="1"/>
    <col min="10" max="10" width="31.140625" style="280" customWidth="1"/>
    <col min="11" max="11" width="56.42578125" style="280" customWidth="1"/>
    <col min="12" max="12" width="3.42578125" style="280" customWidth="1"/>
    <col min="13" max="13" width="3.5703125" style="280" customWidth="1"/>
    <col min="14" max="16384" width="21.42578125" style="280"/>
  </cols>
  <sheetData>
    <row r="1" spans="1:13" x14ac:dyDescent="0.25">
      <c r="A1" s="1043" t="s">
        <v>96</v>
      </c>
      <c r="B1" s="1044"/>
      <c r="C1" s="625" t="s">
        <v>97</v>
      </c>
      <c r="D1" s="625" t="s">
        <v>98</v>
      </c>
      <c r="E1" s="625" t="s">
        <v>99</v>
      </c>
      <c r="F1" s="625" t="s">
        <v>100</v>
      </c>
      <c r="G1" s="625" t="s">
        <v>101</v>
      </c>
      <c r="H1" s="626" t="s">
        <v>102</v>
      </c>
      <c r="M1" s="637"/>
    </row>
    <row r="2" spans="1:13" ht="33" customHeight="1" x14ac:dyDescent="0.3">
      <c r="A2" s="1045" t="s">
        <v>103</v>
      </c>
      <c r="B2" s="1046"/>
      <c r="C2" s="623">
        <v>750</v>
      </c>
      <c r="D2" s="623">
        <v>1250</v>
      </c>
      <c r="E2" s="623">
        <v>1750</v>
      </c>
      <c r="F2" s="623">
        <v>2250</v>
      </c>
      <c r="G2" s="623">
        <v>2750</v>
      </c>
      <c r="H2" s="627" t="s">
        <v>104</v>
      </c>
      <c r="J2" s="643" t="s">
        <v>540</v>
      </c>
      <c r="K2"/>
      <c r="M2" s="637"/>
    </row>
    <row r="3" spans="1:13" ht="35.25" customHeight="1" thickBot="1" x14ac:dyDescent="0.3">
      <c r="A3" s="1045" t="s">
        <v>546</v>
      </c>
      <c r="B3" s="1046"/>
      <c r="C3" s="623">
        <v>37</v>
      </c>
      <c r="D3" s="623">
        <v>27</v>
      </c>
      <c r="E3" s="623">
        <v>17</v>
      </c>
      <c r="F3" s="623">
        <v>5</v>
      </c>
      <c r="G3" s="623">
        <v>-10</v>
      </c>
      <c r="H3" s="627">
        <v>30</v>
      </c>
      <c r="M3" s="637"/>
    </row>
    <row r="4" spans="1:13" ht="18" customHeight="1" thickBot="1" x14ac:dyDescent="0.3">
      <c r="A4" s="1045" t="s">
        <v>107</v>
      </c>
      <c r="B4" s="1046"/>
      <c r="C4" s="623">
        <f t="shared" ref="C4:H4" si="0">COUNTIF(C6:C23,"&gt;0")</f>
        <v>9</v>
      </c>
      <c r="D4" s="623">
        <f t="shared" si="0"/>
        <v>10</v>
      </c>
      <c r="E4" s="623">
        <f t="shared" si="0"/>
        <v>13</v>
      </c>
      <c r="F4" s="623">
        <f t="shared" si="0"/>
        <v>15</v>
      </c>
      <c r="G4" s="623">
        <f t="shared" si="0"/>
        <v>18</v>
      </c>
      <c r="H4" s="627">
        <f t="shared" si="0"/>
        <v>9</v>
      </c>
      <c r="J4" s="764" t="s">
        <v>562</v>
      </c>
      <c r="K4" s="765"/>
      <c r="M4" s="637"/>
    </row>
    <row r="5" spans="1:13" ht="18.75" customHeight="1" x14ac:dyDescent="0.3">
      <c r="A5" s="628" t="s">
        <v>106</v>
      </c>
      <c r="B5" s="624" t="s">
        <v>105</v>
      </c>
      <c r="C5" s="1040" t="s">
        <v>547</v>
      </c>
      <c r="D5" s="1041"/>
      <c r="E5" s="1041"/>
      <c r="F5" s="1041"/>
      <c r="G5" s="1041"/>
      <c r="H5" s="1042"/>
      <c r="J5" s="297" t="s">
        <v>563</v>
      </c>
      <c r="K5" s="298" t="str">
        <f>'Version Control'!C3</f>
        <v>Residential Central Air Conditioners and Heat Pumps</v>
      </c>
      <c r="M5" s="637"/>
    </row>
    <row r="6" spans="1:13" x14ac:dyDescent="0.3">
      <c r="A6" s="629">
        <v>1</v>
      </c>
      <c r="B6" s="623">
        <v>62</v>
      </c>
      <c r="C6" s="623">
        <v>0.29099999999999998</v>
      </c>
      <c r="D6" s="623">
        <v>0.215</v>
      </c>
      <c r="E6" s="623">
        <v>0.153</v>
      </c>
      <c r="F6" s="623">
        <v>0.13200000000000001</v>
      </c>
      <c r="G6" s="623">
        <v>0.106</v>
      </c>
      <c r="H6" s="627">
        <v>0.113</v>
      </c>
      <c r="J6" s="299" t="s">
        <v>140</v>
      </c>
      <c r="K6" s="300" t="str">
        <f>'Version Control'!C4</f>
        <v>v2.1</v>
      </c>
      <c r="M6" s="637"/>
    </row>
    <row r="7" spans="1:13" x14ac:dyDescent="0.3">
      <c r="A7" s="629">
        <v>2</v>
      </c>
      <c r="B7" s="623">
        <v>57</v>
      </c>
      <c r="C7" s="623">
        <v>0.23899999999999999</v>
      </c>
      <c r="D7" s="623">
        <v>0.189</v>
      </c>
      <c r="E7" s="623">
        <v>0.14199999999999999</v>
      </c>
      <c r="F7" s="623">
        <v>0.111</v>
      </c>
      <c r="G7" s="623">
        <v>9.1999999999999998E-2</v>
      </c>
      <c r="H7" s="627">
        <v>0.20599999999999999</v>
      </c>
      <c r="J7" s="299" t="s">
        <v>462</v>
      </c>
      <c r="K7" s="301">
        <f>'Version Control'!C5</f>
        <v>42653</v>
      </c>
      <c r="M7" s="637"/>
    </row>
    <row r="8" spans="1:13" x14ac:dyDescent="0.3">
      <c r="A8" s="629">
        <v>3</v>
      </c>
      <c r="B8" s="623">
        <v>52</v>
      </c>
      <c r="C8" s="623">
        <v>0.19400000000000001</v>
      </c>
      <c r="D8" s="623">
        <v>0.16300000000000001</v>
      </c>
      <c r="E8" s="623">
        <v>0.13800000000000001</v>
      </c>
      <c r="F8" s="623">
        <v>0.10299999999999999</v>
      </c>
      <c r="G8" s="623">
        <v>8.5999999999999993E-2</v>
      </c>
      <c r="H8" s="627">
        <v>0.215</v>
      </c>
      <c r="J8" s="302" t="s">
        <v>139</v>
      </c>
      <c r="K8" s="303" t="str">
        <f ca="1">MID(CELL("filename",$A$1), FIND("]", CELL("filename", $A$1))+ 1, 255)</f>
        <v>Tables</v>
      </c>
      <c r="M8" s="637"/>
    </row>
    <row r="9" spans="1:13" ht="33" x14ac:dyDescent="0.25">
      <c r="A9" s="629">
        <v>4</v>
      </c>
      <c r="B9" s="623">
        <v>47</v>
      </c>
      <c r="C9" s="623">
        <v>0.129</v>
      </c>
      <c r="D9" s="623">
        <v>0.14299999999999999</v>
      </c>
      <c r="E9" s="623">
        <v>0.13700000000000001</v>
      </c>
      <c r="F9" s="623">
        <v>9.2999999999999999E-2</v>
      </c>
      <c r="G9" s="623">
        <v>7.5999999999999998E-2</v>
      </c>
      <c r="H9" s="627">
        <v>0.20399999999999999</v>
      </c>
      <c r="J9" s="304" t="s">
        <v>138</v>
      </c>
      <c r="K9" s="305" t="str">
        <f ca="1">MID(CELL("FILENAME",N18),FIND("[",CELL("FILENAME",N18))+1,FIND("]",CELL("FILENAME",N18))-FIND("[",CELL("FILENAME",N18))-1)</f>
        <v>Residential Central Air Conditioners and Heat Pumps - v2.1.xlsx</v>
      </c>
      <c r="M9" s="637"/>
    </row>
    <row r="10" spans="1:13" ht="17.25" thickBot="1" x14ac:dyDescent="0.35">
      <c r="A10" s="629">
        <v>5</v>
      </c>
      <c r="B10" s="623">
        <v>42</v>
      </c>
      <c r="C10" s="623">
        <v>8.1000000000000003E-2</v>
      </c>
      <c r="D10" s="623">
        <v>0.112</v>
      </c>
      <c r="E10" s="623">
        <v>0.13500000000000001</v>
      </c>
      <c r="F10" s="623">
        <v>0.1</v>
      </c>
      <c r="G10" s="623">
        <v>7.8E-2</v>
      </c>
      <c r="H10" s="627">
        <v>0.14099999999999999</v>
      </c>
      <c r="J10" s="306" t="s">
        <v>141</v>
      </c>
      <c r="K10" s="307" t="str">
        <f>'Version Control'!C8</f>
        <v>[MM/DD/YYYY]</v>
      </c>
      <c r="M10" s="637"/>
    </row>
    <row r="11" spans="1:13" x14ac:dyDescent="0.25">
      <c r="A11" s="629">
        <v>6</v>
      </c>
      <c r="B11" s="623">
        <v>37</v>
      </c>
      <c r="C11" s="623">
        <v>4.1000000000000002E-2</v>
      </c>
      <c r="D11" s="623">
        <v>8.7999999999999995E-2</v>
      </c>
      <c r="E11" s="623">
        <v>0.11799999999999999</v>
      </c>
      <c r="F11" s="623">
        <v>0.109</v>
      </c>
      <c r="G11" s="623">
        <v>8.6999999999999994E-2</v>
      </c>
      <c r="H11" s="627">
        <v>7.5999999999999998E-2</v>
      </c>
      <c r="M11" s="637"/>
    </row>
    <row r="12" spans="1:13" x14ac:dyDescent="0.25">
      <c r="A12" s="629">
        <v>7</v>
      </c>
      <c r="B12" s="623">
        <v>32</v>
      </c>
      <c r="C12" s="623">
        <v>1.9E-2</v>
      </c>
      <c r="D12" s="623">
        <v>5.6000000000000001E-2</v>
      </c>
      <c r="E12" s="623">
        <v>9.1999999999999998E-2</v>
      </c>
      <c r="F12" s="623">
        <v>0.126</v>
      </c>
      <c r="G12" s="623">
        <v>0.10199999999999999</v>
      </c>
      <c r="H12" s="627">
        <v>3.4000000000000002E-2</v>
      </c>
      <c r="M12" s="637"/>
    </row>
    <row r="13" spans="1:13" x14ac:dyDescent="0.25">
      <c r="A13" s="629">
        <v>8</v>
      </c>
      <c r="B13" s="623">
        <v>27</v>
      </c>
      <c r="C13" s="623">
        <v>5.0000000000000001E-3</v>
      </c>
      <c r="D13" s="623">
        <v>2.4E-2</v>
      </c>
      <c r="E13" s="623">
        <v>4.7E-2</v>
      </c>
      <c r="F13" s="623">
        <v>8.6999999999999994E-2</v>
      </c>
      <c r="G13" s="623">
        <v>9.4E-2</v>
      </c>
      <c r="H13" s="627">
        <v>8.0000000000000002E-3</v>
      </c>
      <c r="M13" s="637"/>
    </row>
    <row r="14" spans="1:13" x14ac:dyDescent="0.25">
      <c r="A14" s="629">
        <v>9</v>
      </c>
      <c r="B14" s="623">
        <v>22</v>
      </c>
      <c r="C14" s="623">
        <v>1E-3</v>
      </c>
      <c r="D14" s="623">
        <v>8.0000000000000002E-3</v>
      </c>
      <c r="E14" s="623">
        <v>2.1000000000000001E-2</v>
      </c>
      <c r="F14" s="623">
        <v>5.5E-2</v>
      </c>
      <c r="G14" s="623">
        <v>7.3999999999999996E-2</v>
      </c>
      <c r="H14" s="627">
        <v>3.0000000000000001E-3</v>
      </c>
      <c r="M14" s="637"/>
    </row>
    <row r="15" spans="1:13" x14ac:dyDescent="0.25">
      <c r="A15" s="629">
        <v>10</v>
      </c>
      <c r="B15" s="623">
        <v>17</v>
      </c>
      <c r="C15" s="623">
        <v>0</v>
      </c>
      <c r="D15" s="623">
        <v>2E-3</v>
      </c>
      <c r="E15" s="623">
        <v>8.9999999999999993E-3</v>
      </c>
      <c r="F15" s="623">
        <v>3.5999999999999997E-2</v>
      </c>
      <c r="G15" s="623">
        <v>5.5E-2</v>
      </c>
      <c r="H15" s="627">
        <v>0</v>
      </c>
      <c r="M15" s="637"/>
    </row>
    <row r="16" spans="1:13" x14ac:dyDescent="0.25">
      <c r="A16" s="629">
        <v>11</v>
      </c>
      <c r="B16" s="623">
        <v>12</v>
      </c>
      <c r="C16" s="623">
        <v>0</v>
      </c>
      <c r="D16" s="623">
        <v>0</v>
      </c>
      <c r="E16" s="623">
        <v>5.0000000000000001E-3</v>
      </c>
      <c r="F16" s="623">
        <v>2.5999999999999999E-2</v>
      </c>
      <c r="G16" s="623">
        <v>4.7E-2</v>
      </c>
      <c r="H16" s="627">
        <v>0</v>
      </c>
      <c r="M16" s="637"/>
    </row>
    <row r="17" spans="1:13" x14ac:dyDescent="0.25">
      <c r="A17" s="629">
        <v>12</v>
      </c>
      <c r="B17" s="623">
        <v>7</v>
      </c>
      <c r="C17" s="623">
        <v>0</v>
      </c>
      <c r="D17" s="623">
        <v>0</v>
      </c>
      <c r="E17" s="623">
        <v>2E-3</v>
      </c>
      <c r="F17" s="623">
        <v>1.2999999999999999E-2</v>
      </c>
      <c r="G17" s="623">
        <v>3.7999999999999999E-2</v>
      </c>
      <c r="H17" s="627">
        <v>0</v>
      </c>
      <c r="M17" s="637"/>
    </row>
    <row r="18" spans="1:13" x14ac:dyDescent="0.25">
      <c r="A18" s="629">
        <v>13</v>
      </c>
      <c r="B18" s="623">
        <v>2</v>
      </c>
      <c r="C18" s="623">
        <v>0</v>
      </c>
      <c r="D18" s="623">
        <v>0</v>
      </c>
      <c r="E18" s="623">
        <v>1E-3</v>
      </c>
      <c r="F18" s="623">
        <v>6.0000000000000001E-3</v>
      </c>
      <c r="G18" s="623">
        <v>2.9000000000000001E-2</v>
      </c>
      <c r="H18" s="627">
        <v>0</v>
      </c>
      <c r="M18" s="637"/>
    </row>
    <row r="19" spans="1:13" x14ac:dyDescent="0.25">
      <c r="A19" s="629">
        <v>14</v>
      </c>
      <c r="B19" s="623">
        <v>-3</v>
      </c>
      <c r="C19" s="623">
        <v>0</v>
      </c>
      <c r="D19" s="623">
        <v>0</v>
      </c>
      <c r="E19" s="623">
        <v>0</v>
      </c>
      <c r="F19" s="623">
        <v>2E-3</v>
      </c>
      <c r="G19" s="623">
        <v>1.7999999999999999E-2</v>
      </c>
      <c r="H19" s="627">
        <v>0</v>
      </c>
      <c r="M19" s="637"/>
    </row>
    <row r="20" spans="1:13" x14ac:dyDescent="0.25">
      <c r="A20" s="629">
        <v>15</v>
      </c>
      <c r="B20" s="623">
        <v>-8</v>
      </c>
      <c r="C20" s="623">
        <v>0</v>
      </c>
      <c r="D20" s="623">
        <v>0</v>
      </c>
      <c r="E20" s="623">
        <v>0</v>
      </c>
      <c r="F20" s="623">
        <v>1E-3</v>
      </c>
      <c r="G20" s="623">
        <v>0.01</v>
      </c>
      <c r="H20" s="627">
        <v>0</v>
      </c>
      <c r="M20" s="637"/>
    </row>
    <row r="21" spans="1:13" x14ac:dyDescent="0.25">
      <c r="A21" s="629">
        <v>16</v>
      </c>
      <c r="B21" s="623">
        <v>-13</v>
      </c>
      <c r="C21" s="623">
        <v>0</v>
      </c>
      <c r="D21" s="623">
        <v>0</v>
      </c>
      <c r="E21" s="623">
        <v>0</v>
      </c>
      <c r="F21" s="623">
        <v>0</v>
      </c>
      <c r="G21" s="623">
        <v>5.0000000000000001E-3</v>
      </c>
      <c r="H21" s="627">
        <v>0</v>
      </c>
      <c r="M21" s="637"/>
    </row>
    <row r="22" spans="1:13" x14ac:dyDescent="0.25">
      <c r="A22" s="629">
        <v>17</v>
      </c>
      <c r="B22" s="623">
        <v>-18</v>
      </c>
      <c r="C22" s="623">
        <v>0</v>
      </c>
      <c r="D22" s="623">
        <v>0</v>
      </c>
      <c r="E22" s="623">
        <v>0</v>
      </c>
      <c r="F22" s="623">
        <v>0</v>
      </c>
      <c r="G22" s="623">
        <v>2E-3</v>
      </c>
      <c r="H22" s="627">
        <v>0</v>
      </c>
      <c r="M22" s="637"/>
    </row>
    <row r="23" spans="1:13" ht="17.25" thickBot="1" x14ac:dyDescent="0.3">
      <c r="A23" s="630">
        <v>18</v>
      </c>
      <c r="B23" s="631">
        <v>-23</v>
      </c>
      <c r="C23" s="631">
        <v>0</v>
      </c>
      <c r="D23" s="631">
        <v>0</v>
      </c>
      <c r="E23" s="631">
        <v>0</v>
      </c>
      <c r="F23" s="631">
        <v>0</v>
      </c>
      <c r="G23" s="631">
        <v>1E-3</v>
      </c>
      <c r="H23" s="632">
        <v>0</v>
      </c>
      <c r="M23" s="637"/>
    </row>
    <row r="24" spans="1:13" ht="17.25" thickBot="1" x14ac:dyDescent="0.3">
      <c r="M24" s="637"/>
    </row>
    <row r="25" spans="1:13" ht="53.25" x14ac:dyDescent="0.25">
      <c r="A25" s="633" t="s">
        <v>204</v>
      </c>
      <c r="B25" s="634" t="s">
        <v>205</v>
      </c>
      <c r="C25" s="634" t="s">
        <v>206</v>
      </c>
      <c r="D25" s="635" t="s">
        <v>548</v>
      </c>
      <c r="M25" s="637"/>
    </row>
    <row r="26" spans="1:13" x14ac:dyDescent="0.25">
      <c r="A26" s="629">
        <v>1</v>
      </c>
      <c r="B26" s="623" t="s">
        <v>207</v>
      </c>
      <c r="C26" s="623">
        <v>67</v>
      </c>
      <c r="D26" s="627">
        <v>0.214</v>
      </c>
      <c r="M26" s="637"/>
    </row>
    <row r="27" spans="1:13" x14ac:dyDescent="0.25">
      <c r="A27" s="629">
        <v>2</v>
      </c>
      <c r="B27" s="623" t="s">
        <v>208</v>
      </c>
      <c r="C27" s="623">
        <v>72</v>
      </c>
      <c r="D27" s="627">
        <v>0.23100000000000001</v>
      </c>
      <c r="M27" s="637"/>
    </row>
    <row r="28" spans="1:13" x14ac:dyDescent="0.25">
      <c r="A28" s="629">
        <v>3</v>
      </c>
      <c r="B28" s="623" t="s">
        <v>209</v>
      </c>
      <c r="C28" s="623">
        <v>77</v>
      </c>
      <c r="D28" s="627">
        <v>0.216</v>
      </c>
      <c r="M28" s="637"/>
    </row>
    <row r="29" spans="1:13" x14ac:dyDescent="0.25">
      <c r="A29" s="629">
        <v>4</v>
      </c>
      <c r="B29" s="623" t="s">
        <v>210</v>
      </c>
      <c r="C29" s="623">
        <v>82</v>
      </c>
      <c r="D29" s="627">
        <v>0.161</v>
      </c>
      <c r="M29" s="637"/>
    </row>
    <row r="30" spans="1:13" x14ac:dyDescent="0.25">
      <c r="A30" s="629">
        <v>5</v>
      </c>
      <c r="B30" s="623" t="s">
        <v>211</v>
      </c>
      <c r="C30" s="623">
        <v>87</v>
      </c>
      <c r="D30" s="627">
        <v>0.104</v>
      </c>
      <c r="M30" s="637"/>
    </row>
    <row r="31" spans="1:13" x14ac:dyDescent="0.25">
      <c r="A31" s="629">
        <v>6</v>
      </c>
      <c r="B31" s="623" t="s">
        <v>212</v>
      </c>
      <c r="C31" s="623">
        <v>92</v>
      </c>
      <c r="D31" s="627">
        <v>5.1999999999999998E-2</v>
      </c>
      <c r="M31" s="637"/>
    </row>
    <row r="32" spans="1:13" x14ac:dyDescent="0.25">
      <c r="A32" s="629">
        <v>7</v>
      </c>
      <c r="B32" s="623" t="s">
        <v>213</v>
      </c>
      <c r="C32" s="623">
        <v>97</v>
      </c>
      <c r="D32" s="627">
        <v>1.7999999999999999E-2</v>
      </c>
      <c r="M32" s="637"/>
    </row>
    <row r="33" spans="1:13" ht="17.25" thickBot="1" x14ac:dyDescent="0.3">
      <c r="A33" s="630">
        <v>8</v>
      </c>
      <c r="B33" s="631" t="s">
        <v>214</v>
      </c>
      <c r="C33" s="631">
        <v>102</v>
      </c>
      <c r="D33" s="632">
        <v>4.0000000000000001E-3</v>
      </c>
      <c r="M33" s="637"/>
    </row>
    <row r="34" spans="1:13" x14ac:dyDescent="0.25">
      <c r="M34" s="637"/>
    </row>
    <row r="35" spans="1:13" x14ac:dyDescent="0.25">
      <c r="A35" s="636"/>
      <c r="B35" s="636"/>
      <c r="C35" s="636"/>
      <c r="D35" s="636"/>
      <c r="E35" s="636"/>
      <c r="F35" s="636"/>
      <c r="G35" s="636"/>
      <c r="H35" s="636"/>
      <c r="I35" s="637"/>
      <c r="J35" s="637"/>
      <c r="K35" s="637"/>
      <c r="L35" s="637"/>
      <c r="M35" s="637"/>
    </row>
  </sheetData>
  <sheetProtection password="D93F" sheet="1" objects="1" scenarios="1" selectLockedCells="1"/>
  <customSheetViews>
    <customSheetView guid="{2A4C6EB9-430A-44F2-86C8-15B50360FC3B}" scale="85" showGridLines="0">
      <selection activeCell="L32" sqref="L32:L48"/>
      <pageMargins left="0.7" right="0.7" top="0.75" bottom="0.75" header="0.3" footer="0.3"/>
      <pageSetup orientation="portrait" r:id="rId1"/>
    </customSheetView>
    <customSheetView guid="{B3BD5AF3-9A64-4EA7-AE1F-3CC326849B8F}" scale="85" showGridLines="0">
      <selection activeCell="L32" sqref="L32:L48"/>
      <pageMargins left="0.7" right="0.7" top="0.75" bottom="0.75" header="0.3" footer="0.3"/>
      <pageSetup orientation="portrait" r:id="rId2"/>
    </customSheetView>
  </customSheetViews>
  <mergeCells count="6">
    <mergeCell ref="C5:H5"/>
    <mergeCell ref="J4:K4"/>
    <mergeCell ref="A1:B1"/>
    <mergeCell ref="A2:B2"/>
    <mergeCell ref="A3:B3"/>
    <mergeCell ref="A4:B4"/>
  </mergeCells>
  <phoneticPr fontId="27" type="noConversion"/>
  <hyperlinks>
    <hyperlink ref="J2" location="Instructions!A1" display="Back to Instructions"/>
  </hyperlinks>
  <pageMargins left="0.7" right="0.7" top="0.75" bottom="0.75" header="0.3" footer="0.3"/>
  <pageSetup orientation="portrait" r:id="rId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9"/>
  <sheetViews>
    <sheetView showGridLines="0" zoomScale="80" zoomScaleNormal="80" workbookViewId="0">
      <selection activeCell="E3" sqref="E3:F3"/>
    </sheetView>
  </sheetViews>
  <sheetFormatPr defaultColWidth="9.140625" defaultRowHeight="16.5" x14ac:dyDescent="0.3"/>
  <cols>
    <col min="1" max="1" width="5.5703125" style="243" customWidth="1"/>
    <col min="2" max="2" width="32.28515625" style="244" customWidth="1"/>
    <col min="3" max="3" width="55.7109375" style="244" customWidth="1"/>
    <col min="4" max="4" width="35" style="243" customWidth="1"/>
    <col min="5" max="5" width="21.140625" style="243" customWidth="1"/>
    <col min="6" max="6" width="19.5703125" style="243" customWidth="1"/>
    <col min="7" max="7" width="20.85546875" style="243" customWidth="1"/>
    <col min="8" max="8" width="22.5703125" style="243" customWidth="1"/>
    <col min="9" max="9" width="9.140625" style="243"/>
    <col min="10" max="10" width="13.85546875" style="243" customWidth="1"/>
    <col min="11" max="11" width="9.140625" style="243"/>
    <col min="12" max="12" width="39.85546875" style="243" customWidth="1"/>
    <col min="13" max="14" width="4.140625" style="243" customWidth="1"/>
    <col min="15" max="16384" width="9.140625" style="243"/>
  </cols>
  <sheetData>
    <row r="1" spans="1:14" ht="17.25" thickBot="1" x14ac:dyDescent="0.35">
      <c r="A1" s="1"/>
      <c r="B1" s="125"/>
      <c r="C1" s="125"/>
      <c r="D1" s="1"/>
      <c r="E1" s="1"/>
      <c r="N1" s="581"/>
    </row>
    <row r="2" spans="1:14" ht="18" thickBot="1" x14ac:dyDescent="0.35">
      <c r="A2" s="1"/>
      <c r="B2" s="764" t="s">
        <v>562</v>
      </c>
      <c r="C2" s="765"/>
      <c r="D2" s="1"/>
      <c r="E2" s="1"/>
      <c r="N2" s="581"/>
    </row>
    <row r="3" spans="1:14" x14ac:dyDescent="0.3">
      <c r="A3" s="1"/>
      <c r="B3" s="297" t="s">
        <v>563</v>
      </c>
      <c r="C3" s="298" t="str">
        <f>'Version Control'!C3</f>
        <v>Residential Central Air Conditioners and Heat Pumps</v>
      </c>
      <c r="D3" s="1"/>
      <c r="E3" s="827" t="s">
        <v>540</v>
      </c>
      <c r="F3" s="827"/>
      <c r="N3" s="581"/>
    </row>
    <row r="4" spans="1:14" x14ac:dyDescent="0.3">
      <c r="A4" s="1"/>
      <c r="B4" s="299" t="s">
        <v>140</v>
      </c>
      <c r="C4" s="300" t="str">
        <f>'Version Control'!C4</f>
        <v>v2.1</v>
      </c>
      <c r="D4" s="1"/>
      <c r="E4" s="1"/>
      <c r="N4" s="581"/>
    </row>
    <row r="5" spans="1:14" x14ac:dyDescent="0.3">
      <c r="A5" s="1"/>
      <c r="B5" s="299" t="s">
        <v>462</v>
      </c>
      <c r="C5" s="301">
        <f>'Version Control'!C5</f>
        <v>42653</v>
      </c>
      <c r="D5" s="1"/>
      <c r="E5" s="1"/>
      <c r="N5" s="581"/>
    </row>
    <row r="6" spans="1:14" x14ac:dyDescent="0.3">
      <c r="A6" s="1"/>
      <c r="B6" s="302" t="s">
        <v>139</v>
      </c>
      <c r="C6" s="303" t="str">
        <f ca="1">MID(CELL("filename",$A$1), FIND("]", CELL("filename", $A$1))+ 1, 255)</f>
        <v>Drop-Downs</v>
      </c>
      <c r="D6" s="1"/>
      <c r="E6" s="1"/>
      <c r="N6" s="581"/>
    </row>
    <row r="7" spans="1:14" ht="33" x14ac:dyDescent="0.3">
      <c r="A7" s="1"/>
      <c r="B7" s="304" t="s">
        <v>138</v>
      </c>
      <c r="C7" s="305" t="str">
        <f ca="1">MID(CELL("FILENAME",F14),FIND("[",CELL("FILENAME",F14))+1,FIND("]",CELL("FILENAME",F14))-FIND("[",CELL("FILENAME",F14))-1)</f>
        <v>Residential Central Air Conditioners and Heat Pumps - v2.1.xlsx</v>
      </c>
      <c r="D7" s="1"/>
      <c r="E7" s="1"/>
      <c r="N7" s="581"/>
    </row>
    <row r="8" spans="1:14" ht="17.25" thickBot="1" x14ac:dyDescent="0.35">
      <c r="B8" s="306" t="s">
        <v>141</v>
      </c>
      <c r="C8" s="307" t="str">
        <f>'Version Control'!C8</f>
        <v>[MM/DD/YYYY]</v>
      </c>
      <c r="N8" s="581"/>
    </row>
    <row r="9" spans="1:14" x14ac:dyDescent="0.3">
      <c r="N9" s="581"/>
    </row>
    <row r="10" spans="1:14" x14ac:dyDescent="0.3">
      <c r="N10" s="581"/>
    </row>
    <row r="11" spans="1:14" ht="17.25" thickBot="1" x14ac:dyDescent="0.35">
      <c r="B11" s="580" t="s">
        <v>488</v>
      </c>
      <c r="C11" s="580" t="s">
        <v>489</v>
      </c>
      <c r="D11" s="257" t="s">
        <v>158</v>
      </c>
      <c r="E11" s="257" t="s">
        <v>493</v>
      </c>
      <c r="F11" s="257" t="s">
        <v>494</v>
      </c>
      <c r="G11" s="257" t="s">
        <v>497</v>
      </c>
      <c r="H11" s="257" t="s">
        <v>501</v>
      </c>
      <c r="I11" s="257" t="s">
        <v>0</v>
      </c>
      <c r="J11" s="257" t="s">
        <v>505</v>
      </c>
      <c r="K11" s="257" t="s">
        <v>509</v>
      </c>
      <c r="L11" s="678" t="s">
        <v>614</v>
      </c>
      <c r="N11" s="581"/>
    </row>
    <row r="12" spans="1:14" x14ac:dyDescent="0.3">
      <c r="B12" s="245">
        <v>0.5</v>
      </c>
      <c r="C12" s="246" t="s">
        <v>477</v>
      </c>
      <c r="D12" s="247" t="s">
        <v>586</v>
      </c>
      <c r="E12" s="247" t="s">
        <v>469</v>
      </c>
      <c r="F12" s="256" t="s">
        <v>495</v>
      </c>
      <c r="G12" s="248" t="s">
        <v>498</v>
      </c>
      <c r="H12" s="247" t="s">
        <v>503</v>
      </c>
      <c r="I12" s="247" t="s">
        <v>97</v>
      </c>
      <c r="J12" s="252" t="s">
        <v>504</v>
      </c>
      <c r="K12" s="247" t="s">
        <v>508</v>
      </c>
      <c r="L12" s="691" t="s">
        <v>665</v>
      </c>
      <c r="N12" s="581"/>
    </row>
    <row r="13" spans="1:14" ht="17.25" thickBot="1" x14ac:dyDescent="0.35">
      <c r="B13" s="249">
        <v>1</v>
      </c>
      <c r="C13" s="250" t="s">
        <v>490</v>
      </c>
      <c r="D13" s="247" t="s">
        <v>491</v>
      </c>
      <c r="E13" s="247" t="s">
        <v>467</v>
      </c>
      <c r="F13" s="257" t="s">
        <v>496</v>
      </c>
      <c r="G13" s="248" t="s">
        <v>499</v>
      </c>
      <c r="H13" s="253" t="s">
        <v>502</v>
      </c>
      <c r="I13" s="248" t="s">
        <v>98</v>
      </c>
      <c r="J13" s="258" t="s">
        <v>481</v>
      </c>
      <c r="K13" s="248" t="s">
        <v>482</v>
      </c>
      <c r="L13" s="253" t="s">
        <v>615</v>
      </c>
      <c r="N13" s="581"/>
    </row>
    <row r="14" spans="1:14" ht="17.25" thickBot="1" x14ac:dyDescent="0.35">
      <c r="D14" s="251" t="s">
        <v>492</v>
      </c>
      <c r="E14" s="251" t="s">
        <v>468</v>
      </c>
      <c r="G14" s="253" t="s">
        <v>500</v>
      </c>
      <c r="I14" s="248" t="s">
        <v>99</v>
      </c>
      <c r="K14" s="247" t="s">
        <v>506</v>
      </c>
      <c r="L14" s="256"/>
      <c r="N14" s="581"/>
    </row>
    <row r="15" spans="1:14" ht="17.25" thickBot="1" x14ac:dyDescent="0.35">
      <c r="I15" s="248" t="s">
        <v>100</v>
      </c>
      <c r="K15" s="251" t="s">
        <v>507</v>
      </c>
      <c r="L15" s="256"/>
      <c r="N15" s="581"/>
    </row>
    <row r="16" spans="1:14" x14ac:dyDescent="0.3">
      <c r="I16" s="248" t="s">
        <v>101</v>
      </c>
      <c r="N16" s="581"/>
    </row>
    <row r="17" spans="1:14" ht="17.25" thickBot="1" x14ac:dyDescent="0.35">
      <c r="I17" s="253" t="s">
        <v>102</v>
      </c>
      <c r="N17" s="581"/>
    </row>
    <row r="18" spans="1:14" x14ac:dyDescent="0.3">
      <c r="N18" s="581"/>
    </row>
    <row r="19" spans="1:14" x14ac:dyDescent="0.3">
      <c r="A19" s="581"/>
      <c r="B19" s="582"/>
      <c r="C19" s="582"/>
      <c r="D19" s="581"/>
      <c r="E19" s="581"/>
      <c r="F19" s="581"/>
      <c r="G19" s="581"/>
      <c r="H19" s="581"/>
      <c r="I19" s="581"/>
      <c r="J19" s="581"/>
      <c r="K19" s="581"/>
      <c r="L19" s="581"/>
      <c r="M19" s="581"/>
      <c r="N19" s="581"/>
    </row>
  </sheetData>
  <sheetProtection password="D93F" sheet="1" objects="1" scenarios="1" selectLockedCells="1"/>
  <mergeCells count="2">
    <mergeCell ref="E3:F3"/>
    <mergeCell ref="B2:C2"/>
  </mergeCells>
  <hyperlinks>
    <hyperlink ref="E3" location="Instructions!A1" display="Back to Instructions"/>
    <hyperlink ref="E3:F3" location="Instructions!A1" display="Back to Instructions tab"/>
  </hyperlinks>
  <pageMargins left="0.7" right="0.7" top="0.75" bottom="0.75" header="0.3" footer="0.3"/>
  <pageSetup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G43"/>
  <sheetViews>
    <sheetView showGridLines="0" zoomScale="80" zoomScaleNormal="80" workbookViewId="0">
      <selection activeCell="E3" sqref="E3"/>
    </sheetView>
  </sheetViews>
  <sheetFormatPr defaultColWidth="9.140625" defaultRowHeight="16.5" x14ac:dyDescent="0.3"/>
  <cols>
    <col min="1" max="1" width="10.28515625" style="283" customWidth="1"/>
    <col min="2" max="2" width="29.85546875" style="290" bestFit="1" customWidth="1"/>
    <col min="3" max="3" width="59.7109375" style="282" customWidth="1"/>
    <col min="4" max="4" width="18.42578125" style="283" bestFit="1" customWidth="1"/>
    <col min="5" max="5" width="25.140625" style="283" bestFit="1" customWidth="1"/>
    <col min="6" max="6" width="9.140625" style="283"/>
    <col min="7" max="7" width="5.140625" style="283" customWidth="1"/>
    <col min="8" max="16384" width="9.140625" style="283"/>
  </cols>
  <sheetData>
    <row r="1" spans="2:7" ht="17.25" thickBot="1" x14ac:dyDescent="0.35">
      <c r="B1" s="282"/>
      <c r="C1" s="283"/>
      <c r="G1" s="566"/>
    </row>
    <row r="2" spans="2:7" ht="18" thickBot="1" x14ac:dyDescent="0.35">
      <c r="B2" s="764" t="s">
        <v>562</v>
      </c>
      <c r="C2" s="765"/>
      <c r="G2" s="566"/>
    </row>
    <row r="3" spans="2:7" s="285" customFormat="1" ht="18" customHeight="1" x14ac:dyDescent="0.3">
      <c r="B3" s="297" t="s">
        <v>563</v>
      </c>
      <c r="C3" s="298" t="s">
        <v>585</v>
      </c>
      <c r="D3" s="284"/>
      <c r="E3" s="562" t="s">
        <v>540</v>
      </c>
      <c r="G3" s="567"/>
    </row>
    <row r="4" spans="2:7" x14ac:dyDescent="0.3">
      <c r="B4" s="299" t="s">
        <v>140</v>
      </c>
      <c r="C4" s="300" t="str">
        <f>INDEX(B13:B64,COUNTA(B13:B64),1)</f>
        <v>v2.1</v>
      </c>
      <c r="D4" s="286"/>
      <c r="E4" s="286"/>
      <c r="G4" s="566"/>
    </row>
    <row r="5" spans="2:7" x14ac:dyDescent="0.3">
      <c r="B5" s="299" t="s">
        <v>462</v>
      </c>
      <c r="C5" s="301">
        <f>IF(MAX(B13:C106)=0,"No Revisions Dates Entered",MAX(C13:C106))</f>
        <v>42653</v>
      </c>
      <c r="D5" s="286"/>
      <c r="E5" s="286"/>
      <c r="G5" s="566"/>
    </row>
    <row r="6" spans="2:7" x14ac:dyDescent="0.3">
      <c r="B6" s="302" t="s">
        <v>139</v>
      </c>
      <c r="C6" s="303" t="str">
        <f ca="1">MID(CELL("filename",$A$1), FIND("]", CELL("filename", $A$1))+ 1, 255)</f>
        <v>Version Control</v>
      </c>
      <c r="D6" s="286"/>
      <c r="E6" s="286"/>
      <c r="G6" s="566"/>
    </row>
    <row r="7" spans="2:7" ht="33" x14ac:dyDescent="0.3">
      <c r="B7" s="304" t="s">
        <v>138</v>
      </c>
      <c r="C7" s="305" t="str">
        <f ca="1">MID(CELL("FILENAME",E11),FIND("[",CELL("FILENAME",E11))+1,FIND("]",CELL("FILENAME",E11))-FIND("[",CELL("FILENAME",E11))-1)</f>
        <v>Residential Central Air Conditioners and Heat Pumps - v2.1.xlsx</v>
      </c>
      <c r="D7" s="286"/>
      <c r="E7" s="286"/>
      <c r="G7" s="566"/>
    </row>
    <row r="8" spans="2:7" ht="17.25" thickBot="1" x14ac:dyDescent="0.35">
      <c r="B8" s="306" t="s">
        <v>141</v>
      </c>
      <c r="C8" s="307" t="str">
        <f>'General Info and Test Results'!C19</f>
        <v>[MM/DD/YYYY]</v>
      </c>
      <c r="D8" s="286"/>
      <c r="E8" s="286"/>
      <c r="G8" s="566"/>
    </row>
    <row r="9" spans="2:7" x14ac:dyDescent="0.3">
      <c r="B9" s="286"/>
      <c r="C9" s="286"/>
      <c r="D9" s="286"/>
      <c r="E9" s="286"/>
      <c r="G9" s="566"/>
    </row>
    <row r="10" spans="2:7" ht="17.25" thickBot="1" x14ac:dyDescent="0.35">
      <c r="B10" s="286"/>
      <c r="C10" s="286"/>
      <c r="D10" s="286"/>
      <c r="E10" s="286"/>
      <c r="G10" s="566"/>
    </row>
    <row r="11" spans="2:7" ht="18" thickBot="1" x14ac:dyDescent="0.35">
      <c r="B11" s="764" t="s">
        <v>142</v>
      </c>
      <c r="C11" s="765"/>
      <c r="D11" s="286"/>
      <c r="E11" s="286"/>
      <c r="G11" s="566"/>
    </row>
    <row r="12" spans="2:7" ht="17.25" x14ac:dyDescent="0.35">
      <c r="B12" s="287" t="s">
        <v>143</v>
      </c>
      <c r="C12" s="288" t="s">
        <v>144</v>
      </c>
      <c r="D12" s="286"/>
      <c r="E12" s="286"/>
      <c r="G12" s="566"/>
    </row>
    <row r="13" spans="2:7" x14ac:dyDescent="0.3">
      <c r="B13" s="103">
        <v>1</v>
      </c>
      <c r="C13" s="289">
        <v>40731</v>
      </c>
      <c r="G13" s="566"/>
    </row>
    <row r="14" spans="2:7" x14ac:dyDescent="0.3">
      <c r="B14" s="103">
        <v>1.1000000000000001</v>
      </c>
      <c r="C14" s="289">
        <v>40793</v>
      </c>
      <c r="G14" s="566"/>
    </row>
    <row r="15" spans="2:7" x14ac:dyDescent="0.3">
      <c r="B15" s="102">
        <v>1.2</v>
      </c>
      <c r="C15" s="289">
        <v>40868</v>
      </c>
      <c r="G15" s="566"/>
    </row>
    <row r="16" spans="2:7" x14ac:dyDescent="0.3">
      <c r="B16" s="102">
        <v>1.3</v>
      </c>
      <c r="C16" s="289">
        <v>41054</v>
      </c>
      <c r="G16" s="566"/>
    </row>
    <row r="17" spans="2:7" x14ac:dyDescent="0.3">
      <c r="B17" s="102">
        <v>1.4</v>
      </c>
      <c r="C17" s="289">
        <v>41082</v>
      </c>
      <c r="G17" s="566"/>
    </row>
    <row r="18" spans="2:7" x14ac:dyDescent="0.3">
      <c r="B18" s="102">
        <v>1.5</v>
      </c>
      <c r="C18" s="289">
        <v>41214</v>
      </c>
      <c r="G18" s="566"/>
    </row>
    <row r="19" spans="2:7" x14ac:dyDescent="0.3">
      <c r="B19" s="102">
        <v>1.6</v>
      </c>
      <c r="C19" s="289">
        <v>41443</v>
      </c>
      <c r="G19" s="566"/>
    </row>
    <row r="20" spans="2:7" x14ac:dyDescent="0.3">
      <c r="B20" s="102" t="s">
        <v>556</v>
      </c>
      <c r="C20" s="289">
        <v>41466</v>
      </c>
      <c r="G20" s="566"/>
    </row>
    <row r="21" spans="2:7" x14ac:dyDescent="0.3">
      <c r="B21" s="102" t="s">
        <v>557</v>
      </c>
      <c r="C21" s="289">
        <v>41488</v>
      </c>
      <c r="G21" s="566"/>
    </row>
    <row r="22" spans="2:7" x14ac:dyDescent="0.3">
      <c r="B22" s="102" t="s">
        <v>580</v>
      </c>
      <c r="C22" s="289">
        <v>41610</v>
      </c>
      <c r="G22" s="566"/>
    </row>
    <row r="23" spans="2:7" x14ac:dyDescent="0.3">
      <c r="B23" s="102" t="s">
        <v>583</v>
      </c>
      <c r="C23" s="289">
        <v>41613</v>
      </c>
      <c r="G23" s="566"/>
    </row>
    <row r="24" spans="2:7" x14ac:dyDescent="0.3">
      <c r="B24" s="102" t="s">
        <v>584</v>
      </c>
      <c r="C24" s="289">
        <v>41864</v>
      </c>
      <c r="G24" s="566"/>
    </row>
    <row r="25" spans="2:7" x14ac:dyDescent="0.3">
      <c r="B25" s="647" t="s">
        <v>590</v>
      </c>
      <c r="C25" s="648">
        <v>42072</v>
      </c>
      <c r="G25" s="566"/>
    </row>
    <row r="26" spans="2:7" x14ac:dyDescent="0.3">
      <c r="B26" s="647" t="s">
        <v>591</v>
      </c>
      <c r="C26" s="648">
        <v>42160</v>
      </c>
      <c r="G26" s="566"/>
    </row>
    <row r="27" spans="2:7" x14ac:dyDescent="0.3">
      <c r="B27" s="647">
        <v>1.8</v>
      </c>
      <c r="C27" s="648">
        <v>42249</v>
      </c>
      <c r="G27" s="566"/>
    </row>
    <row r="28" spans="2:7" x14ac:dyDescent="0.3">
      <c r="B28" s="647">
        <v>1.9</v>
      </c>
      <c r="C28" s="648">
        <v>42292</v>
      </c>
      <c r="G28" s="566"/>
    </row>
    <row r="29" spans="2:7" x14ac:dyDescent="0.3">
      <c r="B29" s="647" t="s">
        <v>594</v>
      </c>
      <c r="C29" s="648">
        <v>42300</v>
      </c>
      <c r="G29" s="566"/>
    </row>
    <row r="30" spans="2:7" x14ac:dyDescent="0.3">
      <c r="B30" s="647" t="s">
        <v>597</v>
      </c>
      <c r="C30" s="648">
        <v>42300</v>
      </c>
      <c r="G30" s="566"/>
    </row>
    <row r="31" spans="2:7" x14ac:dyDescent="0.3">
      <c r="B31" s="647" t="s">
        <v>598</v>
      </c>
      <c r="C31" s="648">
        <v>42313</v>
      </c>
      <c r="G31" s="566"/>
    </row>
    <row r="32" spans="2:7" x14ac:dyDescent="0.3">
      <c r="B32" s="647" t="s">
        <v>599</v>
      </c>
      <c r="C32" s="648">
        <v>42314</v>
      </c>
      <c r="G32" s="566"/>
    </row>
    <row r="33" spans="1:7" x14ac:dyDescent="0.3">
      <c r="B33" s="647" t="s">
        <v>600</v>
      </c>
      <c r="C33" s="648">
        <v>42317</v>
      </c>
      <c r="G33" s="566"/>
    </row>
    <row r="34" spans="1:7" x14ac:dyDescent="0.3">
      <c r="B34" s="647" t="s">
        <v>601</v>
      </c>
      <c r="C34" s="648">
        <v>42383</v>
      </c>
      <c r="G34" s="566"/>
    </row>
    <row r="35" spans="1:7" x14ac:dyDescent="0.3">
      <c r="B35" s="647" t="s">
        <v>606</v>
      </c>
      <c r="C35" s="648">
        <v>42485</v>
      </c>
      <c r="G35" s="566"/>
    </row>
    <row r="36" spans="1:7" x14ac:dyDescent="0.3">
      <c r="B36" s="647" t="s">
        <v>613</v>
      </c>
      <c r="C36" s="648">
        <v>42500</v>
      </c>
      <c r="G36" s="566"/>
    </row>
    <row r="37" spans="1:7" x14ac:dyDescent="0.3">
      <c r="B37" s="647" t="s">
        <v>666</v>
      </c>
      <c r="C37" s="648">
        <v>42590</v>
      </c>
      <c r="G37" s="566"/>
    </row>
    <row r="38" spans="1:7" x14ac:dyDescent="0.3">
      <c r="B38" s="647" t="s">
        <v>647</v>
      </c>
      <c r="C38" s="648">
        <v>42592</v>
      </c>
      <c r="G38" s="566"/>
    </row>
    <row r="39" spans="1:7" x14ac:dyDescent="0.3">
      <c r="B39" s="647" t="s">
        <v>691</v>
      </c>
      <c r="C39" s="648">
        <v>42653</v>
      </c>
      <c r="G39" s="566"/>
    </row>
    <row r="40" spans="1:7" x14ac:dyDescent="0.3">
      <c r="B40" s="647"/>
      <c r="C40" s="648"/>
      <c r="G40" s="566"/>
    </row>
    <row r="41" spans="1:7" ht="17.25" thickBot="1" x14ac:dyDescent="0.35">
      <c r="B41" s="570"/>
      <c r="C41" s="571"/>
      <c r="G41" s="566"/>
    </row>
    <row r="42" spans="1:7" x14ac:dyDescent="0.3">
      <c r="G42" s="566"/>
    </row>
    <row r="43" spans="1:7" x14ac:dyDescent="0.3">
      <c r="A43" s="566"/>
      <c r="B43" s="568"/>
      <c r="C43" s="569"/>
      <c r="D43" s="566"/>
      <c r="E43" s="566"/>
      <c r="F43" s="566"/>
      <c r="G43" s="566"/>
    </row>
  </sheetData>
  <sheetProtection password="D93F" sheet="1" objects="1" scenarios="1" selectLockedCells="1"/>
  <customSheetViews>
    <customSheetView guid="{2A4C6EB9-430A-44F2-86C8-15B50360FC3B}" scale="80" showGridLines="0">
      <selection activeCell="L32" sqref="L32:L48"/>
      <pageMargins left="0.7" right="0.7" top="0.75" bottom="0.75" header="0.3" footer="0.3"/>
      <pageSetup orientation="portrait" r:id="rId1"/>
    </customSheetView>
    <customSheetView guid="{B3BD5AF3-9A64-4EA7-AE1F-3CC326849B8F}" scale="80" showGridLines="0">
      <selection activeCell="L32" sqref="L32:L48"/>
      <pageMargins left="0.7" right="0.7" top="0.75" bottom="0.75" header="0.3" footer="0.3"/>
      <pageSetup orientation="portrait" r:id="rId2"/>
    </customSheetView>
  </customSheetViews>
  <mergeCells count="2">
    <mergeCell ref="B2:C2"/>
    <mergeCell ref="B11:C11"/>
  </mergeCells>
  <phoneticPr fontId="27" type="noConversion"/>
  <hyperlinks>
    <hyperlink ref="E3" location="Instructions!A1" display="Back to Instructions"/>
    <hyperlink ref="E3" location="Instructions!A1" display="Back to Instructions tab"/>
  </hyperlinks>
  <pageMargins left="0.7" right="0.7" top="0.75" bottom="0.75" header="0.3" footer="0.3"/>
  <pageSetup orientation="portrait"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0070C0"/>
  </sheetPr>
  <dimension ref="A1:J67"/>
  <sheetViews>
    <sheetView showGridLines="0" zoomScale="80" zoomScaleNormal="80" workbookViewId="0">
      <selection activeCell="E3" sqref="E3"/>
    </sheetView>
  </sheetViews>
  <sheetFormatPr defaultColWidth="10.42578125" defaultRowHeight="16.5" x14ac:dyDescent="0.25"/>
  <cols>
    <col min="1" max="1" width="3.28515625" style="264" customWidth="1"/>
    <col min="2" max="2" width="30.28515625" style="264" customWidth="1"/>
    <col min="3" max="3" width="47.140625" style="264" customWidth="1"/>
    <col min="4" max="4" width="26.7109375" style="264" customWidth="1"/>
    <col min="5" max="5" width="50.85546875" style="264" customWidth="1"/>
    <col min="6" max="6" width="14.7109375" style="264" customWidth="1"/>
    <col min="7" max="7" width="25.42578125" style="264" bestFit="1" customWidth="1"/>
    <col min="8" max="8" width="29.85546875" style="264" customWidth="1"/>
    <col min="9" max="9" width="3.28515625" style="264" customWidth="1"/>
    <col min="10" max="10" width="2.5703125" style="268" customWidth="1"/>
    <col min="11" max="16384" width="10.42578125" style="264"/>
  </cols>
  <sheetData>
    <row r="1" spans="2:10" ht="17.25" thickBot="1" x14ac:dyDescent="0.3">
      <c r="J1" s="181"/>
    </row>
    <row r="2" spans="2:10" ht="18" thickBot="1" x14ac:dyDescent="0.3">
      <c r="B2" s="764" t="s">
        <v>562</v>
      </c>
      <c r="C2" s="765"/>
      <c r="J2" s="265"/>
    </row>
    <row r="3" spans="2:10" s="266" customFormat="1" ht="33" customHeight="1" x14ac:dyDescent="0.3">
      <c r="B3" s="587" t="s">
        <v>563</v>
      </c>
      <c r="C3" s="588" t="str">
        <f>'Version Control'!C3</f>
        <v>Residential Central Air Conditioners and Heat Pumps</v>
      </c>
      <c r="E3" s="643" t="s">
        <v>540</v>
      </c>
      <c r="F3"/>
      <c r="J3" s="267"/>
    </row>
    <row r="4" spans="2:10" x14ac:dyDescent="0.3">
      <c r="B4" s="299" t="s">
        <v>140</v>
      </c>
      <c r="C4" s="300" t="str">
        <f>'Version Control'!C4</f>
        <v>v2.1</v>
      </c>
      <c r="J4" s="265"/>
    </row>
    <row r="5" spans="2:10" x14ac:dyDescent="0.3">
      <c r="B5" s="299" t="s">
        <v>462</v>
      </c>
      <c r="C5" s="301">
        <f>'Version Control'!C5</f>
        <v>42653</v>
      </c>
      <c r="J5" s="265"/>
    </row>
    <row r="6" spans="2:10" x14ac:dyDescent="0.3">
      <c r="B6" s="302" t="s">
        <v>139</v>
      </c>
      <c r="C6" s="303" t="str">
        <f ca="1">MID(CELL("filename",$A$1), FIND("]", CELL("filename", $A$1))+ 1, 255)</f>
        <v>Instrumentation</v>
      </c>
      <c r="J6" s="265"/>
    </row>
    <row r="7" spans="2:10" ht="35.25" customHeight="1" x14ac:dyDescent="0.25">
      <c r="B7" s="304" t="s">
        <v>138</v>
      </c>
      <c r="C7" s="305" t="str">
        <f ca="1">MID(CELL("FILENAME",F16),FIND("[",CELL("FILENAME",F16))+1,FIND("]",CELL("FILENAME",F16))-FIND("[",CELL("FILENAME",F16))-1)</f>
        <v>Residential Central Air Conditioners and Heat Pumps - v2.1.xlsx</v>
      </c>
      <c r="J7" s="265"/>
    </row>
    <row r="8" spans="2:10" ht="17.25" thickBot="1" x14ac:dyDescent="0.35">
      <c r="B8" s="306" t="s">
        <v>141</v>
      </c>
      <c r="C8" s="307" t="str">
        <f>'Version Control'!C8</f>
        <v>[MM/DD/YYYY]</v>
      </c>
      <c r="J8" s="265"/>
    </row>
    <row r="9" spans="2:10" x14ac:dyDescent="0.25">
      <c r="J9" s="265"/>
    </row>
    <row r="10" spans="2:10" ht="17.25" thickBot="1" x14ac:dyDescent="0.3">
      <c r="J10" s="265"/>
    </row>
    <row r="11" spans="2:10" ht="18" thickBot="1" x14ac:dyDescent="0.3">
      <c r="B11" s="761" t="s">
        <v>458</v>
      </c>
      <c r="C11" s="762"/>
      <c r="D11" s="762"/>
      <c r="E11" s="762"/>
      <c r="F11" s="762"/>
      <c r="G11" s="762"/>
      <c r="H11" s="763"/>
      <c r="J11" s="265"/>
    </row>
    <row r="12" spans="2:10" ht="17.25" x14ac:dyDescent="0.25">
      <c r="B12" s="583" t="s">
        <v>356</v>
      </c>
      <c r="C12" s="584" t="s">
        <v>357</v>
      </c>
      <c r="D12" s="584" t="s">
        <v>358</v>
      </c>
      <c r="E12" s="584" t="s">
        <v>359</v>
      </c>
      <c r="F12" s="585" t="s">
        <v>155</v>
      </c>
      <c r="G12" s="584" t="s">
        <v>156</v>
      </c>
      <c r="H12" s="586" t="s">
        <v>157</v>
      </c>
      <c r="I12" s="47"/>
      <c r="J12" s="265"/>
    </row>
    <row r="13" spans="2:10" x14ac:dyDescent="0.25">
      <c r="B13" s="589"/>
      <c r="C13" s="590"/>
      <c r="D13" s="590"/>
      <c r="E13" s="590"/>
      <c r="F13" s="590"/>
      <c r="G13" s="591"/>
      <c r="H13" s="592"/>
      <c r="J13" s="265"/>
    </row>
    <row r="14" spans="2:10" x14ac:dyDescent="0.25">
      <c r="B14" s="589"/>
      <c r="C14" s="590"/>
      <c r="D14" s="590"/>
      <c r="E14" s="590"/>
      <c r="F14" s="590"/>
      <c r="G14" s="591"/>
      <c r="H14" s="592"/>
      <c r="J14" s="265"/>
    </row>
    <row r="15" spans="2:10" x14ac:dyDescent="0.25">
      <c r="B15" s="589"/>
      <c r="C15" s="590"/>
      <c r="D15" s="590"/>
      <c r="E15" s="590"/>
      <c r="F15" s="590"/>
      <c r="G15" s="591"/>
      <c r="H15" s="592"/>
      <c r="J15" s="265"/>
    </row>
    <row r="16" spans="2:10" x14ac:dyDescent="0.25">
      <c r="B16" s="589"/>
      <c r="C16" s="590"/>
      <c r="D16" s="590"/>
      <c r="E16" s="590"/>
      <c r="F16" s="590"/>
      <c r="G16" s="591"/>
      <c r="H16" s="592"/>
      <c r="J16" s="265"/>
    </row>
    <row r="17" spans="2:10" x14ac:dyDescent="0.25">
      <c r="B17" s="589"/>
      <c r="C17" s="590"/>
      <c r="D17" s="590"/>
      <c r="E17" s="590"/>
      <c r="F17" s="590"/>
      <c r="G17" s="591"/>
      <c r="H17" s="592"/>
      <c r="J17" s="265"/>
    </row>
    <row r="18" spans="2:10" x14ac:dyDescent="0.25">
      <c r="B18" s="589"/>
      <c r="C18" s="590"/>
      <c r="D18" s="590"/>
      <c r="E18" s="590"/>
      <c r="F18" s="590"/>
      <c r="G18" s="591"/>
      <c r="H18" s="592"/>
      <c r="J18" s="265"/>
    </row>
    <row r="19" spans="2:10" x14ac:dyDescent="0.25">
      <c r="B19" s="589"/>
      <c r="C19" s="590"/>
      <c r="D19" s="590"/>
      <c r="E19" s="590"/>
      <c r="F19" s="590"/>
      <c r="G19" s="591"/>
      <c r="H19" s="592"/>
      <c r="J19" s="265"/>
    </row>
    <row r="20" spans="2:10" x14ac:dyDescent="0.25">
      <c r="B20" s="589"/>
      <c r="C20" s="590"/>
      <c r="D20" s="590"/>
      <c r="E20" s="590"/>
      <c r="F20" s="590"/>
      <c r="G20" s="591"/>
      <c r="H20" s="592"/>
      <c r="J20" s="265"/>
    </row>
    <row r="21" spans="2:10" x14ac:dyDescent="0.25">
      <c r="B21" s="589"/>
      <c r="C21" s="590"/>
      <c r="D21" s="590"/>
      <c r="E21" s="590"/>
      <c r="F21" s="590"/>
      <c r="G21" s="591"/>
      <c r="H21" s="592"/>
      <c r="J21" s="265"/>
    </row>
    <row r="22" spans="2:10" x14ac:dyDescent="0.25">
      <c r="B22" s="589"/>
      <c r="C22" s="590"/>
      <c r="D22" s="590"/>
      <c r="E22" s="590"/>
      <c r="F22" s="590"/>
      <c r="G22" s="591"/>
      <c r="H22" s="592"/>
      <c r="J22" s="265"/>
    </row>
    <row r="23" spans="2:10" x14ac:dyDescent="0.25">
      <c r="B23" s="589"/>
      <c r="C23" s="590"/>
      <c r="D23" s="590"/>
      <c r="E23" s="590"/>
      <c r="F23" s="590"/>
      <c r="G23" s="591"/>
      <c r="H23" s="592"/>
      <c r="J23" s="265"/>
    </row>
    <row r="24" spans="2:10" x14ac:dyDescent="0.25">
      <c r="B24" s="589"/>
      <c r="C24" s="590"/>
      <c r="D24" s="590"/>
      <c r="E24" s="590"/>
      <c r="F24" s="590"/>
      <c r="G24" s="591"/>
      <c r="H24" s="592"/>
      <c r="J24" s="265"/>
    </row>
    <row r="25" spans="2:10" x14ac:dyDescent="0.25">
      <c r="B25" s="589"/>
      <c r="C25" s="590"/>
      <c r="D25" s="590"/>
      <c r="E25" s="590"/>
      <c r="F25" s="590"/>
      <c r="G25" s="591"/>
      <c r="H25" s="592"/>
      <c r="J25" s="265"/>
    </row>
    <row r="26" spans="2:10" x14ac:dyDescent="0.25">
      <c r="B26" s="589"/>
      <c r="C26" s="590"/>
      <c r="D26" s="590"/>
      <c r="E26" s="590"/>
      <c r="F26" s="590"/>
      <c r="G26" s="591"/>
      <c r="H26" s="592"/>
      <c r="J26" s="265"/>
    </row>
    <row r="27" spans="2:10" x14ac:dyDescent="0.25">
      <c r="B27" s="589"/>
      <c r="C27" s="590"/>
      <c r="D27" s="590"/>
      <c r="E27" s="590"/>
      <c r="F27" s="590"/>
      <c r="G27" s="591"/>
      <c r="H27" s="592"/>
      <c r="J27" s="265"/>
    </row>
    <row r="28" spans="2:10" x14ac:dyDescent="0.25">
      <c r="B28" s="589"/>
      <c r="C28" s="590"/>
      <c r="D28" s="590"/>
      <c r="E28" s="590"/>
      <c r="F28" s="590"/>
      <c r="G28" s="591"/>
      <c r="H28" s="592"/>
      <c r="J28" s="265"/>
    </row>
    <row r="29" spans="2:10" x14ac:dyDescent="0.25">
      <c r="B29" s="589"/>
      <c r="C29" s="590"/>
      <c r="D29" s="590"/>
      <c r="E29" s="590"/>
      <c r="F29" s="590"/>
      <c r="G29" s="591"/>
      <c r="H29" s="592"/>
      <c r="J29" s="265"/>
    </row>
    <row r="30" spans="2:10" x14ac:dyDescent="0.25">
      <c r="B30" s="589"/>
      <c r="C30" s="590"/>
      <c r="D30" s="590"/>
      <c r="E30" s="590"/>
      <c r="F30" s="590"/>
      <c r="G30" s="591"/>
      <c r="H30" s="592"/>
      <c r="J30" s="265"/>
    </row>
    <row r="31" spans="2:10" x14ac:dyDescent="0.25">
      <c r="B31" s="589"/>
      <c r="C31" s="590"/>
      <c r="D31" s="590"/>
      <c r="E31" s="590"/>
      <c r="F31" s="590"/>
      <c r="G31" s="591"/>
      <c r="H31" s="592"/>
      <c r="J31" s="265"/>
    </row>
    <row r="32" spans="2:10" x14ac:dyDescent="0.25">
      <c r="B32" s="589"/>
      <c r="C32" s="590"/>
      <c r="D32" s="590"/>
      <c r="E32" s="590"/>
      <c r="F32" s="590"/>
      <c r="G32" s="591"/>
      <c r="H32" s="592"/>
      <c r="J32" s="265"/>
    </row>
    <row r="33" spans="2:10" x14ac:dyDescent="0.25">
      <c r="B33" s="589"/>
      <c r="C33" s="590"/>
      <c r="D33" s="590"/>
      <c r="E33" s="590"/>
      <c r="F33" s="590"/>
      <c r="G33" s="591"/>
      <c r="H33" s="592"/>
      <c r="J33" s="265"/>
    </row>
    <row r="34" spans="2:10" x14ac:dyDescent="0.25">
      <c r="B34" s="589"/>
      <c r="C34" s="590"/>
      <c r="D34" s="590"/>
      <c r="E34" s="590"/>
      <c r="F34" s="590"/>
      <c r="G34" s="591"/>
      <c r="H34" s="592"/>
      <c r="J34" s="265"/>
    </row>
    <row r="35" spans="2:10" x14ac:dyDescent="0.25">
      <c r="B35" s="589"/>
      <c r="C35" s="590"/>
      <c r="D35" s="590"/>
      <c r="E35" s="590"/>
      <c r="F35" s="593"/>
      <c r="G35" s="591"/>
      <c r="H35" s="592"/>
      <c r="J35" s="265"/>
    </row>
    <row r="36" spans="2:10" x14ac:dyDescent="0.25">
      <c r="B36" s="589"/>
      <c r="C36" s="590"/>
      <c r="D36" s="590"/>
      <c r="E36" s="590"/>
      <c r="F36" s="593"/>
      <c r="G36" s="591"/>
      <c r="H36" s="592"/>
      <c r="J36" s="265"/>
    </row>
    <row r="37" spans="2:10" x14ac:dyDescent="0.25">
      <c r="B37" s="589"/>
      <c r="C37" s="590"/>
      <c r="D37" s="590"/>
      <c r="E37" s="590"/>
      <c r="F37" s="590"/>
      <c r="G37" s="591"/>
      <c r="H37" s="592"/>
      <c r="J37" s="265"/>
    </row>
    <row r="38" spans="2:10" x14ac:dyDescent="0.25">
      <c r="B38" s="589"/>
      <c r="C38" s="590"/>
      <c r="D38" s="590"/>
      <c r="E38" s="590"/>
      <c r="F38" s="590"/>
      <c r="G38" s="591"/>
      <c r="H38" s="592"/>
      <c r="J38" s="265"/>
    </row>
    <row r="39" spans="2:10" x14ac:dyDescent="0.25">
      <c r="B39" s="589"/>
      <c r="C39" s="590"/>
      <c r="D39" s="590"/>
      <c r="E39" s="590"/>
      <c r="F39" s="590"/>
      <c r="G39" s="591"/>
      <c r="H39" s="592"/>
      <c r="J39" s="265"/>
    </row>
    <row r="40" spans="2:10" x14ac:dyDescent="0.25">
      <c r="B40" s="589"/>
      <c r="C40" s="590"/>
      <c r="D40" s="590"/>
      <c r="E40" s="590"/>
      <c r="F40" s="590"/>
      <c r="G40" s="591"/>
      <c r="H40" s="592"/>
      <c r="J40" s="265"/>
    </row>
    <row r="41" spans="2:10" x14ac:dyDescent="0.25">
      <c r="B41" s="589"/>
      <c r="C41" s="590"/>
      <c r="D41" s="590"/>
      <c r="E41" s="590"/>
      <c r="F41" s="590"/>
      <c r="G41" s="591"/>
      <c r="H41" s="592"/>
      <c r="J41" s="265"/>
    </row>
    <row r="42" spans="2:10" x14ac:dyDescent="0.25">
      <c r="B42" s="589"/>
      <c r="C42" s="590"/>
      <c r="D42" s="590"/>
      <c r="E42" s="590"/>
      <c r="F42" s="590"/>
      <c r="G42" s="591"/>
      <c r="H42" s="592"/>
      <c r="J42" s="265"/>
    </row>
    <row r="43" spans="2:10" x14ac:dyDescent="0.25">
      <c r="B43" s="589"/>
      <c r="C43" s="590"/>
      <c r="D43" s="590"/>
      <c r="E43" s="590"/>
      <c r="F43" s="590"/>
      <c r="G43" s="591"/>
      <c r="H43" s="592"/>
      <c r="J43" s="265"/>
    </row>
    <row r="44" spans="2:10" s="33" customFormat="1" ht="17.25" x14ac:dyDescent="0.25">
      <c r="B44" s="589"/>
      <c r="C44" s="590"/>
      <c r="D44" s="590"/>
      <c r="E44" s="590"/>
      <c r="F44" s="590"/>
      <c r="G44" s="591"/>
      <c r="H44" s="592"/>
      <c r="J44" s="265"/>
    </row>
    <row r="45" spans="2:10" s="24" customFormat="1" x14ac:dyDescent="0.25">
      <c r="B45" s="589"/>
      <c r="C45" s="590"/>
      <c r="D45" s="590"/>
      <c r="E45" s="590"/>
      <c r="F45" s="590"/>
      <c r="G45" s="591"/>
      <c r="H45" s="592"/>
      <c r="J45" s="265"/>
    </row>
    <row r="46" spans="2:10" s="24" customFormat="1" x14ac:dyDescent="0.25">
      <c r="B46" s="589"/>
      <c r="C46" s="590"/>
      <c r="D46" s="590"/>
      <c r="E46" s="590"/>
      <c r="F46" s="590"/>
      <c r="G46" s="591"/>
      <c r="H46" s="592"/>
      <c r="J46" s="265"/>
    </row>
    <row r="47" spans="2:10" s="24" customFormat="1" ht="17.25" thickBot="1" x14ac:dyDescent="0.3">
      <c r="B47" s="595"/>
      <c r="C47" s="594"/>
      <c r="D47" s="594"/>
      <c r="E47" s="594"/>
      <c r="F47" s="594"/>
      <c r="G47" s="674"/>
      <c r="H47" s="675"/>
      <c r="J47" s="265"/>
    </row>
    <row r="48" spans="2:10" s="24" customFormat="1" ht="15" customHeight="1" thickBot="1" x14ac:dyDescent="0.3">
      <c r="B48" s="264"/>
      <c r="C48" s="264"/>
      <c r="D48" s="264"/>
      <c r="E48" s="264"/>
      <c r="F48" s="264"/>
      <c r="G48" s="264"/>
      <c r="H48" s="264"/>
      <c r="J48" s="265"/>
    </row>
    <row r="49" spans="2:10" s="24" customFormat="1" ht="18" thickBot="1" x14ac:dyDescent="0.3">
      <c r="B49" s="808" t="s">
        <v>360</v>
      </c>
      <c r="C49" s="809"/>
      <c r="D49" s="809"/>
      <c r="E49" s="809"/>
      <c r="F49" s="809"/>
      <c r="G49" s="809"/>
      <c r="H49" s="810"/>
      <c r="J49" s="265"/>
    </row>
    <row r="50" spans="2:10" s="24" customFormat="1" x14ac:dyDescent="0.25">
      <c r="B50" s="64"/>
      <c r="C50" s="45"/>
      <c r="D50" s="45"/>
      <c r="E50" s="45"/>
      <c r="F50" s="45"/>
      <c r="G50" s="45"/>
      <c r="H50" s="65"/>
      <c r="J50" s="265"/>
    </row>
    <row r="51" spans="2:10" s="24" customFormat="1" ht="18" x14ac:dyDescent="0.25">
      <c r="B51" s="64"/>
      <c r="C51" s="71"/>
      <c r="D51" s="70"/>
      <c r="E51" s="240" t="s">
        <v>380</v>
      </c>
      <c r="F51" s="596" t="s">
        <v>587</v>
      </c>
      <c r="G51" s="91"/>
      <c r="H51" s="65"/>
      <c r="J51" s="265"/>
    </row>
    <row r="52" spans="2:10" s="24" customFormat="1" x14ac:dyDescent="0.25">
      <c r="B52" s="64"/>
      <c r="C52" s="45"/>
      <c r="D52" s="45"/>
      <c r="E52" s="45"/>
      <c r="F52" s="45"/>
      <c r="G52" s="45"/>
      <c r="H52" s="65"/>
      <c r="J52" s="265"/>
    </row>
    <row r="53" spans="2:10" s="24" customFormat="1" x14ac:dyDescent="0.25">
      <c r="B53" s="64" t="s">
        <v>35</v>
      </c>
      <c r="C53" s="45"/>
      <c r="D53" s="45"/>
      <c r="E53" s="45"/>
      <c r="F53" s="45"/>
      <c r="G53" s="45"/>
      <c r="H53" s="65"/>
      <c r="J53" s="265"/>
    </row>
    <row r="54" spans="2:10" s="24" customFormat="1" x14ac:dyDescent="0.25">
      <c r="B54" s="796"/>
      <c r="C54" s="797"/>
      <c r="D54" s="797"/>
      <c r="E54" s="797"/>
      <c r="F54" s="797"/>
      <c r="G54" s="797"/>
      <c r="H54" s="798"/>
      <c r="J54" s="265"/>
    </row>
    <row r="55" spans="2:10" s="24" customFormat="1" ht="15" customHeight="1" x14ac:dyDescent="0.25">
      <c r="B55" s="799"/>
      <c r="C55" s="800"/>
      <c r="D55" s="800"/>
      <c r="E55" s="800"/>
      <c r="F55" s="800"/>
      <c r="G55" s="800"/>
      <c r="H55" s="801"/>
      <c r="J55" s="265"/>
    </row>
    <row r="56" spans="2:10" s="24" customFormat="1" x14ac:dyDescent="0.25">
      <c r="B56" s="799"/>
      <c r="C56" s="800"/>
      <c r="D56" s="800"/>
      <c r="E56" s="800"/>
      <c r="F56" s="800"/>
      <c r="G56" s="800"/>
      <c r="H56" s="801"/>
      <c r="J56" s="265"/>
    </row>
    <row r="57" spans="2:10" s="24" customFormat="1" x14ac:dyDescent="0.25">
      <c r="B57" s="799"/>
      <c r="C57" s="800"/>
      <c r="D57" s="800"/>
      <c r="E57" s="800"/>
      <c r="F57" s="800"/>
      <c r="G57" s="800"/>
      <c r="H57" s="801"/>
      <c r="J57" s="265"/>
    </row>
    <row r="58" spans="2:10" s="24" customFormat="1" x14ac:dyDescent="0.25">
      <c r="B58" s="802"/>
      <c r="C58" s="803"/>
      <c r="D58" s="803"/>
      <c r="E58" s="803"/>
      <c r="F58" s="803"/>
      <c r="G58" s="803"/>
      <c r="H58" s="804"/>
      <c r="J58" s="265"/>
    </row>
    <row r="59" spans="2:10" s="24" customFormat="1" x14ac:dyDescent="0.25">
      <c r="B59" s="64"/>
      <c r="C59" s="45"/>
      <c r="D59" s="45"/>
      <c r="E59" s="45"/>
      <c r="F59" s="45"/>
      <c r="G59" s="45"/>
      <c r="H59" s="65"/>
      <c r="J59" s="265"/>
    </row>
    <row r="60" spans="2:10" s="24" customFormat="1" x14ac:dyDescent="0.25">
      <c r="B60" s="64" t="s">
        <v>36</v>
      </c>
      <c r="C60" s="45"/>
      <c r="D60" s="45"/>
      <c r="E60" s="45"/>
      <c r="F60" s="45"/>
      <c r="G60" s="45"/>
      <c r="H60" s="65"/>
      <c r="J60" s="265"/>
    </row>
    <row r="61" spans="2:10" x14ac:dyDescent="0.25">
      <c r="B61" s="796"/>
      <c r="C61" s="797"/>
      <c r="D61" s="797"/>
      <c r="E61" s="797"/>
      <c r="F61" s="797"/>
      <c r="G61" s="797"/>
      <c r="H61" s="798"/>
      <c r="J61" s="265"/>
    </row>
    <row r="62" spans="2:10" s="268" customFormat="1" x14ac:dyDescent="0.25">
      <c r="B62" s="799"/>
      <c r="C62" s="800"/>
      <c r="D62" s="800"/>
      <c r="E62" s="800"/>
      <c r="F62" s="800"/>
      <c r="G62" s="800"/>
      <c r="H62" s="801"/>
      <c r="J62" s="265"/>
    </row>
    <row r="63" spans="2:10" x14ac:dyDescent="0.25">
      <c r="B63" s="799"/>
      <c r="C63" s="800"/>
      <c r="D63" s="800"/>
      <c r="E63" s="800"/>
      <c r="F63" s="800"/>
      <c r="G63" s="800"/>
      <c r="H63" s="801"/>
      <c r="J63" s="734"/>
    </row>
    <row r="64" spans="2:10" x14ac:dyDescent="0.25">
      <c r="B64" s="799"/>
      <c r="C64" s="800"/>
      <c r="D64" s="800"/>
      <c r="E64" s="800"/>
      <c r="F64" s="800"/>
      <c r="G64" s="800"/>
      <c r="H64" s="801"/>
      <c r="J64" s="734"/>
    </row>
    <row r="65" spans="1:10" ht="17.25" thickBot="1" x14ac:dyDescent="0.3">
      <c r="B65" s="805"/>
      <c r="C65" s="806"/>
      <c r="D65" s="806"/>
      <c r="E65" s="806"/>
      <c r="F65" s="806"/>
      <c r="G65" s="806"/>
      <c r="H65" s="807"/>
      <c r="J65" s="734"/>
    </row>
    <row r="66" spans="1:10" x14ac:dyDescent="0.25">
      <c r="J66" s="734"/>
    </row>
    <row r="67" spans="1:10" x14ac:dyDescent="0.25">
      <c r="A67" s="265"/>
      <c r="B67" s="265"/>
      <c r="C67" s="265"/>
      <c r="D67" s="265"/>
      <c r="E67" s="265"/>
      <c r="F67" s="265"/>
      <c r="G67" s="265"/>
      <c r="H67" s="265"/>
      <c r="I67" s="265"/>
      <c r="J67" s="734"/>
    </row>
  </sheetData>
  <sheetProtection password="D93F" sheet="1" objects="1" scenarios="1" selectLockedCells="1"/>
  <protectedRanges>
    <protectedRange sqref="B13:H47" name="Range1"/>
  </protectedRanges>
  <customSheetViews>
    <customSheetView guid="{2A4C6EB9-430A-44F2-86C8-15B50360FC3B}" scale="80" showGridLines="0">
      <selection activeCell="G34" sqref="G34"/>
      <pageMargins left="0.7" right="0.7" top="0.75" bottom="0.75" header="0.3" footer="0.3"/>
      <pageSetup orientation="portrait" r:id="rId1"/>
    </customSheetView>
    <customSheetView guid="{B3BD5AF3-9A64-4EA7-AE1F-3CC326849B8F}" scale="80" showGridLines="0">
      <selection activeCell="C6" sqref="C6"/>
      <pageMargins left="0.7" right="0.7" top="0.75" bottom="0.75" header="0.3" footer="0.3"/>
      <pageSetup orientation="portrait" r:id="rId2"/>
    </customSheetView>
  </customSheetViews>
  <mergeCells count="5">
    <mergeCell ref="B54:H58"/>
    <mergeCell ref="B61:H65"/>
    <mergeCell ref="B2:C2"/>
    <mergeCell ref="B11:H11"/>
    <mergeCell ref="B49:H49"/>
  </mergeCells>
  <phoneticPr fontId="27" type="noConversion"/>
  <hyperlinks>
    <hyperlink ref="F51" location="Photos!J60" display="the Photos tab (Photo Box #5)"/>
    <hyperlink ref="E3" location="Instructions!A1" display="Back to Instructions"/>
  </hyperlinks>
  <pageMargins left="0.7" right="0.7" top="0.75" bottom="0.75" header="0.3" footer="0.3"/>
  <pageSetup orientation="portrait"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0070C0"/>
  </sheetPr>
  <dimension ref="A1:O123"/>
  <sheetViews>
    <sheetView showGridLines="0" zoomScale="80" zoomScaleNormal="80" workbookViewId="0">
      <selection activeCell="E3" sqref="E3:F3"/>
    </sheetView>
  </sheetViews>
  <sheetFormatPr defaultColWidth="9.140625" defaultRowHeight="16.5" x14ac:dyDescent="0.25"/>
  <cols>
    <col min="1" max="1" width="3.5703125" style="24" customWidth="1"/>
    <col min="2" max="2" width="57.7109375" style="24" customWidth="1"/>
    <col min="3" max="3" width="56" style="24" customWidth="1"/>
    <col min="4" max="5" width="9.140625" style="24"/>
    <col min="6" max="6" width="20.85546875" style="24" customWidth="1"/>
    <col min="7" max="12" width="9.140625" style="24"/>
    <col min="13" max="13" width="15.140625" style="24" customWidth="1"/>
    <col min="14" max="14" width="4.140625" style="24" customWidth="1"/>
    <col min="15" max="15" width="2" style="58" customWidth="1"/>
    <col min="16" max="16384" width="9.140625" style="24"/>
  </cols>
  <sheetData>
    <row r="1" spans="1:15" s="269" customFormat="1" ht="18" thickBot="1" x14ac:dyDescent="0.3">
      <c r="A1" s="33"/>
      <c r="O1" s="181"/>
    </row>
    <row r="2" spans="1:15" s="269" customFormat="1" ht="18" thickBot="1" x14ac:dyDescent="0.3">
      <c r="A2" s="33"/>
      <c r="B2" s="764" t="s">
        <v>562</v>
      </c>
      <c r="C2" s="765"/>
      <c r="O2" s="270"/>
    </row>
    <row r="3" spans="1:15" s="269" customFormat="1" ht="15.75" customHeight="1" x14ac:dyDescent="0.3">
      <c r="A3" s="33"/>
      <c r="B3" s="297" t="s">
        <v>563</v>
      </c>
      <c r="C3" s="298" t="str">
        <f>'Version Control'!C3</f>
        <v>Residential Central Air Conditioners and Heat Pumps</v>
      </c>
      <c r="E3" s="827" t="s">
        <v>540</v>
      </c>
      <c r="F3" s="827"/>
      <c r="O3" s="270"/>
    </row>
    <row r="4" spans="1:15" s="269" customFormat="1" ht="17.25" x14ac:dyDescent="0.3">
      <c r="A4" s="33"/>
      <c r="B4" s="299" t="s">
        <v>140</v>
      </c>
      <c r="C4" s="300" t="str">
        <f>'Version Control'!C4</f>
        <v>v2.1</v>
      </c>
      <c r="O4" s="270"/>
    </row>
    <row r="5" spans="1:15" s="269" customFormat="1" ht="17.25" x14ac:dyDescent="0.3">
      <c r="A5" s="33"/>
      <c r="B5" s="299" t="s">
        <v>462</v>
      </c>
      <c r="C5" s="301">
        <f>'Version Control'!C5</f>
        <v>42653</v>
      </c>
      <c r="O5" s="270"/>
    </row>
    <row r="6" spans="1:15" s="269" customFormat="1" ht="17.25" x14ac:dyDescent="0.3">
      <c r="A6" s="33"/>
      <c r="B6" s="302" t="s">
        <v>139</v>
      </c>
      <c r="C6" s="303" t="str">
        <f ca="1">MID(CELL("filename",$A$1), FIND("]", CELL("filename", $A$1))+ 1, 255)</f>
        <v>Setup</v>
      </c>
      <c r="O6" s="270"/>
    </row>
    <row r="7" spans="1:15" s="269" customFormat="1" ht="36" customHeight="1" x14ac:dyDescent="0.25">
      <c r="A7" s="271"/>
      <c r="B7" s="304" t="s">
        <v>138</v>
      </c>
      <c r="C7" s="305" t="str">
        <f ca="1">MID(CELL("FILENAME",F16),FIND("[",CELL("FILENAME",F16))+1,FIND("]",CELL("FILENAME",F16))-FIND("[",CELL("FILENAME",F16))-1)</f>
        <v>Residential Central Air Conditioners and Heat Pumps - v2.1.xlsx</v>
      </c>
      <c r="O7" s="270"/>
    </row>
    <row r="8" spans="1:15" s="269" customFormat="1" ht="17.25" thickBot="1" x14ac:dyDescent="0.35">
      <c r="A8" s="271"/>
      <c r="B8" s="306" t="s">
        <v>141</v>
      </c>
      <c r="C8" s="307" t="str">
        <f>'Version Control'!C8</f>
        <v>[MM/DD/YYYY]</v>
      </c>
      <c r="O8" s="270"/>
    </row>
    <row r="9" spans="1:15" s="269" customFormat="1" x14ac:dyDescent="0.25">
      <c r="O9" s="270"/>
    </row>
    <row r="10" spans="1:15" ht="17.25" thickBot="1" x14ac:dyDescent="0.3">
      <c r="O10" s="46"/>
    </row>
    <row r="11" spans="1:15" s="33" customFormat="1" ht="18" thickBot="1" x14ac:dyDescent="0.3">
      <c r="B11" s="808" t="s">
        <v>459</v>
      </c>
      <c r="C11" s="809"/>
      <c r="D11" s="809"/>
      <c r="E11" s="809"/>
      <c r="F11" s="809"/>
      <c r="G11" s="809"/>
      <c r="H11" s="809"/>
      <c r="I11" s="809"/>
      <c r="J11" s="809"/>
      <c r="K11" s="809"/>
      <c r="L11" s="809"/>
      <c r="M11" s="810"/>
      <c r="O11" s="34"/>
    </row>
    <row r="12" spans="1:15" ht="55.5" customHeight="1" x14ac:dyDescent="0.25">
      <c r="B12" s="752" t="s">
        <v>619</v>
      </c>
      <c r="C12" s="753"/>
      <c r="D12" s="726"/>
      <c r="E12" s="726"/>
      <c r="F12" s="726"/>
      <c r="G12" s="726"/>
      <c r="H12" s="726"/>
      <c r="I12" s="726"/>
      <c r="J12" s="726"/>
      <c r="K12" s="726"/>
      <c r="L12" s="726"/>
      <c r="M12" s="754"/>
      <c r="O12" s="46"/>
    </row>
    <row r="13" spans="1:15" ht="66" customHeight="1" x14ac:dyDescent="0.25">
      <c r="B13" s="825" t="s">
        <v>620</v>
      </c>
      <c r="C13" s="823"/>
      <c r="D13" s="823"/>
      <c r="E13" s="823"/>
      <c r="F13" s="823"/>
      <c r="G13" s="823"/>
      <c r="H13" s="823"/>
      <c r="I13" s="823"/>
      <c r="J13" s="823"/>
      <c r="K13" s="823"/>
      <c r="L13" s="823"/>
      <c r="M13" s="824"/>
      <c r="O13" s="46"/>
    </row>
    <row r="14" spans="1:15" x14ac:dyDescent="0.25">
      <c r="B14" s="825"/>
      <c r="C14" s="823"/>
      <c r="D14" s="823"/>
      <c r="E14" s="823"/>
      <c r="F14" s="823"/>
      <c r="G14" s="823"/>
      <c r="H14" s="823"/>
      <c r="I14" s="823"/>
      <c r="J14" s="823"/>
      <c r="K14" s="823"/>
      <c r="L14" s="823"/>
      <c r="M14" s="824"/>
      <c r="O14" s="46"/>
    </row>
    <row r="15" spans="1:15" x14ac:dyDescent="0.25">
      <c r="B15" s="825"/>
      <c r="C15" s="823"/>
      <c r="D15" s="823"/>
      <c r="E15" s="823"/>
      <c r="F15" s="823"/>
      <c r="G15" s="823"/>
      <c r="H15" s="823"/>
      <c r="I15" s="823"/>
      <c r="J15" s="823"/>
      <c r="K15" s="823"/>
      <c r="L15" s="823"/>
      <c r="M15" s="824"/>
      <c r="O15" s="46"/>
    </row>
    <row r="16" spans="1:15" x14ac:dyDescent="0.25">
      <c r="B16" s="825"/>
      <c r="C16" s="823"/>
      <c r="D16" s="823"/>
      <c r="E16" s="823"/>
      <c r="F16" s="823"/>
      <c r="G16" s="823"/>
      <c r="H16" s="823"/>
      <c r="I16" s="823"/>
      <c r="J16" s="823"/>
      <c r="K16" s="823"/>
      <c r="L16" s="823"/>
      <c r="M16" s="824"/>
      <c r="O16" s="46"/>
    </row>
    <row r="17" spans="2:15" x14ac:dyDescent="0.25">
      <c r="B17" s="751" t="s">
        <v>673</v>
      </c>
      <c r="C17" s="750"/>
      <c r="D17" s="45" t="s">
        <v>667</v>
      </c>
      <c r="E17" s="45"/>
      <c r="F17" s="45"/>
      <c r="G17" s="45"/>
      <c r="H17" s="45"/>
      <c r="I17" s="45"/>
      <c r="J17" s="45"/>
      <c r="K17" s="45"/>
      <c r="L17" s="45"/>
      <c r="M17" s="65"/>
      <c r="O17" s="46"/>
    </row>
    <row r="18" spans="2:15" x14ac:dyDescent="0.25">
      <c r="B18" s="751" t="s">
        <v>672</v>
      </c>
      <c r="C18" s="750"/>
      <c r="D18" s="45" t="s">
        <v>667</v>
      </c>
      <c r="E18" s="45"/>
      <c r="F18" s="45"/>
      <c r="G18" s="45"/>
      <c r="H18" s="45"/>
      <c r="I18" s="45"/>
      <c r="J18" s="45"/>
      <c r="K18" s="45"/>
      <c r="L18" s="45"/>
      <c r="M18" s="65"/>
      <c r="O18" s="46"/>
    </row>
    <row r="19" spans="2:15" x14ac:dyDescent="0.25">
      <c r="B19" s="751" t="s">
        <v>670</v>
      </c>
      <c r="C19" s="750"/>
      <c r="D19" s="45" t="s">
        <v>667</v>
      </c>
      <c r="E19" s="45"/>
      <c r="F19" s="45"/>
      <c r="G19" s="45"/>
      <c r="H19" s="45"/>
      <c r="I19" s="45"/>
      <c r="J19" s="45"/>
      <c r="K19" s="45"/>
      <c r="L19" s="45"/>
      <c r="M19" s="65"/>
      <c r="O19" s="46"/>
    </row>
    <row r="20" spans="2:15" x14ac:dyDescent="0.25">
      <c r="B20" s="751" t="s">
        <v>671</v>
      </c>
      <c r="C20" s="750"/>
      <c r="D20" s="45" t="s">
        <v>667</v>
      </c>
      <c r="E20" s="45"/>
      <c r="F20" s="45"/>
      <c r="G20" s="45"/>
      <c r="H20" s="45"/>
      <c r="I20" s="45"/>
      <c r="J20" s="45"/>
      <c r="K20" s="45"/>
      <c r="L20" s="45"/>
      <c r="M20" s="65"/>
      <c r="O20" s="46"/>
    </row>
    <row r="21" spans="2:15" x14ac:dyDescent="0.25">
      <c r="B21" s="751" t="s">
        <v>675</v>
      </c>
      <c r="C21" s="750"/>
      <c r="D21" s="45" t="s">
        <v>667</v>
      </c>
      <c r="E21" s="45"/>
      <c r="F21" s="45"/>
      <c r="G21" s="45"/>
      <c r="H21" s="45"/>
      <c r="I21" s="45"/>
      <c r="J21" s="45"/>
      <c r="K21" s="45"/>
      <c r="L21" s="45"/>
      <c r="M21" s="65"/>
      <c r="O21" s="46"/>
    </row>
    <row r="22" spans="2:15" x14ac:dyDescent="0.25">
      <c r="B22" s="751" t="s">
        <v>674</v>
      </c>
      <c r="C22" s="750"/>
      <c r="D22" s="45" t="s">
        <v>667</v>
      </c>
      <c r="E22" s="45"/>
      <c r="F22" s="45"/>
      <c r="G22" s="45"/>
      <c r="H22" s="45"/>
      <c r="I22" s="45"/>
      <c r="J22" s="45"/>
      <c r="K22" s="45"/>
      <c r="L22" s="45"/>
      <c r="M22" s="65"/>
      <c r="O22" s="46"/>
    </row>
    <row r="23" spans="2:15" x14ac:dyDescent="0.25">
      <c r="B23" s="751" t="s">
        <v>692</v>
      </c>
      <c r="C23" s="750"/>
      <c r="D23" s="45" t="s">
        <v>667</v>
      </c>
      <c r="E23" s="45"/>
      <c r="F23" s="45"/>
      <c r="G23" s="45"/>
      <c r="H23" s="45"/>
      <c r="I23" s="45"/>
      <c r="J23" s="45"/>
      <c r="K23" s="45"/>
      <c r="L23" s="45"/>
      <c r="M23" s="65"/>
      <c r="O23" s="46"/>
    </row>
    <row r="24" spans="2:15" ht="37.5" customHeight="1" x14ac:dyDescent="0.25">
      <c r="B24" s="751" t="s">
        <v>676</v>
      </c>
      <c r="C24" s="750"/>
      <c r="D24" s="45" t="s">
        <v>667</v>
      </c>
      <c r="E24" s="45"/>
      <c r="F24" s="45"/>
      <c r="G24" s="45"/>
      <c r="H24" s="45"/>
      <c r="I24" s="45"/>
      <c r="J24" s="45"/>
      <c r="K24" s="45"/>
      <c r="L24" s="45"/>
      <c r="M24" s="65"/>
      <c r="O24" s="46"/>
    </row>
    <row r="25" spans="2:15" x14ac:dyDescent="0.25">
      <c r="B25" s="751" t="s">
        <v>668</v>
      </c>
      <c r="C25" s="750"/>
      <c r="D25" s="45"/>
      <c r="E25" s="45"/>
      <c r="F25" s="45"/>
      <c r="G25" s="45"/>
      <c r="H25" s="45"/>
      <c r="I25" s="45"/>
      <c r="J25" s="45"/>
      <c r="K25" s="45"/>
      <c r="L25" s="45"/>
      <c r="M25" s="65"/>
      <c r="O25" s="46"/>
    </row>
    <row r="26" spans="2:15" ht="33" x14ac:dyDescent="0.25">
      <c r="B26" s="751" t="s">
        <v>669</v>
      </c>
      <c r="C26" s="750"/>
      <c r="D26" s="45" t="s">
        <v>677</v>
      </c>
      <c r="E26" s="45"/>
      <c r="F26" s="45"/>
      <c r="G26" s="45"/>
      <c r="H26" s="45"/>
      <c r="I26" s="45"/>
      <c r="J26" s="45"/>
      <c r="K26" s="45"/>
      <c r="L26" s="45"/>
      <c r="M26" s="65"/>
      <c r="O26" s="46"/>
    </row>
    <row r="27" spans="2:15" x14ac:dyDescent="0.25">
      <c r="B27" s="759" t="s">
        <v>688</v>
      </c>
      <c r="C27" s="750"/>
      <c r="D27" s="45"/>
      <c r="E27" s="45"/>
      <c r="F27" s="45"/>
      <c r="G27" s="45"/>
      <c r="H27" s="45"/>
      <c r="I27" s="45"/>
      <c r="J27" s="45"/>
      <c r="K27" s="45"/>
      <c r="L27" s="45"/>
      <c r="M27" s="65"/>
      <c r="O27" s="46"/>
    </row>
    <row r="28" spans="2:15" ht="50.25" thickBot="1" x14ac:dyDescent="0.3">
      <c r="B28" s="687" t="s">
        <v>693</v>
      </c>
      <c r="C28" s="688"/>
      <c r="D28" s="755" t="s">
        <v>667</v>
      </c>
      <c r="E28" s="755"/>
      <c r="F28" s="755"/>
      <c r="G28" s="755"/>
      <c r="H28" s="755"/>
      <c r="I28" s="755"/>
      <c r="J28" s="755"/>
      <c r="K28" s="755"/>
      <c r="L28" s="755"/>
      <c r="M28" s="756"/>
      <c r="O28" s="46"/>
    </row>
    <row r="29" spans="2:15" ht="17.25" thickBot="1" x14ac:dyDescent="0.3">
      <c r="B29" s="45"/>
      <c r="C29" s="77"/>
      <c r="D29" s="77"/>
      <c r="E29" s="77"/>
      <c r="F29" s="77"/>
      <c r="G29" s="77"/>
      <c r="H29" s="77"/>
      <c r="I29" s="77"/>
      <c r="J29" s="77"/>
      <c r="K29" s="77"/>
      <c r="L29" s="77"/>
      <c r="M29" s="78"/>
      <c r="O29" s="46"/>
    </row>
    <row r="30" spans="2:15" s="33" customFormat="1" ht="18" thickBot="1" x14ac:dyDescent="0.3">
      <c r="B30" s="808" t="s">
        <v>460</v>
      </c>
      <c r="C30" s="809"/>
      <c r="D30" s="809"/>
      <c r="E30" s="809"/>
      <c r="F30" s="809"/>
      <c r="G30" s="809"/>
      <c r="H30" s="809"/>
      <c r="I30" s="809"/>
      <c r="J30" s="809"/>
      <c r="K30" s="809"/>
      <c r="L30" s="809"/>
      <c r="M30" s="810"/>
      <c r="O30" s="34"/>
    </row>
    <row r="31" spans="2:15" ht="66" x14ac:dyDescent="0.25">
      <c r="B31" s="93" t="s">
        <v>657</v>
      </c>
      <c r="C31" s="689"/>
      <c r="D31" s="45"/>
      <c r="E31" s="45"/>
      <c r="F31" s="45"/>
      <c r="G31" s="45"/>
      <c r="H31" s="45"/>
      <c r="I31" s="45"/>
      <c r="J31" s="45"/>
      <c r="K31" s="45"/>
      <c r="L31" s="45"/>
      <c r="M31" s="65"/>
      <c r="O31" s="46"/>
    </row>
    <row r="32" spans="2:15" ht="66" customHeight="1" x14ac:dyDescent="0.25">
      <c r="B32" s="825" t="s">
        <v>658</v>
      </c>
      <c r="C32" s="823"/>
      <c r="D32" s="823"/>
      <c r="E32" s="823"/>
      <c r="F32" s="823"/>
      <c r="G32" s="823"/>
      <c r="H32" s="823"/>
      <c r="I32" s="823"/>
      <c r="J32" s="823"/>
      <c r="K32" s="823"/>
      <c r="L32" s="823"/>
      <c r="M32" s="824"/>
      <c r="O32" s="46"/>
    </row>
    <row r="33" spans="2:15" x14ac:dyDescent="0.25">
      <c r="B33" s="825"/>
      <c r="C33" s="823"/>
      <c r="D33" s="823"/>
      <c r="E33" s="823"/>
      <c r="F33" s="823"/>
      <c r="G33" s="823"/>
      <c r="H33" s="823"/>
      <c r="I33" s="823"/>
      <c r="J33" s="823"/>
      <c r="K33" s="823"/>
      <c r="L33" s="823"/>
      <c r="M33" s="824"/>
      <c r="O33" s="46"/>
    </row>
    <row r="34" spans="2:15" x14ac:dyDescent="0.25">
      <c r="B34" s="825"/>
      <c r="C34" s="823"/>
      <c r="D34" s="823"/>
      <c r="E34" s="823"/>
      <c r="F34" s="823"/>
      <c r="G34" s="823"/>
      <c r="H34" s="823"/>
      <c r="I34" s="823"/>
      <c r="J34" s="823"/>
      <c r="K34" s="823"/>
      <c r="L34" s="823"/>
      <c r="M34" s="824"/>
      <c r="O34" s="46"/>
    </row>
    <row r="35" spans="2:15" x14ac:dyDescent="0.25">
      <c r="B35" s="825"/>
      <c r="C35" s="823"/>
      <c r="D35" s="823"/>
      <c r="E35" s="823"/>
      <c r="F35" s="823"/>
      <c r="G35" s="823"/>
      <c r="H35" s="823"/>
      <c r="I35" s="823"/>
      <c r="J35" s="823"/>
      <c r="K35" s="823"/>
      <c r="L35" s="823"/>
      <c r="M35" s="824"/>
      <c r="O35" s="46"/>
    </row>
    <row r="36" spans="2:15" ht="33.75" thickBot="1" x14ac:dyDescent="0.3">
      <c r="B36" s="687" t="s">
        <v>661</v>
      </c>
      <c r="C36" s="688"/>
      <c r="D36" s="757" t="s">
        <v>684</v>
      </c>
      <c r="E36" s="743"/>
      <c r="F36" s="743"/>
      <c r="G36" s="743"/>
      <c r="H36" s="743"/>
      <c r="I36" s="743"/>
      <c r="J36" s="743"/>
      <c r="K36" s="743"/>
      <c r="L36" s="743"/>
      <c r="M36" s="744"/>
      <c r="O36" s="46"/>
    </row>
    <row r="37" spans="2:15" ht="17.25" thickBot="1" x14ac:dyDescent="0.3">
      <c r="B37" s="681"/>
      <c r="C37" s="745"/>
      <c r="D37" s="745"/>
      <c r="E37" s="745"/>
      <c r="F37" s="745"/>
      <c r="G37" s="745"/>
      <c r="H37" s="745"/>
      <c r="I37" s="745"/>
      <c r="J37" s="745"/>
      <c r="K37" s="745"/>
      <c r="L37" s="745"/>
      <c r="M37" s="745"/>
      <c r="O37" s="46"/>
    </row>
    <row r="38" spans="2:15" ht="18" thickBot="1" x14ac:dyDescent="0.3">
      <c r="B38" s="828" t="s">
        <v>624</v>
      </c>
      <c r="C38" s="829"/>
      <c r="D38" s="829"/>
      <c r="E38" s="829"/>
      <c r="F38" s="829"/>
      <c r="G38" s="829"/>
      <c r="H38" s="829"/>
      <c r="I38" s="829"/>
      <c r="J38" s="829"/>
      <c r="K38" s="829"/>
      <c r="L38" s="829"/>
      <c r="M38" s="830"/>
      <c r="O38" s="46"/>
    </row>
    <row r="39" spans="2:15" ht="49.5" x14ac:dyDescent="0.25">
      <c r="B39" s="685" t="s">
        <v>664</v>
      </c>
      <c r="C39" s="686"/>
      <c r="D39" s="746"/>
      <c r="E39" s="746"/>
      <c r="F39" s="746"/>
      <c r="G39" s="746"/>
      <c r="H39" s="746"/>
      <c r="I39" s="746"/>
      <c r="J39" s="746"/>
      <c r="K39" s="746"/>
      <c r="L39" s="746"/>
      <c r="M39" s="747"/>
      <c r="O39" s="46"/>
    </row>
    <row r="40" spans="2:15" x14ac:dyDescent="0.25">
      <c r="B40" s="683" t="s">
        <v>622</v>
      </c>
      <c r="C40" s="684"/>
      <c r="D40" s="745"/>
      <c r="E40" s="745"/>
      <c r="F40" s="745"/>
      <c r="G40" s="745"/>
      <c r="H40" s="745"/>
      <c r="I40" s="745"/>
      <c r="J40" s="745"/>
      <c r="K40" s="745"/>
      <c r="L40" s="745"/>
      <c r="M40" s="748"/>
      <c r="O40" s="46"/>
    </row>
    <row r="41" spans="2:15" ht="72.75" customHeight="1" x14ac:dyDescent="0.25">
      <c r="B41" s="683" t="s">
        <v>623</v>
      </c>
      <c r="C41" s="831"/>
      <c r="D41" s="832"/>
      <c r="E41" s="832"/>
      <c r="F41" s="832"/>
      <c r="G41" s="832"/>
      <c r="H41" s="832"/>
      <c r="I41" s="832"/>
      <c r="J41" s="832"/>
      <c r="K41" s="832"/>
      <c r="L41" s="832"/>
      <c r="M41" s="833"/>
      <c r="O41" s="46"/>
    </row>
    <row r="42" spans="2:15" ht="72.75" customHeight="1" x14ac:dyDescent="0.25">
      <c r="B42" s="683" t="s">
        <v>663</v>
      </c>
      <c r="C42" s="735"/>
      <c r="D42" s="745"/>
      <c r="E42" s="745"/>
      <c r="F42" s="745"/>
      <c r="G42" s="745"/>
      <c r="H42" s="745"/>
      <c r="I42" s="745"/>
      <c r="J42" s="745"/>
      <c r="K42" s="745"/>
      <c r="L42" s="745"/>
      <c r="M42" s="748"/>
      <c r="O42" s="46"/>
    </row>
    <row r="43" spans="2:15" x14ac:dyDescent="0.25">
      <c r="B43" s="683" t="s">
        <v>662</v>
      </c>
      <c r="C43" s="682"/>
      <c r="D43" s="745" t="s">
        <v>595</v>
      </c>
      <c r="E43" s="745"/>
      <c r="F43" s="745"/>
      <c r="G43" s="745"/>
      <c r="H43" s="745"/>
      <c r="I43" s="745"/>
      <c r="J43" s="745"/>
      <c r="K43" s="745"/>
      <c r="L43" s="745"/>
      <c r="M43" s="748"/>
      <c r="O43" s="46"/>
    </row>
    <row r="44" spans="2:15" x14ac:dyDescent="0.25">
      <c r="B44" s="683" t="s">
        <v>654</v>
      </c>
      <c r="C44" s="682"/>
      <c r="D44" s="745" t="s">
        <v>595</v>
      </c>
      <c r="E44" s="745"/>
      <c r="F44" s="745"/>
      <c r="G44" s="745"/>
      <c r="H44" s="745"/>
      <c r="I44" s="745"/>
      <c r="J44" s="745"/>
      <c r="K44" s="745"/>
      <c r="L44" s="745"/>
      <c r="M44" s="748"/>
      <c r="O44" s="46"/>
    </row>
    <row r="45" spans="2:15" ht="20.25" customHeight="1" x14ac:dyDescent="0.25">
      <c r="B45" s="742" t="s">
        <v>655</v>
      </c>
      <c r="C45" s="682"/>
      <c r="D45" s="745" t="s">
        <v>595</v>
      </c>
      <c r="E45" s="745"/>
      <c r="F45" s="745"/>
      <c r="G45" s="745"/>
      <c r="H45" s="745"/>
      <c r="I45" s="745"/>
      <c r="J45" s="745"/>
      <c r="K45" s="745"/>
      <c r="L45" s="745"/>
      <c r="M45" s="748"/>
      <c r="O45" s="46"/>
    </row>
    <row r="46" spans="2:15" ht="20.25" customHeight="1" x14ac:dyDescent="0.25">
      <c r="B46" s="749" t="s">
        <v>689</v>
      </c>
      <c r="C46" s="682"/>
      <c r="D46" s="745" t="s">
        <v>667</v>
      </c>
      <c r="E46" s="745"/>
      <c r="F46" s="745"/>
      <c r="G46" s="745"/>
      <c r="H46" s="745"/>
      <c r="I46" s="745"/>
      <c r="J46" s="745"/>
      <c r="K46" s="745"/>
      <c r="L46" s="745"/>
      <c r="M46" s="748"/>
      <c r="O46" s="46"/>
    </row>
    <row r="47" spans="2:15" ht="20.25" customHeight="1" x14ac:dyDescent="0.25">
      <c r="B47" s="749" t="s">
        <v>690</v>
      </c>
      <c r="C47" s="682"/>
      <c r="D47" s="745" t="s">
        <v>667</v>
      </c>
      <c r="E47" s="745"/>
      <c r="F47" s="745"/>
      <c r="G47" s="745"/>
      <c r="H47" s="745"/>
      <c r="I47" s="745"/>
      <c r="J47" s="745"/>
      <c r="K47" s="745"/>
      <c r="L47" s="745"/>
      <c r="M47" s="748"/>
      <c r="O47" s="46"/>
    </row>
    <row r="48" spans="2:15" ht="18" x14ac:dyDescent="0.25">
      <c r="B48" s="66" t="s">
        <v>621</v>
      </c>
      <c r="C48" s="45"/>
      <c r="D48" s="45"/>
      <c r="E48" s="45"/>
      <c r="F48" s="45"/>
      <c r="G48" s="45"/>
      <c r="H48" s="45"/>
      <c r="I48" s="45"/>
      <c r="J48" s="45"/>
      <c r="K48" s="45"/>
      <c r="L48" s="45"/>
      <c r="M48" s="65"/>
      <c r="O48" s="46"/>
    </row>
    <row r="49" spans="2:15" ht="19.5" x14ac:dyDescent="0.25">
      <c r="B49" s="67" t="s">
        <v>625</v>
      </c>
      <c r="C49" s="45"/>
      <c r="D49" s="45"/>
      <c r="E49" s="45"/>
      <c r="F49" s="45"/>
      <c r="G49" s="45"/>
      <c r="H49" s="45"/>
      <c r="I49" s="45"/>
      <c r="J49" s="45"/>
      <c r="K49" s="45"/>
      <c r="L49" s="45"/>
      <c r="M49" s="65"/>
      <c r="O49" s="46"/>
    </row>
    <row r="50" spans="2:15" x14ac:dyDescent="0.25">
      <c r="B50" s="811"/>
      <c r="C50" s="812"/>
      <c r="D50" s="812"/>
      <c r="E50" s="812"/>
      <c r="F50" s="812"/>
      <c r="G50" s="812"/>
      <c r="H50" s="812"/>
      <c r="I50" s="812"/>
      <c r="J50" s="812"/>
      <c r="K50" s="812"/>
      <c r="L50" s="812"/>
      <c r="M50" s="813"/>
      <c r="O50" s="46"/>
    </row>
    <row r="51" spans="2:15" x14ac:dyDescent="0.25">
      <c r="B51" s="814"/>
      <c r="C51" s="815"/>
      <c r="D51" s="815"/>
      <c r="E51" s="815"/>
      <c r="F51" s="815"/>
      <c r="G51" s="815"/>
      <c r="H51" s="815"/>
      <c r="I51" s="815"/>
      <c r="J51" s="815"/>
      <c r="K51" s="815"/>
      <c r="L51" s="815"/>
      <c r="M51" s="816"/>
      <c r="O51" s="46"/>
    </row>
    <row r="52" spans="2:15" x14ac:dyDescent="0.25">
      <c r="B52" s="814"/>
      <c r="C52" s="815"/>
      <c r="D52" s="815"/>
      <c r="E52" s="815"/>
      <c r="F52" s="815"/>
      <c r="G52" s="815"/>
      <c r="H52" s="815"/>
      <c r="I52" s="815"/>
      <c r="J52" s="815"/>
      <c r="K52" s="815"/>
      <c r="L52" s="815"/>
      <c r="M52" s="816"/>
      <c r="O52" s="46"/>
    </row>
    <row r="53" spans="2:15" x14ac:dyDescent="0.25">
      <c r="B53" s="814"/>
      <c r="C53" s="815"/>
      <c r="D53" s="815"/>
      <c r="E53" s="815"/>
      <c r="F53" s="815"/>
      <c r="G53" s="815"/>
      <c r="H53" s="815"/>
      <c r="I53" s="815"/>
      <c r="J53" s="815"/>
      <c r="K53" s="815"/>
      <c r="L53" s="815"/>
      <c r="M53" s="816"/>
      <c r="O53" s="46"/>
    </row>
    <row r="54" spans="2:15" x14ac:dyDescent="0.25">
      <c r="B54" s="814"/>
      <c r="C54" s="815"/>
      <c r="D54" s="815"/>
      <c r="E54" s="815"/>
      <c r="F54" s="815"/>
      <c r="G54" s="815"/>
      <c r="H54" s="815"/>
      <c r="I54" s="815"/>
      <c r="J54" s="815"/>
      <c r="K54" s="815"/>
      <c r="L54" s="815"/>
      <c r="M54" s="816"/>
      <c r="O54" s="46"/>
    </row>
    <row r="55" spans="2:15" x14ac:dyDescent="0.25">
      <c r="B55" s="814"/>
      <c r="C55" s="815"/>
      <c r="D55" s="815"/>
      <c r="E55" s="815"/>
      <c r="F55" s="815"/>
      <c r="G55" s="815"/>
      <c r="H55" s="815"/>
      <c r="I55" s="815"/>
      <c r="J55" s="815"/>
      <c r="K55" s="815"/>
      <c r="L55" s="815"/>
      <c r="M55" s="816"/>
      <c r="O55" s="46"/>
    </row>
    <row r="56" spans="2:15" x14ac:dyDescent="0.25">
      <c r="B56" s="814"/>
      <c r="C56" s="815"/>
      <c r="D56" s="815"/>
      <c r="E56" s="815"/>
      <c r="F56" s="815"/>
      <c r="G56" s="815"/>
      <c r="H56" s="815"/>
      <c r="I56" s="815"/>
      <c r="J56" s="815"/>
      <c r="K56" s="815"/>
      <c r="L56" s="815"/>
      <c r="M56" s="816"/>
      <c r="O56" s="46"/>
    </row>
    <row r="57" spans="2:15" x14ac:dyDescent="0.25">
      <c r="B57" s="814"/>
      <c r="C57" s="815"/>
      <c r="D57" s="815"/>
      <c r="E57" s="815"/>
      <c r="F57" s="815"/>
      <c r="G57" s="815"/>
      <c r="H57" s="815"/>
      <c r="I57" s="815"/>
      <c r="J57" s="815"/>
      <c r="K57" s="815"/>
      <c r="L57" s="815"/>
      <c r="M57" s="816"/>
      <c r="O57" s="46"/>
    </row>
    <row r="58" spans="2:15" x14ac:dyDescent="0.25">
      <c r="B58" s="814"/>
      <c r="C58" s="815"/>
      <c r="D58" s="815"/>
      <c r="E58" s="815"/>
      <c r="F58" s="815"/>
      <c r="G58" s="815"/>
      <c r="H58" s="815"/>
      <c r="I58" s="815"/>
      <c r="J58" s="815"/>
      <c r="K58" s="815"/>
      <c r="L58" s="815"/>
      <c r="M58" s="816"/>
      <c r="O58" s="46"/>
    </row>
    <row r="59" spans="2:15" x14ac:dyDescent="0.25">
      <c r="B59" s="814"/>
      <c r="C59" s="815"/>
      <c r="D59" s="815"/>
      <c r="E59" s="815"/>
      <c r="F59" s="815"/>
      <c r="G59" s="815"/>
      <c r="H59" s="815"/>
      <c r="I59" s="815"/>
      <c r="J59" s="815"/>
      <c r="K59" s="815"/>
      <c r="L59" s="815"/>
      <c r="M59" s="816"/>
      <c r="O59" s="46"/>
    </row>
    <row r="60" spans="2:15" x14ac:dyDescent="0.25">
      <c r="B60" s="814"/>
      <c r="C60" s="815"/>
      <c r="D60" s="815"/>
      <c r="E60" s="815"/>
      <c r="F60" s="815"/>
      <c r="G60" s="815"/>
      <c r="H60" s="815"/>
      <c r="I60" s="815"/>
      <c r="J60" s="815"/>
      <c r="K60" s="815"/>
      <c r="L60" s="815"/>
      <c r="M60" s="816"/>
      <c r="O60" s="46"/>
    </row>
    <row r="61" spans="2:15" x14ac:dyDescent="0.25">
      <c r="B61" s="814"/>
      <c r="C61" s="815"/>
      <c r="D61" s="815"/>
      <c r="E61" s="815"/>
      <c r="F61" s="815"/>
      <c r="G61" s="815"/>
      <c r="H61" s="815"/>
      <c r="I61" s="815"/>
      <c r="J61" s="815"/>
      <c r="K61" s="815"/>
      <c r="L61" s="815"/>
      <c r="M61" s="816"/>
      <c r="O61" s="46"/>
    </row>
    <row r="62" spans="2:15" x14ac:dyDescent="0.25">
      <c r="B62" s="814"/>
      <c r="C62" s="815"/>
      <c r="D62" s="815"/>
      <c r="E62" s="815"/>
      <c r="F62" s="815"/>
      <c r="G62" s="815"/>
      <c r="H62" s="815"/>
      <c r="I62" s="815"/>
      <c r="J62" s="815"/>
      <c r="K62" s="815"/>
      <c r="L62" s="815"/>
      <c r="M62" s="816"/>
      <c r="O62" s="46"/>
    </row>
    <row r="63" spans="2:15" x14ac:dyDescent="0.25">
      <c r="B63" s="814"/>
      <c r="C63" s="815"/>
      <c r="D63" s="815"/>
      <c r="E63" s="815"/>
      <c r="F63" s="815"/>
      <c r="G63" s="815"/>
      <c r="H63" s="815"/>
      <c r="I63" s="815"/>
      <c r="J63" s="815"/>
      <c r="K63" s="815"/>
      <c r="L63" s="815"/>
      <c r="M63" s="816"/>
      <c r="O63" s="46"/>
    </row>
    <row r="64" spans="2:15" x14ac:dyDescent="0.25">
      <c r="B64" s="814"/>
      <c r="C64" s="815"/>
      <c r="D64" s="815"/>
      <c r="E64" s="815"/>
      <c r="F64" s="815"/>
      <c r="G64" s="815"/>
      <c r="H64" s="815"/>
      <c r="I64" s="815"/>
      <c r="J64" s="815"/>
      <c r="K64" s="815"/>
      <c r="L64" s="815"/>
      <c r="M64" s="816"/>
      <c r="O64" s="46"/>
    </row>
    <row r="65" spans="2:15" x14ac:dyDescent="0.25">
      <c r="B65" s="814"/>
      <c r="C65" s="815"/>
      <c r="D65" s="815"/>
      <c r="E65" s="815"/>
      <c r="F65" s="815"/>
      <c r="G65" s="815"/>
      <c r="H65" s="815"/>
      <c r="I65" s="815"/>
      <c r="J65" s="815"/>
      <c r="K65" s="815"/>
      <c r="L65" s="815"/>
      <c r="M65" s="816"/>
      <c r="O65" s="46"/>
    </row>
    <row r="66" spans="2:15" x14ac:dyDescent="0.25">
      <c r="B66" s="814"/>
      <c r="C66" s="815"/>
      <c r="D66" s="815"/>
      <c r="E66" s="815"/>
      <c r="F66" s="815"/>
      <c r="G66" s="815"/>
      <c r="H66" s="815"/>
      <c r="I66" s="815"/>
      <c r="J66" s="815"/>
      <c r="K66" s="815"/>
      <c r="L66" s="815"/>
      <c r="M66" s="816"/>
      <c r="O66" s="46"/>
    </row>
    <row r="67" spans="2:15" x14ac:dyDescent="0.25">
      <c r="B67" s="814"/>
      <c r="C67" s="815"/>
      <c r="D67" s="815"/>
      <c r="E67" s="815"/>
      <c r="F67" s="815"/>
      <c r="G67" s="815"/>
      <c r="H67" s="815"/>
      <c r="I67" s="815"/>
      <c r="J67" s="815"/>
      <c r="K67" s="815"/>
      <c r="L67" s="815"/>
      <c r="M67" s="816"/>
      <c r="O67" s="46"/>
    </row>
    <row r="68" spans="2:15" x14ac:dyDescent="0.25">
      <c r="B68" s="814"/>
      <c r="C68" s="815"/>
      <c r="D68" s="815"/>
      <c r="E68" s="815"/>
      <c r="F68" s="815"/>
      <c r="G68" s="815"/>
      <c r="H68" s="815"/>
      <c r="I68" s="815"/>
      <c r="J68" s="815"/>
      <c r="K68" s="815"/>
      <c r="L68" s="815"/>
      <c r="M68" s="816"/>
      <c r="O68" s="46"/>
    </row>
    <row r="69" spans="2:15" x14ac:dyDescent="0.25">
      <c r="B69" s="814"/>
      <c r="C69" s="815"/>
      <c r="D69" s="815"/>
      <c r="E69" s="815"/>
      <c r="F69" s="815"/>
      <c r="G69" s="815"/>
      <c r="H69" s="815"/>
      <c r="I69" s="815"/>
      <c r="J69" s="815"/>
      <c r="K69" s="815"/>
      <c r="L69" s="815"/>
      <c r="M69" s="816"/>
      <c r="O69" s="46"/>
    </row>
    <row r="70" spans="2:15" x14ac:dyDescent="0.25">
      <c r="B70" s="814"/>
      <c r="C70" s="815"/>
      <c r="D70" s="815"/>
      <c r="E70" s="815"/>
      <c r="F70" s="815"/>
      <c r="G70" s="815"/>
      <c r="H70" s="815"/>
      <c r="I70" s="815"/>
      <c r="J70" s="815"/>
      <c r="K70" s="815"/>
      <c r="L70" s="815"/>
      <c r="M70" s="816"/>
      <c r="O70" s="46"/>
    </row>
    <row r="71" spans="2:15" x14ac:dyDescent="0.25">
      <c r="B71" s="814"/>
      <c r="C71" s="815"/>
      <c r="D71" s="815"/>
      <c r="E71" s="815"/>
      <c r="F71" s="815"/>
      <c r="G71" s="815"/>
      <c r="H71" s="815"/>
      <c r="I71" s="815"/>
      <c r="J71" s="815"/>
      <c r="K71" s="815"/>
      <c r="L71" s="815"/>
      <c r="M71" s="816"/>
      <c r="O71" s="46"/>
    </row>
    <row r="72" spans="2:15" ht="17.25" thickBot="1" x14ac:dyDescent="0.3">
      <c r="B72" s="820"/>
      <c r="C72" s="821"/>
      <c r="D72" s="821"/>
      <c r="E72" s="821"/>
      <c r="F72" s="821"/>
      <c r="G72" s="821"/>
      <c r="H72" s="821"/>
      <c r="I72" s="821"/>
      <c r="J72" s="821"/>
      <c r="K72" s="821"/>
      <c r="L72" s="821"/>
      <c r="M72" s="822"/>
      <c r="O72" s="46"/>
    </row>
    <row r="73" spans="2:15" ht="17.25" thickBot="1" x14ac:dyDescent="0.3">
      <c r="O73" s="46"/>
    </row>
    <row r="74" spans="2:15" s="33" customFormat="1" ht="18" thickBot="1" x14ac:dyDescent="0.3">
      <c r="B74" s="808" t="s">
        <v>461</v>
      </c>
      <c r="C74" s="809"/>
      <c r="D74" s="809"/>
      <c r="E74" s="809"/>
      <c r="F74" s="809"/>
      <c r="G74" s="809"/>
      <c r="H74" s="809"/>
      <c r="I74" s="809"/>
      <c r="J74" s="809"/>
      <c r="K74" s="809"/>
      <c r="L74" s="809"/>
      <c r="M74" s="810"/>
      <c r="O74" s="34"/>
    </row>
    <row r="75" spans="2:15" x14ac:dyDescent="0.25">
      <c r="B75" s="64"/>
      <c r="C75" s="45"/>
      <c r="D75" s="45"/>
      <c r="E75" s="45"/>
      <c r="F75" s="45"/>
      <c r="G75" s="45"/>
      <c r="H75" s="45"/>
      <c r="I75" s="45"/>
      <c r="J75" s="45"/>
      <c r="K75" s="45"/>
      <c r="L75" s="45"/>
      <c r="M75" s="65"/>
      <c r="O75" s="46"/>
    </row>
    <row r="76" spans="2:15" ht="17.25" x14ac:dyDescent="0.25">
      <c r="B76" s="68"/>
      <c r="C76" s="69" t="s">
        <v>379</v>
      </c>
      <c r="D76" s="826" t="s">
        <v>588</v>
      </c>
      <c r="E76" s="826"/>
      <c r="F76" s="826"/>
      <c r="G76" s="826"/>
      <c r="H76" s="91"/>
      <c r="I76" s="45"/>
      <c r="J76" s="45"/>
      <c r="K76" s="45"/>
      <c r="L76" s="45"/>
      <c r="M76" s="65"/>
      <c r="O76" s="46"/>
    </row>
    <row r="77" spans="2:15" x14ac:dyDescent="0.25">
      <c r="B77" s="64"/>
      <c r="C77" s="45"/>
      <c r="D77" s="45"/>
      <c r="E77" s="45"/>
      <c r="F77" s="45"/>
      <c r="G77" s="45"/>
      <c r="H77" s="45"/>
      <c r="I77" s="45"/>
      <c r="J77" s="45"/>
      <c r="K77" s="45"/>
      <c r="L77" s="45"/>
      <c r="M77" s="65"/>
      <c r="O77" s="46"/>
    </row>
    <row r="78" spans="2:15" x14ac:dyDescent="0.25">
      <c r="B78" s="64" t="s">
        <v>381</v>
      </c>
      <c r="C78" s="45"/>
      <c r="D78" s="45"/>
      <c r="E78" s="45"/>
      <c r="F78" s="45"/>
      <c r="G78" s="45"/>
      <c r="H78" s="45"/>
      <c r="I78" s="45"/>
      <c r="J78" s="45"/>
      <c r="K78" s="45"/>
      <c r="L78" s="45"/>
      <c r="M78" s="65"/>
      <c r="O78" s="46"/>
    </row>
    <row r="79" spans="2:15" x14ac:dyDescent="0.25">
      <c r="B79" s="64" t="s">
        <v>37</v>
      </c>
      <c r="C79" s="45"/>
      <c r="D79" s="45"/>
      <c r="E79" s="45"/>
      <c r="F79" s="45"/>
      <c r="G79" s="45"/>
      <c r="H79" s="45"/>
      <c r="I79" s="45"/>
      <c r="J79" s="45"/>
      <c r="K79" s="45"/>
      <c r="L79" s="45"/>
      <c r="M79" s="65"/>
      <c r="O79" s="46"/>
    </row>
    <row r="80" spans="2:15" x14ac:dyDescent="0.25">
      <c r="B80" s="64" t="s">
        <v>38</v>
      </c>
      <c r="C80" s="45"/>
      <c r="D80" s="45"/>
      <c r="E80" s="45"/>
      <c r="F80" s="45"/>
      <c r="G80" s="45"/>
      <c r="H80" s="45"/>
      <c r="I80" s="45"/>
      <c r="J80" s="45"/>
      <c r="K80" s="45"/>
      <c r="L80" s="45"/>
      <c r="M80" s="65"/>
      <c r="O80" s="46"/>
    </row>
    <row r="81" spans="2:15" x14ac:dyDescent="0.25">
      <c r="B81" s="811"/>
      <c r="C81" s="812"/>
      <c r="D81" s="812"/>
      <c r="E81" s="812"/>
      <c r="F81" s="812"/>
      <c r="G81" s="812"/>
      <c r="H81" s="812"/>
      <c r="I81" s="812"/>
      <c r="J81" s="812"/>
      <c r="K81" s="812"/>
      <c r="L81" s="812"/>
      <c r="M81" s="813"/>
      <c r="O81" s="46"/>
    </row>
    <row r="82" spans="2:15" x14ac:dyDescent="0.25">
      <c r="B82" s="814"/>
      <c r="C82" s="815"/>
      <c r="D82" s="815"/>
      <c r="E82" s="815"/>
      <c r="F82" s="815"/>
      <c r="G82" s="815"/>
      <c r="H82" s="815"/>
      <c r="I82" s="815"/>
      <c r="J82" s="815"/>
      <c r="K82" s="815"/>
      <c r="L82" s="815"/>
      <c r="M82" s="816"/>
      <c r="O82" s="46"/>
    </row>
    <row r="83" spans="2:15" x14ac:dyDescent="0.25">
      <c r="B83" s="814"/>
      <c r="C83" s="815"/>
      <c r="D83" s="815"/>
      <c r="E83" s="815"/>
      <c r="F83" s="815"/>
      <c r="G83" s="815"/>
      <c r="H83" s="815"/>
      <c r="I83" s="815"/>
      <c r="J83" s="815"/>
      <c r="K83" s="815"/>
      <c r="L83" s="815"/>
      <c r="M83" s="816"/>
      <c r="O83" s="46"/>
    </row>
    <row r="84" spans="2:15" x14ac:dyDescent="0.25">
      <c r="B84" s="814"/>
      <c r="C84" s="815"/>
      <c r="D84" s="815"/>
      <c r="E84" s="815"/>
      <c r="F84" s="815"/>
      <c r="G84" s="815"/>
      <c r="H84" s="815"/>
      <c r="I84" s="815"/>
      <c r="J84" s="815"/>
      <c r="K84" s="815"/>
      <c r="L84" s="815"/>
      <c r="M84" s="816"/>
      <c r="O84" s="46"/>
    </row>
    <row r="85" spans="2:15" x14ac:dyDescent="0.25">
      <c r="B85" s="814"/>
      <c r="C85" s="815"/>
      <c r="D85" s="815"/>
      <c r="E85" s="815"/>
      <c r="F85" s="815"/>
      <c r="G85" s="815"/>
      <c r="H85" s="815"/>
      <c r="I85" s="815"/>
      <c r="J85" s="815"/>
      <c r="K85" s="815"/>
      <c r="L85" s="815"/>
      <c r="M85" s="816"/>
      <c r="O85" s="46"/>
    </row>
    <row r="86" spans="2:15" x14ac:dyDescent="0.25">
      <c r="B86" s="814"/>
      <c r="C86" s="815"/>
      <c r="D86" s="815"/>
      <c r="E86" s="815"/>
      <c r="F86" s="815"/>
      <c r="G86" s="815"/>
      <c r="H86" s="815"/>
      <c r="I86" s="815"/>
      <c r="J86" s="815"/>
      <c r="K86" s="815"/>
      <c r="L86" s="815"/>
      <c r="M86" s="816"/>
      <c r="O86" s="46"/>
    </row>
    <row r="87" spans="2:15" x14ac:dyDescent="0.25">
      <c r="B87" s="814"/>
      <c r="C87" s="815"/>
      <c r="D87" s="815"/>
      <c r="E87" s="815"/>
      <c r="F87" s="815"/>
      <c r="G87" s="815"/>
      <c r="H87" s="815"/>
      <c r="I87" s="815"/>
      <c r="J87" s="815"/>
      <c r="K87" s="815"/>
      <c r="L87" s="815"/>
      <c r="M87" s="816"/>
      <c r="O87" s="46"/>
    </row>
    <row r="88" spans="2:15" x14ac:dyDescent="0.25">
      <c r="B88" s="814"/>
      <c r="C88" s="815"/>
      <c r="D88" s="815"/>
      <c r="E88" s="815"/>
      <c r="F88" s="815"/>
      <c r="G88" s="815"/>
      <c r="H88" s="815"/>
      <c r="I88" s="815"/>
      <c r="J88" s="815"/>
      <c r="K88" s="815"/>
      <c r="L88" s="815"/>
      <c r="M88" s="816"/>
      <c r="O88" s="46"/>
    </row>
    <row r="89" spans="2:15" x14ac:dyDescent="0.25">
      <c r="B89" s="814"/>
      <c r="C89" s="815"/>
      <c r="D89" s="815"/>
      <c r="E89" s="815"/>
      <c r="F89" s="815"/>
      <c r="G89" s="815"/>
      <c r="H89" s="815"/>
      <c r="I89" s="815"/>
      <c r="J89" s="815"/>
      <c r="K89" s="815"/>
      <c r="L89" s="815"/>
      <c r="M89" s="816"/>
      <c r="O89" s="46"/>
    </row>
    <row r="90" spans="2:15" x14ac:dyDescent="0.25">
      <c r="B90" s="814"/>
      <c r="C90" s="815"/>
      <c r="D90" s="815"/>
      <c r="E90" s="815"/>
      <c r="F90" s="815"/>
      <c r="G90" s="815"/>
      <c r="H90" s="815"/>
      <c r="I90" s="815"/>
      <c r="J90" s="815"/>
      <c r="K90" s="815"/>
      <c r="L90" s="815"/>
      <c r="M90" s="816"/>
      <c r="O90" s="46"/>
    </row>
    <row r="91" spans="2:15" x14ac:dyDescent="0.25">
      <c r="B91" s="817"/>
      <c r="C91" s="818"/>
      <c r="D91" s="818"/>
      <c r="E91" s="818"/>
      <c r="F91" s="818"/>
      <c r="G91" s="818"/>
      <c r="H91" s="818"/>
      <c r="I91" s="818"/>
      <c r="J91" s="818"/>
      <c r="K91" s="818"/>
      <c r="L91" s="818"/>
      <c r="M91" s="819"/>
      <c r="O91" s="46"/>
    </row>
    <row r="92" spans="2:15" x14ac:dyDescent="0.25">
      <c r="B92" s="64"/>
      <c r="C92" s="45"/>
      <c r="D92" s="45"/>
      <c r="E92" s="45"/>
      <c r="F92" s="45"/>
      <c r="G92" s="45"/>
      <c r="H92" s="45"/>
      <c r="I92" s="45"/>
      <c r="J92" s="45"/>
      <c r="K92" s="45"/>
      <c r="L92" s="45"/>
      <c r="M92" s="65"/>
      <c r="O92" s="46"/>
    </row>
    <row r="93" spans="2:15" x14ac:dyDescent="0.25">
      <c r="B93" s="64" t="s">
        <v>364</v>
      </c>
      <c r="C93" s="45"/>
      <c r="D93" s="45"/>
      <c r="E93" s="45"/>
      <c r="F93" s="45"/>
      <c r="G93" s="45"/>
      <c r="H93" s="45"/>
      <c r="I93" s="45"/>
      <c r="J93" s="45"/>
      <c r="K93" s="45"/>
      <c r="L93" s="45"/>
      <c r="M93" s="65"/>
      <c r="O93" s="46"/>
    </row>
    <row r="94" spans="2:15" x14ac:dyDescent="0.25">
      <c r="B94" s="811"/>
      <c r="C94" s="812"/>
      <c r="D94" s="812"/>
      <c r="E94" s="812"/>
      <c r="F94" s="812"/>
      <c r="G94" s="812"/>
      <c r="H94" s="812"/>
      <c r="I94" s="812"/>
      <c r="J94" s="812"/>
      <c r="K94" s="812"/>
      <c r="L94" s="812"/>
      <c r="M94" s="813"/>
      <c r="O94" s="46"/>
    </row>
    <row r="95" spans="2:15" x14ac:dyDescent="0.25">
      <c r="B95" s="814"/>
      <c r="C95" s="815"/>
      <c r="D95" s="815"/>
      <c r="E95" s="815"/>
      <c r="F95" s="815"/>
      <c r="G95" s="815"/>
      <c r="H95" s="815"/>
      <c r="I95" s="815"/>
      <c r="J95" s="815"/>
      <c r="K95" s="815"/>
      <c r="L95" s="815"/>
      <c r="M95" s="816"/>
      <c r="O95" s="46"/>
    </row>
    <row r="96" spans="2:15" x14ac:dyDescent="0.25">
      <c r="B96" s="814"/>
      <c r="C96" s="815"/>
      <c r="D96" s="815"/>
      <c r="E96" s="815"/>
      <c r="F96" s="815"/>
      <c r="G96" s="815"/>
      <c r="H96" s="815"/>
      <c r="I96" s="815"/>
      <c r="J96" s="815"/>
      <c r="K96" s="815"/>
      <c r="L96" s="815"/>
      <c r="M96" s="816"/>
      <c r="O96" s="46"/>
    </row>
    <row r="97" spans="2:15" x14ac:dyDescent="0.25">
      <c r="B97" s="814"/>
      <c r="C97" s="815"/>
      <c r="D97" s="815"/>
      <c r="E97" s="815"/>
      <c r="F97" s="815"/>
      <c r="G97" s="815"/>
      <c r="H97" s="815"/>
      <c r="I97" s="815"/>
      <c r="J97" s="815"/>
      <c r="K97" s="815"/>
      <c r="L97" s="815"/>
      <c r="M97" s="816"/>
      <c r="O97" s="46"/>
    </row>
    <row r="98" spans="2:15" x14ac:dyDescent="0.25">
      <c r="B98" s="814"/>
      <c r="C98" s="815"/>
      <c r="D98" s="815"/>
      <c r="E98" s="815"/>
      <c r="F98" s="815"/>
      <c r="G98" s="815"/>
      <c r="H98" s="815"/>
      <c r="I98" s="815"/>
      <c r="J98" s="815"/>
      <c r="K98" s="815"/>
      <c r="L98" s="815"/>
      <c r="M98" s="816"/>
      <c r="O98" s="46"/>
    </row>
    <row r="99" spans="2:15" x14ac:dyDescent="0.25">
      <c r="B99" s="814"/>
      <c r="C99" s="815"/>
      <c r="D99" s="815"/>
      <c r="E99" s="815"/>
      <c r="F99" s="815"/>
      <c r="G99" s="815"/>
      <c r="H99" s="815"/>
      <c r="I99" s="815"/>
      <c r="J99" s="815"/>
      <c r="K99" s="815"/>
      <c r="L99" s="815"/>
      <c r="M99" s="816"/>
      <c r="O99" s="46"/>
    </row>
    <row r="100" spans="2:15" x14ac:dyDescent="0.25">
      <c r="B100" s="814"/>
      <c r="C100" s="815"/>
      <c r="D100" s="815"/>
      <c r="E100" s="815"/>
      <c r="F100" s="815"/>
      <c r="G100" s="815"/>
      <c r="H100" s="815"/>
      <c r="I100" s="815"/>
      <c r="J100" s="815"/>
      <c r="K100" s="815"/>
      <c r="L100" s="815"/>
      <c r="M100" s="816"/>
      <c r="O100" s="46"/>
    </row>
    <row r="101" spans="2:15" x14ac:dyDescent="0.25">
      <c r="B101" s="814"/>
      <c r="C101" s="815"/>
      <c r="D101" s="815"/>
      <c r="E101" s="815"/>
      <c r="F101" s="815"/>
      <c r="G101" s="815"/>
      <c r="H101" s="815"/>
      <c r="I101" s="815"/>
      <c r="J101" s="815"/>
      <c r="K101" s="815"/>
      <c r="L101" s="815"/>
      <c r="M101" s="816"/>
      <c r="O101" s="46"/>
    </row>
    <row r="102" spans="2:15" x14ac:dyDescent="0.25">
      <c r="B102" s="814"/>
      <c r="C102" s="815"/>
      <c r="D102" s="815"/>
      <c r="E102" s="815"/>
      <c r="F102" s="815"/>
      <c r="G102" s="815"/>
      <c r="H102" s="815"/>
      <c r="I102" s="815"/>
      <c r="J102" s="815"/>
      <c r="K102" s="815"/>
      <c r="L102" s="815"/>
      <c r="M102" s="816"/>
      <c r="O102" s="46"/>
    </row>
    <row r="103" spans="2:15" x14ac:dyDescent="0.25">
      <c r="B103" s="814"/>
      <c r="C103" s="815"/>
      <c r="D103" s="815"/>
      <c r="E103" s="815"/>
      <c r="F103" s="815"/>
      <c r="G103" s="815"/>
      <c r="H103" s="815"/>
      <c r="I103" s="815"/>
      <c r="J103" s="815"/>
      <c r="K103" s="815"/>
      <c r="L103" s="815"/>
      <c r="M103" s="816"/>
      <c r="O103" s="46"/>
    </row>
    <row r="104" spans="2:15" x14ac:dyDescent="0.25">
      <c r="B104" s="814"/>
      <c r="C104" s="815"/>
      <c r="D104" s="815"/>
      <c r="E104" s="815"/>
      <c r="F104" s="815"/>
      <c r="G104" s="815"/>
      <c r="H104" s="815"/>
      <c r="I104" s="815"/>
      <c r="J104" s="815"/>
      <c r="K104" s="815"/>
      <c r="L104" s="815"/>
      <c r="M104" s="816"/>
      <c r="O104" s="46"/>
    </row>
    <row r="105" spans="2:15" x14ac:dyDescent="0.25">
      <c r="B105" s="817"/>
      <c r="C105" s="818"/>
      <c r="D105" s="818"/>
      <c r="E105" s="818"/>
      <c r="F105" s="818"/>
      <c r="G105" s="818"/>
      <c r="H105" s="818"/>
      <c r="I105" s="818"/>
      <c r="J105" s="818"/>
      <c r="K105" s="818"/>
      <c r="L105" s="818"/>
      <c r="M105" s="819"/>
      <c r="O105" s="46"/>
    </row>
    <row r="106" spans="2:15" x14ac:dyDescent="0.25">
      <c r="B106" s="64"/>
      <c r="C106" s="45"/>
      <c r="D106" s="45"/>
      <c r="E106" s="45"/>
      <c r="F106" s="45"/>
      <c r="G106" s="45"/>
      <c r="H106" s="45"/>
      <c r="I106" s="45"/>
      <c r="J106" s="45"/>
      <c r="K106" s="45"/>
      <c r="L106" s="45"/>
      <c r="M106" s="65"/>
      <c r="O106" s="46"/>
    </row>
    <row r="107" spans="2:15" x14ac:dyDescent="0.25">
      <c r="B107" s="64" t="s">
        <v>39</v>
      </c>
      <c r="C107" s="45"/>
      <c r="D107" s="45"/>
      <c r="E107" s="45"/>
      <c r="F107" s="45"/>
      <c r="G107" s="45"/>
      <c r="H107" s="45"/>
      <c r="I107" s="45"/>
      <c r="J107" s="45"/>
      <c r="K107" s="45"/>
      <c r="L107" s="45"/>
      <c r="M107" s="65"/>
      <c r="O107" s="46"/>
    </row>
    <row r="108" spans="2:15" x14ac:dyDescent="0.25">
      <c r="B108" s="811"/>
      <c r="C108" s="812"/>
      <c r="D108" s="812"/>
      <c r="E108" s="812"/>
      <c r="F108" s="812"/>
      <c r="G108" s="812"/>
      <c r="H108" s="812"/>
      <c r="I108" s="812"/>
      <c r="J108" s="812"/>
      <c r="K108" s="812"/>
      <c r="L108" s="812"/>
      <c r="M108" s="813"/>
      <c r="O108" s="46"/>
    </row>
    <row r="109" spans="2:15" x14ac:dyDescent="0.25">
      <c r="B109" s="814"/>
      <c r="C109" s="815"/>
      <c r="D109" s="815"/>
      <c r="E109" s="815"/>
      <c r="F109" s="815"/>
      <c r="G109" s="815"/>
      <c r="H109" s="815"/>
      <c r="I109" s="815"/>
      <c r="J109" s="815"/>
      <c r="K109" s="815"/>
      <c r="L109" s="815"/>
      <c r="M109" s="816"/>
      <c r="O109" s="46"/>
    </row>
    <row r="110" spans="2:15" x14ac:dyDescent="0.25">
      <c r="B110" s="814"/>
      <c r="C110" s="815"/>
      <c r="D110" s="815"/>
      <c r="E110" s="815"/>
      <c r="F110" s="815"/>
      <c r="G110" s="815"/>
      <c r="H110" s="815"/>
      <c r="I110" s="815"/>
      <c r="J110" s="815"/>
      <c r="K110" s="815"/>
      <c r="L110" s="815"/>
      <c r="M110" s="816"/>
      <c r="O110" s="46"/>
    </row>
    <row r="111" spans="2:15" x14ac:dyDescent="0.25">
      <c r="B111" s="814"/>
      <c r="C111" s="815"/>
      <c r="D111" s="815"/>
      <c r="E111" s="815"/>
      <c r="F111" s="815"/>
      <c r="G111" s="815"/>
      <c r="H111" s="815"/>
      <c r="I111" s="815"/>
      <c r="J111" s="815"/>
      <c r="K111" s="815"/>
      <c r="L111" s="815"/>
      <c r="M111" s="816"/>
      <c r="O111" s="46"/>
    </row>
    <row r="112" spans="2:15" x14ac:dyDescent="0.25">
      <c r="B112" s="814"/>
      <c r="C112" s="815"/>
      <c r="D112" s="815"/>
      <c r="E112" s="815"/>
      <c r="F112" s="815"/>
      <c r="G112" s="815"/>
      <c r="H112" s="815"/>
      <c r="I112" s="815"/>
      <c r="J112" s="815"/>
      <c r="K112" s="815"/>
      <c r="L112" s="815"/>
      <c r="M112" s="816"/>
      <c r="O112" s="46"/>
    </row>
    <row r="113" spans="1:15" x14ac:dyDescent="0.25">
      <c r="B113" s="814"/>
      <c r="C113" s="815"/>
      <c r="D113" s="815"/>
      <c r="E113" s="815"/>
      <c r="F113" s="815"/>
      <c r="G113" s="815"/>
      <c r="H113" s="815"/>
      <c r="I113" s="815"/>
      <c r="J113" s="815"/>
      <c r="K113" s="815"/>
      <c r="L113" s="815"/>
      <c r="M113" s="816"/>
      <c r="O113" s="46"/>
    </row>
    <row r="114" spans="1:15" x14ac:dyDescent="0.25">
      <c r="B114" s="814"/>
      <c r="C114" s="815"/>
      <c r="D114" s="815"/>
      <c r="E114" s="815"/>
      <c r="F114" s="815"/>
      <c r="G114" s="815"/>
      <c r="H114" s="815"/>
      <c r="I114" s="815"/>
      <c r="J114" s="815"/>
      <c r="K114" s="815"/>
      <c r="L114" s="815"/>
      <c r="M114" s="816"/>
      <c r="O114" s="46"/>
    </row>
    <row r="115" spans="1:15" x14ac:dyDescent="0.25">
      <c r="B115" s="814"/>
      <c r="C115" s="815"/>
      <c r="D115" s="815"/>
      <c r="E115" s="815"/>
      <c r="F115" s="815"/>
      <c r="G115" s="815"/>
      <c r="H115" s="815"/>
      <c r="I115" s="815"/>
      <c r="J115" s="815"/>
      <c r="K115" s="815"/>
      <c r="L115" s="815"/>
      <c r="M115" s="816"/>
      <c r="O115" s="46"/>
    </row>
    <row r="116" spans="1:15" x14ac:dyDescent="0.25">
      <c r="B116" s="814"/>
      <c r="C116" s="815"/>
      <c r="D116" s="815"/>
      <c r="E116" s="815"/>
      <c r="F116" s="815"/>
      <c r="G116" s="815"/>
      <c r="H116" s="815"/>
      <c r="I116" s="815"/>
      <c r="J116" s="815"/>
      <c r="K116" s="815"/>
      <c r="L116" s="815"/>
      <c r="M116" s="816"/>
      <c r="O116" s="46"/>
    </row>
    <row r="117" spans="1:15" x14ac:dyDescent="0.25">
      <c r="B117" s="814"/>
      <c r="C117" s="815"/>
      <c r="D117" s="815"/>
      <c r="E117" s="815"/>
      <c r="F117" s="815"/>
      <c r="G117" s="815"/>
      <c r="H117" s="815"/>
      <c r="I117" s="815"/>
      <c r="J117" s="815"/>
      <c r="K117" s="815"/>
      <c r="L117" s="815"/>
      <c r="M117" s="816"/>
      <c r="O117" s="46"/>
    </row>
    <row r="118" spans="1:15" x14ac:dyDescent="0.25">
      <c r="B118" s="814"/>
      <c r="C118" s="815"/>
      <c r="D118" s="815"/>
      <c r="E118" s="815"/>
      <c r="F118" s="815"/>
      <c r="G118" s="815"/>
      <c r="H118" s="815"/>
      <c r="I118" s="815"/>
      <c r="J118" s="815"/>
      <c r="K118" s="815"/>
      <c r="L118" s="815"/>
      <c r="M118" s="816"/>
      <c r="O118" s="46"/>
    </row>
    <row r="119" spans="1:15" x14ac:dyDescent="0.25">
      <c r="B119" s="814"/>
      <c r="C119" s="815"/>
      <c r="D119" s="815"/>
      <c r="E119" s="815"/>
      <c r="F119" s="815"/>
      <c r="G119" s="815"/>
      <c r="H119" s="815"/>
      <c r="I119" s="815"/>
      <c r="J119" s="815"/>
      <c r="K119" s="815"/>
      <c r="L119" s="815"/>
      <c r="M119" s="816"/>
      <c r="O119" s="46"/>
    </row>
    <row r="120" spans="1:15" x14ac:dyDescent="0.25">
      <c r="B120" s="814"/>
      <c r="C120" s="815"/>
      <c r="D120" s="815"/>
      <c r="E120" s="815"/>
      <c r="F120" s="815"/>
      <c r="G120" s="815"/>
      <c r="H120" s="815"/>
      <c r="I120" s="815"/>
      <c r="J120" s="815"/>
      <c r="K120" s="815"/>
      <c r="L120" s="815"/>
      <c r="M120" s="816"/>
      <c r="O120" s="46"/>
    </row>
    <row r="121" spans="1:15" ht="17.25" thickBot="1" x14ac:dyDescent="0.3">
      <c r="B121" s="820"/>
      <c r="C121" s="821"/>
      <c r="D121" s="821"/>
      <c r="E121" s="821"/>
      <c r="F121" s="821"/>
      <c r="G121" s="821"/>
      <c r="H121" s="821"/>
      <c r="I121" s="821"/>
      <c r="J121" s="821"/>
      <c r="K121" s="821"/>
      <c r="L121" s="821"/>
      <c r="M121" s="822"/>
      <c r="O121" s="46"/>
    </row>
    <row r="122" spans="1:15" x14ac:dyDescent="0.25">
      <c r="O122" s="46"/>
    </row>
    <row r="123" spans="1:15" s="58" customFormat="1" x14ac:dyDescent="0.25">
      <c r="A123" s="46"/>
      <c r="B123" s="46"/>
      <c r="C123" s="46"/>
      <c r="D123" s="46"/>
      <c r="E123" s="46"/>
      <c r="F123" s="46"/>
      <c r="G123" s="46"/>
      <c r="H123" s="46"/>
      <c r="I123" s="46"/>
      <c r="J123" s="46"/>
      <c r="K123" s="46"/>
      <c r="L123" s="46"/>
      <c r="M123" s="46"/>
      <c r="N123" s="46"/>
      <c r="O123" s="46"/>
    </row>
  </sheetData>
  <sheetProtection password="D93F" sheet="1" objects="1" scenarios="1" selectLockedCells="1"/>
  <dataConsolidate/>
  <customSheetViews>
    <customSheetView guid="{2A4C6EB9-430A-44F2-86C8-15B50360FC3B}" scale="80" showGridLines="0" topLeftCell="A57">
      <selection activeCell="B71" sqref="B71"/>
      <pageMargins left="0.7" right="0.7" top="0.75" bottom="0.75" header="0.3" footer="0.3"/>
      <pageSetup orientation="portrait" horizontalDpi="200" verticalDpi="200" r:id="rId1"/>
    </customSheetView>
    <customSheetView guid="{B3BD5AF3-9A64-4EA7-AE1F-3CC326849B8F}" scale="80" showGridLines="0">
      <selection activeCell="B12" sqref="B12"/>
      <pageMargins left="0.7" right="0.7" top="0.75" bottom="0.75" header="0.3" footer="0.3"/>
      <pageSetup orientation="portrait" horizontalDpi="200" verticalDpi="200" r:id="rId2"/>
    </customSheetView>
  </customSheetViews>
  <mergeCells count="16">
    <mergeCell ref="E3:F3"/>
    <mergeCell ref="B11:M11"/>
    <mergeCell ref="B2:C2"/>
    <mergeCell ref="B30:M30"/>
    <mergeCell ref="B74:M74"/>
    <mergeCell ref="B38:M38"/>
    <mergeCell ref="C41:M41"/>
    <mergeCell ref="B81:M91"/>
    <mergeCell ref="B94:M105"/>
    <mergeCell ref="B108:M121"/>
    <mergeCell ref="C32:M35"/>
    <mergeCell ref="C13:M16"/>
    <mergeCell ref="B50:M72"/>
    <mergeCell ref="B13:B16"/>
    <mergeCell ref="B32:B35"/>
    <mergeCell ref="D76:G76"/>
  </mergeCells>
  <phoneticPr fontId="27" type="noConversion"/>
  <dataValidations count="2">
    <dataValidation type="list" showInputMessage="1" showErrorMessage="1" sqref="C31 C12">
      <formula1>Yes_No</formula1>
    </dataValidation>
    <dataValidation type="list" allowBlank="1" showInputMessage="1" showErrorMessage="1" sqref="C25 C27">
      <formula1>Yes_No</formula1>
    </dataValidation>
  </dataValidations>
  <hyperlinks>
    <hyperlink ref="D76" location="Photos!B128" display="the 'Photos' tab (Photo Box #8 through #10)"/>
    <hyperlink ref="E3" location="Instructions!A1" display="Back to Instructions"/>
    <hyperlink ref="E3:F3" location="Instructions!A1" display="Back to Instructions tab"/>
    <hyperlink ref="D76:G76" location="Photos!B132" display="the 'Photos' tab (Photo Box #9 through #11)"/>
  </hyperlinks>
  <pageMargins left="0.7" right="0.7" top="0.75" bottom="0.75" header="0.3" footer="0.3"/>
  <pageSetup orientation="portrait" horizontalDpi="200" verticalDpi="200"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0070C0"/>
  </sheetPr>
  <dimension ref="A1:AC203"/>
  <sheetViews>
    <sheetView showGridLines="0" zoomScale="70" zoomScaleNormal="70" workbookViewId="0">
      <selection activeCell="E2" sqref="E2:F2"/>
    </sheetView>
  </sheetViews>
  <sheetFormatPr defaultColWidth="9.140625" defaultRowHeight="16.5" x14ac:dyDescent="0.25"/>
  <cols>
    <col min="1" max="1" width="5.5703125" style="269" customWidth="1"/>
    <col min="2" max="2" width="32.7109375" style="269" customWidth="1"/>
    <col min="3" max="3" width="71.42578125" style="269" customWidth="1"/>
    <col min="4" max="4" width="6.85546875" style="269" customWidth="1"/>
    <col min="5" max="5" width="9.140625" style="269"/>
    <col min="6" max="6" width="56.140625" style="269" customWidth="1"/>
    <col min="7" max="7" width="34.28515625" style="269" customWidth="1"/>
    <col min="8" max="8" width="14.28515625" style="269" customWidth="1"/>
    <col min="9" max="9" width="12.28515625" style="269" customWidth="1"/>
    <col min="10" max="10" width="11.85546875" style="273" customWidth="1"/>
    <col min="11" max="28" width="9.140625" style="269"/>
    <col min="29" max="29" width="4.140625" style="269" customWidth="1"/>
    <col min="30" max="16384" width="9.140625" style="269"/>
  </cols>
  <sheetData>
    <row r="1" spans="1:29" ht="17.25" thickBot="1" x14ac:dyDescent="0.3">
      <c r="J1" s="127"/>
      <c r="AC1" s="272"/>
    </row>
    <row r="2" spans="1:29" ht="18" thickBot="1" x14ac:dyDescent="0.3">
      <c r="A2" s="264"/>
      <c r="B2" s="764" t="s">
        <v>562</v>
      </c>
      <c r="C2" s="765"/>
      <c r="E2" s="827" t="s">
        <v>540</v>
      </c>
      <c r="F2" s="827"/>
      <c r="AC2" s="272"/>
    </row>
    <row r="3" spans="1:29" x14ac:dyDescent="0.3">
      <c r="A3" s="264"/>
      <c r="B3" s="297" t="s">
        <v>563</v>
      </c>
      <c r="C3" s="298" t="str">
        <f>'Version Control'!C3</f>
        <v>Residential Central Air Conditioners and Heat Pumps</v>
      </c>
      <c r="AC3" s="272"/>
    </row>
    <row r="4" spans="1:29" x14ac:dyDescent="0.3">
      <c r="A4" s="264"/>
      <c r="B4" s="299" t="s">
        <v>140</v>
      </c>
      <c r="C4" s="300" t="str">
        <f>'Version Control'!C4</f>
        <v>v2.1</v>
      </c>
      <c r="AC4" s="272"/>
    </row>
    <row r="5" spans="1:29" x14ac:dyDescent="0.3">
      <c r="A5" s="264"/>
      <c r="B5" s="299" t="s">
        <v>462</v>
      </c>
      <c r="C5" s="301">
        <f>'Version Control'!C5</f>
        <v>42653</v>
      </c>
      <c r="E5" s="638"/>
      <c r="AC5" s="272"/>
    </row>
    <row r="6" spans="1:29" x14ac:dyDescent="0.3">
      <c r="A6" s="264"/>
      <c r="B6" s="302" t="s">
        <v>139</v>
      </c>
      <c r="C6" s="303" t="str">
        <f ca="1">MID(CELL("filename",$A$1), FIND("]", CELL("filename", $A$1))+ 1, 255)</f>
        <v>Photos</v>
      </c>
      <c r="AC6" s="272"/>
    </row>
    <row r="7" spans="1:29" ht="36" customHeight="1" x14ac:dyDescent="0.25">
      <c r="A7" s="264"/>
      <c r="B7" s="304" t="s">
        <v>138</v>
      </c>
      <c r="C7" s="305" t="str">
        <f ca="1">MID(CELL("FILENAME",F16),FIND("[",CELL("FILENAME",F16))+1,FIND("]",CELL("FILENAME",F16))-FIND("[",CELL("FILENAME",F16))-1)</f>
        <v>Residential Central Air Conditioners and Heat Pumps - v2.1.xlsx</v>
      </c>
      <c r="AC7" s="272"/>
    </row>
    <row r="8" spans="1:29" ht="17.25" thickBot="1" x14ac:dyDescent="0.35">
      <c r="A8" s="264"/>
      <c r="B8" s="306" t="s">
        <v>141</v>
      </c>
      <c r="C8" s="307" t="str">
        <f>'Version Control'!C8</f>
        <v>[MM/DD/YYYY]</v>
      </c>
      <c r="AC8" s="272"/>
    </row>
    <row r="9" spans="1:29" x14ac:dyDescent="0.25">
      <c r="A9" s="264"/>
      <c r="B9" s="104"/>
      <c r="C9" s="260"/>
      <c r="AC9" s="272"/>
    </row>
    <row r="10" spans="1:29" x14ac:dyDescent="0.25">
      <c r="AC10" s="272"/>
    </row>
    <row r="11" spans="1:29" ht="20.25" x14ac:dyDescent="0.25">
      <c r="B11" s="274" t="s">
        <v>378</v>
      </c>
      <c r="C11" s="275"/>
      <c r="AC11" s="272"/>
    </row>
    <row r="12" spans="1:29" ht="17.25" thickBot="1" x14ac:dyDescent="0.3">
      <c r="AC12" s="272"/>
    </row>
    <row r="13" spans="1:29" s="33" customFormat="1" ht="18" thickBot="1" x14ac:dyDescent="0.3">
      <c r="B13" s="808" t="s">
        <v>382</v>
      </c>
      <c r="C13" s="809"/>
      <c r="D13" s="809"/>
      <c r="E13" s="809"/>
      <c r="F13" s="809"/>
      <c r="G13" s="809"/>
      <c r="H13" s="809"/>
      <c r="I13" s="809"/>
      <c r="J13" s="809"/>
      <c r="K13" s="809"/>
      <c r="L13" s="809"/>
      <c r="M13" s="809"/>
      <c r="N13" s="809"/>
      <c r="O13" s="809"/>
      <c r="P13" s="809"/>
      <c r="Q13" s="809"/>
      <c r="R13" s="809"/>
      <c r="S13" s="809"/>
      <c r="T13" s="809"/>
      <c r="U13" s="809"/>
      <c r="V13" s="809"/>
      <c r="W13" s="809"/>
      <c r="X13" s="809"/>
      <c r="Y13" s="809"/>
      <c r="Z13" s="809"/>
      <c r="AA13" s="810"/>
      <c r="AC13" s="254"/>
    </row>
    <row r="14" spans="1:29" x14ac:dyDescent="0.25">
      <c r="B14" s="843"/>
      <c r="C14" s="844"/>
      <c r="D14" s="844"/>
      <c r="E14" s="844"/>
      <c r="F14" s="844"/>
      <c r="G14" s="844"/>
      <c r="H14" s="844"/>
      <c r="I14" s="844"/>
      <c r="J14" s="844"/>
      <c r="K14" s="844"/>
      <c r="L14" s="844"/>
      <c r="M14" s="844"/>
      <c r="N14" s="844"/>
      <c r="O14" s="844"/>
      <c r="P14" s="844"/>
      <c r="Q14" s="844"/>
      <c r="R14" s="844"/>
      <c r="S14" s="844"/>
      <c r="T14" s="844"/>
      <c r="U14" s="844"/>
      <c r="V14" s="844"/>
      <c r="W14" s="844"/>
      <c r="X14" s="844"/>
      <c r="Y14" s="844"/>
      <c r="Z14" s="844"/>
      <c r="AA14" s="845"/>
      <c r="AC14" s="272"/>
    </row>
    <row r="15" spans="1:29" x14ac:dyDescent="0.25">
      <c r="B15" s="846"/>
      <c r="C15" s="847"/>
      <c r="D15" s="847"/>
      <c r="E15" s="847"/>
      <c r="F15" s="847"/>
      <c r="G15" s="847"/>
      <c r="H15" s="847"/>
      <c r="I15" s="847"/>
      <c r="J15" s="847"/>
      <c r="K15" s="847"/>
      <c r="L15" s="847"/>
      <c r="M15" s="847"/>
      <c r="N15" s="847"/>
      <c r="O15" s="847"/>
      <c r="P15" s="847"/>
      <c r="Q15" s="847"/>
      <c r="R15" s="847"/>
      <c r="S15" s="847"/>
      <c r="T15" s="847"/>
      <c r="U15" s="847"/>
      <c r="V15" s="847"/>
      <c r="W15" s="847"/>
      <c r="X15" s="847"/>
      <c r="Y15" s="847"/>
      <c r="Z15" s="847"/>
      <c r="AA15" s="848"/>
      <c r="AC15" s="272"/>
    </row>
    <row r="16" spans="1:29" x14ac:dyDescent="0.25">
      <c r="B16" s="846"/>
      <c r="C16" s="847"/>
      <c r="D16" s="847"/>
      <c r="E16" s="847"/>
      <c r="F16" s="847"/>
      <c r="G16" s="847"/>
      <c r="H16" s="847"/>
      <c r="I16" s="847"/>
      <c r="J16" s="847"/>
      <c r="K16" s="847"/>
      <c r="L16" s="847"/>
      <c r="M16" s="847"/>
      <c r="N16" s="847"/>
      <c r="O16" s="847"/>
      <c r="P16" s="847"/>
      <c r="Q16" s="847"/>
      <c r="R16" s="847"/>
      <c r="S16" s="847"/>
      <c r="T16" s="847"/>
      <c r="U16" s="847"/>
      <c r="V16" s="847"/>
      <c r="W16" s="847"/>
      <c r="X16" s="847"/>
      <c r="Y16" s="847"/>
      <c r="Z16" s="847"/>
      <c r="AA16" s="848"/>
      <c r="AC16" s="272"/>
    </row>
    <row r="17" spans="2:29" x14ac:dyDescent="0.25">
      <c r="B17" s="846"/>
      <c r="C17" s="847"/>
      <c r="D17" s="847"/>
      <c r="E17" s="847"/>
      <c r="F17" s="847"/>
      <c r="G17" s="847"/>
      <c r="H17" s="847"/>
      <c r="I17" s="847"/>
      <c r="J17" s="847"/>
      <c r="K17" s="847"/>
      <c r="L17" s="847"/>
      <c r="M17" s="847"/>
      <c r="N17" s="847"/>
      <c r="O17" s="847"/>
      <c r="P17" s="847"/>
      <c r="Q17" s="847"/>
      <c r="R17" s="847"/>
      <c r="S17" s="847"/>
      <c r="T17" s="847"/>
      <c r="U17" s="847"/>
      <c r="V17" s="847"/>
      <c r="W17" s="847"/>
      <c r="X17" s="847"/>
      <c r="Y17" s="847"/>
      <c r="Z17" s="847"/>
      <c r="AA17" s="848"/>
      <c r="AC17" s="272"/>
    </row>
    <row r="18" spans="2:29" x14ac:dyDescent="0.25">
      <c r="B18" s="846"/>
      <c r="C18" s="847"/>
      <c r="D18" s="847"/>
      <c r="E18" s="847"/>
      <c r="F18" s="847"/>
      <c r="G18" s="847"/>
      <c r="H18" s="847"/>
      <c r="I18" s="847"/>
      <c r="J18" s="847"/>
      <c r="K18" s="847"/>
      <c r="L18" s="847"/>
      <c r="M18" s="847"/>
      <c r="N18" s="847"/>
      <c r="O18" s="847"/>
      <c r="P18" s="847"/>
      <c r="Q18" s="847"/>
      <c r="R18" s="847"/>
      <c r="S18" s="847"/>
      <c r="T18" s="847"/>
      <c r="U18" s="847"/>
      <c r="V18" s="847"/>
      <c r="W18" s="847"/>
      <c r="X18" s="847"/>
      <c r="Y18" s="847"/>
      <c r="Z18" s="847"/>
      <c r="AA18" s="848"/>
      <c r="AC18" s="272"/>
    </row>
    <row r="19" spans="2:29" x14ac:dyDescent="0.25">
      <c r="B19" s="846"/>
      <c r="C19" s="847"/>
      <c r="D19" s="847"/>
      <c r="E19" s="847"/>
      <c r="F19" s="847"/>
      <c r="G19" s="847"/>
      <c r="H19" s="847"/>
      <c r="I19" s="847"/>
      <c r="J19" s="847"/>
      <c r="K19" s="847"/>
      <c r="L19" s="847"/>
      <c r="M19" s="847"/>
      <c r="N19" s="847"/>
      <c r="O19" s="847"/>
      <c r="P19" s="847"/>
      <c r="Q19" s="847"/>
      <c r="R19" s="847"/>
      <c r="S19" s="847"/>
      <c r="T19" s="847"/>
      <c r="U19" s="847"/>
      <c r="V19" s="847"/>
      <c r="W19" s="847"/>
      <c r="X19" s="847"/>
      <c r="Y19" s="847"/>
      <c r="Z19" s="847"/>
      <c r="AA19" s="848"/>
      <c r="AC19" s="272"/>
    </row>
    <row r="20" spans="2:29" x14ac:dyDescent="0.25">
      <c r="B20" s="846"/>
      <c r="C20" s="847"/>
      <c r="D20" s="847"/>
      <c r="E20" s="847"/>
      <c r="F20" s="847"/>
      <c r="G20" s="847"/>
      <c r="H20" s="847"/>
      <c r="I20" s="847"/>
      <c r="J20" s="847"/>
      <c r="K20" s="847"/>
      <c r="L20" s="847"/>
      <c r="M20" s="847"/>
      <c r="N20" s="847"/>
      <c r="O20" s="847"/>
      <c r="P20" s="847"/>
      <c r="Q20" s="847"/>
      <c r="R20" s="847"/>
      <c r="S20" s="847"/>
      <c r="T20" s="847"/>
      <c r="U20" s="847"/>
      <c r="V20" s="847"/>
      <c r="W20" s="847"/>
      <c r="X20" s="847"/>
      <c r="Y20" s="847"/>
      <c r="Z20" s="847"/>
      <c r="AA20" s="848"/>
      <c r="AC20" s="272"/>
    </row>
    <row r="21" spans="2:29" x14ac:dyDescent="0.25">
      <c r="B21" s="846"/>
      <c r="C21" s="847"/>
      <c r="D21" s="847"/>
      <c r="E21" s="847"/>
      <c r="F21" s="847"/>
      <c r="G21" s="847"/>
      <c r="H21" s="847"/>
      <c r="I21" s="847"/>
      <c r="J21" s="847"/>
      <c r="K21" s="847"/>
      <c r="L21" s="847"/>
      <c r="M21" s="847"/>
      <c r="N21" s="847"/>
      <c r="O21" s="847"/>
      <c r="P21" s="847"/>
      <c r="Q21" s="847"/>
      <c r="R21" s="847"/>
      <c r="S21" s="847"/>
      <c r="T21" s="847"/>
      <c r="U21" s="847"/>
      <c r="V21" s="847"/>
      <c r="W21" s="847"/>
      <c r="X21" s="847"/>
      <c r="Y21" s="847"/>
      <c r="Z21" s="847"/>
      <c r="AA21" s="848"/>
      <c r="AC21" s="272"/>
    </row>
    <row r="22" spans="2:29" x14ac:dyDescent="0.25">
      <c r="B22" s="846"/>
      <c r="C22" s="847"/>
      <c r="D22" s="847"/>
      <c r="E22" s="847"/>
      <c r="F22" s="847"/>
      <c r="G22" s="847"/>
      <c r="H22" s="847"/>
      <c r="I22" s="847"/>
      <c r="J22" s="847"/>
      <c r="K22" s="847"/>
      <c r="L22" s="847"/>
      <c r="M22" s="847"/>
      <c r="N22" s="847"/>
      <c r="O22" s="847"/>
      <c r="P22" s="847"/>
      <c r="Q22" s="847"/>
      <c r="R22" s="847"/>
      <c r="S22" s="847"/>
      <c r="T22" s="847"/>
      <c r="U22" s="847"/>
      <c r="V22" s="847"/>
      <c r="W22" s="847"/>
      <c r="X22" s="847"/>
      <c r="Y22" s="847"/>
      <c r="Z22" s="847"/>
      <c r="AA22" s="848"/>
      <c r="AC22" s="272"/>
    </row>
    <row r="23" spans="2:29" x14ac:dyDescent="0.25">
      <c r="B23" s="846"/>
      <c r="C23" s="847"/>
      <c r="D23" s="847"/>
      <c r="E23" s="847"/>
      <c r="F23" s="847"/>
      <c r="G23" s="847"/>
      <c r="H23" s="847"/>
      <c r="I23" s="847"/>
      <c r="J23" s="847"/>
      <c r="K23" s="847"/>
      <c r="L23" s="847"/>
      <c r="M23" s="847"/>
      <c r="N23" s="847"/>
      <c r="O23" s="847"/>
      <c r="P23" s="847"/>
      <c r="Q23" s="847"/>
      <c r="R23" s="847"/>
      <c r="S23" s="847"/>
      <c r="T23" s="847"/>
      <c r="U23" s="847"/>
      <c r="V23" s="847"/>
      <c r="W23" s="847"/>
      <c r="X23" s="847"/>
      <c r="Y23" s="847"/>
      <c r="Z23" s="847"/>
      <c r="AA23" s="848"/>
      <c r="AC23" s="272"/>
    </row>
    <row r="24" spans="2:29" x14ac:dyDescent="0.25">
      <c r="B24" s="846"/>
      <c r="C24" s="847"/>
      <c r="D24" s="847"/>
      <c r="E24" s="847"/>
      <c r="F24" s="847"/>
      <c r="G24" s="847"/>
      <c r="H24" s="847"/>
      <c r="I24" s="847"/>
      <c r="J24" s="847"/>
      <c r="K24" s="847"/>
      <c r="L24" s="847"/>
      <c r="M24" s="847"/>
      <c r="N24" s="847"/>
      <c r="O24" s="847"/>
      <c r="P24" s="847"/>
      <c r="Q24" s="847"/>
      <c r="R24" s="847"/>
      <c r="S24" s="847"/>
      <c r="T24" s="847"/>
      <c r="U24" s="847"/>
      <c r="V24" s="847"/>
      <c r="W24" s="847"/>
      <c r="X24" s="847"/>
      <c r="Y24" s="847"/>
      <c r="Z24" s="847"/>
      <c r="AA24" s="848"/>
      <c r="AC24" s="272"/>
    </row>
    <row r="25" spans="2:29" x14ac:dyDescent="0.25">
      <c r="B25" s="846"/>
      <c r="C25" s="847"/>
      <c r="D25" s="847"/>
      <c r="E25" s="847"/>
      <c r="F25" s="847"/>
      <c r="G25" s="847"/>
      <c r="H25" s="847"/>
      <c r="I25" s="847"/>
      <c r="J25" s="847"/>
      <c r="K25" s="847"/>
      <c r="L25" s="847"/>
      <c r="M25" s="847"/>
      <c r="N25" s="847"/>
      <c r="O25" s="847"/>
      <c r="P25" s="847"/>
      <c r="Q25" s="847"/>
      <c r="R25" s="847"/>
      <c r="S25" s="847"/>
      <c r="T25" s="847"/>
      <c r="U25" s="847"/>
      <c r="V25" s="847"/>
      <c r="W25" s="847"/>
      <c r="X25" s="847"/>
      <c r="Y25" s="847"/>
      <c r="Z25" s="847"/>
      <c r="AA25" s="848"/>
      <c r="AC25" s="272"/>
    </row>
    <row r="26" spans="2:29" x14ac:dyDescent="0.25">
      <c r="B26" s="846"/>
      <c r="C26" s="847"/>
      <c r="D26" s="847"/>
      <c r="E26" s="847"/>
      <c r="F26" s="847"/>
      <c r="G26" s="847"/>
      <c r="H26" s="847"/>
      <c r="I26" s="847"/>
      <c r="J26" s="847"/>
      <c r="K26" s="847"/>
      <c r="L26" s="847"/>
      <c r="M26" s="847"/>
      <c r="N26" s="847"/>
      <c r="O26" s="847"/>
      <c r="P26" s="847"/>
      <c r="Q26" s="847"/>
      <c r="R26" s="847"/>
      <c r="S26" s="847"/>
      <c r="T26" s="847"/>
      <c r="U26" s="847"/>
      <c r="V26" s="847"/>
      <c r="W26" s="847"/>
      <c r="X26" s="847"/>
      <c r="Y26" s="847"/>
      <c r="Z26" s="847"/>
      <c r="AA26" s="848"/>
      <c r="AC26" s="272"/>
    </row>
    <row r="27" spans="2:29" x14ac:dyDescent="0.25">
      <c r="B27" s="846"/>
      <c r="C27" s="847"/>
      <c r="D27" s="847"/>
      <c r="E27" s="847"/>
      <c r="F27" s="847"/>
      <c r="G27" s="847"/>
      <c r="H27" s="847"/>
      <c r="I27" s="847"/>
      <c r="J27" s="847"/>
      <c r="K27" s="847"/>
      <c r="L27" s="847"/>
      <c r="M27" s="847"/>
      <c r="N27" s="847"/>
      <c r="O27" s="847"/>
      <c r="P27" s="847"/>
      <c r="Q27" s="847"/>
      <c r="R27" s="847"/>
      <c r="S27" s="847"/>
      <c r="T27" s="847"/>
      <c r="U27" s="847"/>
      <c r="V27" s="847"/>
      <c r="W27" s="847"/>
      <c r="X27" s="847"/>
      <c r="Y27" s="847"/>
      <c r="Z27" s="847"/>
      <c r="AA27" s="848"/>
      <c r="AC27" s="272"/>
    </row>
    <row r="28" spans="2:29" x14ac:dyDescent="0.25">
      <c r="B28" s="846"/>
      <c r="C28" s="847"/>
      <c r="D28" s="847"/>
      <c r="E28" s="847"/>
      <c r="F28" s="847"/>
      <c r="G28" s="847"/>
      <c r="H28" s="847"/>
      <c r="I28" s="847"/>
      <c r="J28" s="847"/>
      <c r="K28" s="847"/>
      <c r="L28" s="847"/>
      <c r="M28" s="847"/>
      <c r="N28" s="847"/>
      <c r="O28" s="847"/>
      <c r="P28" s="847"/>
      <c r="Q28" s="847"/>
      <c r="R28" s="847"/>
      <c r="S28" s="847"/>
      <c r="T28" s="847"/>
      <c r="U28" s="847"/>
      <c r="V28" s="847"/>
      <c r="W28" s="847"/>
      <c r="X28" s="847"/>
      <c r="Y28" s="847"/>
      <c r="Z28" s="847"/>
      <c r="AA28" s="848"/>
      <c r="AC28" s="272"/>
    </row>
    <row r="29" spans="2:29" x14ac:dyDescent="0.25">
      <c r="B29" s="846"/>
      <c r="C29" s="847"/>
      <c r="D29" s="847"/>
      <c r="E29" s="847"/>
      <c r="F29" s="847"/>
      <c r="G29" s="847"/>
      <c r="H29" s="847"/>
      <c r="I29" s="847"/>
      <c r="J29" s="847"/>
      <c r="K29" s="847"/>
      <c r="L29" s="847"/>
      <c r="M29" s="847"/>
      <c r="N29" s="847"/>
      <c r="O29" s="847"/>
      <c r="P29" s="847"/>
      <c r="Q29" s="847"/>
      <c r="R29" s="847"/>
      <c r="S29" s="847"/>
      <c r="T29" s="847"/>
      <c r="U29" s="847"/>
      <c r="V29" s="847"/>
      <c r="W29" s="847"/>
      <c r="X29" s="847"/>
      <c r="Y29" s="847"/>
      <c r="Z29" s="847"/>
      <c r="AA29" s="848"/>
      <c r="AC29" s="272"/>
    </row>
    <row r="30" spans="2:29" x14ac:dyDescent="0.25">
      <c r="B30" s="846"/>
      <c r="C30" s="847"/>
      <c r="D30" s="847"/>
      <c r="E30" s="847"/>
      <c r="F30" s="847"/>
      <c r="G30" s="847"/>
      <c r="H30" s="847"/>
      <c r="I30" s="847"/>
      <c r="J30" s="847"/>
      <c r="K30" s="847"/>
      <c r="L30" s="847"/>
      <c r="M30" s="847"/>
      <c r="N30" s="847"/>
      <c r="O30" s="847"/>
      <c r="P30" s="847"/>
      <c r="Q30" s="847"/>
      <c r="R30" s="847"/>
      <c r="S30" s="847"/>
      <c r="T30" s="847"/>
      <c r="U30" s="847"/>
      <c r="V30" s="847"/>
      <c r="W30" s="847"/>
      <c r="X30" s="847"/>
      <c r="Y30" s="847"/>
      <c r="Z30" s="847"/>
      <c r="AA30" s="848"/>
      <c r="AC30" s="272"/>
    </row>
    <row r="31" spans="2:29" x14ac:dyDescent="0.25">
      <c r="B31" s="846"/>
      <c r="C31" s="847"/>
      <c r="D31" s="847"/>
      <c r="E31" s="847"/>
      <c r="F31" s="847"/>
      <c r="G31" s="847"/>
      <c r="H31" s="847"/>
      <c r="I31" s="847"/>
      <c r="J31" s="847"/>
      <c r="K31" s="847"/>
      <c r="L31" s="847"/>
      <c r="M31" s="847"/>
      <c r="N31" s="847"/>
      <c r="O31" s="847"/>
      <c r="P31" s="847"/>
      <c r="Q31" s="847"/>
      <c r="R31" s="847"/>
      <c r="S31" s="847"/>
      <c r="T31" s="847"/>
      <c r="U31" s="847"/>
      <c r="V31" s="847"/>
      <c r="W31" s="847"/>
      <c r="X31" s="847"/>
      <c r="Y31" s="847"/>
      <c r="Z31" s="847"/>
      <c r="AA31" s="848"/>
      <c r="AC31" s="272"/>
    </row>
    <row r="32" spans="2:29" x14ac:dyDescent="0.25">
      <c r="B32" s="846"/>
      <c r="C32" s="847"/>
      <c r="D32" s="847"/>
      <c r="E32" s="847"/>
      <c r="F32" s="847"/>
      <c r="G32" s="847"/>
      <c r="H32" s="847"/>
      <c r="I32" s="847"/>
      <c r="J32" s="847"/>
      <c r="K32" s="847"/>
      <c r="L32" s="847"/>
      <c r="M32" s="847"/>
      <c r="N32" s="847"/>
      <c r="O32" s="847"/>
      <c r="P32" s="847"/>
      <c r="Q32" s="847"/>
      <c r="R32" s="847"/>
      <c r="S32" s="847"/>
      <c r="T32" s="847"/>
      <c r="U32" s="847"/>
      <c r="V32" s="847"/>
      <c r="W32" s="847"/>
      <c r="X32" s="847"/>
      <c r="Y32" s="847"/>
      <c r="Z32" s="847"/>
      <c r="AA32" s="848"/>
      <c r="AC32" s="272"/>
    </row>
    <row r="33" spans="2:29" x14ac:dyDescent="0.25">
      <c r="B33" s="846"/>
      <c r="C33" s="847"/>
      <c r="D33" s="847"/>
      <c r="E33" s="847"/>
      <c r="F33" s="847"/>
      <c r="G33" s="847"/>
      <c r="H33" s="847"/>
      <c r="I33" s="847"/>
      <c r="J33" s="847"/>
      <c r="K33" s="847"/>
      <c r="L33" s="847"/>
      <c r="M33" s="847"/>
      <c r="N33" s="847"/>
      <c r="O33" s="847"/>
      <c r="P33" s="847"/>
      <c r="Q33" s="847"/>
      <c r="R33" s="847"/>
      <c r="S33" s="847"/>
      <c r="T33" s="847"/>
      <c r="U33" s="847"/>
      <c r="V33" s="847"/>
      <c r="W33" s="847"/>
      <c r="X33" s="847"/>
      <c r="Y33" s="847"/>
      <c r="Z33" s="847"/>
      <c r="AA33" s="848"/>
      <c r="AC33" s="272"/>
    </row>
    <row r="34" spans="2:29" ht="17.25" thickBot="1" x14ac:dyDescent="0.3">
      <c r="B34" s="849"/>
      <c r="C34" s="850"/>
      <c r="D34" s="850"/>
      <c r="E34" s="850"/>
      <c r="F34" s="850"/>
      <c r="G34" s="850"/>
      <c r="H34" s="850"/>
      <c r="I34" s="850"/>
      <c r="J34" s="850"/>
      <c r="K34" s="850"/>
      <c r="L34" s="850"/>
      <c r="M34" s="850"/>
      <c r="N34" s="850"/>
      <c r="O34" s="850"/>
      <c r="P34" s="850"/>
      <c r="Q34" s="850"/>
      <c r="R34" s="850"/>
      <c r="S34" s="850"/>
      <c r="T34" s="850"/>
      <c r="U34" s="850"/>
      <c r="V34" s="850"/>
      <c r="W34" s="850"/>
      <c r="X34" s="850"/>
      <c r="Y34" s="850"/>
      <c r="Z34" s="850"/>
      <c r="AA34" s="851"/>
      <c r="AC34" s="272"/>
    </row>
    <row r="35" spans="2:29" ht="17.25" thickBot="1" x14ac:dyDescent="0.3">
      <c r="AC35" s="272"/>
    </row>
    <row r="36" spans="2:29" s="33" customFormat="1" ht="18" thickBot="1" x14ac:dyDescent="0.3">
      <c r="B36" s="808" t="s">
        <v>365</v>
      </c>
      <c r="C36" s="809"/>
      <c r="D36" s="809"/>
      <c r="E36" s="809"/>
      <c r="F36" s="809"/>
      <c r="G36" s="809"/>
      <c r="H36" s="810"/>
      <c r="J36" s="808" t="s">
        <v>366</v>
      </c>
      <c r="K36" s="809"/>
      <c r="L36" s="809"/>
      <c r="M36" s="809"/>
      <c r="N36" s="809"/>
      <c r="O36" s="809"/>
      <c r="P36" s="809"/>
      <c r="Q36" s="809"/>
      <c r="R36" s="809"/>
      <c r="S36" s="809"/>
      <c r="T36" s="809"/>
      <c r="U36" s="809"/>
      <c r="V36" s="809"/>
      <c r="W36" s="809"/>
      <c r="X36" s="809"/>
      <c r="Y36" s="809"/>
      <c r="Z36" s="809"/>
      <c r="AA36" s="810"/>
      <c r="AC36" s="254"/>
    </row>
    <row r="37" spans="2:29" x14ac:dyDescent="0.25">
      <c r="B37" s="852"/>
      <c r="C37" s="853"/>
      <c r="D37" s="853"/>
      <c r="E37" s="853"/>
      <c r="F37" s="853"/>
      <c r="G37" s="853"/>
      <c r="H37" s="854"/>
      <c r="J37" s="843"/>
      <c r="K37" s="844"/>
      <c r="L37" s="844"/>
      <c r="M37" s="844"/>
      <c r="N37" s="844"/>
      <c r="O37" s="844"/>
      <c r="P37" s="844"/>
      <c r="Q37" s="844"/>
      <c r="R37" s="844"/>
      <c r="S37" s="844"/>
      <c r="T37" s="844"/>
      <c r="U37" s="844"/>
      <c r="V37" s="844"/>
      <c r="W37" s="844"/>
      <c r="X37" s="844"/>
      <c r="Y37" s="844"/>
      <c r="Z37" s="844"/>
      <c r="AA37" s="845"/>
      <c r="AC37" s="272"/>
    </row>
    <row r="38" spans="2:29" x14ac:dyDescent="0.25">
      <c r="B38" s="837"/>
      <c r="C38" s="838"/>
      <c r="D38" s="838"/>
      <c r="E38" s="838"/>
      <c r="F38" s="838"/>
      <c r="G38" s="838"/>
      <c r="H38" s="839"/>
      <c r="J38" s="846"/>
      <c r="K38" s="847"/>
      <c r="L38" s="847"/>
      <c r="M38" s="847"/>
      <c r="N38" s="847"/>
      <c r="O38" s="847"/>
      <c r="P38" s="847"/>
      <c r="Q38" s="847"/>
      <c r="R38" s="847"/>
      <c r="S38" s="847"/>
      <c r="T38" s="847"/>
      <c r="U38" s="847"/>
      <c r="V38" s="847"/>
      <c r="W38" s="847"/>
      <c r="X38" s="847"/>
      <c r="Y38" s="847"/>
      <c r="Z38" s="847"/>
      <c r="AA38" s="848"/>
      <c r="AC38" s="272"/>
    </row>
    <row r="39" spans="2:29" x14ac:dyDescent="0.25">
      <c r="B39" s="837"/>
      <c r="C39" s="838"/>
      <c r="D39" s="838"/>
      <c r="E39" s="838"/>
      <c r="F39" s="838"/>
      <c r="G39" s="838"/>
      <c r="H39" s="839"/>
      <c r="J39" s="846"/>
      <c r="K39" s="847"/>
      <c r="L39" s="847"/>
      <c r="M39" s="847"/>
      <c r="N39" s="847"/>
      <c r="O39" s="847"/>
      <c r="P39" s="847"/>
      <c r="Q39" s="847"/>
      <c r="R39" s="847"/>
      <c r="S39" s="847"/>
      <c r="T39" s="847"/>
      <c r="U39" s="847"/>
      <c r="V39" s="847"/>
      <c r="W39" s="847"/>
      <c r="X39" s="847"/>
      <c r="Y39" s="847"/>
      <c r="Z39" s="847"/>
      <c r="AA39" s="848"/>
      <c r="AC39" s="272"/>
    </row>
    <row r="40" spans="2:29" x14ac:dyDescent="0.25">
      <c r="B40" s="837"/>
      <c r="C40" s="838"/>
      <c r="D40" s="838"/>
      <c r="E40" s="838"/>
      <c r="F40" s="838"/>
      <c r="G40" s="838"/>
      <c r="H40" s="839"/>
      <c r="J40" s="846"/>
      <c r="K40" s="847"/>
      <c r="L40" s="847"/>
      <c r="M40" s="847"/>
      <c r="N40" s="847"/>
      <c r="O40" s="847"/>
      <c r="P40" s="847"/>
      <c r="Q40" s="847"/>
      <c r="R40" s="847"/>
      <c r="S40" s="847"/>
      <c r="T40" s="847"/>
      <c r="U40" s="847"/>
      <c r="V40" s="847"/>
      <c r="W40" s="847"/>
      <c r="X40" s="847"/>
      <c r="Y40" s="847"/>
      <c r="Z40" s="847"/>
      <c r="AA40" s="848"/>
      <c r="AC40" s="272"/>
    </row>
    <row r="41" spans="2:29" x14ac:dyDescent="0.25">
      <c r="B41" s="837"/>
      <c r="C41" s="838"/>
      <c r="D41" s="838"/>
      <c r="E41" s="838"/>
      <c r="F41" s="838"/>
      <c r="G41" s="838"/>
      <c r="H41" s="839"/>
      <c r="J41" s="846"/>
      <c r="K41" s="847"/>
      <c r="L41" s="847"/>
      <c r="M41" s="847"/>
      <c r="N41" s="847"/>
      <c r="O41" s="847"/>
      <c r="P41" s="847"/>
      <c r="Q41" s="847"/>
      <c r="R41" s="847"/>
      <c r="S41" s="847"/>
      <c r="T41" s="847"/>
      <c r="U41" s="847"/>
      <c r="V41" s="847"/>
      <c r="W41" s="847"/>
      <c r="X41" s="847"/>
      <c r="Y41" s="847"/>
      <c r="Z41" s="847"/>
      <c r="AA41" s="848"/>
      <c r="AC41" s="272"/>
    </row>
    <row r="42" spans="2:29" x14ac:dyDescent="0.25">
      <c r="B42" s="837"/>
      <c r="C42" s="838"/>
      <c r="D42" s="838"/>
      <c r="E42" s="838"/>
      <c r="F42" s="838"/>
      <c r="G42" s="838"/>
      <c r="H42" s="839"/>
      <c r="J42" s="846"/>
      <c r="K42" s="847"/>
      <c r="L42" s="847"/>
      <c r="M42" s="847"/>
      <c r="N42" s="847"/>
      <c r="O42" s="847"/>
      <c r="P42" s="847"/>
      <c r="Q42" s="847"/>
      <c r="R42" s="847"/>
      <c r="S42" s="847"/>
      <c r="T42" s="847"/>
      <c r="U42" s="847"/>
      <c r="V42" s="847"/>
      <c r="W42" s="847"/>
      <c r="X42" s="847"/>
      <c r="Y42" s="847"/>
      <c r="Z42" s="847"/>
      <c r="AA42" s="848"/>
      <c r="AC42" s="272"/>
    </row>
    <row r="43" spans="2:29" x14ac:dyDescent="0.25">
      <c r="B43" s="837"/>
      <c r="C43" s="838"/>
      <c r="D43" s="838"/>
      <c r="E43" s="838"/>
      <c r="F43" s="838"/>
      <c r="G43" s="838"/>
      <c r="H43" s="839"/>
      <c r="J43" s="846"/>
      <c r="K43" s="847"/>
      <c r="L43" s="847"/>
      <c r="M43" s="847"/>
      <c r="N43" s="847"/>
      <c r="O43" s="847"/>
      <c r="P43" s="847"/>
      <c r="Q43" s="847"/>
      <c r="R43" s="847"/>
      <c r="S43" s="847"/>
      <c r="T43" s="847"/>
      <c r="U43" s="847"/>
      <c r="V43" s="847"/>
      <c r="W43" s="847"/>
      <c r="X43" s="847"/>
      <c r="Y43" s="847"/>
      <c r="Z43" s="847"/>
      <c r="AA43" s="848"/>
      <c r="AC43" s="272"/>
    </row>
    <row r="44" spans="2:29" x14ac:dyDescent="0.25">
      <c r="B44" s="837"/>
      <c r="C44" s="838"/>
      <c r="D44" s="838"/>
      <c r="E44" s="838"/>
      <c r="F44" s="838"/>
      <c r="G44" s="838"/>
      <c r="H44" s="839"/>
      <c r="J44" s="846"/>
      <c r="K44" s="847"/>
      <c r="L44" s="847"/>
      <c r="M44" s="847"/>
      <c r="N44" s="847"/>
      <c r="O44" s="847"/>
      <c r="P44" s="847"/>
      <c r="Q44" s="847"/>
      <c r="R44" s="847"/>
      <c r="S44" s="847"/>
      <c r="T44" s="847"/>
      <c r="U44" s="847"/>
      <c r="V44" s="847"/>
      <c r="W44" s="847"/>
      <c r="X44" s="847"/>
      <c r="Y44" s="847"/>
      <c r="Z44" s="847"/>
      <c r="AA44" s="848"/>
      <c r="AC44" s="272"/>
    </row>
    <row r="45" spans="2:29" x14ac:dyDescent="0.25">
      <c r="B45" s="837"/>
      <c r="C45" s="838"/>
      <c r="D45" s="838"/>
      <c r="E45" s="838"/>
      <c r="F45" s="838"/>
      <c r="G45" s="838"/>
      <c r="H45" s="839"/>
      <c r="J45" s="846"/>
      <c r="K45" s="847"/>
      <c r="L45" s="847"/>
      <c r="M45" s="847"/>
      <c r="N45" s="847"/>
      <c r="O45" s="847"/>
      <c r="P45" s="847"/>
      <c r="Q45" s="847"/>
      <c r="R45" s="847"/>
      <c r="S45" s="847"/>
      <c r="T45" s="847"/>
      <c r="U45" s="847"/>
      <c r="V45" s="847"/>
      <c r="W45" s="847"/>
      <c r="X45" s="847"/>
      <c r="Y45" s="847"/>
      <c r="Z45" s="847"/>
      <c r="AA45" s="848"/>
      <c r="AC45" s="272"/>
    </row>
    <row r="46" spans="2:29" x14ac:dyDescent="0.25">
      <c r="B46" s="837"/>
      <c r="C46" s="838"/>
      <c r="D46" s="838"/>
      <c r="E46" s="838"/>
      <c r="F46" s="838"/>
      <c r="G46" s="838"/>
      <c r="H46" s="839"/>
      <c r="J46" s="846"/>
      <c r="K46" s="847"/>
      <c r="L46" s="847"/>
      <c r="M46" s="847"/>
      <c r="N46" s="847"/>
      <c r="O46" s="847"/>
      <c r="P46" s="847"/>
      <c r="Q46" s="847"/>
      <c r="R46" s="847"/>
      <c r="S46" s="847"/>
      <c r="T46" s="847"/>
      <c r="U46" s="847"/>
      <c r="V46" s="847"/>
      <c r="W46" s="847"/>
      <c r="X46" s="847"/>
      <c r="Y46" s="847"/>
      <c r="Z46" s="847"/>
      <c r="AA46" s="848"/>
      <c r="AC46" s="272"/>
    </row>
    <row r="47" spans="2:29" x14ac:dyDescent="0.25">
      <c r="B47" s="837"/>
      <c r="C47" s="838"/>
      <c r="D47" s="838"/>
      <c r="E47" s="838"/>
      <c r="F47" s="838"/>
      <c r="G47" s="838"/>
      <c r="H47" s="839"/>
      <c r="J47" s="846"/>
      <c r="K47" s="847"/>
      <c r="L47" s="847"/>
      <c r="M47" s="847"/>
      <c r="N47" s="847"/>
      <c r="O47" s="847"/>
      <c r="P47" s="847"/>
      <c r="Q47" s="847"/>
      <c r="R47" s="847"/>
      <c r="S47" s="847"/>
      <c r="T47" s="847"/>
      <c r="U47" s="847"/>
      <c r="V47" s="847"/>
      <c r="W47" s="847"/>
      <c r="X47" s="847"/>
      <c r="Y47" s="847"/>
      <c r="Z47" s="847"/>
      <c r="AA47" s="848"/>
      <c r="AC47" s="272"/>
    </row>
    <row r="48" spans="2:29" x14ac:dyDescent="0.25">
      <c r="B48" s="837"/>
      <c r="C48" s="838"/>
      <c r="D48" s="838"/>
      <c r="E48" s="838"/>
      <c r="F48" s="838"/>
      <c r="G48" s="838"/>
      <c r="H48" s="839"/>
      <c r="J48" s="846"/>
      <c r="K48" s="847"/>
      <c r="L48" s="847"/>
      <c r="M48" s="847"/>
      <c r="N48" s="847"/>
      <c r="O48" s="847"/>
      <c r="P48" s="847"/>
      <c r="Q48" s="847"/>
      <c r="R48" s="847"/>
      <c r="S48" s="847"/>
      <c r="T48" s="847"/>
      <c r="U48" s="847"/>
      <c r="V48" s="847"/>
      <c r="W48" s="847"/>
      <c r="X48" s="847"/>
      <c r="Y48" s="847"/>
      <c r="Z48" s="847"/>
      <c r="AA48" s="848"/>
      <c r="AC48" s="272"/>
    </row>
    <row r="49" spans="2:29" x14ac:dyDescent="0.25">
      <c r="B49" s="837"/>
      <c r="C49" s="838"/>
      <c r="D49" s="838"/>
      <c r="E49" s="838"/>
      <c r="F49" s="838"/>
      <c r="G49" s="838"/>
      <c r="H49" s="839"/>
      <c r="J49" s="846"/>
      <c r="K49" s="847"/>
      <c r="L49" s="847"/>
      <c r="M49" s="847"/>
      <c r="N49" s="847"/>
      <c r="O49" s="847"/>
      <c r="P49" s="847"/>
      <c r="Q49" s="847"/>
      <c r="R49" s="847"/>
      <c r="S49" s="847"/>
      <c r="T49" s="847"/>
      <c r="U49" s="847"/>
      <c r="V49" s="847"/>
      <c r="W49" s="847"/>
      <c r="X49" s="847"/>
      <c r="Y49" s="847"/>
      <c r="Z49" s="847"/>
      <c r="AA49" s="848"/>
      <c r="AC49" s="272"/>
    </row>
    <row r="50" spans="2:29" x14ac:dyDescent="0.25">
      <c r="B50" s="837"/>
      <c r="C50" s="838"/>
      <c r="D50" s="838"/>
      <c r="E50" s="838"/>
      <c r="F50" s="838"/>
      <c r="G50" s="838"/>
      <c r="H50" s="839"/>
      <c r="J50" s="846"/>
      <c r="K50" s="847"/>
      <c r="L50" s="847"/>
      <c r="M50" s="847"/>
      <c r="N50" s="847"/>
      <c r="O50" s="847"/>
      <c r="P50" s="847"/>
      <c r="Q50" s="847"/>
      <c r="R50" s="847"/>
      <c r="S50" s="847"/>
      <c r="T50" s="847"/>
      <c r="U50" s="847"/>
      <c r="V50" s="847"/>
      <c r="W50" s="847"/>
      <c r="X50" s="847"/>
      <c r="Y50" s="847"/>
      <c r="Z50" s="847"/>
      <c r="AA50" s="848"/>
      <c r="AC50" s="272"/>
    </row>
    <row r="51" spans="2:29" x14ac:dyDescent="0.25">
      <c r="B51" s="837"/>
      <c r="C51" s="838"/>
      <c r="D51" s="838"/>
      <c r="E51" s="838"/>
      <c r="F51" s="838"/>
      <c r="G51" s="838"/>
      <c r="H51" s="839"/>
      <c r="J51" s="846"/>
      <c r="K51" s="847"/>
      <c r="L51" s="847"/>
      <c r="M51" s="847"/>
      <c r="N51" s="847"/>
      <c r="O51" s="847"/>
      <c r="P51" s="847"/>
      <c r="Q51" s="847"/>
      <c r="R51" s="847"/>
      <c r="S51" s="847"/>
      <c r="T51" s="847"/>
      <c r="U51" s="847"/>
      <c r="V51" s="847"/>
      <c r="W51" s="847"/>
      <c r="X51" s="847"/>
      <c r="Y51" s="847"/>
      <c r="Z51" s="847"/>
      <c r="AA51" s="848"/>
      <c r="AC51" s="272"/>
    </row>
    <row r="52" spans="2:29" x14ac:dyDescent="0.25">
      <c r="B52" s="837"/>
      <c r="C52" s="838"/>
      <c r="D52" s="838"/>
      <c r="E52" s="838"/>
      <c r="F52" s="838"/>
      <c r="G52" s="838"/>
      <c r="H52" s="839"/>
      <c r="J52" s="846"/>
      <c r="K52" s="847"/>
      <c r="L52" s="847"/>
      <c r="M52" s="847"/>
      <c r="N52" s="847"/>
      <c r="O52" s="847"/>
      <c r="P52" s="847"/>
      <c r="Q52" s="847"/>
      <c r="R52" s="847"/>
      <c r="S52" s="847"/>
      <c r="T52" s="847"/>
      <c r="U52" s="847"/>
      <c r="V52" s="847"/>
      <c r="W52" s="847"/>
      <c r="X52" s="847"/>
      <c r="Y52" s="847"/>
      <c r="Z52" s="847"/>
      <c r="AA52" s="848"/>
      <c r="AC52" s="272"/>
    </row>
    <row r="53" spans="2:29" x14ac:dyDescent="0.25">
      <c r="B53" s="837"/>
      <c r="C53" s="838"/>
      <c r="D53" s="838"/>
      <c r="E53" s="838"/>
      <c r="F53" s="838"/>
      <c r="G53" s="838"/>
      <c r="H53" s="839"/>
      <c r="J53" s="846"/>
      <c r="K53" s="847"/>
      <c r="L53" s="847"/>
      <c r="M53" s="847"/>
      <c r="N53" s="847"/>
      <c r="O53" s="847"/>
      <c r="P53" s="847"/>
      <c r="Q53" s="847"/>
      <c r="R53" s="847"/>
      <c r="S53" s="847"/>
      <c r="T53" s="847"/>
      <c r="U53" s="847"/>
      <c r="V53" s="847"/>
      <c r="W53" s="847"/>
      <c r="X53" s="847"/>
      <c r="Y53" s="847"/>
      <c r="Z53" s="847"/>
      <c r="AA53" s="848"/>
      <c r="AC53" s="272"/>
    </row>
    <row r="54" spans="2:29" x14ac:dyDescent="0.25">
      <c r="B54" s="837"/>
      <c r="C54" s="838"/>
      <c r="D54" s="838"/>
      <c r="E54" s="838"/>
      <c r="F54" s="838"/>
      <c r="G54" s="838"/>
      <c r="H54" s="839"/>
      <c r="J54" s="846"/>
      <c r="K54" s="847"/>
      <c r="L54" s="847"/>
      <c r="M54" s="847"/>
      <c r="N54" s="847"/>
      <c r="O54" s="847"/>
      <c r="P54" s="847"/>
      <c r="Q54" s="847"/>
      <c r="R54" s="847"/>
      <c r="S54" s="847"/>
      <c r="T54" s="847"/>
      <c r="U54" s="847"/>
      <c r="V54" s="847"/>
      <c r="W54" s="847"/>
      <c r="X54" s="847"/>
      <c r="Y54" s="847"/>
      <c r="Z54" s="847"/>
      <c r="AA54" s="848"/>
      <c r="AC54" s="272"/>
    </row>
    <row r="55" spans="2:29" x14ac:dyDescent="0.25">
      <c r="B55" s="837"/>
      <c r="C55" s="838"/>
      <c r="D55" s="838"/>
      <c r="E55" s="838"/>
      <c r="F55" s="838"/>
      <c r="G55" s="838"/>
      <c r="H55" s="839"/>
      <c r="J55" s="846"/>
      <c r="K55" s="847"/>
      <c r="L55" s="847"/>
      <c r="M55" s="847"/>
      <c r="N55" s="847"/>
      <c r="O55" s="847"/>
      <c r="P55" s="847"/>
      <c r="Q55" s="847"/>
      <c r="R55" s="847"/>
      <c r="S55" s="847"/>
      <c r="T55" s="847"/>
      <c r="U55" s="847"/>
      <c r="V55" s="847"/>
      <c r="W55" s="847"/>
      <c r="X55" s="847"/>
      <c r="Y55" s="847"/>
      <c r="Z55" s="847"/>
      <c r="AA55" s="848"/>
      <c r="AC55" s="272"/>
    </row>
    <row r="56" spans="2:29" x14ac:dyDescent="0.25">
      <c r="B56" s="837"/>
      <c r="C56" s="838"/>
      <c r="D56" s="838"/>
      <c r="E56" s="838"/>
      <c r="F56" s="838"/>
      <c r="G56" s="838"/>
      <c r="H56" s="839"/>
      <c r="J56" s="846"/>
      <c r="K56" s="847"/>
      <c r="L56" s="847"/>
      <c r="M56" s="847"/>
      <c r="N56" s="847"/>
      <c r="O56" s="847"/>
      <c r="P56" s="847"/>
      <c r="Q56" s="847"/>
      <c r="R56" s="847"/>
      <c r="S56" s="847"/>
      <c r="T56" s="847"/>
      <c r="U56" s="847"/>
      <c r="V56" s="847"/>
      <c r="W56" s="847"/>
      <c r="X56" s="847"/>
      <c r="Y56" s="847"/>
      <c r="Z56" s="847"/>
      <c r="AA56" s="848"/>
      <c r="AC56" s="272"/>
    </row>
    <row r="57" spans="2:29" ht="17.25" thickBot="1" x14ac:dyDescent="0.3">
      <c r="B57" s="840"/>
      <c r="C57" s="841"/>
      <c r="D57" s="841"/>
      <c r="E57" s="841"/>
      <c r="F57" s="841"/>
      <c r="G57" s="841"/>
      <c r="H57" s="842"/>
      <c r="J57" s="849"/>
      <c r="K57" s="850"/>
      <c r="L57" s="850"/>
      <c r="M57" s="850"/>
      <c r="N57" s="850"/>
      <c r="O57" s="850"/>
      <c r="P57" s="850"/>
      <c r="Q57" s="850"/>
      <c r="R57" s="850"/>
      <c r="S57" s="850"/>
      <c r="T57" s="850"/>
      <c r="U57" s="850"/>
      <c r="V57" s="850"/>
      <c r="W57" s="850"/>
      <c r="X57" s="850"/>
      <c r="Y57" s="850"/>
      <c r="Z57" s="850"/>
      <c r="AA57" s="851"/>
      <c r="AC57" s="272"/>
    </row>
    <row r="58" spans="2:29" ht="17.25" thickBot="1" x14ac:dyDescent="0.3">
      <c r="J58" s="269"/>
      <c r="AC58" s="272"/>
    </row>
    <row r="59" spans="2:29" s="48" customFormat="1" ht="37.5" customHeight="1" thickBot="1" x14ac:dyDescent="0.3">
      <c r="B59" s="808" t="s">
        <v>648</v>
      </c>
      <c r="C59" s="809"/>
      <c r="D59" s="809"/>
      <c r="E59" s="809"/>
      <c r="F59" s="809"/>
      <c r="G59" s="809"/>
      <c r="H59" s="810"/>
      <c r="J59" s="864" t="s">
        <v>656</v>
      </c>
      <c r="K59" s="865"/>
      <c r="L59" s="865"/>
      <c r="M59" s="865"/>
      <c r="N59" s="865"/>
      <c r="O59" s="865"/>
      <c r="P59" s="865"/>
      <c r="Q59" s="865"/>
      <c r="R59" s="865"/>
      <c r="S59" s="865"/>
      <c r="T59" s="865"/>
      <c r="U59" s="865"/>
      <c r="V59" s="865"/>
      <c r="W59" s="865"/>
      <c r="X59" s="865"/>
      <c r="Y59" s="865"/>
      <c r="Z59" s="865"/>
      <c r="AA59" s="866"/>
      <c r="AC59" s="255"/>
    </row>
    <row r="60" spans="2:29" x14ac:dyDescent="0.25">
      <c r="B60" s="855"/>
      <c r="C60" s="856"/>
      <c r="D60" s="856"/>
      <c r="E60" s="856"/>
      <c r="F60" s="856"/>
      <c r="G60" s="856"/>
      <c r="H60" s="857"/>
      <c r="J60" s="855"/>
      <c r="K60" s="856"/>
      <c r="L60" s="856"/>
      <c r="M60" s="856"/>
      <c r="N60" s="856"/>
      <c r="O60" s="856"/>
      <c r="P60" s="856"/>
      <c r="Q60" s="856"/>
      <c r="R60" s="856"/>
      <c r="S60" s="856"/>
      <c r="T60" s="856"/>
      <c r="U60" s="856"/>
      <c r="V60" s="856"/>
      <c r="W60" s="856"/>
      <c r="X60" s="856"/>
      <c r="Y60" s="856"/>
      <c r="Z60" s="856"/>
      <c r="AA60" s="857"/>
      <c r="AC60" s="272"/>
    </row>
    <row r="61" spans="2:29" x14ac:dyDescent="0.25">
      <c r="B61" s="858"/>
      <c r="C61" s="859"/>
      <c r="D61" s="859"/>
      <c r="E61" s="859"/>
      <c r="F61" s="859"/>
      <c r="G61" s="859"/>
      <c r="H61" s="860"/>
      <c r="J61" s="858"/>
      <c r="K61" s="859"/>
      <c r="L61" s="859"/>
      <c r="M61" s="859"/>
      <c r="N61" s="859"/>
      <c r="O61" s="859"/>
      <c r="P61" s="859"/>
      <c r="Q61" s="859"/>
      <c r="R61" s="859"/>
      <c r="S61" s="859"/>
      <c r="T61" s="859"/>
      <c r="U61" s="859"/>
      <c r="V61" s="859"/>
      <c r="W61" s="859"/>
      <c r="X61" s="859"/>
      <c r="Y61" s="859"/>
      <c r="Z61" s="859"/>
      <c r="AA61" s="860"/>
      <c r="AC61" s="272"/>
    </row>
    <row r="62" spans="2:29" x14ac:dyDescent="0.25">
      <c r="B62" s="858"/>
      <c r="C62" s="859"/>
      <c r="D62" s="859"/>
      <c r="E62" s="859"/>
      <c r="F62" s="859"/>
      <c r="G62" s="859"/>
      <c r="H62" s="860"/>
      <c r="J62" s="858"/>
      <c r="K62" s="859"/>
      <c r="L62" s="859"/>
      <c r="M62" s="859"/>
      <c r="N62" s="859"/>
      <c r="O62" s="859"/>
      <c r="P62" s="859"/>
      <c r="Q62" s="859"/>
      <c r="R62" s="859"/>
      <c r="S62" s="859"/>
      <c r="T62" s="859"/>
      <c r="U62" s="859"/>
      <c r="V62" s="859"/>
      <c r="W62" s="859"/>
      <c r="X62" s="859"/>
      <c r="Y62" s="859"/>
      <c r="Z62" s="859"/>
      <c r="AA62" s="860"/>
      <c r="AC62" s="272"/>
    </row>
    <row r="63" spans="2:29" x14ac:dyDescent="0.25">
      <c r="B63" s="858"/>
      <c r="C63" s="859"/>
      <c r="D63" s="859"/>
      <c r="E63" s="859"/>
      <c r="F63" s="859"/>
      <c r="G63" s="859"/>
      <c r="H63" s="860"/>
      <c r="J63" s="858"/>
      <c r="K63" s="859"/>
      <c r="L63" s="859"/>
      <c r="M63" s="859"/>
      <c r="N63" s="859"/>
      <c r="O63" s="859"/>
      <c r="P63" s="859"/>
      <c r="Q63" s="859"/>
      <c r="R63" s="859"/>
      <c r="S63" s="859"/>
      <c r="T63" s="859"/>
      <c r="U63" s="859"/>
      <c r="V63" s="859"/>
      <c r="W63" s="859"/>
      <c r="X63" s="859"/>
      <c r="Y63" s="859"/>
      <c r="Z63" s="859"/>
      <c r="AA63" s="860"/>
      <c r="AC63" s="272"/>
    </row>
    <row r="64" spans="2:29" x14ac:dyDescent="0.25">
      <c r="B64" s="858"/>
      <c r="C64" s="859"/>
      <c r="D64" s="859"/>
      <c r="E64" s="859"/>
      <c r="F64" s="859"/>
      <c r="G64" s="859"/>
      <c r="H64" s="860"/>
      <c r="J64" s="858"/>
      <c r="K64" s="859"/>
      <c r="L64" s="859"/>
      <c r="M64" s="859"/>
      <c r="N64" s="859"/>
      <c r="O64" s="859"/>
      <c r="P64" s="859"/>
      <c r="Q64" s="859"/>
      <c r="R64" s="859"/>
      <c r="S64" s="859"/>
      <c r="T64" s="859"/>
      <c r="U64" s="859"/>
      <c r="V64" s="859"/>
      <c r="W64" s="859"/>
      <c r="X64" s="859"/>
      <c r="Y64" s="859"/>
      <c r="Z64" s="859"/>
      <c r="AA64" s="860"/>
      <c r="AC64" s="272"/>
    </row>
    <row r="65" spans="2:29" x14ac:dyDescent="0.25">
      <c r="B65" s="858"/>
      <c r="C65" s="859"/>
      <c r="D65" s="859"/>
      <c r="E65" s="859"/>
      <c r="F65" s="859"/>
      <c r="G65" s="859"/>
      <c r="H65" s="860"/>
      <c r="J65" s="858"/>
      <c r="K65" s="859"/>
      <c r="L65" s="859"/>
      <c r="M65" s="859"/>
      <c r="N65" s="859"/>
      <c r="O65" s="859"/>
      <c r="P65" s="859"/>
      <c r="Q65" s="859"/>
      <c r="R65" s="859"/>
      <c r="S65" s="859"/>
      <c r="T65" s="859"/>
      <c r="U65" s="859"/>
      <c r="V65" s="859"/>
      <c r="W65" s="859"/>
      <c r="X65" s="859"/>
      <c r="Y65" s="859"/>
      <c r="Z65" s="859"/>
      <c r="AA65" s="860"/>
      <c r="AC65" s="272"/>
    </row>
    <row r="66" spans="2:29" x14ac:dyDescent="0.25">
      <c r="B66" s="858"/>
      <c r="C66" s="859"/>
      <c r="D66" s="859"/>
      <c r="E66" s="859"/>
      <c r="F66" s="859"/>
      <c r="G66" s="859"/>
      <c r="H66" s="860"/>
      <c r="J66" s="858"/>
      <c r="K66" s="859"/>
      <c r="L66" s="859"/>
      <c r="M66" s="859"/>
      <c r="N66" s="859"/>
      <c r="O66" s="859"/>
      <c r="P66" s="859"/>
      <c r="Q66" s="859"/>
      <c r="R66" s="859"/>
      <c r="S66" s="859"/>
      <c r="T66" s="859"/>
      <c r="U66" s="859"/>
      <c r="V66" s="859"/>
      <c r="W66" s="859"/>
      <c r="X66" s="859"/>
      <c r="Y66" s="859"/>
      <c r="Z66" s="859"/>
      <c r="AA66" s="860"/>
      <c r="AC66" s="272"/>
    </row>
    <row r="67" spans="2:29" x14ac:dyDescent="0.25">
      <c r="B67" s="858"/>
      <c r="C67" s="859"/>
      <c r="D67" s="859"/>
      <c r="E67" s="859"/>
      <c r="F67" s="859"/>
      <c r="G67" s="859"/>
      <c r="H67" s="860"/>
      <c r="J67" s="858"/>
      <c r="K67" s="859"/>
      <c r="L67" s="859"/>
      <c r="M67" s="859"/>
      <c r="N67" s="859"/>
      <c r="O67" s="859"/>
      <c r="P67" s="859"/>
      <c r="Q67" s="859"/>
      <c r="R67" s="859"/>
      <c r="S67" s="859"/>
      <c r="T67" s="859"/>
      <c r="U67" s="859"/>
      <c r="V67" s="859"/>
      <c r="W67" s="859"/>
      <c r="X67" s="859"/>
      <c r="Y67" s="859"/>
      <c r="Z67" s="859"/>
      <c r="AA67" s="860"/>
      <c r="AC67" s="272"/>
    </row>
    <row r="68" spans="2:29" x14ac:dyDescent="0.25">
      <c r="B68" s="858"/>
      <c r="C68" s="859"/>
      <c r="D68" s="859"/>
      <c r="E68" s="859"/>
      <c r="F68" s="859"/>
      <c r="G68" s="859"/>
      <c r="H68" s="860"/>
      <c r="J68" s="858"/>
      <c r="K68" s="859"/>
      <c r="L68" s="859"/>
      <c r="M68" s="859"/>
      <c r="N68" s="859"/>
      <c r="O68" s="859"/>
      <c r="P68" s="859"/>
      <c r="Q68" s="859"/>
      <c r="R68" s="859"/>
      <c r="S68" s="859"/>
      <c r="T68" s="859"/>
      <c r="U68" s="859"/>
      <c r="V68" s="859"/>
      <c r="W68" s="859"/>
      <c r="X68" s="859"/>
      <c r="Y68" s="859"/>
      <c r="Z68" s="859"/>
      <c r="AA68" s="860"/>
      <c r="AC68" s="272"/>
    </row>
    <row r="69" spans="2:29" x14ac:dyDescent="0.25">
      <c r="B69" s="858"/>
      <c r="C69" s="859"/>
      <c r="D69" s="859"/>
      <c r="E69" s="859"/>
      <c r="F69" s="859"/>
      <c r="G69" s="859"/>
      <c r="H69" s="860"/>
      <c r="J69" s="858"/>
      <c r="K69" s="859"/>
      <c r="L69" s="859"/>
      <c r="M69" s="859"/>
      <c r="N69" s="859"/>
      <c r="O69" s="859"/>
      <c r="P69" s="859"/>
      <c r="Q69" s="859"/>
      <c r="R69" s="859"/>
      <c r="S69" s="859"/>
      <c r="T69" s="859"/>
      <c r="U69" s="859"/>
      <c r="V69" s="859"/>
      <c r="W69" s="859"/>
      <c r="X69" s="859"/>
      <c r="Y69" s="859"/>
      <c r="Z69" s="859"/>
      <c r="AA69" s="860"/>
      <c r="AC69" s="272"/>
    </row>
    <row r="70" spans="2:29" x14ac:dyDescent="0.25">
      <c r="B70" s="858"/>
      <c r="C70" s="859"/>
      <c r="D70" s="859"/>
      <c r="E70" s="859"/>
      <c r="F70" s="859"/>
      <c r="G70" s="859"/>
      <c r="H70" s="860"/>
      <c r="J70" s="858"/>
      <c r="K70" s="859"/>
      <c r="L70" s="859"/>
      <c r="M70" s="859"/>
      <c r="N70" s="859"/>
      <c r="O70" s="859"/>
      <c r="P70" s="859"/>
      <c r="Q70" s="859"/>
      <c r="R70" s="859"/>
      <c r="S70" s="859"/>
      <c r="T70" s="859"/>
      <c r="U70" s="859"/>
      <c r="V70" s="859"/>
      <c r="W70" s="859"/>
      <c r="X70" s="859"/>
      <c r="Y70" s="859"/>
      <c r="Z70" s="859"/>
      <c r="AA70" s="860"/>
      <c r="AC70" s="272"/>
    </row>
    <row r="71" spans="2:29" x14ac:dyDescent="0.25">
      <c r="B71" s="858"/>
      <c r="C71" s="859"/>
      <c r="D71" s="859"/>
      <c r="E71" s="859"/>
      <c r="F71" s="859"/>
      <c r="G71" s="859"/>
      <c r="H71" s="860"/>
      <c r="J71" s="858"/>
      <c r="K71" s="859"/>
      <c r="L71" s="859"/>
      <c r="M71" s="859"/>
      <c r="N71" s="859"/>
      <c r="O71" s="859"/>
      <c r="P71" s="859"/>
      <c r="Q71" s="859"/>
      <c r="R71" s="859"/>
      <c r="S71" s="859"/>
      <c r="T71" s="859"/>
      <c r="U71" s="859"/>
      <c r="V71" s="859"/>
      <c r="W71" s="859"/>
      <c r="X71" s="859"/>
      <c r="Y71" s="859"/>
      <c r="Z71" s="859"/>
      <c r="AA71" s="860"/>
      <c r="AC71" s="272"/>
    </row>
    <row r="72" spans="2:29" x14ac:dyDescent="0.25">
      <c r="B72" s="858"/>
      <c r="C72" s="859"/>
      <c r="D72" s="859"/>
      <c r="E72" s="859"/>
      <c r="F72" s="859"/>
      <c r="G72" s="859"/>
      <c r="H72" s="860"/>
      <c r="J72" s="858"/>
      <c r="K72" s="859"/>
      <c r="L72" s="859"/>
      <c r="M72" s="859"/>
      <c r="N72" s="859"/>
      <c r="O72" s="859"/>
      <c r="P72" s="859"/>
      <c r="Q72" s="859"/>
      <c r="R72" s="859"/>
      <c r="S72" s="859"/>
      <c r="T72" s="859"/>
      <c r="U72" s="859"/>
      <c r="V72" s="859"/>
      <c r="W72" s="859"/>
      <c r="X72" s="859"/>
      <c r="Y72" s="859"/>
      <c r="Z72" s="859"/>
      <c r="AA72" s="860"/>
      <c r="AC72" s="272"/>
    </row>
    <row r="73" spans="2:29" x14ac:dyDescent="0.25">
      <c r="B73" s="858"/>
      <c r="C73" s="859"/>
      <c r="D73" s="859"/>
      <c r="E73" s="859"/>
      <c r="F73" s="859"/>
      <c r="G73" s="859"/>
      <c r="H73" s="860"/>
      <c r="J73" s="858"/>
      <c r="K73" s="859"/>
      <c r="L73" s="859"/>
      <c r="M73" s="859"/>
      <c r="N73" s="859"/>
      <c r="O73" s="859"/>
      <c r="P73" s="859"/>
      <c r="Q73" s="859"/>
      <c r="R73" s="859"/>
      <c r="S73" s="859"/>
      <c r="T73" s="859"/>
      <c r="U73" s="859"/>
      <c r="V73" s="859"/>
      <c r="W73" s="859"/>
      <c r="X73" s="859"/>
      <c r="Y73" s="859"/>
      <c r="Z73" s="859"/>
      <c r="AA73" s="860"/>
      <c r="AC73" s="272"/>
    </row>
    <row r="74" spans="2:29" x14ac:dyDescent="0.25">
      <c r="B74" s="858"/>
      <c r="C74" s="859"/>
      <c r="D74" s="859"/>
      <c r="E74" s="859"/>
      <c r="F74" s="859"/>
      <c r="G74" s="859"/>
      <c r="H74" s="860"/>
      <c r="J74" s="858"/>
      <c r="K74" s="859"/>
      <c r="L74" s="859"/>
      <c r="M74" s="859"/>
      <c r="N74" s="859"/>
      <c r="O74" s="859"/>
      <c r="P74" s="859"/>
      <c r="Q74" s="859"/>
      <c r="R74" s="859"/>
      <c r="S74" s="859"/>
      <c r="T74" s="859"/>
      <c r="U74" s="859"/>
      <c r="V74" s="859"/>
      <c r="W74" s="859"/>
      <c r="X74" s="859"/>
      <c r="Y74" s="859"/>
      <c r="Z74" s="859"/>
      <c r="AA74" s="860"/>
      <c r="AC74" s="272"/>
    </row>
    <row r="75" spans="2:29" x14ac:dyDescent="0.25">
      <c r="B75" s="858"/>
      <c r="C75" s="859"/>
      <c r="D75" s="859"/>
      <c r="E75" s="859"/>
      <c r="F75" s="859"/>
      <c r="G75" s="859"/>
      <c r="H75" s="860"/>
      <c r="J75" s="858"/>
      <c r="K75" s="859"/>
      <c r="L75" s="859"/>
      <c r="M75" s="859"/>
      <c r="N75" s="859"/>
      <c r="O75" s="859"/>
      <c r="P75" s="859"/>
      <c r="Q75" s="859"/>
      <c r="R75" s="859"/>
      <c r="S75" s="859"/>
      <c r="T75" s="859"/>
      <c r="U75" s="859"/>
      <c r="V75" s="859"/>
      <c r="W75" s="859"/>
      <c r="X75" s="859"/>
      <c r="Y75" s="859"/>
      <c r="Z75" s="859"/>
      <c r="AA75" s="860"/>
      <c r="AC75" s="272"/>
    </row>
    <row r="76" spans="2:29" x14ac:dyDescent="0.25">
      <c r="B76" s="858"/>
      <c r="C76" s="859"/>
      <c r="D76" s="859"/>
      <c r="E76" s="859"/>
      <c r="F76" s="859"/>
      <c r="G76" s="859"/>
      <c r="H76" s="860"/>
      <c r="J76" s="858"/>
      <c r="K76" s="859"/>
      <c r="L76" s="859"/>
      <c r="M76" s="859"/>
      <c r="N76" s="859"/>
      <c r="O76" s="859"/>
      <c r="P76" s="859"/>
      <c r="Q76" s="859"/>
      <c r="R76" s="859"/>
      <c r="S76" s="859"/>
      <c r="T76" s="859"/>
      <c r="U76" s="859"/>
      <c r="V76" s="859"/>
      <c r="W76" s="859"/>
      <c r="X76" s="859"/>
      <c r="Y76" s="859"/>
      <c r="Z76" s="859"/>
      <c r="AA76" s="860"/>
      <c r="AC76" s="272"/>
    </row>
    <row r="77" spans="2:29" x14ac:dyDescent="0.25">
      <c r="B77" s="858"/>
      <c r="C77" s="859"/>
      <c r="D77" s="859"/>
      <c r="E77" s="859"/>
      <c r="F77" s="859"/>
      <c r="G77" s="859"/>
      <c r="H77" s="860"/>
      <c r="J77" s="858"/>
      <c r="K77" s="859"/>
      <c r="L77" s="859"/>
      <c r="M77" s="859"/>
      <c r="N77" s="859"/>
      <c r="O77" s="859"/>
      <c r="P77" s="859"/>
      <c r="Q77" s="859"/>
      <c r="R77" s="859"/>
      <c r="S77" s="859"/>
      <c r="T77" s="859"/>
      <c r="U77" s="859"/>
      <c r="V77" s="859"/>
      <c r="W77" s="859"/>
      <c r="X77" s="859"/>
      <c r="Y77" s="859"/>
      <c r="Z77" s="859"/>
      <c r="AA77" s="860"/>
      <c r="AC77" s="272"/>
    </row>
    <row r="78" spans="2:29" x14ac:dyDescent="0.25">
      <c r="B78" s="858"/>
      <c r="C78" s="859"/>
      <c r="D78" s="859"/>
      <c r="E78" s="859"/>
      <c r="F78" s="859"/>
      <c r="G78" s="859"/>
      <c r="H78" s="860"/>
      <c r="J78" s="858"/>
      <c r="K78" s="859"/>
      <c r="L78" s="859"/>
      <c r="M78" s="859"/>
      <c r="N78" s="859"/>
      <c r="O78" s="859"/>
      <c r="P78" s="859"/>
      <c r="Q78" s="859"/>
      <c r="R78" s="859"/>
      <c r="S78" s="859"/>
      <c r="T78" s="859"/>
      <c r="U78" s="859"/>
      <c r="V78" s="859"/>
      <c r="W78" s="859"/>
      <c r="X78" s="859"/>
      <c r="Y78" s="859"/>
      <c r="Z78" s="859"/>
      <c r="AA78" s="860"/>
      <c r="AC78" s="272"/>
    </row>
    <row r="79" spans="2:29" x14ac:dyDescent="0.25">
      <c r="B79" s="858"/>
      <c r="C79" s="859"/>
      <c r="D79" s="859"/>
      <c r="E79" s="859"/>
      <c r="F79" s="859"/>
      <c r="G79" s="859"/>
      <c r="H79" s="860"/>
      <c r="J79" s="858"/>
      <c r="K79" s="859"/>
      <c r="L79" s="859"/>
      <c r="M79" s="859"/>
      <c r="N79" s="859"/>
      <c r="O79" s="859"/>
      <c r="P79" s="859"/>
      <c r="Q79" s="859"/>
      <c r="R79" s="859"/>
      <c r="S79" s="859"/>
      <c r="T79" s="859"/>
      <c r="U79" s="859"/>
      <c r="V79" s="859"/>
      <c r="W79" s="859"/>
      <c r="X79" s="859"/>
      <c r="Y79" s="859"/>
      <c r="Z79" s="859"/>
      <c r="AA79" s="860"/>
      <c r="AC79" s="272"/>
    </row>
    <row r="80" spans="2:29" x14ac:dyDescent="0.25">
      <c r="B80" s="858"/>
      <c r="C80" s="859"/>
      <c r="D80" s="859"/>
      <c r="E80" s="859"/>
      <c r="F80" s="859"/>
      <c r="G80" s="859"/>
      <c r="H80" s="860"/>
      <c r="J80" s="858"/>
      <c r="K80" s="859"/>
      <c r="L80" s="859"/>
      <c r="M80" s="859"/>
      <c r="N80" s="859"/>
      <c r="O80" s="859"/>
      <c r="P80" s="859"/>
      <c r="Q80" s="859"/>
      <c r="R80" s="859"/>
      <c r="S80" s="859"/>
      <c r="T80" s="859"/>
      <c r="U80" s="859"/>
      <c r="V80" s="859"/>
      <c r="W80" s="859"/>
      <c r="X80" s="859"/>
      <c r="Y80" s="859"/>
      <c r="Z80" s="859"/>
      <c r="AA80" s="860"/>
      <c r="AC80" s="272"/>
    </row>
    <row r="81" spans="2:29" ht="17.25" thickBot="1" x14ac:dyDescent="0.3">
      <c r="B81" s="861"/>
      <c r="C81" s="862"/>
      <c r="D81" s="862"/>
      <c r="E81" s="862"/>
      <c r="F81" s="862"/>
      <c r="G81" s="862"/>
      <c r="H81" s="863"/>
      <c r="J81" s="861"/>
      <c r="K81" s="862"/>
      <c r="L81" s="862"/>
      <c r="M81" s="862"/>
      <c r="N81" s="862"/>
      <c r="O81" s="862"/>
      <c r="P81" s="862"/>
      <c r="Q81" s="862"/>
      <c r="R81" s="862"/>
      <c r="S81" s="862"/>
      <c r="T81" s="862"/>
      <c r="U81" s="862"/>
      <c r="V81" s="862"/>
      <c r="W81" s="862"/>
      <c r="X81" s="862"/>
      <c r="Y81" s="862"/>
      <c r="Z81" s="862"/>
      <c r="AA81" s="863"/>
      <c r="AC81" s="272"/>
    </row>
    <row r="82" spans="2:29" ht="17.25" thickBot="1" x14ac:dyDescent="0.3">
      <c r="B82" s="276"/>
      <c r="C82" s="276"/>
      <c r="D82" s="276"/>
      <c r="J82" s="269"/>
      <c r="AC82" s="272"/>
    </row>
    <row r="83" spans="2:29" s="33" customFormat="1" ht="18" thickBot="1" x14ac:dyDescent="0.3">
      <c r="B83" s="808" t="s">
        <v>367</v>
      </c>
      <c r="C83" s="809"/>
      <c r="D83" s="809"/>
      <c r="E83" s="809"/>
      <c r="F83" s="809"/>
      <c r="G83" s="809"/>
      <c r="H83" s="810"/>
      <c r="J83" s="808" t="s">
        <v>368</v>
      </c>
      <c r="K83" s="809"/>
      <c r="L83" s="809"/>
      <c r="M83" s="809"/>
      <c r="N83" s="809"/>
      <c r="O83" s="809"/>
      <c r="P83" s="809"/>
      <c r="Q83" s="809"/>
      <c r="R83" s="809"/>
      <c r="S83" s="809"/>
      <c r="T83" s="809"/>
      <c r="U83" s="809"/>
      <c r="V83" s="809"/>
      <c r="W83" s="809"/>
      <c r="X83" s="809"/>
      <c r="Y83" s="809"/>
      <c r="Z83" s="809"/>
      <c r="AA83" s="810"/>
      <c r="AC83" s="254"/>
    </row>
    <row r="84" spans="2:29" x14ac:dyDescent="0.25">
      <c r="B84" s="855"/>
      <c r="C84" s="856"/>
      <c r="D84" s="856"/>
      <c r="E84" s="856"/>
      <c r="F84" s="856"/>
      <c r="G84" s="856"/>
      <c r="H84" s="857"/>
      <c r="J84" s="852"/>
      <c r="K84" s="853"/>
      <c r="L84" s="853"/>
      <c r="M84" s="853"/>
      <c r="N84" s="853"/>
      <c r="O84" s="853"/>
      <c r="P84" s="853"/>
      <c r="Q84" s="853"/>
      <c r="R84" s="853"/>
      <c r="S84" s="853"/>
      <c r="T84" s="853"/>
      <c r="U84" s="853"/>
      <c r="V84" s="853"/>
      <c r="W84" s="853"/>
      <c r="X84" s="853"/>
      <c r="Y84" s="853"/>
      <c r="Z84" s="853"/>
      <c r="AA84" s="854"/>
      <c r="AC84" s="272"/>
    </row>
    <row r="85" spans="2:29" x14ac:dyDescent="0.25">
      <c r="B85" s="858"/>
      <c r="C85" s="859"/>
      <c r="D85" s="859"/>
      <c r="E85" s="859"/>
      <c r="F85" s="859"/>
      <c r="G85" s="859"/>
      <c r="H85" s="860"/>
      <c r="J85" s="837"/>
      <c r="K85" s="838"/>
      <c r="L85" s="838"/>
      <c r="M85" s="838"/>
      <c r="N85" s="838"/>
      <c r="O85" s="838"/>
      <c r="P85" s="838"/>
      <c r="Q85" s="838"/>
      <c r="R85" s="838"/>
      <c r="S85" s="838"/>
      <c r="T85" s="838"/>
      <c r="U85" s="838"/>
      <c r="V85" s="838"/>
      <c r="W85" s="838"/>
      <c r="X85" s="838"/>
      <c r="Y85" s="838"/>
      <c r="Z85" s="838"/>
      <c r="AA85" s="839"/>
      <c r="AC85" s="272"/>
    </row>
    <row r="86" spans="2:29" x14ac:dyDescent="0.25">
      <c r="B86" s="858"/>
      <c r="C86" s="859"/>
      <c r="D86" s="859"/>
      <c r="E86" s="859"/>
      <c r="F86" s="859"/>
      <c r="G86" s="859"/>
      <c r="H86" s="860"/>
      <c r="J86" s="837"/>
      <c r="K86" s="838"/>
      <c r="L86" s="838"/>
      <c r="M86" s="838"/>
      <c r="N86" s="838"/>
      <c r="O86" s="838"/>
      <c r="P86" s="838"/>
      <c r="Q86" s="838"/>
      <c r="R86" s="838"/>
      <c r="S86" s="838"/>
      <c r="T86" s="838"/>
      <c r="U86" s="838"/>
      <c r="V86" s="838"/>
      <c r="W86" s="838"/>
      <c r="X86" s="838"/>
      <c r="Y86" s="838"/>
      <c r="Z86" s="838"/>
      <c r="AA86" s="839"/>
      <c r="AC86" s="272"/>
    </row>
    <row r="87" spans="2:29" x14ac:dyDescent="0.25">
      <c r="B87" s="858"/>
      <c r="C87" s="859"/>
      <c r="D87" s="859"/>
      <c r="E87" s="859"/>
      <c r="F87" s="859"/>
      <c r="G87" s="859"/>
      <c r="H87" s="860"/>
      <c r="J87" s="837"/>
      <c r="K87" s="838"/>
      <c r="L87" s="838"/>
      <c r="M87" s="838"/>
      <c r="N87" s="838"/>
      <c r="O87" s="838"/>
      <c r="P87" s="838"/>
      <c r="Q87" s="838"/>
      <c r="R87" s="838"/>
      <c r="S87" s="838"/>
      <c r="T87" s="838"/>
      <c r="U87" s="838"/>
      <c r="V87" s="838"/>
      <c r="W87" s="838"/>
      <c r="X87" s="838"/>
      <c r="Y87" s="838"/>
      <c r="Z87" s="838"/>
      <c r="AA87" s="839"/>
      <c r="AC87" s="272"/>
    </row>
    <row r="88" spans="2:29" x14ac:dyDescent="0.25">
      <c r="B88" s="858"/>
      <c r="C88" s="859"/>
      <c r="D88" s="859"/>
      <c r="E88" s="859"/>
      <c r="F88" s="859"/>
      <c r="G88" s="859"/>
      <c r="H88" s="860"/>
      <c r="J88" s="837"/>
      <c r="K88" s="838"/>
      <c r="L88" s="838"/>
      <c r="M88" s="838"/>
      <c r="N88" s="838"/>
      <c r="O88" s="838"/>
      <c r="P88" s="838"/>
      <c r="Q88" s="838"/>
      <c r="R88" s="838"/>
      <c r="S88" s="838"/>
      <c r="T88" s="838"/>
      <c r="U88" s="838"/>
      <c r="V88" s="838"/>
      <c r="W88" s="838"/>
      <c r="X88" s="838"/>
      <c r="Y88" s="838"/>
      <c r="Z88" s="838"/>
      <c r="AA88" s="839"/>
      <c r="AC88" s="272"/>
    </row>
    <row r="89" spans="2:29" x14ac:dyDescent="0.25">
      <c r="B89" s="858"/>
      <c r="C89" s="859"/>
      <c r="D89" s="859"/>
      <c r="E89" s="859"/>
      <c r="F89" s="859"/>
      <c r="G89" s="859"/>
      <c r="H89" s="860"/>
      <c r="J89" s="837"/>
      <c r="K89" s="838"/>
      <c r="L89" s="838"/>
      <c r="M89" s="838"/>
      <c r="N89" s="838"/>
      <c r="O89" s="838"/>
      <c r="P89" s="838"/>
      <c r="Q89" s="838"/>
      <c r="R89" s="838"/>
      <c r="S89" s="838"/>
      <c r="T89" s="838"/>
      <c r="U89" s="838"/>
      <c r="V89" s="838"/>
      <c r="W89" s="838"/>
      <c r="X89" s="838"/>
      <c r="Y89" s="838"/>
      <c r="Z89" s="838"/>
      <c r="AA89" s="839"/>
      <c r="AC89" s="272"/>
    </row>
    <row r="90" spans="2:29" x14ac:dyDescent="0.25">
      <c r="B90" s="858"/>
      <c r="C90" s="859"/>
      <c r="D90" s="859"/>
      <c r="E90" s="859"/>
      <c r="F90" s="859"/>
      <c r="G90" s="859"/>
      <c r="H90" s="860"/>
      <c r="J90" s="837"/>
      <c r="K90" s="838"/>
      <c r="L90" s="838"/>
      <c r="M90" s="838"/>
      <c r="N90" s="838"/>
      <c r="O90" s="838"/>
      <c r="P90" s="838"/>
      <c r="Q90" s="838"/>
      <c r="R90" s="838"/>
      <c r="S90" s="838"/>
      <c r="T90" s="838"/>
      <c r="U90" s="838"/>
      <c r="V90" s="838"/>
      <c r="W90" s="838"/>
      <c r="X90" s="838"/>
      <c r="Y90" s="838"/>
      <c r="Z90" s="838"/>
      <c r="AA90" s="839"/>
      <c r="AC90" s="272"/>
    </row>
    <row r="91" spans="2:29" x14ac:dyDescent="0.25">
      <c r="B91" s="858"/>
      <c r="C91" s="859"/>
      <c r="D91" s="859"/>
      <c r="E91" s="859"/>
      <c r="F91" s="859"/>
      <c r="G91" s="859"/>
      <c r="H91" s="860"/>
      <c r="J91" s="837"/>
      <c r="K91" s="838"/>
      <c r="L91" s="838"/>
      <c r="M91" s="838"/>
      <c r="N91" s="838"/>
      <c r="O91" s="838"/>
      <c r="P91" s="838"/>
      <c r="Q91" s="838"/>
      <c r="R91" s="838"/>
      <c r="S91" s="838"/>
      <c r="T91" s="838"/>
      <c r="U91" s="838"/>
      <c r="V91" s="838"/>
      <c r="W91" s="838"/>
      <c r="X91" s="838"/>
      <c r="Y91" s="838"/>
      <c r="Z91" s="838"/>
      <c r="AA91" s="839"/>
      <c r="AC91" s="272"/>
    </row>
    <row r="92" spans="2:29" x14ac:dyDescent="0.25">
      <c r="B92" s="858"/>
      <c r="C92" s="859"/>
      <c r="D92" s="859"/>
      <c r="E92" s="859"/>
      <c r="F92" s="859"/>
      <c r="G92" s="859"/>
      <c r="H92" s="860"/>
      <c r="J92" s="837"/>
      <c r="K92" s="838"/>
      <c r="L92" s="838"/>
      <c r="M92" s="838"/>
      <c r="N92" s="838"/>
      <c r="O92" s="838"/>
      <c r="P92" s="838"/>
      <c r="Q92" s="838"/>
      <c r="R92" s="838"/>
      <c r="S92" s="838"/>
      <c r="T92" s="838"/>
      <c r="U92" s="838"/>
      <c r="V92" s="838"/>
      <c r="W92" s="838"/>
      <c r="X92" s="838"/>
      <c r="Y92" s="838"/>
      <c r="Z92" s="838"/>
      <c r="AA92" s="839"/>
      <c r="AC92" s="272"/>
    </row>
    <row r="93" spans="2:29" x14ac:dyDescent="0.25">
      <c r="B93" s="858"/>
      <c r="C93" s="859"/>
      <c r="D93" s="859"/>
      <c r="E93" s="859"/>
      <c r="F93" s="859"/>
      <c r="G93" s="859"/>
      <c r="H93" s="860"/>
      <c r="J93" s="837"/>
      <c r="K93" s="838"/>
      <c r="L93" s="838"/>
      <c r="M93" s="838"/>
      <c r="N93" s="838"/>
      <c r="O93" s="838"/>
      <c r="P93" s="838"/>
      <c r="Q93" s="838"/>
      <c r="R93" s="838"/>
      <c r="S93" s="838"/>
      <c r="T93" s="838"/>
      <c r="U93" s="838"/>
      <c r="V93" s="838"/>
      <c r="W93" s="838"/>
      <c r="X93" s="838"/>
      <c r="Y93" s="838"/>
      <c r="Z93" s="838"/>
      <c r="AA93" s="839"/>
      <c r="AC93" s="272"/>
    </row>
    <row r="94" spans="2:29" x14ac:dyDescent="0.25">
      <c r="B94" s="858"/>
      <c r="C94" s="859"/>
      <c r="D94" s="859"/>
      <c r="E94" s="859"/>
      <c r="F94" s="859"/>
      <c r="G94" s="859"/>
      <c r="H94" s="860"/>
      <c r="J94" s="837"/>
      <c r="K94" s="838"/>
      <c r="L94" s="838"/>
      <c r="M94" s="838"/>
      <c r="N94" s="838"/>
      <c r="O94" s="838"/>
      <c r="P94" s="838"/>
      <c r="Q94" s="838"/>
      <c r="R94" s="838"/>
      <c r="S94" s="838"/>
      <c r="T94" s="838"/>
      <c r="U94" s="838"/>
      <c r="V94" s="838"/>
      <c r="W94" s="838"/>
      <c r="X94" s="838"/>
      <c r="Y94" s="838"/>
      <c r="Z94" s="838"/>
      <c r="AA94" s="839"/>
      <c r="AC94" s="272"/>
    </row>
    <row r="95" spans="2:29" x14ac:dyDescent="0.25">
      <c r="B95" s="858"/>
      <c r="C95" s="859"/>
      <c r="D95" s="859"/>
      <c r="E95" s="859"/>
      <c r="F95" s="859"/>
      <c r="G95" s="859"/>
      <c r="H95" s="860"/>
      <c r="J95" s="837"/>
      <c r="K95" s="838"/>
      <c r="L95" s="838"/>
      <c r="M95" s="838"/>
      <c r="N95" s="838"/>
      <c r="O95" s="838"/>
      <c r="P95" s="838"/>
      <c r="Q95" s="838"/>
      <c r="R95" s="838"/>
      <c r="S95" s="838"/>
      <c r="T95" s="838"/>
      <c r="U95" s="838"/>
      <c r="V95" s="838"/>
      <c r="W95" s="838"/>
      <c r="X95" s="838"/>
      <c r="Y95" s="838"/>
      <c r="Z95" s="838"/>
      <c r="AA95" s="839"/>
      <c r="AC95" s="272"/>
    </row>
    <row r="96" spans="2:29" x14ac:dyDescent="0.25">
      <c r="B96" s="858"/>
      <c r="C96" s="859"/>
      <c r="D96" s="859"/>
      <c r="E96" s="859"/>
      <c r="F96" s="859"/>
      <c r="G96" s="859"/>
      <c r="H96" s="860"/>
      <c r="J96" s="837"/>
      <c r="K96" s="838"/>
      <c r="L96" s="838"/>
      <c r="M96" s="838"/>
      <c r="N96" s="838"/>
      <c r="O96" s="838"/>
      <c r="P96" s="838"/>
      <c r="Q96" s="838"/>
      <c r="R96" s="838"/>
      <c r="S96" s="838"/>
      <c r="T96" s="838"/>
      <c r="U96" s="838"/>
      <c r="V96" s="838"/>
      <c r="W96" s="838"/>
      <c r="X96" s="838"/>
      <c r="Y96" s="838"/>
      <c r="Z96" s="838"/>
      <c r="AA96" s="839"/>
      <c r="AC96" s="272"/>
    </row>
    <row r="97" spans="2:29" x14ac:dyDescent="0.25">
      <c r="B97" s="858"/>
      <c r="C97" s="859"/>
      <c r="D97" s="859"/>
      <c r="E97" s="859"/>
      <c r="F97" s="859"/>
      <c r="G97" s="859"/>
      <c r="H97" s="860"/>
      <c r="J97" s="837"/>
      <c r="K97" s="838"/>
      <c r="L97" s="838"/>
      <c r="M97" s="838"/>
      <c r="N97" s="838"/>
      <c r="O97" s="838"/>
      <c r="P97" s="838"/>
      <c r="Q97" s="838"/>
      <c r="R97" s="838"/>
      <c r="S97" s="838"/>
      <c r="T97" s="838"/>
      <c r="U97" s="838"/>
      <c r="V97" s="838"/>
      <c r="W97" s="838"/>
      <c r="X97" s="838"/>
      <c r="Y97" s="838"/>
      <c r="Z97" s="838"/>
      <c r="AA97" s="839"/>
      <c r="AC97" s="272"/>
    </row>
    <row r="98" spans="2:29" x14ac:dyDescent="0.25">
      <c r="B98" s="858"/>
      <c r="C98" s="859"/>
      <c r="D98" s="859"/>
      <c r="E98" s="859"/>
      <c r="F98" s="859"/>
      <c r="G98" s="859"/>
      <c r="H98" s="860"/>
      <c r="J98" s="837"/>
      <c r="K98" s="838"/>
      <c r="L98" s="838"/>
      <c r="M98" s="838"/>
      <c r="N98" s="838"/>
      <c r="O98" s="838"/>
      <c r="P98" s="838"/>
      <c r="Q98" s="838"/>
      <c r="R98" s="838"/>
      <c r="S98" s="838"/>
      <c r="T98" s="838"/>
      <c r="U98" s="838"/>
      <c r="V98" s="838"/>
      <c r="W98" s="838"/>
      <c r="X98" s="838"/>
      <c r="Y98" s="838"/>
      <c r="Z98" s="838"/>
      <c r="AA98" s="839"/>
      <c r="AC98" s="272"/>
    </row>
    <row r="99" spans="2:29" x14ac:dyDescent="0.25">
      <c r="B99" s="858"/>
      <c r="C99" s="859"/>
      <c r="D99" s="859"/>
      <c r="E99" s="859"/>
      <c r="F99" s="859"/>
      <c r="G99" s="859"/>
      <c r="H99" s="860"/>
      <c r="J99" s="837"/>
      <c r="K99" s="838"/>
      <c r="L99" s="838"/>
      <c r="M99" s="838"/>
      <c r="N99" s="838"/>
      <c r="O99" s="838"/>
      <c r="P99" s="838"/>
      <c r="Q99" s="838"/>
      <c r="R99" s="838"/>
      <c r="S99" s="838"/>
      <c r="T99" s="838"/>
      <c r="U99" s="838"/>
      <c r="V99" s="838"/>
      <c r="W99" s="838"/>
      <c r="X99" s="838"/>
      <c r="Y99" s="838"/>
      <c r="Z99" s="838"/>
      <c r="AA99" s="839"/>
      <c r="AC99" s="272"/>
    </row>
    <row r="100" spans="2:29" x14ac:dyDescent="0.25">
      <c r="B100" s="858"/>
      <c r="C100" s="859"/>
      <c r="D100" s="859"/>
      <c r="E100" s="859"/>
      <c r="F100" s="859"/>
      <c r="G100" s="859"/>
      <c r="H100" s="860"/>
      <c r="J100" s="837"/>
      <c r="K100" s="838"/>
      <c r="L100" s="838"/>
      <c r="M100" s="838"/>
      <c r="N100" s="838"/>
      <c r="O100" s="838"/>
      <c r="P100" s="838"/>
      <c r="Q100" s="838"/>
      <c r="R100" s="838"/>
      <c r="S100" s="838"/>
      <c r="T100" s="838"/>
      <c r="U100" s="838"/>
      <c r="V100" s="838"/>
      <c r="W100" s="838"/>
      <c r="X100" s="838"/>
      <c r="Y100" s="838"/>
      <c r="Z100" s="838"/>
      <c r="AA100" s="839"/>
      <c r="AC100" s="272"/>
    </row>
    <row r="101" spans="2:29" x14ac:dyDescent="0.25">
      <c r="B101" s="858"/>
      <c r="C101" s="859"/>
      <c r="D101" s="859"/>
      <c r="E101" s="859"/>
      <c r="F101" s="859"/>
      <c r="G101" s="859"/>
      <c r="H101" s="860"/>
      <c r="J101" s="837"/>
      <c r="K101" s="838"/>
      <c r="L101" s="838"/>
      <c r="M101" s="838"/>
      <c r="N101" s="838"/>
      <c r="O101" s="838"/>
      <c r="P101" s="838"/>
      <c r="Q101" s="838"/>
      <c r="R101" s="838"/>
      <c r="S101" s="838"/>
      <c r="T101" s="838"/>
      <c r="U101" s="838"/>
      <c r="V101" s="838"/>
      <c r="W101" s="838"/>
      <c r="X101" s="838"/>
      <c r="Y101" s="838"/>
      <c r="Z101" s="838"/>
      <c r="AA101" s="839"/>
      <c r="AC101" s="272"/>
    </row>
    <row r="102" spans="2:29" x14ac:dyDescent="0.25">
      <c r="B102" s="858"/>
      <c r="C102" s="859"/>
      <c r="D102" s="859"/>
      <c r="E102" s="859"/>
      <c r="F102" s="859"/>
      <c r="G102" s="859"/>
      <c r="H102" s="860"/>
      <c r="J102" s="837"/>
      <c r="K102" s="838"/>
      <c r="L102" s="838"/>
      <c r="M102" s="838"/>
      <c r="N102" s="838"/>
      <c r="O102" s="838"/>
      <c r="P102" s="838"/>
      <c r="Q102" s="838"/>
      <c r="R102" s="838"/>
      <c r="S102" s="838"/>
      <c r="T102" s="838"/>
      <c r="U102" s="838"/>
      <c r="V102" s="838"/>
      <c r="W102" s="838"/>
      <c r="X102" s="838"/>
      <c r="Y102" s="838"/>
      <c r="Z102" s="838"/>
      <c r="AA102" s="839"/>
      <c r="AC102" s="272"/>
    </row>
    <row r="103" spans="2:29" x14ac:dyDescent="0.25">
      <c r="B103" s="858"/>
      <c r="C103" s="859"/>
      <c r="D103" s="859"/>
      <c r="E103" s="859"/>
      <c r="F103" s="859"/>
      <c r="G103" s="859"/>
      <c r="H103" s="860"/>
      <c r="J103" s="837"/>
      <c r="K103" s="838"/>
      <c r="L103" s="838"/>
      <c r="M103" s="838"/>
      <c r="N103" s="838"/>
      <c r="O103" s="838"/>
      <c r="P103" s="838"/>
      <c r="Q103" s="838"/>
      <c r="R103" s="838"/>
      <c r="S103" s="838"/>
      <c r="T103" s="838"/>
      <c r="U103" s="838"/>
      <c r="V103" s="838"/>
      <c r="W103" s="838"/>
      <c r="X103" s="838"/>
      <c r="Y103" s="838"/>
      <c r="Z103" s="838"/>
      <c r="AA103" s="839"/>
      <c r="AC103" s="272"/>
    </row>
    <row r="104" spans="2:29" x14ac:dyDescent="0.25">
      <c r="B104" s="858"/>
      <c r="C104" s="859"/>
      <c r="D104" s="859"/>
      <c r="E104" s="859"/>
      <c r="F104" s="859"/>
      <c r="G104" s="859"/>
      <c r="H104" s="860"/>
      <c r="J104" s="837"/>
      <c r="K104" s="838"/>
      <c r="L104" s="838"/>
      <c r="M104" s="838"/>
      <c r="N104" s="838"/>
      <c r="O104" s="838"/>
      <c r="P104" s="838"/>
      <c r="Q104" s="838"/>
      <c r="R104" s="838"/>
      <c r="S104" s="838"/>
      <c r="T104" s="838"/>
      <c r="U104" s="838"/>
      <c r="V104" s="838"/>
      <c r="W104" s="838"/>
      <c r="X104" s="838"/>
      <c r="Y104" s="838"/>
      <c r="Z104" s="838"/>
      <c r="AA104" s="839"/>
      <c r="AC104" s="272"/>
    </row>
    <row r="105" spans="2:29" ht="17.25" thickBot="1" x14ac:dyDescent="0.3">
      <c r="B105" s="861"/>
      <c r="C105" s="862"/>
      <c r="D105" s="862"/>
      <c r="E105" s="862"/>
      <c r="F105" s="862"/>
      <c r="G105" s="862"/>
      <c r="H105" s="863"/>
      <c r="J105" s="840"/>
      <c r="K105" s="841"/>
      <c r="L105" s="841"/>
      <c r="M105" s="841"/>
      <c r="N105" s="841"/>
      <c r="O105" s="841"/>
      <c r="P105" s="841"/>
      <c r="Q105" s="841"/>
      <c r="R105" s="841"/>
      <c r="S105" s="841"/>
      <c r="T105" s="841"/>
      <c r="U105" s="841"/>
      <c r="V105" s="841"/>
      <c r="W105" s="841"/>
      <c r="X105" s="841"/>
      <c r="Y105" s="841"/>
      <c r="Z105" s="841"/>
      <c r="AA105" s="842"/>
      <c r="AC105" s="272"/>
    </row>
    <row r="106" spans="2:29" ht="17.25" thickBot="1" x14ac:dyDescent="0.3">
      <c r="J106" s="269"/>
      <c r="AC106" s="272"/>
    </row>
    <row r="107" spans="2:29" s="33" customFormat="1" ht="18" thickBot="1" x14ac:dyDescent="0.3">
      <c r="B107" s="808" t="s">
        <v>369</v>
      </c>
      <c r="C107" s="809"/>
      <c r="D107" s="809"/>
      <c r="E107" s="809"/>
      <c r="F107" s="809"/>
      <c r="G107" s="809"/>
      <c r="H107" s="810"/>
      <c r="J107" s="808" t="s">
        <v>678</v>
      </c>
      <c r="K107" s="809"/>
      <c r="L107" s="809"/>
      <c r="M107" s="809"/>
      <c r="N107" s="809"/>
      <c r="O107" s="809"/>
      <c r="P107" s="809"/>
      <c r="Q107" s="809"/>
      <c r="R107" s="809"/>
      <c r="S107" s="809"/>
      <c r="T107" s="809"/>
      <c r="U107" s="809"/>
      <c r="V107" s="809"/>
      <c r="W107" s="809"/>
      <c r="X107" s="809"/>
      <c r="Y107" s="809"/>
      <c r="Z107" s="809"/>
      <c r="AA107" s="810"/>
      <c r="AC107" s="254"/>
    </row>
    <row r="108" spans="2:29" x14ac:dyDescent="0.25">
      <c r="B108" s="855"/>
      <c r="C108" s="856"/>
      <c r="D108" s="856"/>
      <c r="E108" s="856"/>
      <c r="F108" s="856"/>
      <c r="G108" s="856"/>
      <c r="H108" s="857"/>
      <c r="J108" s="852"/>
      <c r="K108" s="853"/>
      <c r="L108" s="853"/>
      <c r="M108" s="853"/>
      <c r="N108" s="853"/>
      <c r="O108" s="853"/>
      <c r="P108" s="853"/>
      <c r="Q108" s="853"/>
      <c r="R108" s="853"/>
      <c r="S108" s="853"/>
      <c r="T108" s="853"/>
      <c r="U108" s="853"/>
      <c r="V108" s="853"/>
      <c r="W108" s="853"/>
      <c r="X108" s="853"/>
      <c r="Y108" s="853"/>
      <c r="Z108" s="853"/>
      <c r="AA108" s="854"/>
      <c r="AC108" s="272"/>
    </row>
    <row r="109" spans="2:29" x14ac:dyDescent="0.25">
      <c r="B109" s="858"/>
      <c r="C109" s="859"/>
      <c r="D109" s="859"/>
      <c r="E109" s="859"/>
      <c r="F109" s="859"/>
      <c r="G109" s="859"/>
      <c r="H109" s="860"/>
      <c r="J109" s="837"/>
      <c r="K109" s="838"/>
      <c r="L109" s="838"/>
      <c r="M109" s="838"/>
      <c r="N109" s="838"/>
      <c r="O109" s="838"/>
      <c r="P109" s="838"/>
      <c r="Q109" s="838"/>
      <c r="R109" s="838"/>
      <c r="S109" s="838"/>
      <c r="T109" s="838"/>
      <c r="U109" s="838"/>
      <c r="V109" s="838"/>
      <c r="W109" s="838"/>
      <c r="X109" s="838"/>
      <c r="Y109" s="838"/>
      <c r="Z109" s="838"/>
      <c r="AA109" s="839"/>
      <c r="AC109" s="272"/>
    </row>
    <row r="110" spans="2:29" x14ac:dyDescent="0.25">
      <c r="B110" s="858"/>
      <c r="C110" s="859"/>
      <c r="D110" s="859"/>
      <c r="E110" s="859"/>
      <c r="F110" s="859"/>
      <c r="G110" s="859"/>
      <c r="H110" s="860"/>
      <c r="J110" s="837"/>
      <c r="K110" s="838"/>
      <c r="L110" s="838"/>
      <c r="M110" s="838"/>
      <c r="N110" s="838"/>
      <c r="O110" s="838"/>
      <c r="P110" s="838"/>
      <c r="Q110" s="838"/>
      <c r="R110" s="838"/>
      <c r="S110" s="838"/>
      <c r="T110" s="838"/>
      <c r="U110" s="838"/>
      <c r="V110" s="838"/>
      <c r="W110" s="838"/>
      <c r="X110" s="838"/>
      <c r="Y110" s="838"/>
      <c r="Z110" s="838"/>
      <c r="AA110" s="839"/>
      <c r="AC110" s="272"/>
    </row>
    <row r="111" spans="2:29" x14ac:dyDescent="0.25">
      <c r="B111" s="858"/>
      <c r="C111" s="859"/>
      <c r="D111" s="859"/>
      <c r="E111" s="859"/>
      <c r="F111" s="859"/>
      <c r="G111" s="859"/>
      <c r="H111" s="860"/>
      <c r="J111" s="837"/>
      <c r="K111" s="838"/>
      <c r="L111" s="838"/>
      <c r="M111" s="838"/>
      <c r="N111" s="838"/>
      <c r="O111" s="838"/>
      <c r="P111" s="838"/>
      <c r="Q111" s="838"/>
      <c r="R111" s="838"/>
      <c r="S111" s="838"/>
      <c r="T111" s="838"/>
      <c r="U111" s="838"/>
      <c r="V111" s="838"/>
      <c r="W111" s="838"/>
      <c r="X111" s="838"/>
      <c r="Y111" s="838"/>
      <c r="Z111" s="838"/>
      <c r="AA111" s="839"/>
      <c r="AC111" s="272"/>
    </row>
    <row r="112" spans="2:29" x14ac:dyDescent="0.25">
      <c r="B112" s="858"/>
      <c r="C112" s="859"/>
      <c r="D112" s="859"/>
      <c r="E112" s="859"/>
      <c r="F112" s="859"/>
      <c r="G112" s="859"/>
      <c r="H112" s="860"/>
      <c r="J112" s="837"/>
      <c r="K112" s="838"/>
      <c r="L112" s="838"/>
      <c r="M112" s="838"/>
      <c r="N112" s="838"/>
      <c r="O112" s="838"/>
      <c r="P112" s="838"/>
      <c r="Q112" s="838"/>
      <c r="R112" s="838"/>
      <c r="S112" s="838"/>
      <c r="T112" s="838"/>
      <c r="U112" s="838"/>
      <c r="V112" s="838"/>
      <c r="W112" s="838"/>
      <c r="X112" s="838"/>
      <c r="Y112" s="838"/>
      <c r="Z112" s="838"/>
      <c r="AA112" s="839"/>
      <c r="AC112" s="272"/>
    </row>
    <row r="113" spans="2:29" x14ac:dyDescent="0.25">
      <c r="B113" s="858"/>
      <c r="C113" s="859"/>
      <c r="D113" s="859"/>
      <c r="E113" s="859"/>
      <c r="F113" s="859"/>
      <c r="G113" s="859"/>
      <c r="H113" s="860"/>
      <c r="J113" s="837"/>
      <c r="K113" s="838"/>
      <c r="L113" s="838"/>
      <c r="M113" s="838"/>
      <c r="N113" s="838"/>
      <c r="O113" s="838"/>
      <c r="P113" s="838"/>
      <c r="Q113" s="838"/>
      <c r="R113" s="838"/>
      <c r="S113" s="838"/>
      <c r="T113" s="838"/>
      <c r="U113" s="838"/>
      <c r="V113" s="838"/>
      <c r="W113" s="838"/>
      <c r="X113" s="838"/>
      <c r="Y113" s="838"/>
      <c r="Z113" s="838"/>
      <c r="AA113" s="839"/>
      <c r="AC113" s="272"/>
    </row>
    <row r="114" spans="2:29" x14ac:dyDescent="0.25">
      <c r="B114" s="858"/>
      <c r="C114" s="859"/>
      <c r="D114" s="859"/>
      <c r="E114" s="859"/>
      <c r="F114" s="859"/>
      <c r="G114" s="859"/>
      <c r="H114" s="860"/>
      <c r="J114" s="837"/>
      <c r="K114" s="838"/>
      <c r="L114" s="838"/>
      <c r="M114" s="838"/>
      <c r="N114" s="838"/>
      <c r="O114" s="838"/>
      <c r="P114" s="838"/>
      <c r="Q114" s="838"/>
      <c r="R114" s="838"/>
      <c r="S114" s="838"/>
      <c r="T114" s="838"/>
      <c r="U114" s="838"/>
      <c r="V114" s="838"/>
      <c r="W114" s="838"/>
      <c r="X114" s="838"/>
      <c r="Y114" s="838"/>
      <c r="Z114" s="838"/>
      <c r="AA114" s="839"/>
      <c r="AC114" s="272"/>
    </row>
    <row r="115" spans="2:29" x14ac:dyDescent="0.25">
      <c r="B115" s="858"/>
      <c r="C115" s="859"/>
      <c r="D115" s="859"/>
      <c r="E115" s="859"/>
      <c r="F115" s="859"/>
      <c r="G115" s="859"/>
      <c r="H115" s="860"/>
      <c r="J115" s="837"/>
      <c r="K115" s="838"/>
      <c r="L115" s="838"/>
      <c r="M115" s="838"/>
      <c r="N115" s="838"/>
      <c r="O115" s="838"/>
      <c r="P115" s="838"/>
      <c r="Q115" s="838"/>
      <c r="R115" s="838"/>
      <c r="S115" s="838"/>
      <c r="T115" s="838"/>
      <c r="U115" s="838"/>
      <c r="V115" s="838"/>
      <c r="W115" s="838"/>
      <c r="X115" s="838"/>
      <c r="Y115" s="838"/>
      <c r="Z115" s="838"/>
      <c r="AA115" s="839"/>
      <c r="AC115" s="272"/>
    </row>
    <row r="116" spans="2:29" x14ac:dyDescent="0.25">
      <c r="B116" s="858"/>
      <c r="C116" s="859"/>
      <c r="D116" s="859"/>
      <c r="E116" s="859"/>
      <c r="F116" s="859"/>
      <c r="G116" s="859"/>
      <c r="H116" s="860"/>
      <c r="J116" s="837"/>
      <c r="K116" s="838"/>
      <c r="L116" s="838"/>
      <c r="M116" s="838"/>
      <c r="N116" s="838"/>
      <c r="O116" s="838"/>
      <c r="P116" s="838"/>
      <c r="Q116" s="838"/>
      <c r="R116" s="838"/>
      <c r="S116" s="838"/>
      <c r="T116" s="838"/>
      <c r="U116" s="838"/>
      <c r="V116" s="838"/>
      <c r="W116" s="838"/>
      <c r="X116" s="838"/>
      <c r="Y116" s="838"/>
      <c r="Z116" s="838"/>
      <c r="AA116" s="839"/>
      <c r="AC116" s="272"/>
    </row>
    <row r="117" spans="2:29" x14ac:dyDescent="0.25">
      <c r="B117" s="858"/>
      <c r="C117" s="859"/>
      <c r="D117" s="859"/>
      <c r="E117" s="859"/>
      <c r="F117" s="859"/>
      <c r="G117" s="859"/>
      <c r="H117" s="860"/>
      <c r="J117" s="837"/>
      <c r="K117" s="838"/>
      <c r="L117" s="838"/>
      <c r="M117" s="838"/>
      <c r="N117" s="838"/>
      <c r="O117" s="838"/>
      <c r="P117" s="838"/>
      <c r="Q117" s="838"/>
      <c r="R117" s="838"/>
      <c r="S117" s="838"/>
      <c r="T117" s="838"/>
      <c r="U117" s="838"/>
      <c r="V117" s="838"/>
      <c r="W117" s="838"/>
      <c r="X117" s="838"/>
      <c r="Y117" s="838"/>
      <c r="Z117" s="838"/>
      <c r="AA117" s="839"/>
      <c r="AC117" s="272"/>
    </row>
    <row r="118" spans="2:29" x14ac:dyDescent="0.25">
      <c r="B118" s="858"/>
      <c r="C118" s="859"/>
      <c r="D118" s="859"/>
      <c r="E118" s="859"/>
      <c r="F118" s="859"/>
      <c r="G118" s="859"/>
      <c r="H118" s="860"/>
      <c r="J118" s="837"/>
      <c r="K118" s="838"/>
      <c r="L118" s="838"/>
      <c r="M118" s="838"/>
      <c r="N118" s="838"/>
      <c r="O118" s="838"/>
      <c r="P118" s="838"/>
      <c r="Q118" s="838"/>
      <c r="R118" s="838"/>
      <c r="S118" s="838"/>
      <c r="T118" s="838"/>
      <c r="U118" s="838"/>
      <c r="V118" s="838"/>
      <c r="W118" s="838"/>
      <c r="X118" s="838"/>
      <c r="Y118" s="838"/>
      <c r="Z118" s="838"/>
      <c r="AA118" s="839"/>
      <c r="AC118" s="272"/>
    </row>
    <row r="119" spans="2:29" x14ac:dyDescent="0.25">
      <c r="B119" s="858"/>
      <c r="C119" s="859"/>
      <c r="D119" s="859"/>
      <c r="E119" s="859"/>
      <c r="F119" s="859"/>
      <c r="G119" s="859"/>
      <c r="H119" s="860"/>
      <c r="J119" s="837"/>
      <c r="K119" s="838"/>
      <c r="L119" s="838"/>
      <c r="M119" s="838"/>
      <c r="N119" s="838"/>
      <c r="O119" s="838"/>
      <c r="P119" s="838"/>
      <c r="Q119" s="838"/>
      <c r="R119" s="838"/>
      <c r="S119" s="838"/>
      <c r="T119" s="838"/>
      <c r="U119" s="838"/>
      <c r="V119" s="838"/>
      <c r="W119" s="838"/>
      <c r="X119" s="838"/>
      <c r="Y119" s="838"/>
      <c r="Z119" s="838"/>
      <c r="AA119" s="839"/>
      <c r="AC119" s="272"/>
    </row>
    <row r="120" spans="2:29" x14ac:dyDescent="0.25">
      <c r="B120" s="858"/>
      <c r="C120" s="859"/>
      <c r="D120" s="859"/>
      <c r="E120" s="859"/>
      <c r="F120" s="859"/>
      <c r="G120" s="859"/>
      <c r="H120" s="860"/>
      <c r="J120" s="837"/>
      <c r="K120" s="838"/>
      <c r="L120" s="838"/>
      <c r="M120" s="838"/>
      <c r="N120" s="838"/>
      <c r="O120" s="838"/>
      <c r="P120" s="838"/>
      <c r="Q120" s="838"/>
      <c r="R120" s="838"/>
      <c r="S120" s="838"/>
      <c r="T120" s="838"/>
      <c r="U120" s="838"/>
      <c r="V120" s="838"/>
      <c r="W120" s="838"/>
      <c r="X120" s="838"/>
      <c r="Y120" s="838"/>
      <c r="Z120" s="838"/>
      <c r="AA120" s="839"/>
      <c r="AC120" s="272"/>
    </row>
    <row r="121" spans="2:29" x14ac:dyDescent="0.25">
      <c r="B121" s="858"/>
      <c r="C121" s="859"/>
      <c r="D121" s="859"/>
      <c r="E121" s="859"/>
      <c r="F121" s="859"/>
      <c r="G121" s="859"/>
      <c r="H121" s="860"/>
      <c r="J121" s="837"/>
      <c r="K121" s="838"/>
      <c r="L121" s="838"/>
      <c r="M121" s="838"/>
      <c r="N121" s="838"/>
      <c r="O121" s="838"/>
      <c r="P121" s="838"/>
      <c r="Q121" s="838"/>
      <c r="R121" s="838"/>
      <c r="S121" s="838"/>
      <c r="T121" s="838"/>
      <c r="U121" s="838"/>
      <c r="V121" s="838"/>
      <c r="W121" s="838"/>
      <c r="X121" s="838"/>
      <c r="Y121" s="838"/>
      <c r="Z121" s="838"/>
      <c r="AA121" s="839"/>
      <c r="AC121" s="272"/>
    </row>
    <row r="122" spans="2:29" x14ac:dyDescent="0.25">
      <c r="B122" s="858"/>
      <c r="C122" s="859"/>
      <c r="D122" s="859"/>
      <c r="E122" s="859"/>
      <c r="F122" s="859"/>
      <c r="G122" s="859"/>
      <c r="H122" s="860"/>
      <c r="J122" s="837"/>
      <c r="K122" s="838"/>
      <c r="L122" s="838"/>
      <c r="M122" s="838"/>
      <c r="N122" s="838"/>
      <c r="O122" s="838"/>
      <c r="P122" s="838"/>
      <c r="Q122" s="838"/>
      <c r="R122" s="838"/>
      <c r="S122" s="838"/>
      <c r="T122" s="838"/>
      <c r="U122" s="838"/>
      <c r="V122" s="838"/>
      <c r="W122" s="838"/>
      <c r="X122" s="838"/>
      <c r="Y122" s="838"/>
      <c r="Z122" s="838"/>
      <c r="AA122" s="839"/>
      <c r="AC122" s="272"/>
    </row>
    <row r="123" spans="2:29" x14ac:dyDescent="0.25">
      <c r="B123" s="858"/>
      <c r="C123" s="859"/>
      <c r="D123" s="859"/>
      <c r="E123" s="859"/>
      <c r="F123" s="859"/>
      <c r="G123" s="859"/>
      <c r="H123" s="860"/>
      <c r="J123" s="837"/>
      <c r="K123" s="838"/>
      <c r="L123" s="838"/>
      <c r="M123" s="838"/>
      <c r="N123" s="838"/>
      <c r="O123" s="838"/>
      <c r="P123" s="838"/>
      <c r="Q123" s="838"/>
      <c r="R123" s="838"/>
      <c r="S123" s="838"/>
      <c r="T123" s="838"/>
      <c r="U123" s="838"/>
      <c r="V123" s="838"/>
      <c r="W123" s="838"/>
      <c r="X123" s="838"/>
      <c r="Y123" s="838"/>
      <c r="Z123" s="838"/>
      <c r="AA123" s="839"/>
      <c r="AC123" s="272"/>
    </row>
    <row r="124" spans="2:29" x14ac:dyDescent="0.25">
      <c r="B124" s="858"/>
      <c r="C124" s="859"/>
      <c r="D124" s="859"/>
      <c r="E124" s="859"/>
      <c r="F124" s="859"/>
      <c r="G124" s="859"/>
      <c r="H124" s="860"/>
      <c r="J124" s="837"/>
      <c r="K124" s="838"/>
      <c r="L124" s="838"/>
      <c r="M124" s="838"/>
      <c r="N124" s="838"/>
      <c r="O124" s="838"/>
      <c r="P124" s="838"/>
      <c r="Q124" s="838"/>
      <c r="R124" s="838"/>
      <c r="S124" s="838"/>
      <c r="T124" s="838"/>
      <c r="U124" s="838"/>
      <c r="V124" s="838"/>
      <c r="W124" s="838"/>
      <c r="X124" s="838"/>
      <c r="Y124" s="838"/>
      <c r="Z124" s="838"/>
      <c r="AA124" s="839"/>
      <c r="AC124" s="272"/>
    </row>
    <row r="125" spans="2:29" x14ac:dyDescent="0.25">
      <c r="B125" s="858"/>
      <c r="C125" s="859"/>
      <c r="D125" s="859"/>
      <c r="E125" s="859"/>
      <c r="F125" s="859"/>
      <c r="G125" s="859"/>
      <c r="H125" s="860"/>
      <c r="J125" s="837"/>
      <c r="K125" s="838"/>
      <c r="L125" s="838"/>
      <c r="M125" s="838"/>
      <c r="N125" s="838"/>
      <c r="O125" s="838"/>
      <c r="P125" s="838"/>
      <c r="Q125" s="838"/>
      <c r="R125" s="838"/>
      <c r="S125" s="838"/>
      <c r="T125" s="838"/>
      <c r="U125" s="838"/>
      <c r="V125" s="838"/>
      <c r="W125" s="838"/>
      <c r="X125" s="838"/>
      <c r="Y125" s="838"/>
      <c r="Z125" s="838"/>
      <c r="AA125" s="839"/>
      <c r="AC125" s="272"/>
    </row>
    <row r="126" spans="2:29" x14ac:dyDescent="0.25">
      <c r="B126" s="858"/>
      <c r="C126" s="859"/>
      <c r="D126" s="859"/>
      <c r="E126" s="859"/>
      <c r="F126" s="859"/>
      <c r="G126" s="859"/>
      <c r="H126" s="860"/>
      <c r="J126" s="837"/>
      <c r="K126" s="838"/>
      <c r="L126" s="838"/>
      <c r="M126" s="838"/>
      <c r="N126" s="838"/>
      <c r="O126" s="838"/>
      <c r="P126" s="838"/>
      <c r="Q126" s="838"/>
      <c r="R126" s="838"/>
      <c r="S126" s="838"/>
      <c r="T126" s="838"/>
      <c r="U126" s="838"/>
      <c r="V126" s="838"/>
      <c r="W126" s="838"/>
      <c r="X126" s="838"/>
      <c r="Y126" s="838"/>
      <c r="Z126" s="838"/>
      <c r="AA126" s="839"/>
      <c r="AC126" s="272"/>
    </row>
    <row r="127" spans="2:29" x14ac:dyDescent="0.25">
      <c r="B127" s="858"/>
      <c r="C127" s="859"/>
      <c r="D127" s="859"/>
      <c r="E127" s="859"/>
      <c r="F127" s="859"/>
      <c r="G127" s="859"/>
      <c r="H127" s="860"/>
      <c r="J127" s="837"/>
      <c r="K127" s="838"/>
      <c r="L127" s="838"/>
      <c r="M127" s="838"/>
      <c r="N127" s="838"/>
      <c r="O127" s="838"/>
      <c r="P127" s="838"/>
      <c r="Q127" s="838"/>
      <c r="R127" s="838"/>
      <c r="S127" s="838"/>
      <c r="T127" s="838"/>
      <c r="U127" s="838"/>
      <c r="V127" s="838"/>
      <c r="W127" s="838"/>
      <c r="X127" s="838"/>
      <c r="Y127" s="838"/>
      <c r="Z127" s="838"/>
      <c r="AA127" s="839"/>
      <c r="AC127" s="272"/>
    </row>
    <row r="128" spans="2:29" x14ac:dyDescent="0.25">
      <c r="B128" s="858"/>
      <c r="C128" s="859"/>
      <c r="D128" s="859"/>
      <c r="E128" s="859"/>
      <c r="F128" s="859"/>
      <c r="G128" s="859"/>
      <c r="H128" s="860"/>
      <c r="J128" s="837"/>
      <c r="K128" s="838"/>
      <c r="L128" s="838"/>
      <c r="M128" s="838"/>
      <c r="N128" s="838"/>
      <c r="O128" s="838"/>
      <c r="P128" s="838"/>
      <c r="Q128" s="838"/>
      <c r="R128" s="838"/>
      <c r="S128" s="838"/>
      <c r="T128" s="838"/>
      <c r="U128" s="838"/>
      <c r="V128" s="838"/>
      <c r="W128" s="838"/>
      <c r="X128" s="838"/>
      <c r="Y128" s="838"/>
      <c r="Z128" s="838"/>
      <c r="AA128" s="839"/>
      <c r="AC128" s="272"/>
    </row>
    <row r="129" spans="2:29" ht="17.25" thickBot="1" x14ac:dyDescent="0.3">
      <c r="B129" s="861"/>
      <c r="C129" s="862"/>
      <c r="D129" s="862"/>
      <c r="E129" s="862"/>
      <c r="F129" s="862"/>
      <c r="G129" s="862"/>
      <c r="H129" s="863"/>
      <c r="J129" s="840"/>
      <c r="K129" s="841"/>
      <c r="L129" s="841"/>
      <c r="M129" s="841"/>
      <c r="N129" s="841"/>
      <c r="O129" s="841"/>
      <c r="P129" s="841"/>
      <c r="Q129" s="841"/>
      <c r="R129" s="841"/>
      <c r="S129" s="841"/>
      <c r="T129" s="841"/>
      <c r="U129" s="841"/>
      <c r="V129" s="841"/>
      <c r="W129" s="841"/>
      <c r="X129" s="841"/>
      <c r="Y129" s="841"/>
      <c r="Z129" s="841"/>
      <c r="AA129" s="842"/>
      <c r="AC129" s="272"/>
    </row>
    <row r="130" spans="2:29" ht="17.25" thickBot="1" x14ac:dyDescent="0.3">
      <c r="J130" s="269"/>
      <c r="AC130" s="272"/>
    </row>
    <row r="131" spans="2:29" ht="47.25" customHeight="1" thickBot="1" x14ac:dyDescent="0.3">
      <c r="B131" s="834" t="s">
        <v>682</v>
      </c>
      <c r="C131" s="835"/>
      <c r="D131" s="835"/>
      <c r="E131" s="835"/>
      <c r="F131" s="835"/>
      <c r="G131" s="835"/>
      <c r="H131" s="836"/>
      <c r="J131" s="834" t="s">
        <v>683</v>
      </c>
      <c r="K131" s="835"/>
      <c r="L131" s="835"/>
      <c r="M131" s="835"/>
      <c r="N131" s="835"/>
      <c r="O131" s="835"/>
      <c r="P131" s="835"/>
      <c r="Q131" s="835"/>
      <c r="R131" s="835"/>
      <c r="S131" s="835"/>
      <c r="T131" s="835"/>
      <c r="U131" s="835"/>
      <c r="V131" s="835"/>
      <c r="W131" s="835"/>
      <c r="X131" s="835"/>
      <c r="Y131" s="835"/>
      <c r="Z131" s="835"/>
      <c r="AA131" s="836"/>
      <c r="AC131" s="272"/>
    </row>
    <row r="132" spans="2:29" x14ac:dyDescent="0.25">
      <c r="B132" s="855"/>
      <c r="C132" s="856"/>
      <c r="D132" s="856"/>
      <c r="E132" s="856"/>
      <c r="F132" s="856"/>
      <c r="G132" s="856"/>
      <c r="H132" s="857"/>
      <c r="J132" s="837"/>
      <c r="K132" s="838"/>
      <c r="L132" s="838"/>
      <c r="M132" s="838"/>
      <c r="N132" s="838"/>
      <c r="O132" s="838"/>
      <c r="P132" s="838"/>
      <c r="Q132" s="838"/>
      <c r="R132" s="838"/>
      <c r="S132" s="838"/>
      <c r="T132" s="838"/>
      <c r="U132" s="838"/>
      <c r="V132" s="838"/>
      <c r="W132" s="838"/>
      <c r="X132" s="838"/>
      <c r="Y132" s="838"/>
      <c r="Z132" s="838"/>
      <c r="AA132" s="839"/>
      <c r="AC132" s="272"/>
    </row>
    <row r="133" spans="2:29" x14ac:dyDescent="0.25">
      <c r="B133" s="858"/>
      <c r="C133" s="859"/>
      <c r="D133" s="859"/>
      <c r="E133" s="859"/>
      <c r="F133" s="859"/>
      <c r="G133" s="859"/>
      <c r="H133" s="860"/>
      <c r="J133" s="837"/>
      <c r="K133" s="838"/>
      <c r="L133" s="838"/>
      <c r="M133" s="838"/>
      <c r="N133" s="838"/>
      <c r="O133" s="838"/>
      <c r="P133" s="838"/>
      <c r="Q133" s="838"/>
      <c r="R133" s="838"/>
      <c r="S133" s="838"/>
      <c r="T133" s="838"/>
      <c r="U133" s="838"/>
      <c r="V133" s="838"/>
      <c r="W133" s="838"/>
      <c r="X133" s="838"/>
      <c r="Y133" s="838"/>
      <c r="Z133" s="838"/>
      <c r="AA133" s="839"/>
      <c r="AC133" s="272"/>
    </row>
    <row r="134" spans="2:29" x14ac:dyDescent="0.25">
      <c r="B134" s="858"/>
      <c r="C134" s="859"/>
      <c r="D134" s="859"/>
      <c r="E134" s="859"/>
      <c r="F134" s="859"/>
      <c r="G134" s="859"/>
      <c r="H134" s="860"/>
      <c r="J134" s="837"/>
      <c r="K134" s="838"/>
      <c r="L134" s="838"/>
      <c r="M134" s="838"/>
      <c r="N134" s="838"/>
      <c r="O134" s="838"/>
      <c r="P134" s="838"/>
      <c r="Q134" s="838"/>
      <c r="R134" s="838"/>
      <c r="S134" s="838"/>
      <c r="T134" s="838"/>
      <c r="U134" s="838"/>
      <c r="V134" s="838"/>
      <c r="W134" s="838"/>
      <c r="X134" s="838"/>
      <c r="Y134" s="838"/>
      <c r="Z134" s="838"/>
      <c r="AA134" s="839"/>
      <c r="AC134" s="272"/>
    </row>
    <row r="135" spans="2:29" x14ac:dyDescent="0.25">
      <c r="B135" s="858"/>
      <c r="C135" s="859"/>
      <c r="D135" s="859"/>
      <c r="E135" s="859"/>
      <c r="F135" s="859"/>
      <c r="G135" s="859"/>
      <c r="H135" s="860"/>
      <c r="J135" s="837"/>
      <c r="K135" s="838"/>
      <c r="L135" s="838"/>
      <c r="M135" s="838"/>
      <c r="N135" s="838"/>
      <c r="O135" s="838"/>
      <c r="P135" s="838"/>
      <c r="Q135" s="838"/>
      <c r="R135" s="838"/>
      <c r="S135" s="838"/>
      <c r="T135" s="838"/>
      <c r="U135" s="838"/>
      <c r="V135" s="838"/>
      <c r="W135" s="838"/>
      <c r="X135" s="838"/>
      <c r="Y135" s="838"/>
      <c r="Z135" s="838"/>
      <c r="AA135" s="839"/>
      <c r="AC135" s="272"/>
    </row>
    <row r="136" spans="2:29" x14ac:dyDescent="0.25">
      <c r="B136" s="858"/>
      <c r="C136" s="859"/>
      <c r="D136" s="859"/>
      <c r="E136" s="859"/>
      <c r="F136" s="859"/>
      <c r="G136" s="859"/>
      <c r="H136" s="860"/>
      <c r="J136" s="837"/>
      <c r="K136" s="838"/>
      <c r="L136" s="838"/>
      <c r="M136" s="838"/>
      <c r="N136" s="838"/>
      <c r="O136" s="838"/>
      <c r="P136" s="838"/>
      <c r="Q136" s="838"/>
      <c r="R136" s="838"/>
      <c r="S136" s="838"/>
      <c r="T136" s="838"/>
      <c r="U136" s="838"/>
      <c r="V136" s="838"/>
      <c r="W136" s="838"/>
      <c r="X136" s="838"/>
      <c r="Y136" s="838"/>
      <c r="Z136" s="838"/>
      <c r="AA136" s="839"/>
      <c r="AC136" s="272"/>
    </row>
    <row r="137" spans="2:29" x14ac:dyDescent="0.25">
      <c r="B137" s="858"/>
      <c r="C137" s="859"/>
      <c r="D137" s="859"/>
      <c r="E137" s="859"/>
      <c r="F137" s="859"/>
      <c r="G137" s="859"/>
      <c r="H137" s="860"/>
      <c r="J137" s="837"/>
      <c r="K137" s="838"/>
      <c r="L137" s="838"/>
      <c r="M137" s="838"/>
      <c r="N137" s="838"/>
      <c r="O137" s="838"/>
      <c r="P137" s="838"/>
      <c r="Q137" s="838"/>
      <c r="R137" s="838"/>
      <c r="S137" s="838"/>
      <c r="T137" s="838"/>
      <c r="U137" s="838"/>
      <c r="V137" s="838"/>
      <c r="W137" s="838"/>
      <c r="X137" s="838"/>
      <c r="Y137" s="838"/>
      <c r="Z137" s="838"/>
      <c r="AA137" s="839"/>
      <c r="AC137" s="272"/>
    </row>
    <row r="138" spans="2:29" x14ac:dyDescent="0.25">
      <c r="B138" s="858"/>
      <c r="C138" s="859"/>
      <c r="D138" s="859"/>
      <c r="E138" s="859"/>
      <c r="F138" s="859"/>
      <c r="G138" s="859"/>
      <c r="H138" s="860"/>
      <c r="J138" s="837"/>
      <c r="K138" s="838"/>
      <c r="L138" s="838"/>
      <c r="M138" s="838"/>
      <c r="N138" s="838"/>
      <c r="O138" s="838"/>
      <c r="P138" s="838"/>
      <c r="Q138" s="838"/>
      <c r="R138" s="838"/>
      <c r="S138" s="838"/>
      <c r="T138" s="838"/>
      <c r="U138" s="838"/>
      <c r="V138" s="838"/>
      <c r="W138" s="838"/>
      <c r="X138" s="838"/>
      <c r="Y138" s="838"/>
      <c r="Z138" s="838"/>
      <c r="AA138" s="839"/>
      <c r="AC138" s="272"/>
    </row>
    <row r="139" spans="2:29" x14ac:dyDescent="0.25">
      <c r="B139" s="858"/>
      <c r="C139" s="859"/>
      <c r="D139" s="859"/>
      <c r="E139" s="859"/>
      <c r="F139" s="859"/>
      <c r="G139" s="859"/>
      <c r="H139" s="860"/>
      <c r="J139" s="837"/>
      <c r="K139" s="838"/>
      <c r="L139" s="838"/>
      <c r="M139" s="838"/>
      <c r="N139" s="838"/>
      <c r="O139" s="838"/>
      <c r="P139" s="838"/>
      <c r="Q139" s="838"/>
      <c r="R139" s="838"/>
      <c r="S139" s="838"/>
      <c r="T139" s="838"/>
      <c r="U139" s="838"/>
      <c r="V139" s="838"/>
      <c r="W139" s="838"/>
      <c r="X139" s="838"/>
      <c r="Y139" s="838"/>
      <c r="Z139" s="838"/>
      <c r="AA139" s="839"/>
      <c r="AC139" s="272"/>
    </row>
    <row r="140" spans="2:29" x14ac:dyDescent="0.25">
      <c r="B140" s="858"/>
      <c r="C140" s="859"/>
      <c r="D140" s="859"/>
      <c r="E140" s="859"/>
      <c r="F140" s="859"/>
      <c r="G140" s="859"/>
      <c r="H140" s="860"/>
      <c r="J140" s="837"/>
      <c r="K140" s="838"/>
      <c r="L140" s="838"/>
      <c r="M140" s="838"/>
      <c r="N140" s="838"/>
      <c r="O140" s="838"/>
      <c r="P140" s="838"/>
      <c r="Q140" s="838"/>
      <c r="R140" s="838"/>
      <c r="S140" s="838"/>
      <c r="T140" s="838"/>
      <c r="U140" s="838"/>
      <c r="V140" s="838"/>
      <c r="W140" s="838"/>
      <c r="X140" s="838"/>
      <c r="Y140" s="838"/>
      <c r="Z140" s="838"/>
      <c r="AA140" s="839"/>
      <c r="AC140" s="272"/>
    </row>
    <row r="141" spans="2:29" x14ac:dyDescent="0.25">
      <c r="B141" s="858"/>
      <c r="C141" s="859"/>
      <c r="D141" s="859"/>
      <c r="E141" s="859"/>
      <c r="F141" s="859"/>
      <c r="G141" s="859"/>
      <c r="H141" s="860"/>
      <c r="J141" s="837"/>
      <c r="K141" s="838"/>
      <c r="L141" s="838"/>
      <c r="M141" s="838"/>
      <c r="N141" s="838"/>
      <c r="O141" s="838"/>
      <c r="P141" s="838"/>
      <c r="Q141" s="838"/>
      <c r="R141" s="838"/>
      <c r="S141" s="838"/>
      <c r="T141" s="838"/>
      <c r="U141" s="838"/>
      <c r="V141" s="838"/>
      <c r="W141" s="838"/>
      <c r="X141" s="838"/>
      <c r="Y141" s="838"/>
      <c r="Z141" s="838"/>
      <c r="AA141" s="839"/>
      <c r="AC141" s="272"/>
    </row>
    <row r="142" spans="2:29" x14ac:dyDescent="0.25">
      <c r="B142" s="858"/>
      <c r="C142" s="859"/>
      <c r="D142" s="859"/>
      <c r="E142" s="859"/>
      <c r="F142" s="859"/>
      <c r="G142" s="859"/>
      <c r="H142" s="860"/>
      <c r="J142" s="837"/>
      <c r="K142" s="838"/>
      <c r="L142" s="838"/>
      <c r="M142" s="838"/>
      <c r="N142" s="838"/>
      <c r="O142" s="838"/>
      <c r="P142" s="838"/>
      <c r="Q142" s="838"/>
      <c r="R142" s="838"/>
      <c r="S142" s="838"/>
      <c r="T142" s="838"/>
      <c r="U142" s="838"/>
      <c r="V142" s="838"/>
      <c r="W142" s="838"/>
      <c r="X142" s="838"/>
      <c r="Y142" s="838"/>
      <c r="Z142" s="838"/>
      <c r="AA142" s="839"/>
      <c r="AC142" s="272"/>
    </row>
    <row r="143" spans="2:29" x14ac:dyDescent="0.25">
      <c r="B143" s="858"/>
      <c r="C143" s="859"/>
      <c r="D143" s="859"/>
      <c r="E143" s="859"/>
      <c r="F143" s="859"/>
      <c r="G143" s="859"/>
      <c r="H143" s="860"/>
      <c r="J143" s="837"/>
      <c r="K143" s="838"/>
      <c r="L143" s="838"/>
      <c r="M143" s="838"/>
      <c r="N143" s="838"/>
      <c r="O143" s="838"/>
      <c r="P143" s="838"/>
      <c r="Q143" s="838"/>
      <c r="R143" s="838"/>
      <c r="S143" s="838"/>
      <c r="T143" s="838"/>
      <c r="U143" s="838"/>
      <c r="V143" s="838"/>
      <c r="W143" s="838"/>
      <c r="X143" s="838"/>
      <c r="Y143" s="838"/>
      <c r="Z143" s="838"/>
      <c r="AA143" s="839"/>
      <c r="AC143" s="272"/>
    </row>
    <row r="144" spans="2:29" x14ac:dyDescent="0.25">
      <c r="B144" s="858"/>
      <c r="C144" s="859"/>
      <c r="D144" s="859"/>
      <c r="E144" s="859"/>
      <c r="F144" s="859"/>
      <c r="G144" s="859"/>
      <c r="H144" s="860"/>
      <c r="J144" s="837"/>
      <c r="K144" s="838"/>
      <c r="L144" s="838"/>
      <c r="M144" s="838"/>
      <c r="N144" s="838"/>
      <c r="O144" s="838"/>
      <c r="P144" s="838"/>
      <c r="Q144" s="838"/>
      <c r="R144" s="838"/>
      <c r="S144" s="838"/>
      <c r="T144" s="838"/>
      <c r="U144" s="838"/>
      <c r="V144" s="838"/>
      <c r="W144" s="838"/>
      <c r="X144" s="838"/>
      <c r="Y144" s="838"/>
      <c r="Z144" s="838"/>
      <c r="AA144" s="839"/>
      <c r="AC144" s="272"/>
    </row>
    <row r="145" spans="2:29" x14ac:dyDescent="0.25">
      <c r="B145" s="858"/>
      <c r="C145" s="859"/>
      <c r="D145" s="859"/>
      <c r="E145" s="859"/>
      <c r="F145" s="859"/>
      <c r="G145" s="859"/>
      <c r="H145" s="860"/>
      <c r="J145" s="837"/>
      <c r="K145" s="838"/>
      <c r="L145" s="838"/>
      <c r="M145" s="838"/>
      <c r="N145" s="838"/>
      <c r="O145" s="838"/>
      <c r="P145" s="838"/>
      <c r="Q145" s="838"/>
      <c r="R145" s="838"/>
      <c r="S145" s="838"/>
      <c r="T145" s="838"/>
      <c r="U145" s="838"/>
      <c r="V145" s="838"/>
      <c r="W145" s="838"/>
      <c r="X145" s="838"/>
      <c r="Y145" s="838"/>
      <c r="Z145" s="838"/>
      <c r="AA145" s="839"/>
      <c r="AC145" s="272"/>
    </row>
    <row r="146" spans="2:29" x14ac:dyDescent="0.25">
      <c r="B146" s="858"/>
      <c r="C146" s="859"/>
      <c r="D146" s="859"/>
      <c r="E146" s="859"/>
      <c r="F146" s="859"/>
      <c r="G146" s="859"/>
      <c r="H146" s="860"/>
      <c r="J146" s="837"/>
      <c r="K146" s="838"/>
      <c r="L146" s="838"/>
      <c r="M146" s="838"/>
      <c r="N146" s="838"/>
      <c r="O146" s="838"/>
      <c r="P146" s="838"/>
      <c r="Q146" s="838"/>
      <c r="R146" s="838"/>
      <c r="S146" s="838"/>
      <c r="T146" s="838"/>
      <c r="U146" s="838"/>
      <c r="V146" s="838"/>
      <c r="W146" s="838"/>
      <c r="X146" s="838"/>
      <c r="Y146" s="838"/>
      <c r="Z146" s="838"/>
      <c r="AA146" s="839"/>
      <c r="AC146" s="272"/>
    </row>
    <row r="147" spans="2:29" x14ac:dyDescent="0.25">
      <c r="B147" s="858"/>
      <c r="C147" s="859"/>
      <c r="D147" s="859"/>
      <c r="E147" s="859"/>
      <c r="F147" s="859"/>
      <c r="G147" s="859"/>
      <c r="H147" s="860"/>
      <c r="J147" s="837"/>
      <c r="K147" s="838"/>
      <c r="L147" s="838"/>
      <c r="M147" s="838"/>
      <c r="N147" s="838"/>
      <c r="O147" s="838"/>
      <c r="P147" s="838"/>
      <c r="Q147" s="838"/>
      <c r="R147" s="838"/>
      <c r="S147" s="838"/>
      <c r="T147" s="838"/>
      <c r="U147" s="838"/>
      <c r="V147" s="838"/>
      <c r="W147" s="838"/>
      <c r="X147" s="838"/>
      <c r="Y147" s="838"/>
      <c r="Z147" s="838"/>
      <c r="AA147" s="839"/>
      <c r="AC147" s="272"/>
    </row>
    <row r="148" spans="2:29" x14ac:dyDescent="0.25">
      <c r="B148" s="858"/>
      <c r="C148" s="859"/>
      <c r="D148" s="859"/>
      <c r="E148" s="859"/>
      <c r="F148" s="859"/>
      <c r="G148" s="859"/>
      <c r="H148" s="860"/>
      <c r="J148" s="837"/>
      <c r="K148" s="838"/>
      <c r="L148" s="838"/>
      <c r="M148" s="838"/>
      <c r="N148" s="838"/>
      <c r="O148" s="838"/>
      <c r="P148" s="838"/>
      <c r="Q148" s="838"/>
      <c r="R148" s="838"/>
      <c r="S148" s="838"/>
      <c r="T148" s="838"/>
      <c r="U148" s="838"/>
      <c r="V148" s="838"/>
      <c r="W148" s="838"/>
      <c r="X148" s="838"/>
      <c r="Y148" s="838"/>
      <c r="Z148" s="838"/>
      <c r="AA148" s="839"/>
      <c r="AC148" s="272"/>
    </row>
    <row r="149" spans="2:29" x14ac:dyDescent="0.25">
      <c r="B149" s="858"/>
      <c r="C149" s="859"/>
      <c r="D149" s="859"/>
      <c r="E149" s="859"/>
      <c r="F149" s="859"/>
      <c r="G149" s="859"/>
      <c r="H149" s="860"/>
      <c r="J149" s="837"/>
      <c r="K149" s="838"/>
      <c r="L149" s="838"/>
      <c r="M149" s="838"/>
      <c r="N149" s="838"/>
      <c r="O149" s="838"/>
      <c r="P149" s="838"/>
      <c r="Q149" s="838"/>
      <c r="R149" s="838"/>
      <c r="S149" s="838"/>
      <c r="T149" s="838"/>
      <c r="U149" s="838"/>
      <c r="V149" s="838"/>
      <c r="W149" s="838"/>
      <c r="X149" s="838"/>
      <c r="Y149" s="838"/>
      <c r="Z149" s="838"/>
      <c r="AA149" s="839"/>
      <c r="AC149" s="272"/>
    </row>
    <row r="150" spans="2:29" x14ac:dyDescent="0.25">
      <c r="B150" s="858"/>
      <c r="C150" s="859"/>
      <c r="D150" s="859"/>
      <c r="E150" s="859"/>
      <c r="F150" s="859"/>
      <c r="G150" s="859"/>
      <c r="H150" s="860"/>
      <c r="J150" s="837"/>
      <c r="K150" s="838"/>
      <c r="L150" s="838"/>
      <c r="M150" s="838"/>
      <c r="N150" s="838"/>
      <c r="O150" s="838"/>
      <c r="P150" s="838"/>
      <c r="Q150" s="838"/>
      <c r="R150" s="838"/>
      <c r="S150" s="838"/>
      <c r="T150" s="838"/>
      <c r="U150" s="838"/>
      <c r="V150" s="838"/>
      <c r="W150" s="838"/>
      <c r="X150" s="838"/>
      <c r="Y150" s="838"/>
      <c r="Z150" s="838"/>
      <c r="AA150" s="839"/>
      <c r="AC150" s="272"/>
    </row>
    <row r="151" spans="2:29" x14ac:dyDescent="0.25">
      <c r="B151" s="858"/>
      <c r="C151" s="859"/>
      <c r="D151" s="859"/>
      <c r="E151" s="859"/>
      <c r="F151" s="859"/>
      <c r="G151" s="859"/>
      <c r="H151" s="860"/>
      <c r="J151" s="837"/>
      <c r="K151" s="838"/>
      <c r="L151" s="838"/>
      <c r="M151" s="838"/>
      <c r="N151" s="838"/>
      <c r="O151" s="838"/>
      <c r="P151" s="838"/>
      <c r="Q151" s="838"/>
      <c r="R151" s="838"/>
      <c r="S151" s="838"/>
      <c r="T151" s="838"/>
      <c r="U151" s="838"/>
      <c r="V151" s="838"/>
      <c r="W151" s="838"/>
      <c r="X151" s="838"/>
      <c r="Y151" s="838"/>
      <c r="Z151" s="838"/>
      <c r="AA151" s="839"/>
      <c r="AC151" s="272"/>
    </row>
    <row r="152" spans="2:29" x14ac:dyDescent="0.25">
      <c r="B152" s="858"/>
      <c r="C152" s="859"/>
      <c r="D152" s="859"/>
      <c r="E152" s="859"/>
      <c r="F152" s="859"/>
      <c r="G152" s="859"/>
      <c r="H152" s="860"/>
      <c r="J152" s="837"/>
      <c r="K152" s="838"/>
      <c r="L152" s="838"/>
      <c r="M152" s="838"/>
      <c r="N152" s="838"/>
      <c r="O152" s="838"/>
      <c r="P152" s="838"/>
      <c r="Q152" s="838"/>
      <c r="R152" s="838"/>
      <c r="S152" s="838"/>
      <c r="T152" s="838"/>
      <c r="U152" s="838"/>
      <c r="V152" s="838"/>
      <c r="W152" s="838"/>
      <c r="X152" s="838"/>
      <c r="Y152" s="838"/>
      <c r="Z152" s="838"/>
      <c r="AA152" s="839"/>
      <c r="AC152" s="272"/>
    </row>
    <row r="153" spans="2:29" ht="17.25" thickBot="1" x14ac:dyDescent="0.3">
      <c r="B153" s="861"/>
      <c r="C153" s="862"/>
      <c r="D153" s="862"/>
      <c r="E153" s="862"/>
      <c r="F153" s="862"/>
      <c r="G153" s="862"/>
      <c r="H153" s="863"/>
      <c r="J153" s="840"/>
      <c r="K153" s="841"/>
      <c r="L153" s="841"/>
      <c r="M153" s="841"/>
      <c r="N153" s="841"/>
      <c r="O153" s="841"/>
      <c r="P153" s="841"/>
      <c r="Q153" s="841"/>
      <c r="R153" s="841"/>
      <c r="S153" s="841"/>
      <c r="T153" s="841"/>
      <c r="U153" s="841"/>
      <c r="V153" s="841"/>
      <c r="W153" s="841"/>
      <c r="X153" s="841"/>
      <c r="Y153" s="841"/>
      <c r="Z153" s="841"/>
      <c r="AA153" s="842"/>
      <c r="AC153" s="272"/>
    </row>
    <row r="154" spans="2:29" ht="17.25" thickBot="1" x14ac:dyDescent="0.3">
      <c r="J154" s="269"/>
      <c r="AC154" s="272"/>
    </row>
    <row r="155" spans="2:29" s="33" customFormat="1" ht="21.75" customHeight="1" thickBot="1" x14ac:dyDescent="0.3">
      <c r="B155" s="834" t="s">
        <v>679</v>
      </c>
      <c r="C155" s="835"/>
      <c r="D155" s="835"/>
      <c r="E155" s="835"/>
      <c r="F155" s="835"/>
      <c r="G155" s="835"/>
      <c r="H155" s="836"/>
      <c r="J155" s="808" t="s">
        <v>680</v>
      </c>
      <c r="K155" s="809"/>
      <c r="L155" s="809"/>
      <c r="M155" s="809"/>
      <c r="N155" s="809"/>
      <c r="O155" s="809"/>
      <c r="P155" s="809"/>
      <c r="Q155" s="809"/>
      <c r="R155" s="809"/>
      <c r="S155" s="809"/>
      <c r="T155" s="809"/>
      <c r="U155" s="809"/>
      <c r="V155" s="809"/>
      <c r="W155" s="809"/>
      <c r="X155" s="809"/>
      <c r="Y155" s="809"/>
      <c r="Z155" s="809"/>
      <c r="AA155" s="810"/>
      <c r="AC155" s="254"/>
    </row>
    <row r="156" spans="2:29" x14ac:dyDescent="0.25">
      <c r="B156" s="855"/>
      <c r="C156" s="856"/>
      <c r="D156" s="856"/>
      <c r="E156" s="856"/>
      <c r="F156" s="856"/>
      <c r="G156" s="856"/>
      <c r="H156" s="857"/>
      <c r="J156" s="855"/>
      <c r="K156" s="856"/>
      <c r="L156" s="856"/>
      <c r="M156" s="856"/>
      <c r="N156" s="856"/>
      <c r="O156" s="856"/>
      <c r="P156" s="856"/>
      <c r="Q156" s="856"/>
      <c r="R156" s="856"/>
      <c r="S156" s="856"/>
      <c r="T156" s="856"/>
      <c r="U156" s="856"/>
      <c r="V156" s="856"/>
      <c r="W156" s="856"/>
      <c r="X156" s="856"/>
      <c r="Y156" s="856"/>
      <c r="Z156" s="856"/>
      <c r="AA156" s="857"/>
      <c r="AC156" s="272"/>
    </row>
    <row r="157" spans="2:29" x14ac:dyDescent="0.25">
      <c r="B157" s="858"/>
      <c r="C157" s="859"/>
      <c r="D157" s="859"/>
      <c r="E157" s="859"/>
      <c r="F157" s="859"/>
      <c r="G157" s="859"/>
      <c r="H157" s="860"/>
      <c r="J157" s="858"/>
      <c r="K157" s="859"/>
      <c r="L157" s="859"/>
      <c r="M157" s="859"/>
      <c r="N157" s="859"/>
      <c r="O157" s="859"/>
      <c r="P157" s="859"/>
      <c r="Q157" s="859"/>
      <c r="R157" s="859"/>
      <c r="S157" s="859"/>
      <c r="T157" s="859"/>
      <c r="U157" s="859"/>
      <c r="V157" s="859"/>
      <c r="W157" s="859"/>
      <c r="X157" s="859"/>
      <c r="Y157" s="859"/>
      <c r="Z157" s="859"/>
      <c r="AA157" s="860"/>
      <c r="AC157" s="272"/>
    </row>
    <row r="158" spans="2:29" x14ac:dyDescent="0.25">
      <c r="B158" s="858"/>
      <c r="C158" s="859"/>
      <c r="D158" s="859"/>
      <c r="E158" s="859"/>
      <c r="F158" s="859"/>
      <c r="G158" s="859"/>
      <c r="H158" s="860"/>
      <c r="J158" s="858"/>
      <c r="K158" s="859"/>
      <c r="L158" s="859"/>
      <c r="M158" s="859"/>
      <c r="N158" s="859"/>
      <c r="O158" s="859"/>
      <c r="P158" s="859"/>
      <c r="Q158" s="859"/>
      <c r="R158" s="859"/>
      <c r="S158" s="859"/>
      <c r="T158" s="859"/>
      <c r="U158" s="859"/>
      <c r="V158" s="859"/>
      <c r="W158" s="859"/>
      <c r="X158" s="859"/>
      <c r="Y158" s="859"/>
      <c r="Z158" s="859"/>
      <c r="AA158" s="860"/>
      <c r="AC158" s="272"/>
    </row>
    <row r="159" spans="2:29" x14ac:dyDescent="0.25">
      <c r="B159" s="858"/>
      <c r="C159" s="859"/>
      <c r="D159" s="859"/>
      <c r="E159" s="859"/>
      <c r="F159" s="859"/>
      <c r="G159" s="859"/>
      <c r="H159" s="860"/>
      <c r="J159" s="858"/>
      <c r="K159" s="859"/>
      <c r="L159" s="859"/>
      <c r="M159" s="859"/>
      <c r="N159" s="859"/>
      <c r="O159" s="859"/>
      <c r="P159" s="859"/>
      <c r="Q159" s="859"/>
      <c r="R159" s="859"/>
      <c r="S159" s="859"/>
      <c r="T159" s="859"/>
      <c r="U159" s="859"/>
      <c r="V159" s="859"/>
      <c r="W159" s="859"/>
      <c r="X159" s="859"/>
      <c r="Y159" s="859"/>
      <c r="Z159" s="859"/>
      <c r="AA159" s="860"/>
      <c r="AC159" s="272"/>
    </row>
    <row r="160" spans="2:29" x14ac:dyDescent="0.25">
      <c r="B160" s="858"/>
      <c r="C160" s="859"/>
      <c r="D160" s="859"/>
      <c r="E160" s="859"/>
      <c r="F160" s="859"/>
      <c r="G160" s="859"/>
      <c r="H160" s="860"/>
      <c r="J160" s="858"/>
      <c r="K160" s="859"/>
      <c r="L160" s="859"/>
      <c r="M160" s="859"/>
      <c r="N160" s="859"/>
      <c r="O160" s="859"/>
      <c r="P160" s="859"/>
      <c r="Q160" s="859"/>
      <c r="R160" s="859"/>
      <c r="S160" s="859"/>
      <c r="T160" s="859"/>
      <c r="U160" s="859"/>
      <c r="V160" s="859"/>
      <c r="W160" s="859"/>
      <c r="X160" s="859"/>
      <c r="Y160" s="859"/>
      <c r="Z160" s="859"/>
      <c r="AA160" s="860"/>
      <c r="AC160" s="272"/>
    </row>
    <row r="161" spans="2:29" x14ac:dyDescent="0.25">
      <c r="B161" s="858"/>
      <c r="C161" s="859"/>
      <c r="D161" s="859"/>
      <c r="E161" s="859"/>
      <c r="F161" s="859"/>
      <c r="G161" s="859"/>
      <c r="H161" s="860"/>
      <c r="J161" s="858"/>
      <c r="K161" s="859"/>
      <c r="L161" s="859"/>
      <c r="M161" s="859"/>
      <c r="N161" s="859"/>
      <c r="O161" s="859"/>
      <c r="P161" s="859"/>
      <c r="Q161" s="859"/>
      <c r="R161" s="859"/>
      <c r="S161" s="859"/>
      <c r="T161" s="859"/>
      <c r="U161" s="859"/>
      <c r="V161" s="859"/>
      <c r="W161" s="859"/>
      <c r="X161" s="859"/>
      <c r="Y161" s="859"/>
      <c r="Z161" s="859"/>
      <c r="AA161" s="860"/>
      <c r="AC161" s="272"/>
    </row>
    <row r="162" spans="2:29" x14ac:dyDescent="0.25">
      <c r="B162" s="858"/>
      <c r="C162" s="859"/>
      <c r="D162" s="859"/>
      <c r="E162" s="859"/>
      <c r="F162" s="859"/>
      <c r="G162" s="859"/>
      <c r="H162" s="860"/>
      <c r="J162" s="858"/>
      <c r="K162" s="859"/>
      <c r="L162" s="859"/>
      <c r="M162" s="859"/>
      <c r="N162" s="859"/>
      <c r="O162" s="859"/>
      <c r="P162" s="859"/>
      <c r="Q162" s="859"/>
      <c r="R162" s="859"/>
      <c r="S162" s="859"/>
      <c r="T162" s="859"/>
      <c r="U162" s="859"/>
      <c r="V162" s="859"/>
      <c r="W162" s="859"/>
      <c r="X162" s="859"/>
      <c r="Y162" s="859"/>
      <c r="Z162" s="859"/>
      <c r="AA162" s="860"/>
      <c r="AC162" s="272"/>
    </row>
    <row r="163" spans="2:29" x14ac:dyDescent="0.25">
      <c r="B163" s="858"/>
      <c r="C163" s="859"/>
      <c r="D163" s="859"/>
      <c r="E163" s="859"/>
      <c r="F163" s="859"/>
      <c r="G163" s="859"/>
      <c r="H163" s="860"/>
      <c r="J163" s="858"/>
      <c r="K163" s="859"/>
      <c r="L163" s="859"/>
      <c r="M163" s="859"/>
      <c r="N163" s="859"/>
      <c r="O163" s="859"/>
      <c r="P163" s="859"/>
      <c r="Q163" s="859"/>
      <c r="R163" s="859"/>
      <c r="S163" s="859"/>
      <c r="T163" s="859"/>
      <c r="U163" s="859"/>
      <c r="V163" s="859"/>
      <c r="W163" s="859"/>
      <c r="X163" s="859"/>
      <c r="Y163" s="859"/>
      <c r="Z163" s="859"/>
      <c r="AA163" s="860"/>
      <c r="AC163" s="272"/>
    </row>
    <row r="164" spans="2:29" x14ac:dyDescent="0.25">
      <c r="B164" s="858"/>
      <c r="C164" s="859"/>
      <c r="D164" s="859"/>
      <c r="E164" s="859"/>
      <c r="F164" s="859"/>
      <c r="G164" s="859"/>
      <c r="H164" s="860"/>
      <c r="J164" s="858"/>
      <c r="K164" s="859"/>
      <c r="L164" s="859"/>
      <c r="M164" s="859"/>
      <c r="N164" s="859"/>
      <c r="O164" s="859"/>
      <c r="P164" s="859"/>
      <c r="Q164" s="859"/>
      <c r="R164" s="859"/>
      <c r="S164" s="859"/>
      <c r="T164" s="859"/>
      <c r="U164" s="859"/>
      <c r="V164" s="859"/>
      <c r="W164" s="859"/>
      <c r="X164" s="859"/>
      <c r="Y164" s="859"/>
      <c r="Z164" s="859"/>
      <c r="AA164" s="860"/>
      <c r="AC164" s="272"/>
    </row>
    <row r="165" spans="2:29" x14ac:dyDescent="0.25">
      <c r="B165" s="858"/>
      <c r="C165" s="859"/>
      <c r="D165" s="859"/>
      <c r="E165" s="859"/>
      <c r="F165" s="859"/>
      <c r="G165" s="859"/>
      <c r="H165" s="860"/>
      <c r="J165" s="858"/>
      <c r="K165" s="859"/>
      <c r="L165" s="859"/>
      <c r="M165" s="859"/>
      <c r="N165" s="859"/>
      <c r="O165" s="859"/>
      <c r="P165" s="859"/>
      <c r="Q165" s="859"/>
      <c r="R165" s="859"/>
      <c r="S165" s="859"/>
      <c r="T165" s="859"/>
      <c r="U165" s="859"/>
      <c r="V165" s="859"/>
      <c r="W165" s="859"/>
      <c r="X165" s="859"/>
      <c r="Y165" s="859"/>
      <c r="Z165" s="859"/>
      <c r="AA165" s="860"/>
      <c r="AC165" s="272"/>
    </row>
    <row r="166" spans="2:29" x14ac:dyDescent="0.25">
      <c r="B166" s="858"/>
      <c r="C166" s="859"/>
      <c r="D166" s="859"/>
      <c r="E166" s="859"/>
      <c r="F166" s="859"/>
      <c r="G166" s="859"/>
      <c r="H166" s="860"/>
      <c r="J166" s="858"/>
      <c r="K166" s="859"/>
      <c r="L166" s="859"/>
      <c r="M166" s="859"/>
      <c r="N166" s="859"/>
      <c r="O166" s="859"/>
      <c r="P166" s="859"/>
      <c r="Q166" s="859"/>
      <c r="R166" s="859"/>
      <c r="S166" s="859"/>
      <c r="T166" s="859"/>
      <c r="U166" s="859"/>
      <c r="V166" s="859"/>
      <c r="W166" s="859"/>
      <c r="X166" s="859"/>
      <c r="Y166" s="859"/>
      <c r="Z166" s="859"/>
      <c r="AA166" s="860"/>
      <c r="AC166" s="272"/>
    </row>
    <row r="167" spans="2:29" x14ac:dyDescent="0.25">
      <c r="B167" s="858"/>
      <c r="C167" s="859"/>
      <c r="D167" s="859"/>
      <c r="E167" s="859"/>
      <c r="F167" s="859"/>
      <c r="G167" s="859"/>
      <c r="H167" s="860"/>
      <c r="J167" s="858"/>
      <c r="K167" s="859"/>
      <c r="L167" s="859"/>
      <c r="M167" s="859"/>
      <c r="N167" s="859"/>
      <c r="O167" s="859"/>
      <c r="P167" s="859"/>
      <c r="Q167" s="859"/>
      <c r="R167" s="859"/>
      <c r="S167" s="859"/>
      <c r="T167" s="859"/>
      <c r="U167" s="859"/>
      <c r="V167" s="859"/>
      <c r="W167" s="859"/>
      <c r="X167" s="859"/>
      <c r="Y167" s="859"/>
      <c r="Z167" s="859"/>
      <c r="AA167" s="860"/>
      <c r="AC167" s="272"/>
    </row>
    <row r="168" spans="2:29" x14ac:dyDescent="0.25">
      <c r="B168" s="858"/>
      <c r="C168" s="859"/>
      <c r="D168" s="859"/>
      <c r="E168" s="859"/>
      <c r="F168" s="859"/>
      <c r="G168" s="859"/>
      <c r="H168" s="860"/>
      <c r="J168" s="858"/>
      <c r="K168" s="859"/>
      <c r="L168" s="859"/>
      <c r="M168" s="859"/>
      <c r="N168" s="859"/>
      <c r="O168" s="859"/>
      <c r="P168" s="859"/>
      <c r="Q168" s="859"/>
      <c r="R168" s="859"/>
      <c r="S168" s="859"/>
      <c r="T168" s="859"/>
      <c r="U168" s="859"/>
      <c r="V168" s="859"/>
      <c r="W168" s="859"/>
      <c r="X168" s="859"/>
      <c r="Y168" s="859"/>
      <c r="Z168" s="859"/>
      <c r="AA168" s="860"/>
      <c r="AC168" s="272"/>
    </row>
    <row r="169" spans="2:29" x14ac:dyDescent="0.25">
      <c r="B169" s="858"/>
      <c r="C169" s="859"/>
      <c r="D169" s="859"/>
      <c r="E169" s="859"/>
      <c r="F169" s="859"/>
      <c r="G169" s="859"/>
      <c r="H169" s="860"/>
      <c r="J169" s="858"/>
      <c r="K169" s="859"/>
      <c r="L169" s="859"/>
      <c r="M169" s="859"/>
      <c r="N169" s="859"/>
      <c r="O169" s="859"/>
      <c r="P169" s="859"/>
      <c r="Q169" s="859"/>
      <c r="R169" s="859"/>
      <c r="S169" s="859"/>
      <c r="T169" s="859"/>
      <c r="U169" s="859"/>
      <c r="V169" s="859"/>
      <c r="W169" s="859"/>
      <c r="X169" s="859"/>
      <c r="Y169" s="859"/>
      <c r="Z169" s="859"/>
      <c r="AA169" s="860"/>
      <c r="AC169" s="272"/>
    </row>
    <row r="170" spans="2:29" x14ac:dyDescent="0.25">
      <c r="B170" s="858"/>
      <c r="C170" s="859"/>
      <c r="D170" s="859"/>
      <c r="E170" s="859"/>
      <c r="F170" s="859"/>
      <c r="G170" s="859"/>
      <c r="H170" s="860"/>
      <c r="J170" s="858"/>
      <c r="K170" s="859"/>
      <c r="L170" s="859"/>
      <c r="M170" s="859"/>
      <c r="N170" s="859"/>
      <c r="O170" s="859"/>
      <c r="P170" s="859"/>
      <c r="Q170" s="859"/>
      <c r="R170" s="859"/>
      <c r="S170" s="859"/>
      <c r="T170" s="859"/>
      <c r="U170" s="859"/>
      <c r="V170" s="859"/>
      <c r="W170" s="859"/>
      <c r="X170" s="859"/>
      <c r="Y170" s="859"/>
      <c r="Z170" s="859"/>
      <c r="AA170" s="860"/>
      <c r="AC170" s="272"/>
    </row>
    <row r="171" spans="2:29" x14ac:dyDescent="0.25">
      <c r="B171" s="858"/>
      <c r="C171" s="859"/>
      <c r="D171" s="859"/>
      <c r="E171" s="859"/>
      <c r="F171" s="859"/>
      <c r="G171" s="859"/>
      <c r="H171" s="860"/>
      <c r="J171" s="858"/>
      <c r="K171" s="859"/>
      <c r="L171" s="859"/>
      <c r="M171" s="859"/>
      <c r="N171" s="859"/>
      <c r="O171" s="859"/>
      <c r="P171" s="859"/>
      <c r="Q171" s="859"/>
      <c r="R171" s="859"/>
      <c r="S171" s="859"/>
      <c r="T171" s="859"/>
      <c r="U171" s="859"/>
      <c r="V171" s="859"/>
      <c r="W171" s="859"/>
      <c r="X171" s="859"/>
      <c r="Y171" s="859"/>
      <c r="Z171" s="859"/>
      <c r="AA171" s="860"/>
      <c r="AC171" s="272"/>
    </row>
    <row r="172" spans="2:29" x14ac:dyDescent="0.25">
      <c r="B172" s="858"/>
      <c r="C172" s="859"/>
      <c r="D172" s="859"/>
      <c r="E172" s="859"/>
      <c r="F172" s="859"/>
      <c r="G172" s="859"/>
      <c r="H172" s="860"/>
      <c r="J172" s="858"/>
      <c r="K172" s="859"/>
      <c r="L172" s="859"/>
      <c r="M172" s="859"/>
      <c r="N172" s="859"/>
      <c r="O172" s="859"/>
      <c r="P172" s="859"/>
      <c r="Q172" s="859"/>
      <c r="R172" s="859"/>
      <c r="S172" s="859"/>
      <c r="T172" s="859"/>
      <c r="U172" s="859"/>
      <c r="V172" s="859"/>
      <c r="W172" s="859"/>
      <c r="X172" s="859"/>
      <c r="Y172" s="859"/>
      <c r="Z172" s="859"/>
      <c r="AA172" s="860"/>
      <c r="AC172" s="272"/>
    </row>
    <row r="173" spans="2:29" x14ac:dyDescent="0.25">
      <c r="B173" s="858"/>
      <c r="C173" s="859"/>
      <c r="D173" s="859"/>
      <c r="E173" s="859"/>
      <c r="F173" s="859"/>
      <c r="G173" s="859"/>
      <c r="H173" s="860"/>
      <c r="J173" s="858"/>
      <c r="K173" s="859"/>
      <c r="L173" s="859"/>
      <c r="M173" s="859"/>
      <c r="N173" s="859"/>
      <c r="O173" s="859"/>
      <c r="P173" s="859"/>
      <c r="Q173" s="859"/>
      <c r="R173" s="859"/>
      <c r="S173" s="859"/>
      <c r="T173" s="859"/>
      <c r="U173" s="859"/>
      <c r="V173" s="859"/>
      <c r="W173" s="859"/>
      <c r="X173" s="859"/>
      <c r="Y173" s="859"/>
      <c r="Z173" s="859"/>
      <c r="AA173" s="860"/>
      <c r="AC173" s="272"/>
    </row>
    <row r="174" spans="2:29" x14ac:dyDescent="0.25">
      <c r="B174" s="858"/>
      <c r="C174" s="859"/>
      <c r="D174" s="859"/>
      <c r="E174" s="859"/>
      <c r="F174" s="859"/>
      <c r="G174" s="859"/>
      <c r="H174" s="860"/>
      <c r="J174" s="858"/>
      <c r="K174" s="859"/>
      <c r="L174" s="859"/>
      <c r="M174" s="859"/>
      <c r="N174" s="859"/>
      <c r="O174" s="859"/>
      <c r="P174" s="859"/>
      <c r="Q174" s="859"/>
      <c r="R174" s="859"/>
      <c r="S174" s="859"/>
      <c r="T174" s="859"/>
      <c r="U174" s="859"/>
      <c r="V174" s="859"/>
      <c r="W174" s="859"/>
      <c r="X174" s="859"/>
      <c r="Y174" s="859"/>
      <c r="Z174" s="859"/>
      <c r="AA174" s="860"/>
      <c r="AC174" s="272"/>
    </row>
    <row r="175" spans="2:29" x14ac:dyDescent="0.25">
      <c r="B175" s="858"/>
      <c r="C175" s="859"/>
      <c r="D175" s="859"/>
      <c r="E175" s="859"/>
      <c r="F175" s="859"/>
      <c r="G175" s="859"/>
      <c r="H175" s="860"/>
      <c r="J175" s="858"/>
      <c r="K175" s="859"/>
      <c r="L175" s="859"/>
      <c r="M175" s="859"/>
      <c r="N175" s="859"/>
      <c r="O175" s="859"/>
      <c r="P175" s="859"/>
      <c r="Q175" s="859"/>
      <c r="R175" s="859"/>
      <c r="S175" s="859"/>
      <c r="T175" s="859"/>
      <c r="U175" s="859"/>
      <c r="V175" s="859"/>
      <c r="W175" s="859"/>
      <c r="X175" s="859"/>
      <c r="Y175" s="859"/>
      <c r="Z175" s="859"/>
      <c r="AA175" s="860"/>
      <c r="AC175" s="272"/>
    </row>
    <row r="176" spans="2:29" x14ac:dyDescent="0.25">
      <c r="B176" s="858"/>
      <c r="C176" s="859"/>
      <c r="D176" s="859"/>
      <c r="E176" s="859"/>
      <c r="F176" s="859"/>
      <c r="G176" s="859"/>
      <c r="H176" s="860"/>
      <c r="J176" s="858"/>
      <c r="K176" s="859"/>
      <c r="L176" s="859"/>
      <c r="M176" s="859"/>
      <c r="N176" s="859"/>
      <c r="O176" s="859"/>
      <c r="P176" s="859"/>
      <c r="Q176" s="859"/>
      <c r="R176" s="859"/>
      <c r="S176" s="859"/>
      <c r="T176" s="859"/>
      <c r="U176" s="859"/>
      <c r="V176" s="859"/>
      <c r="W176" s="859"/>
      <c r="X176" s="859"/>
      <c r="Y176" s="859"/>
      <c r="Z176" s="859"/>
      <c r="AA176" s="860"/>
      <c r="AC176" s="272"/>
    </row>
    <row r="177" spans="2:29" ht="17.25" thickBot="1" x14ac:dyDescent="0.3">
      <c r="B177" s="861"/>
      <c r="C177" s="862"/>
      <c r="D177" s="862"/>
      <c r="E177" s="862"/>
      <c r="F177" s="862"/>
      <c r="G177" s="862"/>
      <c r="H177" s="863"/>
      <c r="J177" s="861"/>
      <c r="K177" s="862"/>
      <c r="L177" s="862"/>
      <c r="M177" s="862"/>
      <c r="N177" s="862"/>
      <c r="O177" s="862"/>
      <c r="P177" s="862"/>
      <c r="Q177" s="862"/>
      <c r="R177" s="862"/>
      <c r="S177" s="862"/>
      <c r="T177" s="862"/>
      <c r="U177" s="862"/>
      <c r="V177" s="862"/>
      <c r="W177" s="862"/>
      <c r="X177" s="862"/>
      <c r="Y177" s="862"/>
      <c r="Z177" s="862"/>
      <c r="AA177" s="863"/>
      <c r="AC177" s="272"/>
    </row>
    <row r="178" spans="2:29" ht="17.25" thickBot="1" x14ac:dyDescent="0.3">
      <c r="B178" s="277"/>
      <c r="AC178" s="272"/>
    </row>
    <row r="179" spans="2:29" s="33" customFormat="1" ht="18" thickBot="1" x14ac:dyDescent="0.3">
      <c r="B179" s="808" t="s">
        <v>681</v>
      </c>
      <c r="C179" s="809"/>
      <c r="D179" s="809"/>
      <c r="E179" s="809"/>
      <c r="F179" s="809"/>
      <c r="G179" s="809"/>
      <c r="H179" s="809"/>
      <c r="I179" s="809"/>
      <c r="J179" s="809"/>
      <c r="K179" s="809"/>
      <c r="L179" s="809"/>
      <c r="M179" s="809"/>
      <c r="N179" s="809"/>
      <c r="O179" s="809"/>
      <c r="P179" s="809"/>
      <c r="Q179" s="809"/>
      <c r="R179" s="809"/>
      <c r="S179" s="809"/>
      <c r="T179" s="809"/>
      <c r="U179" s="809"/>
      <c r="V179" s="809"/>
      <c r="W179" s="809"/>
      <c r="X179" s="809"/>
      <c r="Y179" s="809"/>
      <c r="Z179" s="809"/>
      <c r="AA179" s="810"/>
      <c r="AC179" s="254"/>
    </row>
    <row r="180" spans="2:29" x14ac:dyDescent="0.25">
      <c r="B180" s="855"/>
      <c r="C180" s="856"/>
      <c r="D180" s="856"/>
      <c r="E180" s="856"/>
      <c r="F180" s="856"/>
      <c r="G180" s="856"/>
      <c r="H180" s="856"/>
      <c r="I180" s="856"/>
      <c r="J180" s="856"/>
      <c r="K180" s="856"/>
      <c r="L180" s="856"/>
      <c r="M180" s="856"/>
      <c r="N180" s="856"/>
      <c r="O180" s="856"/>
      <c r="P180" s="856"/>
      <c r="Q180" s="856"/>
      <c r="R180" s="856"/>
      <c r="S180" s="856"/>
      <c r="T180" s="856"/>
      <c r="U180" s="856"/>
      <c r="V180" s="856"/>
      <c r="W180" s="856"/>
      <c r="X180" s="856"/>
      <c r="Y180" s="856"/>
      <c r="Z180" s="856"/>
      <c r="AA180" s="857"/>
      <c r="AC180" s="272"/>
    </row>
    <row r="181" spans="2:29" x14ac:dyDescent="0.25">
      <c r="B181" s="858"/>
      <c r="C181" s="859"/>
      <c r="D181" s="859"/>
      <c r="E181" s="859"/>
      <c r="F181" s="859"/>
      <c r="G181" s="859"/>
      <c r="H181" s="859"/>
      <c r="I181" s="859"/>
      <c r="J181" s="859"/>
      <c r="K181" s="859"/>
      <c r="L181" s="859"/>
      <c r="M181" s="859"/>
      <c r="N181" s="859"/>
      <c r="O181" s="859"/>
      <c r="P181" s="859"/>
      <c r="Q181" s="859"/>
      <c r="R181" s="859"/>
      <c r="S181" s="859"/>
      <c r="T181" s="859"/>
      <c r="U181" s="859"/>
      <c r="V181" s="859"/>
      <c r="W181" s="859"/>
      <c r="X181" s="859"/>
      <c r="Y181" s="859"/>
      <c r="Z181" s="859"/>
      <c r="AA181" s="860"/>
      <c r="AC181" s="272"/>
    </row>
    <row r="182" spans="2:29" x14ac:dyDescent="0.25">
      <c r="B182" s="858"/>
      <c r="C182" s="859"/>
      <c r="D182" s="859"/>
      <c r="E182" s="859"/>
      <c r="F182" s="859"/>
      <c r="G182" s="859"/>
      <c r="H182" s="859"/>
      <c r="I182" s="859"/>
      <c r="J182" s="859"/>
      <c r="K182" s="859"/>
      <c r="L182" s="859"/>
      <c r="M182" s="859"/>
      <c r="N182" s="859"/>
      <c r="O182" s="859"/>
      <c r="P182" s="859"/>
      <c r="Q182" s="859"/>
      <c r="R182" s="859"/>
      <c r="S182" s="859"/>
      <c r="T182" s="859"/>
      <c r="U182" s="859"/>
      <c r="V182" s="859"/>
      <c r="W182" s="859"/>
      <c r="X182" s="859"/>
      <c r="Y182" s="859"/>
      <c r="Z182" s="859"/>
      <c r="AA182" s="860"/>
      <c r="AC182" s="272"/>
    </row>
    <row r="183" spans="2:29" x14ac:dyDescent="0.25">
      <c r="B183" s="858"/>
      <c r="C183" s="859"/>
      <c r="D183" s="859"/>
      <c r="E183" s="859"/>
      <c r="F183" s="859"/>
      <c r="G183" s="859"/>
      <c r="H183" s="859"/>
      <c r="I183" s="859"/>
      <c r="J183" s="859"/>
      <c r="K183" s="859"/>
      <c r="L183" s="859"/>
      <c r="M183" s="859"/>
      <c r="N183" s="859"/>
      <c r="O183" s="859"/>
      <c r="P183" s="859"/>
      <c r="Q183" s="859"/>
      <c r="R183" s="859"/>
      <c r="S183" s="859"/>
      <c r="T183" s="859"/>
      <c r="U183" s="859"/>
      <c r="V183" s="859"/>
      <c r="W183" s="859"/>
      <c r="X183" s="859"/>
      <c r="Y183" s="859"/>
      <c r="Z183" s="859"/>
      <c r="AA183" s="860"/>
      <c r="AC183" s="272"/>
    </row>
    <row r="184" spans="2:29" x14ac:dyDescent="0.25">
      <c r="B184" s="858"/>
      <c r="C184" s="859"/>
      <c r="D184" s="859"/>
      <c r="E184" s="859"/>
      <c r="F184" s="859"/>
      <c r="G184" s="859"/>
      <c r="H184" s="859"/>
      <c r="I184" s="859"/>
      <c r="J184" s="859"/>
      <c r="K184" s="859"/>
      <c r="L184" s="859"/>
      <c r="M184" s="859"/>
      <c r="N184" s="859"/>
      <c r="O184" s="859"/>
      <c r="P184" s="859"/>
      <c r="Q184" s="859"/>
      <c r="R184" s="859"/>
      <c r="S184" s="859"/>
      <c r="T184" s="859"/>
      <c r="U184" s="859"/>
      <c r="V184" s="859"/>
      <c r="W184" s="859"/>
      <c r="X184" s="859"/>
      <c r="Y184" s="859"/>
      <c r="Z184" s="859"/>
      <c r="AA184" s="860"/>
      <c r="AC184" s="272"/>
    </row>
    <row r="185" spans="2:29" x14ac:dyDescent="0.25">
      <c r="B185" s="858"/>
      <c r="C185" s="859"/>
      <c r="D185" s="859"/>
      <c r="E185" s="859"/>
      <c r="F185" s="859"/>
      <c r="G185" s="859"/>
      <c r="H185" s="859"/>
      <c r="I185" s="859"/>
      <c r="J185" s="859"/>
      <c r="K185" s="859"/>
      <c r="L185" s="859"/>
      <c r="M185" s="859"/>
      <c r="N185" s="859"/>
      <c r="O185" s="859"/>
      <c r="P185" s="859"/>
      <c r="Q185" s="859"/>
      <c r="R185" s="859"/>
      <c r="S185" s="859"/>
      <c r="T185" s="859"/>
      <c r="U185" s="859"/>
      <c r="V185" s="859"/>
      <c r="W185" s="859"/>
      <c r="X185" s="859"/>
      <c r="Y185" s="859"/>
      <c r="Z185" s="859"/>
      <c r="AA185" s="860"/>
      <c r="AC185" s="272"/>
    </row>
    <row r="186" spans="2:29" x14ac:dyDescent="0.25">
      <c r="B186" s="858"/>
      <c r="C186" s="859"/>
      <c r="D186" s="859"/>
      <c r="E186" s="859"/>
      <c r="F186" s="859"/>
      <c r="G186" s="859"/>
      <c r="H186" s="859"/>
      <c r="I186" s="859"/>
      <c r="J186" s="859"/>
      <c r="K186" s="859"/>
      <c r="L186" s="859"/>
      <c r="M186" s="859"/>
      <c r="N186" s="859"/>
      <c r="O186" s="859"/>
      <c r="P186" s="859"/>
      <c r="Q186" s="859"/>
      <c r="R186" s="859"/>
      <c r="S186" s="859"/>
      <c r="T186" s="859"/>
      <c r="U186" s="859"/>
      <c r="V186" s="859"/>
      <c r="W186" s="859"/>
      <c r="X186" s="859"/>
      <c r="Y186" s="859"/>
      <c r="Z186" s="859"/>
      <c r="AA186" s="860"/>
      <c r="AC186" s="272"/>
    </row>
    <row r="187" spans="2:29" x14ac:dyDescent="0.25">
      <c r="B187" s="858"/>
      <c r="C187" s="859"/>
      <c r="D187" s="859"/>
      <c r="E187" s="859"/>
      <c r="F187" s="859"/>
      <c r="G187" s="859"/>
      <c r="H187" s="859"/>
      <c r="I187" s="859"/>
      <c r="J187" s="859"/>
      <c r="K187" s="859"/>
      <c r="L187" s="859"/>
      <c r="M187" s="859"/>
      <c r="N187" s="859"/>
      <c r="O187" s="859"/>
      <c r="P187" s="859"/>
      <c r="Q187" s="859"/>
      <c r="R187" s="859"/>
      <c r="S187" s="859"/>
      <c r="T187" s="859"/>
      <c r="U187" s="859"/>
      <c r="V187" s="859"/>
      <c r="W187" s="859"/>
      <c r="X187" s="859"/>
      <c r="Y187" s="859"/>
      <c r="Z187" s="859"/>
      <c r="AA187" s="860"/>
      <c r="AC187" s="272"/>
    </row>
    <row r="188" spans="2:29" x14ac:dyDescent="0.25">
      <c r="B188" s="858"/>
      <c r="C188" s="859"/>
      <c r="D188" s="859"/>
      <c r="E188" s="859"/>
      <c r="F188" s="859"/>
      <c r="G188" s="859"/>
      <c r="H188" s="859"/>
      <c r="I188" s="859"/>
      <c r="J188" s="859"/>
      <c r="K188" s="859"/>
      <c r="L188" s="859"/>
      <c r="M188" s="859"/>
      <c r="N188" s="859"/>
      <c r="O188" s="859"/>
      <c r="P188" s="859"/>
      <c r="Q188" s="859"/>
      <c r="R188" s="859"/>
      <c r="S188" s="859"/>
      <c r="T188" s="859"/>
      <c r="U188" s="859"/>
      <c r="V188" s="859"/>
      <c r="W188" s="859"/>
      <c r="X188" s="859"/>
      <c r="Y188" s="859"/>
      <c r="Z188" s="859"/>
      <c r="AA188" s="860"/>
      <c r="AC188" s="272"/>
    </row>
    <row r="189" spans="2:29" x14ac:dyDescent="0.25">
      <c r="B189" s="858"/>
      <c r="C189" s="859"/>
      <c r="D189" s="859"/>
      <c r="E189" s="859"/>
      <c r="F189" s="859"/>
      <c r="G189" s="859"/>
      <c r="H189" s="859"/>
      <c r="I189" s="859"/>
      <c r="J189" s="859"/>
      <c r="K189" s="859"/>
      <c r="L189" s="859"/>
      <c r="M189" s="859"/>
      <c r="N189" s="859"/>
      <c r="O189" s="859"/>
      <c r="P189" s="859"/>
      <c r="Q189" s="859"/>
      <c r="R189" s="859"/>
      <c r="S189" s="859"/>
      <c r="T189" s="859"/>
      <c r="U189" s="859"/>
      <c r="V189" s="859"/>
      <c r="W189" s="859"/>
      <c r="X189" s="859"/>
      <c r="Y189" s="859"/>
      <c r="Z189" s="859"/>
      <c r="AA189" s="860"/>
      <c r="AC189" s="272"/>
    </row>
    <row r="190" spans="2:29" x14ac:dyDescent="0.25">
      <c r="B190" s="858"/>
      <c r="C190" s="859"/>
      <c r="D190" s="859"/>
      <c r="E190" s="859"/>
      <c r="F190" s="859"/>
      <c r="G190" s="859"/>
      <c r="H190" s="859"/>
      <c r="I190" s="859"/>
      <c r="J190" s="859"/>
      <c r="K190" s="859"/>
      <c r="L190" s="859"/>
      <c r="M190" s="859"/>
      <c r="N190" s="859"/>
      <c r="O190" s="859"/>
      <c r="P190" s="859"/>
      <c r="Q190" s="859"/>
      <c r="R190" s="859"/>
      <c r="S190" s="859"/>
      <c r="T190" s="859"/>
      <c r="U190" s="859"/>
      <c r="V190" s="859"/>
      <c r="W190" s="859"/>
      <c r="X190" s="859"/>
      <c r="Y190" s="859"/>
      <c r="Z190" s="859"/>
      <c r="AA190" s="860"/>
      <c r="AC190" s="272"/>
    </row>
    <row r="191" spans="2:29" x14ac:dyDescent="0.25">
      <c r="B191" s="858"/>
      <c r="C191" s="859"/>
      <c r="D191" s="859"/>
      <c r="E191" s="859"/>
      <c r="F191" s="859"/>
      <c r="G191" s="859"/>
      <c r="H191" s="859"/>
      <c r="I191" s="859"/>
      <c r="J191" s="859"/>
      <c r="K191" s="859"/>
      <c r="L191" s="859"/>
      <c r="M191" s="859"/>
      <c r="N191" s="859"/>
      <c r="O191" s="859"/>
      <c r="P191" s="859"/>
      <c r="Q191" s="859"/>
      <c r="R191" s="859"/>
      <c r="S191" s="859"/>
      <c r="T191" s="859"/>
      <c r="U191" s="859"/>
      <c r="V191" s="859"/>
      <c r="W191" s="859"/>
      <c r="X191" s="859"/>
      <c r="Y191" s="859"/>
      <c r="Z191" s="859"/>
      <c r="AA191" s="860"/>
      <c r="AC191" s="272"/>
    </row>
    <row r="192" spans="2:29" x14ac:dyDescent="0.25">
      <c r="B192" s="858"/>
      <c r="C192" s="859"/>
      <c r="D192" s="859"/>
      <c r="E192" s="859"/>
      <c r="F192" s="859"/>
      <c r="G192" s="859"/>
      <c r="H192" s="859"/>
      <c r="I192" s="859"/>
      <c r="J192" s="859"/>
      <c r="K192" s="859"/>
      <c r="L192" s="859"/>
      <c r="M192" s="859"/>
      <c r="N192" s="859"/>
      <c r="O192" s="859"/>
      <c r="P192" s="859"/>
      <c r="Q192" s="859"/>
      <c r="R192" s="859"/>
      <c r="S192" s="859"/>
      <c r="T192" s="859"/>
      <c r="U192" s="859"/>
      <c r="V192" s="859"/>
      <c r="W192" s="859"/>
      <c r="X192" s="859"/>
      <c r="Y192" s="859"/>
      <c r="Z192" s="859"/>
      <c r="AA192" s="860"/>
      <c r="AC192" s="272"/>
    </row>
    <row r="193" spans="1:29" x14ac:dyDescent="0.25">
      <c r="B193" s="858"/>
      <c r="C193" s="859"/>
      <c r="D193" s="859"/>
      <c r="E193" s="859"/>
      <c r="F193" s="859"/>
      <c r="G193" s="859"/>
      <c r="H193" s="859"/>
      <c r="I193" s="859"/>
      <c r="J193" s="859"/>
      <c r="K193" s="859"/>
      <c r="L193" s="859"/>
      <c r="M193" s="859"/>
      <c r="N193" s="859"/>
      <c r="O193" s="859"/>
      <c r="P193" s="859"/>
      <c r="Q193" s="859"/>
      <c r="R193" s="859"/>
      <c r="S193" s="859"/>
      <c r="T193" s="859"/>
      <c r="U193" s="859"/>
      <c r="V193" s="859"/>
      <c r="W193" s="859"/>
      <c r="X193" s="859"/>
      <c r="Y193" s="859"/>
      <c r="Z193" s="859"/>
      <c r="AA193" s="860"/>
      <c r="AC193" s="272"/>
    </row>
    <row r="194" spans="1:29" x14ac:dyDescent="0.25">
      <c r="B194" s="858"/>
      <c r="C194" s="859"/>
      <c r="D194" s="859"/>
      <c r="E194" s="859"/>
      <c r="F194" s="859"/>
      <c r="G194" s="859"/>
      <c r="H194" s="859"/>
      <c r="I194" s="859"/>
      <c r="J194" s="859"/>
      <c r="K194" s="859"/>
      <c r="L194" s="859"/>
      <c r="M194" s="859"/>
      <c r="N194" s="859"/>
      <c r="O194" s="859"/>
      <c r="P194" s="859"/>
      <c r="Q194" s="859"/>
      <c r="R194" s="859"/>
      <c r="S194" s="859"/>
      <c r="T194" s="859"/>
      <c r="U194" s="859"/>
      <c r="V194" s="859"/>
      <c r="W194" s="859"/>
      <c r="X194" s="859"/>
      <c r="Y194" s="859"/>
      <c r="Z194" s="859"/>
      <c r="AA194" s="860"/>
      <c r="AC194" s="272"/>
    </row>
    <row r="195" spans="1:29" x14ac:dyDescent="0.25">
      <c r="B195" s="858"/>
      <c r="C195" s="859"/>
      <c r="D195" s="859"/>
      <c r="E195" s="859"/>
      <c r="F195" s="859"/>
      <c r="G195" s="859"/>
      <c r="H195" s="859"/>
      <c r="I195" s="859"/>
      <c r="J195" s="859"/>
      <c r="K195" s="859"/>
      <c r="L195" s="859"/>
      <c r="M195" s="859"/>
      <c r="N195" s="859"/>
      <c r="O195" s="859"/>
      <c r="P195" s="859"/>
      <c r="Q195" s="859"/>
      <c r="R195" s="859"/>
      <c r="S195" s="859"/>
      <c r="T195" s="859"/>
      <c r="U195" s="859"/>
      <c r="V195" s="859"/>
      <c r="W195" s="859"/>
      <c r="X195" s="859"/>
      <c r="Y195" s="859"/>
      <c r="Z195" s="859"/>
      <c r="AA195" s="860"/>
      <c r="AC195" s="272"/>
    </row>
    <row r="196" spans="1:29" x14ac:dyDescent="0.25">
      <c r="B196" s="858"/>
      <c r="C196" s="859"/>
      <c r="D196" s="859"/>
      <c r="E196" s="859"/>
      <c r="F196" s="859"/>
      <c r="G196" s="859"/>
      <c r="H196" s="859"/>
      <c r="I196" s="859"/>
      <c r="J196" s="859"/>
      <c r="K196" s="859"/>
      <c r="L196" s="859"/>
      <c r="M196" s="859"/>
      <c r="N196" s="859"/>
      <c r="O196" s="859"/>
      <c r="P196" s="859"/>
      <c r="Q196" s="859"/>
      <c r="R196" s="859"/>
      <c r="S196" s="859"/>
      <c r="T196" s="859"/>
      <c r="U196" s="859"/>
      <c r="V196" s="859"/>
      <c r="W196" s="859"/>
      <c r="X196" s="859"/>
      <c r="Y196" s="859"/>
      <c r="Z196" s="859"/>
      <c r="AA196" s="860"/>
      <c r="AC196" s="272"/>
    </row>
    <row r="197" spans="1:29" x14ac:dyDescent="0.25">
      <c r="B197" s="858"/>
      <c r="C197" s="859"/>
      <c r="D197" s="859"/>
      <c r="E197" s="859"/>
      <c r="F197" s="859"/>
      <c r="G197" s="859"/>
      <c r="H197" s="859"/>
      <c r="I197" s="859"/>
      <c r="J197" s="859"/>
      <c r="K197" s="859"/>
      <c r="L197" s="859"/>
      <c r="M197" s="859"/>
      <c r="N197" s="859"/>
      <c r="O197" s="859"/>
      <c r="P197" s="859"/>
      <c r="Q197" s="859"/>
      <c r="R197" s="859"/>
      <c r="S197" s="859"/>
      <c r="T197" s="859"/>
      <c r="U197" s="859"/>
      <c r="V197" s="859"/>
      <c r="W197" s="859"/>
      <c r="X197" s="859"/>
      <c r="Y197" s="859"/>
      <c r="Z197" s="859"/>
      <c r="AA197" s="860"/>
      <c r="AC197" s="272"/>
    </row>
    <row r="198" spans="1:29" x14ac:dyDescent="0.25">
      <c r="B198" s="858"/>
      <c r="C198" s="859"/>
      <c r="D198" s="859"/>
      <c r="E198" s="859"/>
      <c r="F198" s="859"/>
      <c r="G198" s="859"/>
      <c r="H198" s="859"/>
      <c r="I198" s="859"/>
      <c r="J198" s="859"/>
      <c r="K198" s="859"/>
      <c r="L198" s="859"/>
      <c r="M198" s="859"/>
      <c r="N198" s="859"/>
      <c r="O198" s="859"/>
      <c r="P198" s="859"/>
      <c r="Q198" s="859"/>
      <c r="R198" s="859"/>
      <c r="S198" s="859"/>
      <c r="T198" s="859"/>
      <c r="U198" s="859"/>
      <c r="V198" s="859"/>
      <c r="W198" s="859"/>
      <c r="X198" s="859"/>
      <c r="Y198" s="859"/>
      <c r="Z198" s="859"/>
      <c r="AA198" s="860"/>
      <c r="AC198" s="272"/>
    </row>
    <row r="199" spans="1:29" x14ac:dyDescent="0.25">
      <c r="B199" s="858"/>
      <c r="C199" s="859"/>
      <c r="D199" s="859"/>
      <c r="E199" s="859"/>
      <c r="F199" s="859"/>
      <c r="G199" s="859"/>
      <c r="H199" s="859"/>
      <c r="I199" s="859"/>
      <c r="J199" s="859"/>
      <c r="K199" s="859"/>
      <c r="L199" s="859"/>
      <c r="M199" s="859"/>
      <c r="N199" s="859"/>
      <c r="O199" s="859"/>
      <c r="P199" s="859"/>
      <c r="Q199" s="859"/>
      <c r="R199" s="859"/>
      <c r="S199" s="859"/>
      <c r="T199" s="859"/>
      <c r="U199" s="859"/>
      <c r="V199" s="859"/>
      <c r="W199" s="859"/>
      <c r="X199" s="859"/>
      <c r="Y199" s="859"/>
      <c r="Z199" s="859"/>
      <c r="AA199" s="860"/>
      <c r="AC199" s="272"/>
    </row>
    <row r="200" spans="1:29" x14ac:dyDescent="0.25">
      <c r="B200" s="858"/>
      <c r="C200" s="859"/>
      <c r="D200" s="859"/>
      <c r="E200" s="859"/>
      <c r="F200" s="859"/>
      <c r="G200" s="859"/>
      <c r="H200" s="859"/>
      <c r="I200" s="859"/>
      <c r="J200" s="859"/>
      <c r="K200" s="859"/>
      <c r="L200" s="859"/>
      <c r="M200" s="859"/>
      <c r="N200" s="859"/>
      <c r="O200" s="859"/>
      <c r="P200" s="859"/>
      <c r="Q200" s="859"/>
      <c r="R200" s="859"/>
      <c r="S200" s="859"/>
      <c r="T200" s="859"/>
      <c r="U200" s="859"/>
      <c r="V200" s="859"/>
      <c r="W200" s="859"/>
      <c r="X200" s="859"/>
      <c r="Y200" s="859"/>
      <c r="Z200" s="859"/>
      <c r="AA200" s="860"/>
      <c r="AC200" s="272"/>
    </row>
    <row r="201" spans="1:29" ht="17.25" thickBot="1" x14ac:dyDescent="0.3">
      <c r="B201" s="861"/>
      <c r="C201" s="862"/>
      <c r="D201" s="862"/>
      <c r="E201" s="862"/>
      <c r="F201" s="862"/>
      <c r="G201" s="862"/>
      <c r="H201" s="862"/>
      <c r="I201" s="862"/>
      <c r="J201" s="862"/>
      <c r="K201" s="862"/>
      <c r="L201" s="862"/>
      <c r="M201" s="862"/>
      <c r="N201" s="862"/>
      <c r="O201" s="862"/>
      <c r="P201" s="862"/>
      <c r="Q201" s="862"/>
      <c r="R201" s="862"/>
      <c r="S201" s="862"/>
      <c r="T201" s="862"/>
      <c r="U201" s="862"/>
      <c r="V201" s="862"/>
      <c r="W201" s="862"/>
      <c r="X201" s="862"/>
      <c r="Y201" s="862"/>
      <c r="Z201" s="862"/>
      <c r="AA201" s="863"/>
      <c r="AC201" s="272"/>
    </row>
    <row r="202" spans="1:29" x14ac:dyDescent="0.25">
      <c r="F202" s="277"/>
      <c r="AC202" s="272"/>
    </row>
    <row r="203" spans="1:29" s="273" customFormat="1" x14ac:dyDescent="0.25">
      <c r="A203" s="272"/>
      <c r="B203" s="272"/>
      <c r="C203" s="272"/>
      <c r="D203" s="272"/>
      <c r="E203" s="272"/>
      <c r="F203" s="272"/>
      <c r="G203" s="272"/>
      <c r="H203" s="272"/>
      <c r="I203" s="272"/>
      <c r="J203" s="272"/>
      <c r="K203" s="272"/>
      <c r="L203" s="272"/>
      <c r="M203" s="272"/>
      <c r="N203" s="272"/>
      <c r="O203" s="272"/>
      <c r="P203" s="272"/>
      <c r="Q203" s="272"/>
      <c r="R203" s="272"/>
      <c r="S203" s="272"/>
      <c r="T203" s="272"/>
      <c r="U203" s="272"/>
      <c r="V203" s="272"/>
      <c r="W203" s="272"/>
      <c r="X203" s="272"/>
      <c r="Y203" s="272"/>
      <c r="Z203" s="272"/>
      <c r="AA203" s="272"/>
      <c r="AB203" s="272"/>
      <c r="AC203" s="272"/>
    </row>
  </sheetData>
  <sheetProtection password="D93F" sheet="1" scenarios="1" selectLockedCells="1"/>
  <customSheetViews>
    <customSheetView guid="{2A4C6EB9-430A-44F2-86C8-15B50360FC3B}" scale="75" showGridLines="0">
      <selection activeCell="J1" sqref="J1:J65536"/>
      <pageMargins left="0.7" right="0.7" top="0.75" bottom="0.75" header="0.3" footer="0.3"/>
      <pageSetup orientation="portrait" r:id="rId1"/>
    </customSheetView>
    <customSheetView guid="{B3BD5AF3-9A64-4EA7-AE1F-3CC326849B8F}" scale="75" showGridLines="0">
      <selection activeCell="C18" sqref="C18"/>
      <pageMargins left="0.7" right="0.7" top="0.75" bottom="0.75" header="0.3" footer="0.3"/>
      <pageSetup orientation="portrait" r:id="rId2"/>
    </customSheetView>
  </customSheetViews>
  <mergeCells count="30">
    <mergeCell ref="B180:AA201"/>
    <mergeCell ref="B179:AA179"/>
    <mergeCell ref="J156:AA177"/>
    <mergeCell ref="J155:AA155"/>
    <mergeCell ref="B59:H59"/>
    <mergeCell ref="B84:H105"/>
    <mergeCell ref="B83:H83"/>
    <mergeCell ref="B156:H177"/>
    <mergeCell ref="B155:H155"/>
    <mergeCell ref="J84:AA105"/>
    <mergeCell ref="J83:AA83"/>
    <mergeCell ref="J108:AA129"/>
    <mergeCell ref="J107:AA107"/>
    <mergeCell ref="B60:H81"/>
    <mergeCell ref="B131:H131"/>
    <mergeCell ref="B132:H153"/>
    <mergeCell ref="J131:AA131"/>
    <mergeCell ref="J132:AA153"/>
    <mergeCell ref="E2:F2"/>
    <mergeCell ref="B14:AA34"/>
    <mergeCell ref="B13:AA13"/>
    <mergeCell ref="B37:H57"/>
    <mergeCell ref="B36:H36"/>
    <mergeCell ref="J36:AA36"/>
    <mergeCell ref="B2:C2"/>
    <mergeCell ref="B108:H129"/>
    <mergeCell ref="B107:H107"/>
    <mergeCell ref="J37:AA57"/>
    <mergeCell ref="J60:AA81"/>
    <mergeCell ref="J59:AA59"/>
  </mergeCells>
  <phoneticPr fontId="27" type="noConversion"/>
  <hyperlinks>
    <hyperlink ref="E2" location="Instructions!A1" display="Back to Instructions"/>
    <hyperlink ref="E2:F2" location="Instructions!A1" display="Back to Instructions tab"/>
  </hyperlinks>
  <pageMargins left="0.7" right="0.7" top="0.75" bottom="0.75" header="0.3" footer="0.3"/>
  <pageSetup orientation="portrait"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0070C0"/>
  </sheetPr>
  <dimension ref="A1:L43"/>
  <sheetViews>
    <sheetView showGridLines="0" topLeftCell="A2" zoomScale="80" zoomScaleNormal="80" workbookViewId="0">
      <selection activeCell="E3" sqref="E3:F3"/>
    </sheetView>
  </sheetViews>
  <sheetFormatPr defaultColWidth="9.140625" defaultRowHeight="16.5" x14ac:dyDescent="0.3"/>
  <cols>
    <col min="1" max="1" width="5" style="6" customWidth="1"/>
    <col min="2" max="2" width="46.7109375" style="6" customWidth="1"/>
    <col min="3" max="3" width="64.28515625" style="6" bestFit="1" customWidth="1"/>
    <col min="4" max="4" width="16.140625" style="6" customWidth="1"/>
    <col min="5" max="5" width="31.140625" style="6" customWidth="1"/>
    <col min="6" max="6" width="9.140625" style="6"/>
    <col min="7" max="7" width="29.7109375" style="6" customWidth="1"/>
    <col min="8" max="10" width="9.140625" style="6"/>
    <col min="11" max="11" width="3" style="6" customWidth="1"/>
    <col min="12" max="12" width="3" style="18" customWidth="1"/>
    <col min="13" max="16384" width="9.140625" style="6"/>
  </cols>
  <sheetData>
    <row r="1" spans="2:12" ht="17.25" thickBot="1" x14ac:dyDescent="0.35">
      <c r="L1" s="181"/>
    </row>
    <row r="2" spans="2:12" ht="18" thickBot="1" x14ac:dyDescent="0.35">
      <c r="B2" s="764" t="s">
        <v>562</v>
      </c>
      <c r="C2" s="765"/>
      <c r="L2" s="19"/>
    </row>
    <row r="3" spans="2:12" x14ac:dyDescent="0.3">
      <c r="B3" s="297" t="s">
        <v>563</v>
      </c>
      <c r="C3" s="298" t="str">
        <f>'Version Control'!C3</f>
        <v>Residential Central Air Conditioners and Heat Pumps</v>
      </c>
      <c r="E3" s="827" t="s">
        <v>540</v>
      </c>
      <c r="F3" s="827"/>
      <c r="I3" s="9"/>
      <c r="J3" s="13"/>
      <c r="L3" s="19"/>
    </row>
    <row r="4" spans="2:12" x14ac:dyDescent="0.3">
      <c r="B4" s="299" t="s">
        <v>140</v>
      </c>
      <c r="C4" s="300" t="str">
        <f>'Version Control'!C4</f>
        <v>v2.1</v>
      </c>
      <c r="I4" s="9"/>
      <c r="J4" s="13"/>
      <c r="L4" s="19"/>
    </row>
    <row r="5" spans="2:12" x14ac:dyDescent="0.3">
      <c r="B5" s="299" t="s">
        <v>462</v>
      </c>
      <c r="C5" s="301">
        <f>'Version Control'!C5</f>
        <v>42653</v>
      </c>
      <c r="I5" s="9"/>
      <c r="J5" s="13"/>
      <c r="L5" s="19"/>
    </row>
    <row r="6" spans="2:12" x14ac:dyDescent="0.3">
      <c r="B6" s="302" t="s">
        <v>139</v>
      </c>
      <c r="C6" s="303" t="str">
        <f ca="1">MID(CELL("filename",$A$1), FIND("]", CELL("filename", $A$1))+ 1, 255)</f>
        <v>Test Settings</v>
      </c>
      <c r="I6" s="9"/>
      <c r="J6" s="13"/>
      <c r="L6" s="19"/>
    </row>
    <row r="7" spans="2:12" ht="33.75" customHeight="1" x14ac:dyDescent="0.3">
      <c r="B7" s="304" t="s">
        <v>138</v>
      </c>
      <c r="C7" s="305" t="str">
        <f ca="1">MID(CELL("FILENAME",F16),FIND("[",CELL("FILENAME",F16))+1,FIND("]",CELL("FILENAME",F16))-FIND("[",CELL("FILENAME",F16))-1)</f>
        <v>Residential Central Air Conditioners and Heat Pumps - v2.1.xlsx</v>
      </c>
      <c r="I7" s="9"/>
      <c r="J7" s="13"/>
      <c r="L7" s="19"/>
    </row>
    <row r="8" spans="2:12" ht="17.25" thickBot="1" x14ac:dyDescent="0.35">
      <c r="B8" s="306" t="s">
        <v>141</v>
      </c>
      <c r="C8" s="307" t="str">
        <f>'Version Control'!C8</f>
        <v>[MM/DD/YYYY]</v>
      </c>
      <c r="I8" s="9"/>
      <c r="J8" s="13"/>
      <c r="L8" s="19"/>
    </row>
    <row r="9" spans="2:12" ht="17.25" x14ac:dyDescent="0.35">
      <c r="B9" s="7"/>
      <c r="C9" s="17"/>
      <c r="D9" s="17"/>
      <c r="E9" s="17"/>
      <c r="F9" s="17"/>
      <c r="G9" s="17"/>
      <c r="H9" s="17"/>
      <c r="I9" s="17"/>
      <c r="J9" s="17"/>
      <c r="L9" s="19"/>
    </row>
    <row r="10" spans="2:12" ht="17.25" thickBot="1" x14ac:dyDescent="0.35">
      <c r="L10" s="19"/>
    </row>
    <row r="11" spans="2:12" s="7" customFormat="1" ht="18" thickBot="1" x14ac:dyDescent="0.4">
      <c r="B11" s="869" t="s">
        <v>470</v>
      </c>
      <c r="C11" s="870"/>
      <c r="D11" s="870"/>
      <c r="E11" s="870"/>
      <c r="F11" s="870"/>
      <c r="G11" s="870"/>
      <c r="H11" s="870"/>
      <c r="I11" s="870"/>
      <c r="J11" s="871"/>
      <c r="K11" s="6"/>
      <c r="L11" s="20"/>
    </row>
    <row r="12" spans="2:12" x14ac:dyDescent="0.3">
      <c r="B12" s="2"/>
      <c r="C12" s="8"/>
      <c r="D12" s="45"/>
      <c r="E12" s="8"/>
      <c r="F12" s="8"/>
      <c r="G12" s="8"/>
      <c r="H12" s="8"/>
      <c r="I12" s="8"/>
      <c r="J12" s="3"/>
      <c r="L12" s="19"/>
    </row>
    <row r="13" spans="2:12" ht="18.75" x14ac:dyDescent="0.35">
      <c r="B13" s="867" t="s">
        <v>383</v>
      </c>
      <c r="C13" s="868"/>
      <c r="D13" s="826" t="s">
        <v>589</v>
      </c>
      <c r="E13" s="826"/>
      <c r="F13" s="72"/>
      <c r="G13" s="8"/>
      <c r="H13" s="8"/>
      <c r="I13" s="8"/>
      <c r="J13" s="3"/>
      <c r="L13" s="19"/>
    </row>
    <row r="14" spans="2:12" x14ac:dyDescent="0.3">
      <c r="B14" s="2"/>
      <c r="C14" s="8"/>
      <c r="D14" s="8"/>
      <c r="E14" s="8"/>
      <c r="F14" s="8"/>
      <c r="G14" s="8"/>
      <c r="H14" s="8"/>
      <c r="I14" s="8"/>
      <c r="J14" s="3"/>
      <c r="L14" s="19"/>
    </row>
    <row r="15" spans="2:12" x14ac:dyDescent="0.3">
      <c r="B15" s="2" t="s">
        <v>40</v>
      </c>
      <c r="C15" s="8"/>
      <c r="D15" s="8"/>
      <c r="E15" s="8"/>
      <c r="F15" s="8"/>
      <c r="G15" s="8"/>
      <c r="H15" s="8"/>
      <c r="I15" s="8"/>
      <c r="J15" s="3"/>
      <c r="L15" s="19"/>
    </row>
    <row r="16" spans="2:12" x14ac:dyDescent="0.3">
      <c r="B16" s="811"/>
      <c r="C16" s="812"/>
      <c r="D16" s="812"/>
      <c r="E16" s="812"/>
      <c r="F16" s="812"/>
      <c r="G16" s="812"/>
      <c r="H16" s="812"/>
      <c r="I16" s="812"/>
      <c r="J16" s="813"/>
      <c r="L16" s="19"/>
    </row>
    <row r="17" spans="2:12" x14ac:dyDescent="0.3">
      <c r="B17" s="814"/>
      <c r="C17" s="815"/>
      <c r="D17" s="815"/>
      <c r="E17" s="815"/>
      <c r="F17" s="815"/>
      <c r="G17" s="815"/>
      <c r="H17" s="815"/>
      <c r="I17" s="815"/>
      <c r="J17" s="816"/>
      <c r="L17" s="19"/>
    </row>
    <row r="18" spans="2:12" x14ac:dyDescent="0.3">
      <c r="B18" s="814"/>
      <c r="C18" s="815"/>
      <c r="D18" s="815"/>
      <c r="E18" s="815"/>
      <c r="F18" s="815"/>
      <c r="G18" s="815"/>
      <c r="H18" s="815"/>
      <c r="I18" s="815"/>
      <c r="J18" s="816"/>
      <c r="L18" s="19"/>
    </row>
    <row r="19" spans="2:12" x14ac:dyDescent="0.3">
      <c r="B19" s="817"/>
      <c r="C19" s="818"/>
      <c r="D19" s="818"/>
      <c r="E19" s="818"/>
      <c r="F19" s="818"/>
      <c r="G19" s="818"/>
      <c r="H19" s="818"/>
      <c r="I19" s="818"/>
      <c r="J19" s="819"/>
      <c r="L19" s="19"/>
    </row>
    <row r="20" spans="2:12" x14ac:dyDescent="0.3">
      <c r="B20" s="2"/>
      <c r="C20" s="8"/>
      <c r="D20" s="8"/>
      <c r="E20" s="8"/>
      <c r="F20" s="8"/>
      <c r="G20" s="8"/>
      <c r="H20" s="8"/>
      <c r="I20" s="8"/>
      <c r="J20" s="3"/>
      <c r="L20" s="19"/>
    </row>
    <row r="21" spans="2:12" x14ac:dyDescent="0.3">
      <c r="B21" s="96" t="s">
        <v>41</v>
      </c>
      <c r="C21" s="95"/>
      <c r="D21" s="8"/>
      <c r="E21" s="8"/>
      <c r="F21" s="8"/>
      <c r="G21" s="8"/>
      <c r="H21" s="8"/>
      <c r="I21" s="8"/>
      <c r="J21" s="3"/>
      <c r="L21" s="19"/>
    </row>
    <row r="22" spans="2:12" x14ac:dyDescent="0.3">
      <c r="B22" s="2"/>
      <c r="C22" s="8"/>
      <c r="D22" s="8"/>
      <c r="E22" s="8"/>
      <c r="F22" s="8"/>
      <c r="G22" s="8"/>
      <c r="H22" s="8"/>
      <c r="I22" s="8"/>
      <c r="J22" s="3"/>
      <c r="L22" s="19"/>
    </row>
    <row r="23" spans="2:12" ht="17.25" x14ac:dyDescent="0.35">
      <c r="B23" s="2"/>
      <c r="C23" s="98" t="s">
        <v>541</v>
      </c>
      <c r="D23" s="98" t="s">
        <v>136</v>
      </c>
      <c r="E23" s="8"/>
      <c r="F23" s="8"/>
      <c r="G23" s="8"/>
      <c r="H23" s="8"/>
      <c r="I23" s="8"/>
      <c r="J23" s="3"/>
      <c r="L23" s="19"/>
    </row>
    <row r="24" spans="2:12" x14ac:dyDescent="0.3">
      <c r="B24" s="83" t="s">
        <v>384</v>
      </c>
      <c r="C24" s="95"/>
      <c r="D24" s="291"/>
      <c r="E24" s="8"/>
      <c r="F24" s="8"/>
      <c r="G24" s="8"/>
      <c r="H24" s="8"/>
      <c r="I24" s="8"/>
      <c r="J24" s="3"/>
      <c r="L24" s="19"/>
    </row>
    <row r="25" spans="2:12" x14ac:dyDescent="0.3">
      <c r="B25" s="83" t="s">
        <v>385</v>
      </c>
      <c r="C25" s="95"/>
      <c r="D25" s="291"/>
      <c r="E25" s="8"/>
      <c r="F25" s="8"/>
      <c r="G25" s="8"/>
      <c r="H25" s="8"/>
      <c r="I25" s="8"/>
      <c r="J25" s="3"/>
      <c r="L25" s="19"/>
    </row>
    <row r="26" spans="2:12" x14ac:dyDescent="0.3">
      <c r="B26" s="83" t="s">
        <v>653</v>
      </c>
      <c r="C26" s="95"/>
      <c r="D26" s="291"/>
      <c r="E26" s="8"/>
      <c r="F26" s="8"/>
      <c r="G26" s="8"/>
      <c r="H26" s="8"/>
      <c r="I26" s="8"/>
      <c r="J26" s="3"/>
      <c r="L26" s="19"/>
    </row>
    <row r="27" spans="2:12" x14ac:dyDescent="0.3">
      <c r="B27" s="83" t="s">
        <v>386</v>
      </c>
      <c r="C27" s="95"/>
      <c r="D27" s="291"/>
      <c r="E27" s="8"/>
      <c r="F27" s="8"/>
      <c r="G27" s="8"/>
      <c r="H27" s="8"/>
      <c r="I27" s="8"/>
      <c r="J27" s="3"/>
      <c r="L27" s="19"/>
    </row>
    <row r="28" spans="2:12" ht="19.5" x14ac:dyDescent="0.4">
      <c r="B28" s="73" t="s">
        <v>387</v>
      </c>
      <c r="C28" s="79"/>
      <c r="D28" s="8"/>
      <c r="E28" s="8"/>
      <c r="F28" s="8"/>
      <c r="G28" s="8"/>
      <c r="H28" s="8"/>
      <c r="I28" s="8"/>
      <c r="J28" s="3"/>
      <c r="L28" s="19"/>
    </row>
    <row r="29" spans="2:12" x14ac:dyDescent="0.3">
      <c r="B29" s="2"/>
      <c r="C29" s="8"/>
      <c r="D29" s="8"/>
      <c r="E29" s="8"/>
      <c r="F29" s="8"/>
      <c r="G29" s="8"/>
      <c r="H29" s="8"/>
      <c r="I29" s="8"/>
      <c r="J29" s="3"/>
      <c r="L29" s="19"/>
    </row>
    <row r="30" spans="2:12" ht="17.25" x14ac:dyDescent="0.35">
      <c r="B30" s="2" t="s">
        <v>42</v>
      </c>
      <c r="C30" s="98" t="s">
        <v>43</v>
      </c>
      <c r="D30" s="92"/>
      <c r="E30" s="98" t="s">
        <v>44</v>
      </c>
      <c r="F30" s="92"/>
      <c r="G30" s="98" t="s">
        <v>45</v>
      </c>
      <c r="H30" s="8"/>
      <c r="I30" s="8"/>
      <c r="J30" s="3"/>
      <c r="L30" s="19"/>
    </row>
    <row r="31" spans="2:12" ht="17.25" x14ac:dyDescent="0.35">
      <c r="B31" s="97" t="s">
        <v>626</v>
      </c>
      <c r="C31" s="95"/>
      <c r="D31" s="92"/>
      <c r="E31" s="692"/>
      <c r="F31" s="8"/>
      <c r="G31" s="692"/>
      <c r="H31" s="8"/>
      <c r="I31" s="8"/>
      <c r="J31" s="3"/>
      <c r="L31" s="19"/>
    </row>
    <row r="32" spans="2:12" x14ac:dyDescent="0.3">
      <c r="B32" s="97" t="s">
        <v>46</v>
      </c>
      <c r="C32" s="95"/>
      <c r="D32" s="8"/>
      <c r="E32" s="21"/>
      <c r="F32" s="8"/>
      <c r="G32" s="21"/>
      <c r="H32" s="8"/>
      <c r="I32" s="8"/>
      <c r="J32" s="3"/>
      <c r="L32" s="19"/>
    </row>
    <row r="33" spans="1:12" x14ac:dyDescent="0.3">
      <c r="B33" s="97" t="s">
        <v>388</v>
      </c>
      <c r="C33" s="95"/>
      <c r="D33" s="8"/>
      <c r="E33" s="21"/>
      <c r="F33" s="8"/>
      <c r="G33" s="21"/>
      <c r="H33" s="8"/>
      <c r="I33" s="8"/>
      <c r="J33" s="3"/>
      <c r="L33" s="19"/>
    </row>
    <row r="34" spans="1:12" ht="19.5" x14ac:dyDescent="0.4">
      <c r="B34" s="73" t="s">
        <v>387</v>
      </c>
      <c r="C34" s="8"/>
      <c r="D34" s="8"/>
      <c r="E34" s="9"/>
      <c r="F34" s="8"/>
      <c r="G34" s="8"/>
      <c r="H34" s="8"/>
      <c r="I34" s="8"/>
      <c r="J34" s="3"/>
      <c r="L34" s="19"/>
    </row>
    <row r="35" spans="1:12" ht="19.5" x14ac:dyDescent="0.4">
      <c r="B35" s="73"/>
      <c r="C35" s="8"/>
      <c r="D35" s="8"/>
      <c r="E35" s="9"/>
      <c r="F35" s="8"/>
      <c r="G35" s="8"/>
      <c r="H35" s="8"/>
      <c r="I35" s="8"/>
      <c r="J35" s="3"/>
      <c r="L35" s="19"/>
    </row>
    <row r="36" spans="1:12" x14ac:dyDescent="0.3">
      <c r="B36" s="74" t="s">
        <v>47</v>
      </c>
      <c r="C36" s="75"/>
      <c r="D36" s="8"/>
      <c r="E36" s="8"/>
      <c r="F36" s="8"/>
      <c r="G36" s="8"/>
      <c r="H36" s="8"/>
      <c r="I36" s="8"/>
      <c r="J36" s="3"/>
      <c r="L36" s="19"/>
    </row>
    <row r="37" spans="1:12" x14ac:dyDescent="0.3">
      <c r="B37" s="99" t="s">
        <v>389</v>
      </c>
      <c r="C37" s="100"/>
      <c r="D37" s="100"/>
      <c r="E37" s="100"/>
      <c r="F37" s="100"/>
      <c r="G37" s="100"/>
      <c r="H37" s="100"/>
      <c r="I37" s="100"/>
      <c r="J37" s="101"/>
      <c r="L37" s="19"/>
    </row>
    <row r="38" spans="1:12" x14ac:dyDescent="0.3">
      <c r="B38" s="811"/>
      <c r="C38" s="812"/>
      <c r="D38" s="812"/>
      <c r="E38" s="812"/>
      <c r="F38" s="812"/>
      <c r="G38" s="812"/>
      <c r="H38" s="812"/>
      <c r="I38" s="812"/>
      <c r="J38" s="813"/>
      <c r="L38" s="19"/>
    </row>
    <row r="39" spans="1:12" x14ac:dyDescent="0.3">
      <c r="B39" s="814"/>
      <c r="C39" s="815"/>
      <c r="D39" s="815"/>
      <c r="E39" s="815"/>
      <c r="F39" s="815"/>
      <c r="G39" s="815"/>
      <c r="H39" s="815"/>
      <c r="I39" s="815"/>
      <c r="J39" s="816"/>
      <c r="L39" s="19"/>
    </row>
    <row r="40" spans="1:12" x14ac:dyDescent="0.3">
      <c r="B40" s="814"/>
      <c r="C40" s="815"/>
      <c r="D40" s="815"/>
      <c r="E40" s="815"/>
      <c r="F40" s="815"/>
      <c r="G40" s="815"/>
      <c r="H40" s="815"/>
      <c r="I40" s="815"/>
      <c r="J40" s="816"/>
      <c r="L40" s="19"/>
    </row>
    <row r="41" spans="1:12" ht="17.25" thickBot="1" x14ac:dyDescent="0.35">
      <c r="B41" s="820"/>
      <c r="C41" s="821"/>
      <c r="D41" s="821"/>
      <c r="E41" s="821"/>
      <c r="F41" s="821"/>
      <c r="G41" s="821"/>
      <c r="H41" s="821"/>
      <c r="I41" s="821"/>
      <c r="J41" s="822"/>
      <c r="L41" s="19"/>
    </row>
    <row r="42" spans="1:12" x14ac:dyDescent="0.3">
      <c r="B42" s="8"/>
      <c r="C42" s="8"/>
      <c r="D42" s="8"/>
      <c r="E42" s="8"/>
      <c r="F42" s="8"/>
      <c r="G42" s="8"/>
      <c r="H42" s="8"/>
      <c r="I42" s="8"/>
      <c r="J42" s="8"/>
      <c r="K42" s="8"/>
      <c r="L42" s="19"/>
    </row>
    <row r="43" spans="1:12" s="18" customFormat="1" x14ac:dyDescent="0.3">
      <c r="A43" s="19"/>
      <c r="B43" s="19"/>
      <c r="C43" s="19"/>
      <c r="D43" s="19"/>
      <c r="E43" s="19"/>
      <c r="F43" s="19"/>
      <c r="G43" s="19"/>
      <c r="H43" s="19"/>
      <c r="I43" s="19"/>
      <c r="J43" s="19"/>
      <c r="K43" s="19"/>
      <c r="L43" s="19"/>
    </row>
  </sheetData>
  <sheetProtection password="D93F" sheet="1" objects="1" scenarios="1" selectLockedCells="1"/>
  <customSheetViews>
    <customSheetView guid="{2A4C6EB9-430A-44F2-86C8-15B50360FC3B}" scale="80" showGridLines="0">
      <selection activeCell="F2" sqref="F2"/>
      <pageMargins left="0.7" right="0.7" top="0.75" bottom="0.75" header="0.3" footer="0.3"/>
    </customSheetView>
    <customSheetView guid="{B3BD5AF3-9A64-4EA7-AE1F-3CC326849B8F}" scale="80" showGridLines="0">
      <selection activeCell="B29" sqref="B29"/>
      <pageMargins left="0.7" right="0.7" top="0.75" bottom="0.75" header="0.3" footer="0.3"/>
    </customSheetView>
  </customSheetViews>
  <mergeCells count="7">
    <mergeCell ref="B2:C2"/>
    <mergeCell ref="B16:J19"/>
    <mergeCell ref="B38:J41"/>
    <mergeCell ref="B13:C13"/>
    <mergeCell ref="E3:F3"/>
    <mergeCell ref="B11:J11"/>
    <mergeCell ref="D13:E13"/>
  </mergeCells>
  <phoneticPr fontId="27" type="noConversion"/>
  <dataValidations count="1">
    <dataValidation type="list" showInputMessage="1" showErrorMessage="1" sqref="C21">
      <formula1>Controls_Type</formula1>
    </dataValidation>
  </dataValidations>
  <hyperlinks>
    <hyperlink ref="D13" location="Photos!B80" display="the Photos tab (Photo Box #4)"/>
    <hyperlink ref="E3" location="Instructions!A1" display="Back to Instructions"/>
    <hyperlink ref="E3:F3" location="Instructions!A1" display="Back to Instructions tab"/>
    <hyperlink ref="D13:E13" location="Photos!B108" display="the Photos tab (Photo Box #8)"/>
  </hyperlink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0070C0"/>
  </sheetPr>
  <dimension ref="A1:K168"/>
  <sheetViews>
    <sheetView showGridLines="0" zoomScale="80" zoomScaleNormal="80" workbookViewId="0">
      <selection activeCell="E2" sqref="E2:F2"/>
    </sheetView>
  </sheetViews>
  <sheetFormatPr defaultColWidth="9.140625" defaultRowHeight="16.5" x14ac:dyDescent="0.3"/>
  <cols>
    <col min="1" max="1" width="3.5703125" style="6" customWidth="1"/>
    <col min="2" max="2" width="30" style="6" customWidth="1"/>
    <col min="3" max="3" width="69.140625" style="6" customWidth="1"/>
    <col min="4" max="4" width="21.7109375" style="6" customWidth="1"/>
    <col min="5" max="5" width="23.7109375" style="6" customWidth="1"/>
    <col min="6" max="6" width="27.28515625" style="6" customWidth="1"/>
    <col min="7" max="7" width="2" style="6" customWidth="1"/>
    <col min="8" max="8" width="24.7109375" style="6" customWidth="1"/>
    <col min="9" max="9" width="24.42578125" style="6" customWidth="1"/>
    <col min="10" max="10" width="3.85546875" style="114" customWidth="1"/>
    <col min="11" max="11" width="3.140625" style="6" customWidth="1"/>
    <col min="12" max="16384" width="9.140625" style="6"/>
  </cols>
  <sheetData>
    <row r="1" spans="1:11" ht="17.25" thickBot="1" x14ac:dyDescent="0.35">
      <c r="J1" s="127"/>
      <c r="K1" s="19"/>
    </row>
    <row r="2" spans="1:11" s="1" customFormat="1" ht="18.75" thickBot="1" x14ac:dyDescent="0.4">
      <c r="B2" s="764" t="s">
        <v>562</v>
      </c>
      <c r="C2" s="765"/>
      <c r="E2" s="827" t="s">
        <v>540</v>
      </c>
      <c r="F2" s="827"/>
      <c r="G2" s="639"/>
      <c r="J2" s="128"/>
      <c r="K2" s="129"/>
    </row>
    <row r="3" spans="1:11" s="1" customFormat="1" ht="17.25" customHeight="1" thickBot="1" x14ac:dyDescent="0.35">
      <c r="B3" s="297" t="s">
        <v>563</v>
      </c>
      <c r="C3" s="298" t="str">
        <f>'Version Control'!C3</f>
        <v>Residential Central Air Conditioners and Heat Pumps</v>
      </c>
      <c r="J3" s="128"/>
      <c r="K3" s="129"/>
    </row>
    <row r="4" spans="1:11" s="1" customFormat="1" ht="18" thickBot="1" x14ac:dyDescent="0.35">
      <c r="B4" s="299" t="s">
        <v>140</v>
      </c>
      <c r="C4" s="300" t="str">
        <f>'Version Control'!C4</f>
        <v>v2.1</v>
      </c>
      <c r="H4" s="761" t="s">
        <v>349</v>
      </c>
      <c r="I4" s="763"/>
      <c r="J4" s="128"/>
      <c r="K4" s="129"/>
    </row>
    <row r="5" spans="1:11" s="1" customFormat="1" x14ac:dyDescent="0.3">
      <c r="B5" s="299" t="s">
        <v>462</v>
      </c>
      <c r="C5" s="301">
        <f>'Version Control'!C5</f>
        <v>42653</v>
      </c>
      <c r="H5" s="50" t="s">
        <v>158</v>
      </c>
      <c r="I5" s="598">
        <f>'General Info and Test Results'!C25</f>
        <v>0</v>
      </c>
      <c r="J5" s="128"/>
      <c r="K5" s="129"/>
    </row>
    <row r="6" spans="1:11" s="1" customFormat="1" x14ac:dyDescent="0.3">
      <c r="B6" s="302" t="s">
        <v>139</v>
      </c>
      <c r="C6" s="303" t="str">
        <f ca="1">MID(CELL("filename",$A$1), FIND("]", CELL("filename", $A$1))+ 1, 255)</f>
        <v>A Test Recorded Data</v>
      </c>
      <c r="H6" s="51" t="s">
        <v>153</v>
      </c>
      <c r="I6" s="599">
        <f>'General Info and Test Results'!C26</f>
        <v>0</v>
      </c>
      <c r="J6" s="128"/>
      <c r="K6" s="129"/>
    </row>
    <row r="7" spans="1:11" s="1" customFormat="1" ht="33.75" thickBot="1" x14ac:dyDescent="0.35">
      <c r="B7" s="304" t="s">
        <v>138</v>
      </c>
      <c r="C7" s="305" t="str">
        <f ca="1">MID(CELL("FILENAME",F16),FIND("[",CELL("FILENAME",F16))+1,FIND("]",CELL("FILENAME",F16))-FIND("[",CELL("FILENAME",F16))-1)</f>
        <v>Residential Central Air Conditioners and Heat Pumps - v2.1.xlsx</v>
      </c>
      <c r="H7" s="601" t="s">
        <v>199</v>
      </c>
      <c r="I7" s="600">
        <f>'General Info and Test Results'!C27</f>
        <v>0</v>
      </c>
      <c r="J7" s="128"/>
      <c r="K7" s="129"/>
    </row>
    <row r="8" spans="1:11" s="1" customFormat="1" ht="17.25" thickBot="1" x14ac:dyDescent="0.35">
      <c r="B8" s="306" t="s">
        <v>141</v>
      </c>
      <c r="C8" s="307" t="str">
        <f>'Version Control'!C8</f>
        <v>[MM/DD/YYYY]</v>
      </c>
      <c r="H8" s="14"/>
      <c r="I8" s="9"/>
      <c r="J8" s="128"/>
      <c r="K8" s="129"/>
    </row>
    <row r="9" spans="1:11" s="1" customFormat="1" x14ac:dyDescent="0.3">
      <c r="B9" s="4"/>
      <c r="C9" s="262"/>
      <c r="G9" s="14"/>
      <c r="H9" s="9"/>
      <c r="J9" s="128"/>
      <c r="K9" s="129"/>
    </row>
    <row r="10" spans="1:11" ht="17.25" thickBot="1" x14ac:dyDescent="0.35">
      <c r="E10" s="180"/>
      <c r="F10" s="180"/>
      <c r="G10" s="180"/>
      <c r="H10" s="180"/>
      <c r="K10" s="19"/>
    </row>
    <row r="11" spans="1:11" ht="18.75" thickBot="1" x14ac:dyDescent="0.4">
      <c r="C11" s="905" t="s">
        <v>408</v>
      </c>
      <c r="D11" s="906"/>
      <c r="E11" s="229"/>
      <c r="F11" s="180"/>
      <c r="G11" s="180"/>
      <c r="H11" s="180"/>
      <c r="K11" s="19"/>
    </row>
    <row r="12" spans="1:11" ht="17.25" x14ac:dyDescent="0.35">
      <c r="C12" s="130" t="s">
        <v>52</v>
      </c>
      <c r="D12" s="131"/>
      <c r="E12" s="229"/>
      <c r="F12" s="180"/>
      <c r="G12" s="180"/>
      <c r="H12" s="180"/>
      <c r="K12" s="19"/>
    </row>
    <row r="13" spans="1:11" ht="17.25" x14ac:dyDescent="0.35">
      <c r="A13" s="8"/>
      <c r="B13" s="5"/>
      <c r="C13" s="132" t="s">
        <v>53</v>
      </c>
      <c r="D13" s="312"/>
      <c r="E13" s="229"/>
      <c r="F13" s="180"/>
      <c r="G13" s="180"/>
      <c r="H13" s="180"/>
      <c r="K13" s="19"/>
    </row>
    <row r="14" spans="1:11" x14ac:dyDescent="0.3">
      <c r="A14" s="8"/>
      <c r="B14" s="8"/>
      <c r="C14" s="132" t="s">
        <v>127</v>
      </c>
      <c r="D14" s="597">
        <f>'General Info and Test Results'!C34</f>
        <v>0</v>
      </c>
      <c r="E14" s="229"/>
      <c r="F14" s="881"/>
      <c r="G14" s="881"/>
      <c r="H14" s="180"/>
      <c r="K14" s="19"/>
    </row>
    <row r="15" spans="1:11" x14ac:dyDescent="0.3">
      <c r="A15" s="8"/>
      <c r="B15" s="8"/>
      <c r="C15" s="132" t="s">
        <v>128</v>
      </c>
      <c r="D15" s="313"/>
      <c r="E15" s="229"/>
      <c r="F15" s="180"/>
      <c r="G15" s="180"/>
      <c r="H15" s="180"/>
      <c r="K15" s="19"/>
    </row>
    <row r="16" spans="1:11" x14ac:dyDescent="0.3">
      <c r="A16" s="8"/>
      <c r="B16" s="8"/>
      <c r="C16" s="132" t="s">
        <v>129</v>
      </c>
      <c r="D16" s="313"/>
      <c r="E16" s="229"/>
      <c r="F16" s="180"/>
      <c r="G16" s="180"/>
      <c r="H16" s="180"/>
      <c r="K16" s="19"/>
    </row>
    <row r="17" spans="1:11" ht="17.25" thickBot="1" x14ac:dyDescent="0.35">
      <c r="A17" s="8"/>
      <c r="B17" s="8"/>
      <c r="C17" s="133" t="s">
        <v>466</v>
      </c>
      <c r="D17" s="314"/>
      <c r="E17" s="87"/>
      <c r="F17" s="180"/>
      <c r="G17" s="180"/>
      <c r="H17" s="180"/>
      <c r="K17" s="19"/>
    </row>
    <row r="18" spans="1:11" s="7" customFormat="1" ht="18" thickBot="1" x14ac:dyDescent="0.4">
      <c r="B18" s="5"/>
      <c r="C18" s="134"/>
      <c r="D18" s="134"/>
      <c r="E18" s="5"/>
      <c r="F18" s="5"/>
      <c r="G18" s="5"/>
      <c r="J18" s="115"/>
      <c r="K18" s="20"/>
    </row>
    <row r="19" spans="1:11" ht="18.75" thickBot="1" x14ac:dyDescent="0.4">
      <c r="B19" s="887" t="str">
        <f>IF(AND($I$6="Single-Speed",$I$7="Fixed Speed"),"'A Test' Data to be recorded","'A1 Test' Data to be recorded")</f>
        <v>'A1 Test' Data to be recorded</v>
      </c>
      <c r="C19" s="888"/>
      <c r="D19" s="888"/>
      <c r="E19" s="888"/>
      <c r="F19" s="888"/>
      <c r="G19" s="889"/>
      <c r="K19" s="19"/>
    </row>
    <row r="20" spans="1:11" ht="18" thickBot="1" x14ac:dyDescent="0.4">
      <c r="B20" s="2"/>
      <c r="C20" s="135"/>
      <c r="D20" s="8"/>
      <c r="E20" s="8"/>
      <c r="F20" s="8"/>
      <c r="G20" s="131"/>
      <c r="K20" s="19"/>
    </row>
    <row r="21" spans="1:11" ht="18" thickBot="1" x14ac:dyDescent="0.4">
      <c r="B21" s="2"/>
      <c r="C21" s="869" t="s">
        <v>55</v>
      </c>
      <c r="D21" s="870"/>
      <c r="E21" s="870"/>
      <c r="F21" s="871"/>
      <c r="G21" s="136"/>
      <c r="K21" s="19"/>
    </row>
    <row r="22" spans="1:11" ht="17.25" x14ac:dyDescent="0.35">
      <c r="B22" s="2"/>
      <c r="C22" s="137"/>
      <c r="D22" s="893" t="s">
        <v>48</v>
      </c>
      <c r="E22" s="893"/>
      <c r="F22" s="894"/>
      <c r="G22" s="3"/>
      <c r="I22" s="138"/>
      <c r="K22" s="19"/>
    </row>
    <row r="23" spans="1:11" ht="17.25" x14ac:dyDescent="0.35">
      <c r="B23" s="12"/>
      <c r="C23" s="2"/>
      <c r="D23" s="98" t="s">
        <v>56</v>
      </c>
      <c r="E23" s="98" t="s">
        <v>57</v>
      </c>
      <c r="F23" s="139" t="s">
        <v>58</v>
      </c>
      <c r="G23" s="3"/>
      <c r="I23" s="138"/>
      <c r="K23" s="19"/>
    </row>
    <row r="24" spans="1:11" x14ac:dyDescent="0.3">
      <c r="B24" s="2"/>
      <c r="C24" s="132" t="s">
        <v>432</v>
      </c>
      <c r="D24" s="315"/>
      <c r="E24" s="315"/>
      <c r="F24" s="313"/>
      <c r="G24" s="3"/>
      <c r="I24" s="140"/>
      <c r="K24" s="19"/>
    </row>
    <row r="25" spans="1:11" x14ac:dyDescent="0.3">
      <c r="B25" s="2"/>
      <c r="C25" s="132" t="s">
        <v>433</v>
      </c>
      <c r="D25" s="315"/>
      <c r="E25" s="315"/>
      <c r="F25" s="313"/>
      <c r="G25" s="3"/>
      <c r="I25" s="140"/>
      <c r="K25" s="19"/>
    </row>
    <row r="26" spans="1:11" x14ac:dyDescent="0.3">
      <c r="B26" s="2"/>
      <c r="C26" s="132" t="s">
        <v>59</v>
      </c>
      <c r="D26" s="315"/>
      <c r="E26" s="315"/>
      <c r="F26" s="313"/>
      <c r="G26" s="3"/>
      <c r="I26" s="140"/>
      <c r="K26" s="19"/>
    </row>
    <row r="27" spans="1:11" x14ac:dyDescent="0.3">
      <c r="B27" s="2"/>
      <c r="C27" s="132" t="s">
        <v>60</v>
      </c>
      <c r="D27" s="315"/>
      <c r="E27" s="315"/>
      <c r="F27" s="313"/>
      <c r="G27" s="3"/>
      <c r="I27" s="140"/>
      <c r="K27" s="19"/>
    </row>
    <row r="28" spans="1:11" x14ac:dyDescent="0.3">
      <c r="B28" s="2"/>
      <c r="C28" s="132" t="s">
        <v>435</v>
      </c>
      <c r="D28" s="315"/>
      <c r="E28" s="316"/>
      <c r="F28" s="317"/>
      <c r="G28" s="3"/>
      <c r="I28" s="140"/>
      <c r="K28" s="19"/>
    </row>
    <row r="29" spans="1:11" ht="17.25" thickBot="1" x14ac:dyDescent="0.35">
      <c r="B29" s="2"/>
      <c r="C29" s="133" t="s">
        <v>443</v>
      </c>
      <c r="D29" s="318"/>
      <c r="E29" s="319"/>
      <c r="F29" s="320"/>
      <c r="G29" s="3"/>
      <c r="I29" s="140"/>
      <c r="K29" s="19"/>
    </row>
    <row r="30" spans="1:11" ht="17.25" thickBot="1" x14ac:dyDescent="0.35">
      <c r="B30" s="2"/>
      <c r="C30" s="143"/>
      <c r="D30" s="8"/>
      <c r="E30" s="8"/>
      <c r="F30" s="8"/>
      <c r="G30" s="3"/>
      <c r="I30" s="140"/>
      <c r="K30" s="19"/>
    </row>
    <row r="31" spans="1:11" ht="18" thickBot="1" x14ac:dyDescent="0.4">
      <c r="B31" s="2"/>
      <c r="C31" s="869" t="s">
        <v>61</v>
      </c>
      <c r="D31" s="870"/>
      <c r="E31" s="870"/>
      <c r="F31" s="871"/>
      <c r="G31" s="136"/>
      <c r="I31" s="140"/>
      <c r="K31" s="19"/>
    </row>
    <row r="32" spans="1:11" ht="17.25" x14ac:dyDescent="0.35">
      <c r="B32" s="2"/>
      <c r="C32" s="137"/>
      <c r="D32" s="893" t="s">
        <v>48</v>
      </c>
      <c r="E32" s="893"/>
      <c r="F32" s="894"/>
      <c r="G32" s="136"/>
      <c r="I32" s="140"/>
      <c r="K32" s="19"/>
    </row>
    <row r="33" spans="2:11" ht="17.25" x14ac:dyDescent="0.35">
      <c r="B33" s="12"/>
      <c r="C33" s="144"/>
      <c r="D33" s="63" t="s">
        <v>56</v>
      </c>
      <c r="E33" s="63" t="s">
        <v>57</v>
      </c>
      <c r="F33" s="145" t="s">
        <v>58</v>
      </c>
      <c r="G33" s="136"/>
      <c r="I33" s="140"/>
      <c r="K33" s="19"/>
    </row>
    <row r="34" spans="2:11" x14ac:dyDescent="0.3">
      <c r="B34" s="321"/>
      <c r="C34" s="322" t="s">
        <v>62</v>
      </c>
      <c r="D34" s="315"/>
      <c r="E34" s="315"/>
      <c r="F34" s="313"/>
      <c r="G34" s="323"/>
      <c r="I34" s="140"/>
      <c r="K34" s="19"/>
    </row>
    <row r="35" spans="2:11" x14ac:dyDescent="0.3">
      <c r="B35" s="321"/>
      <c r="C35" s="322" t="s">
        <v>607</v>
      </c>
      <c r="D35" s="315"/>
      <c r="E35" s="315"/>
      <c r="F35" s="313"/>
      <c r="G35" s="323"/>
      <c r="I35" s="140"/>
      <c r="K35" s="19"/>
    </row>
    <row r="36" spans="2:11" x14ac:dyDescent="0.3">
      <c r="B36" s="321"/>
      <c r="C36" s="322" t="s">
        <v>608</v>
      </c>
      <c r="D36" s="315"/>
      <c r="E36" s="315"/>
      <c r="F36" s="313"/>
      <c r="G36" s="323"/>
      <c r="I36" s="140"/>
      <c r="K36" s="19"/>
    </row>
    <row r="37" spans="2:11" x14ac:dyDescent="0.3">
      <c r="B37" s="321"/>
      <c r="C37" s="322" t="s">
        <v>413</v>
      </c>
      <c r="D37" s="315"/>
      <c r="E37" s="315"/>
      <c r="F37" s="313"/>
      <c r="G37" s="323"/>
      <c r="I37" s="140"/>
      <c r="K37" s="19"/>
    </row>
    <row r="38" spans="2:11" ht="17.25" thickBot="1" x14ac:dyDescent="0.35">
      <c r="B38" s="321"/>
      <c r="C38" s="324" t="s">
        <v>427</v>
      </c>
      <c r="D38" s="318"/>
      <c r="E38" s="318"/>
      <c r="F38" s="314"/>
      <c r="G38" s="323"/>
      <c r="I38" s="140"/>
      <c r="K38" s="19"/>
    </row>
    <row r="39" spans="2:11" ht="17.25" thickBot="1" x14ac:dyDescent="0.35">
      <c r="B39" s="321"/>
      <c r="C39" s="316"/>
      <c r="D39" s="316"/>
      <c r="E39" s="316"/>
      <c r="F39" s="316"/>
      <c r="G39" s="317"/>
      <c r="I39" s="140"/>
      <c r="K39" s="19"/>
    </row>
    <row r="40" spans="2:11" ht="18" thickBot="1" x14ac:dyDescent="0.4">
      <c r="B40" s="321"/>
      <c r="C40" s="874" t="s">
        <v>63</v>
      </c>
      <c r="D40" s="875"/>
      <c r="E40" s="875"/>
      <c r="F40" s="876"/>
      <c r="G40" s="323"/>
      <c r="I40" s="140"/>
      <c r="K40" s="19"/>
    </row>
    <row r="41" spans="2:11" ht="17.25" x14ac:dyDescent="0.35">
      <c r="B41" s="321"/>
      <c r="C41" s="325"/>
      <c r="D41" s="877" t="s">
        <v>48</v>
      </c>
      <c r="E41" s="877"/>
      <c r="F41" s="878"/>
      <c r="G41" s="323"/>
      <c r="I41" s="140"/>
      <c r="K41" s="19"/>
    </row>
    <row r="42" spans="2:11" ht="17.25" x14ac:dyDescent="0.35">
      <c r="B42" s="326"/>
      <c r="C42" s="321"/>
      <c r="D42" s="327" t="s">
        <v>56</v>
      </c>
      <c r="E42" s="327" t="s">
        <v>57</v>
      </c>
      <c r="F42" s="328" t="s">
        <v>58</v>
      </c>
      <c r="G42" s="323"/>
      <c r="I42" s="140"/>
      <c r="K42" s="19"/>
    </row>
    <row r="43" spans="2:11" x14ac:dyDescent="0.3">
      <c r="B43" s="321"/>
      <c r="C43" s="329" t="s">
        <v>64</v>
      </c>
      <c r="D43" s="315"/>
      <c r="E43" s="315"/>
      <c r="F43" s="313"/>
      <c r="G43" s="323"/>
      <c r="I43" s="140"/>
      <c r="K43" s="19"/>
    </row>
    <row r="44" spans="2:11" x14ac:dyDescent="0.3">
      <c r="B44" s="321"/>
      <c r="C44" s="329" t="s">
        <v>65</v>
      </c>
      <c r="D44" s="315"/>
      <c r="E44" s="315"/>
      <c r="F44" s="313"/>
      <c r="G44" s="323"/>
      <c r="I44" s="140"/>
      <c r="K44" s="19"/>
    </row>
    <row r="45" spans="2:11" x14ac:dyDescent="0.3">
      <c r="B45" s="321"/>
      <c r="C45" s="329" t="s">
        <v>66</v>
      </c>
      <c r="D45" s="315"/>
      <c r="E45" s="315"/>
      <c r="F45" s="313"/>
      <c r="G45" s="323"/>
      <c r="I45" s="140"/>
      <c r="K45" s="19"/>
    </row>
    <row r="46" spans="2:11" x14ac:dyDescent="0.3">
      <c r="B46" s="321"/>
      <c r="C46" s="329" t="s">
        <v>67</v>
      </c>
      <c r="D46" s="315"/>
      <c r="E46" s="315"/>
      <c r="F46" s="313"/>
      <c r="G46" s="323"/>
      <c r="I46" s="140"/>
      <c r="K46" s="19"/>
    </row>
    <row r="47" spans="2:11" x14ac:dyDescent="0.3">
      <c r="B47" s="321"/>
      <c r="C47" s="329" t="s">
        <v>68</v>
      </c>
      <c r="D47" s="315"/>
      <c r="E47" s="315"/>
      <c r="F47" s="313"/>
      <c r="G47" s="323"/>
      <c r="I47" s="140"/>
      <c r="K47" s="19"/>
    </row>
    <row r="48" spans="2:11" x14ac:dyDescent="0.3">
      <c r="B48" s="321"/>
      <c r="C48" s="329" t="s">
        <v>69</v>
      </c>
      <c r="D48" s="315"/>
      <c r="E48" s="315"/>
      <c r="F48" s="313"/>
      <c r="G48" s="323"/>
      <c r="I48" s="140"/>
      <c r="K48" s="19"/>
    </row>
    <row r="49" spans="2:11" x14ac:dyDescent="0.3">
      <c r="B49" s="321"/>
      <c r="C49" s="329" t="s">
        <v>70</v>
      </c>
      <c r="D49" s="315"/>
      <c r="E49" s="315"/>
      <c r="F49" s="313"/>
      <c r="G49" s="323"/>
      <c r="I49" s="140"/>
      <c r="K49" s="19"/>
    </row>
    <row r="50" spans="2:11" x14ac:dyDescent="0.3">
      <c r="B50" s="321"/>
      <c r="C50" s="329" t="s">
        <v>71</v>
      </c>
      <c r="D50" s="315"/>
      <c r="E50" s="315"/>
      <c r="F50" s="313"/>
      <c r="G50" s="323"/>
      <c r="I50" s="140"/>
      <c r="K50" s="19"/>
    </row>
    <row r="51" spans="2:11" x14ac:dyDescent="0.3">
      <c r="B51" s="321"/>
      <c r="C51" s="329" t="s">
        <v>72</v>
      </c>
      <c r="D51" s="315"/>
      <c r="E51" s="315"/>
      <c r="F51" s="313"/>
      <c r="G51" s="323"/>
      <c r="I51" s="140"/>
      <c r="K51" s="19"/>
    </row>
    <row r="52" spans="2:11" x14ac:dyDescent="0.3">
      <c r="B52" s="321"/>
      <c r="C52" s="329" t="s">
        <v>73</v>
      </c>
      <c r="D52" s="315"/>
      <c r="E52" s="315"/>
      <c r="F52" s="313"/>
      <c r="G52" s="323"/>
      <c r="I52" s="140"/>
      <c r="K52" s="19"/>
    </row>
    <row r="53" spans="2:11" ht="17.25" thickBot="1" x14ac:dyDescent="0.35">
      <c r="B53" s="321"/>
      <c r="C53" s="330" t="s">
        <v>74</v>
      </c>
      <c r="D53" s="318"/>
      <c r="E53" s="318"/>
      <c r="F53" s="314"/>
      <c r="G53" s="323"/>
      <c r="I53" s="140"/>
      <c r="K53" s="19"/>
    </row>
    <row r="54" spans="2:11" ht="17.25" thickBot="1" x14ac:dyDescent="0.35">
      <c r="B54" s="321"/>
      <c r="C54" s="316"/>
      <c r="D54" s="316"/>
      <c r="E54" s="316"/>
      <c r="F54" s="316"/>
      <c r="G54" s="317"/>
      <c r="I54" s="140"/>
      <c r="K54" s="19"/>
    </row>
    <row r="55" spans="2:11" ht="18" thickBot="1" x14ac:dyDescent="0.4">
      <c r="B55" s="321"/>
      <c r="C55" s="874" t="s">
        <v>75</v>
      </c>
      <c r="D55" s="875"/>
      <c r="E55" s="875"/>
      <c r="F55" s="876"/>
      <c r="G55" s="323"/>
      <c r="I55" s="140"/>
      <c r="K55" s="19"/>
    </row>
    <row r="56" spans="2:11" ht="17.25" x14ac:dyDescent="0.35">
      <c r="B56" s="321"/>
      <c r="C56" s="325"/>
      <c r="D56" s="877" t="s">
        <v>48</v>
      </c>
      <c r="E56" s="877"/>
      <c r="F56" s="878"/>
      <c r="G56" s="323"/>
      <c r="I56" s="140"/>
      <c r="K56" s="19"/>
    </row>
    <row r="57" spans="2:11" ht="17.25" x14ac:dyDescent="0.35">
      <c r="B57" s="326"/>
      <c r="C57" s="321"/>
      <c r="D57" s="327" t="s">
        <v>56</v>
      </c>
      <c r="E57" s="327" t="s">
        <v>57</v>
      </c>
      <c r="F57" s="328" t="s">
        <v>58</v>
      </c>
      <c r="G57" s="323"/>
      <c r="I57" s="140"/>
      <c r="K57" s="19"/>
    </row>
    <row r="58" spans="2:11" x14ac:dyDescent="0.3">
      <c r="B58" s="321"/>
      <c r="C58" s="329" t="s">
        <v>304</v>
      </c>
      <c r="D58" s="315"/>
      <c r="E58" s="315"/>
      <c r="F58" s="313"/>
      <c r="G58" s="323"/>
      <c r="I58" s="140"/>
      <c r="K58" s="19"/>
    </row>
    <row r="59" spans="2:11" x14ac:dyDescent="0.3">
      <c r="B59" s="321"/>
      <c r="C59" s="329" t="s">
        <v>305</v>
      </c>
      <c r="D59" s="315"/>
      <c r="E59" s="315"/>
      <c r="F59" s="313"/>
      <c r="G59" s="323"/>
      <c r="I59" s="140"/>
      <c r="K59" s="19"/>
    </row>
    <row r="60" spans="2:11" x14ac:dyDescent="0.3">
      <c r="B60" s="321"/>
      <c r="C60" s="329" t="s">
        <v>78</v>
      </c>
      <c r="D60" s="315"/>
      <c r="E60" s="315"/>
      <c r="F60" s="313"/>
      <c r="G60" s="323"/>
      <c r="I60" s="140"/>
      <c r="K60" s="19"/>
    </row>
    <row r="61" spans="2:11" x14ac:dyDescent="0.3">
      <c r="B61" s="321"/>
      <c r="C61" s="329" t="s">
        <v>79</v>
      </c>
      <c r="D61" s="315"/>
      <c r="E61" s="315"/>
      <c r="F61" s="313"/>
      <c r="G61" s="323"/>
      <c r="I61" s="140"/>
      <c r="K61" s="19"/>
    </row>
    <row r="62" spans="2:11" ht="17.25" thickBot="1" x14ac:dyDescent="0.35">
      <c r="B62" s="321"/>
      <c r="C62" s="330" t="s">
        <v>428</v>
      </c>
      <c r="D62" s="318"/>
      <c r="E62" s="318"/>
      <c r="F62" s="314"/>
      <c r="G62" s="323"/>
      <c r="I62" s="140"/>
      <c r="K62" s="19"/>
    </row>
    <row r="63" spans="2:11" ht="17.25" thickBot="1" x14ac:dyDescent="0.35">
      <c r="B63" s="321"/>
      <c r="C63" s="316"/>
      <c r="D63" s="316"/>
      <c r="E63" s="316"/>
      <c r="F63" s="316"/>
      <c r="G63" s="317"/>
      <c r="I63" s="140"/>
      <c r="K63" s="19"/>
    </row>
    <row r="64" spans="2:11" ht="18" thickBot="1" x14ac:dyDescent="0.4">
      <c r="B64" s="321"/>
      <c r="C64" s="874" t="s">
        <v>80</v>
      </c>
      <c r="D64" s="875"/>
      <c r="E64" s="875"/>
      <c r="F64" s="876"/>
      <c r="G64" s="323"/>
      <c r="I64" s="140"/>
      <c r="K64" s="19"/>
    </row>
    <row r="65" spans="2:11" ht="17.25" x14ac:dyDescent="0.35">
      <c r="B65" s="321"/>
      <c r="C65" s="325"/>
      <c r="D65" s="877" t="s">
        <v>48</v>
      </c>
      <c r="E65" s="877"/>
      <c r="F65" s="878"/>
      <c r="G65" s="323"/>
      <c r="I65" s="140"/>
      <c r="K65" s="19"/>
    </row>
    <row r="66" spans="2:11" ht="17.25" x14ac:dyDescent="0.35">
      <c r="B66" s="331"/>
      <c r="C66" s="321"/>
      <c r="D66" s="327" t="s">
        <v>56</v>
      </c>
      <c r="E66" s="327" t="s">
        <v>57</v>
      </c>
      <c r="F66" s="328" t="s">
        <v>58</v>
      </c>
      <c r="G66" s="323"/>
      <c r="I66" s="140"/>
      <c r="K66" s="19"/>
    </row>
    <row r="67" spans="2:11" x14ac:dyDescent="0.3">
      <c r="B67" s="321"/>
      <c r="C67" s="332" t="s">
        <v>81</v>
      </c>
      <c r="D67" s="315"/>
      <c r="E67" s="315"/>
      <c r="F67" s="313"/>
      <c r="G67" s="323"/>
      <c r="I67" s="140"/>
      <c r="K67" s="19"/>
    </row>
    <row r="68" spans="2:11" x14ac:dyDescent="0.3">
      <c r="B68" s="321"/>
      <c r="C68" s="332" t="s">
        <v>82</v>
      </c>
      <c r="D68" s="315"/>
      <c r="E68" s="315"/>
      <c r="F68" s="313"/>
      <c r="G68" s="323"/>
      <c r="I68" s="140"/>
      <c r="K68" s="19"/>
    </row>
    <row r="69" spans="2:11" x14ac:dyDescent="0.3">
      <c r="B69" s="321"/>
      <c r="C69" s="332" t="s">
        <v>83</v>
      </c>
      <c r="D69" s="315"/>
      <c r="E69" s="315"/>
      <c r="F69" s="313"/>
      <c r="G69" s="323"/>
      <c r="I69" s="140"/>
      <c r="K69" s="19"/>
    </row>
    <row r="70" spans="2:11" x14ac:dyDescent="0.3">
      <c r="B70" s="321"/>
      <c r="C70" s="332" t="s">
        <v>84</v>
      </c>
      <c r="D70" s="315"/>
      <c r="E70" s="315"/>
      <c r="F70" s="313"/>
      <c r="G70" s="323"/>
      <c r="I70" s="140"/>
      <c r="K70" s="19"/>
    </row>
    <row r="71" spans="2:11" x14ac:dyDescent="0.3">
      <c r="B71" s="321"/>
      <c r="C71" s="332" t="s">
        <v>85</v>
      </c>
      <c r="D71" s="315"/>
      <c r="E71" s="315"/>
      <c r="F71" s="313"/>
      <c r="G71" s="323"/>
      <c r="I71" s="140"/>
      <c r="K71" s="19"/>
    </row>
    <row r="72" spans="2:11" x14ac:dyDescent="0.3">
      <c r="B72" s="321"/>
      <c r="C72" s="332" t="s">
        <v>86</v>
      </c>
      <c r="D72" s="315"/>
      <c r="E72" s="315"/>
      <c r="F72" s="313"/>
      <c r="G72" s="323"/>
      <c r="I72" s="140"/>
      <c r="K72" s="19"/>
    </row>
    <row r="73" spans="2:11" x14ac:dyDescent="0.3">
      <c r="B73" s="321"/>
      <c r="C73" s="332" t="s">
        <v>87</v>
      </c>
      <c r="D73" s="315"/>
      <c r="E73" s="315"/>
      <c r="F73" s="313"/>
      <c r="G73" s="323"/>
      <c r="I73" s="140"/>
      <c r="K73" s="19"/>
    </row>
    <row r="74" spans="2:11" ht="17.25" thickBot="1" x14ac:dyDescent="0.35">
      <c r="B74" s="321"/>
      <c r="C74" s="333" t="s">
        <v>88</v>
      </c>
      <c r="D74" s="318"/>
      <c r="E74" s="318"/>
      <c r="F74" s="314"/>
      <c r="G74" s="323"/>
      <c r="I74" s="140"/>
      <c r="K74" s="19"/>
    </row>
    <row r="75" spans="2:11" ht="17.25" thickBot="1" x14ac:dyDescent="0.35">
      <c r="B75" s="321"/>
      <c r="C75" s="316"/>
      <c r="D75" s="316"/>
      <c r="E75" s="316"/>
      <c r="F75" s="316"/>
      <c r="G75" s="317"/>
      <c r="I75" s="140"/>
      <c r="K75" s="19"/>
    </row>
    <row r="76" spans="2:11" ht="18" thickBot="1" x14ac:dyDescent="0.4">
      <c r="B76" s="321"/>
      <c r="C76" s="874" t="s">
        <v>194</v>
      </c>
      <c r="D76" s="875"/>
      <c r="E76" s="875"/>
      <c r="F76" s="876"/>
      <c r="G76" s="323"/>
      <c r="I76" s="140"/>
      <c r="K76" s="19"/>
    </row>
    <row r="77" spans="2:11" ht="17.25" x14ac:dyDescent="0.35">
      <c r="B77" s="326"/>
      <c r="C77" s="325"/>
      <c r="D77" s="877" t="s">
        <v>48</v>
      </c>
      <c r="E77" s="877"/>
      <c r="F77" s="878"/>
      <c r="G77" s="317"/>
      <c r="I77" s="140"/>
      <c r="K77" s="19"/>
    </row>
    <row r="78" spans="2:11" x14ac:dyDescent="0.3">
      <c r="B78" s="321"/>
      <c r="C78" s="332" t="s">
        <v>193</v>
      </c>
      <c r="D78" s="890"/>
      <c r="E78" s="891"/>
      <c r="F78" s="892"/>
      <c r="G78" s="317"/>
      <c r="I78" s="140"/>
      <c r="K78" s="19"/>
    </row>
    <row r="79" spans="2:11" x14ac:dyDescent="0.3">
      <c r="B79" s="321"/>
      <c r="C79" s="332" t="s">
        <v>192</v>
      </c>
      <c r="D79" s="890"/>
      <c r="E79" s="891"/>
      <c r="F79" s="892"/>
      <c r="G79" s="317"/>
      <c r="I79" s="140"/>
      <c r="K79" s="19"/>
    </row>
    <row r="80" spans="2:11" x14ac:dyDescent="0.3">
      <c r="B80" s="321"/>
      <c r="C80" s="332" t="s">
        <v>306</v>
      </c>
      <c r="D80" s="890"/>
      <c r="E80" s="891"/>
      <c r="F80" s="892"/>
      <c r="G80" s="317"/>
      <c r="I80" s="140"/>
      <c r="K80" s="19"/>
    </row>
    <row r="81" spans="2:11" x14ac:dyDescent="0.3">
      <c r="B81" s="321"/>
      <c r="C81" s="332" t="s">
        <v>92</v>
      </c>
      <c r="D81" s="884" t="str">
        <f>IF(D78+D80=0,"",D78+D80)</f>
        <v/>
      </c>
      <c r="E81" s="885"/>
      <c r="F81" s="886"/>
      <c r="G81" s="317"/>
      <c r="I81" s="146"/>
      <c r="K81" s="19"/>
    </row>
    <row r="82" spans="2:11" x14ac:dyDescent="0.3">
      <c r="B82" s="321"/>
      <c r="C82" s="332" t="s">
        <v>191</v>
      </c>
      <c r="D82" s="890"/>
      <c r="E82" s="891"/>
      <c r="F82" s="892"/>
      <c r="G82" s="317"/>
      <c r="I82" s="146"/>
      <c r="K82" s="19"/>
    </row>
    <row r="83" spans="2:11" x14ac:dyDescent="0.3">
      <c r="B83" s="321"/>
      <c r="C83" s="332" t="s">
        <v>190</v>
      </c>
      <c r="D83" s="890"/>
      <c r="E83" s="891"/>
      <c r="F83" s="892"/>
      <c r="G83" s="317"/>
      <c r="I83" s="146"/>
      <c r="K83" s="19"/>
    </row>
    <row r="84" spans="2:11" x14ac:dyDescent="0.3">
      <c r="B84" s="321"/>
      <c r="C84" s="332" t="s">
        <v>189</v>
      </c>
      <c r="D84" s="890"/>
      <c r="E84" s="891"/>
      <c r="F84" s="892"/>
      <c r="G84" s="317"/>
      <c r="I84" s="146"/>
      <c r="K84" s="19"/>
    </row>
    <row r="85" spans="2:11" x14ac:dyDescent="0.3">
      <c r="B85" s="321"/>
      <c r="C85" s="332" t="s">
        <v>306</v>
      </c>
      <c r="D85" s="890"/>
      <c r="E85" s="891"/>
      <c r="F85" s="892"/>
      <c r="G85" s="317"/>
      <c r="I85" s="146"/>
      <c r="K85" s="19"/>
    </row>
    <row r="86" spans="2:11" ht="17.25" thickBot="1" x14ac:dyDescent="0.35">
      <c r="B86" s="321"/>
      <c r="C86" s="333" t="s">
        <v>92</v>
      </c>
      <c r="D86" s="899" t="str">
        <f>IF(D83+D85=0,"",D83+D85)</f>
        <v/>
      </c>
      <c r="E86" s="900"/>
      <c r="F86" s="901"/>
      <c r="G86" s="317"/>
      <c r="I86" s="147"/>
      <c r="K86" s="19"/>
    </row>
    <row r="87" spans="2:11" ht="17.25" thickBot="1" x14ac:dyDescent="0.35">
      <c r="B87" s="334"/>
      <c r="C87" s="319"/>
      <c r="D87" s="319"/>
      <c r="E87" s="319"/>
      <c r="F87" s="319"/>
      <c r="G87" s="320"/>
      <c r="I87" s="147"/>
      <c r="K87" s="19"/>
    </row>
    <row r="88" spans="2:11" ht="17.25" thickBot="1" x14ac:dyDescent="0.35">
      <c r="B88" s="319"/>
      <c r="C88" s="316"/>
      <c r="D88" s="316"/>
      <c r="E88" s="316"/>
      <c r="F88" s="316"/>
      <c r="G88" s="316"/>
      <c r="H88" s="8"/>
      <c r="K88" s="19"/>
    </row>
    <row r="89" spans="2:11" ht="18.75" thickBot="1" x14ac:dyDescent="0.4">
      <c r="B89" s="902" t="s">
        <v>434</v>
      </c>
      <c r="C89" s="903"/>
      <c r="D89" s="903"/>
      <c r="E89" s="903"/>
      <c r="F89" s="903"/>
      <c r="G89" s="904"/>
      <c r="K89" s="19"/>
    </row>
    <row r="90" spans="2:11" ht="18" thickBot="1" x14ac:dyDescent="0.4">
      <c r="B90" s="321"/>
      <c r="C90" s="335"/>
      <c r="D90" s="316"/>
      <c r="E90" s="316"/>
      <c r="F90" s="316"/>
      <c r="G90" s="336"/>
      <c r="K90" s="19"/>
    </row>
    <row r="91" spans="2:11" ht="18" thickBot="1" x14ac:dyDescent="0.4">
      <c r="B91" s="321"/>
      <c r="C91" s="874" t="s">
        <v>55</v>
      </c>
      <c r="D91" s="875"/>
      <c r="E91" s="875"/>
      <c r="F91" s="876"/>
      <c r="G91" s="317"/>
      <c r="K91" s="19"/>
    </row>
    <row r="92" spans="2:11" ht="17.25" x14ac:dyDescent="0.35">
      <c r="B92" s="321"/>
      <c r="C92" s="325"/>
      <c r="D92" s="877" t="s">
        <v>48</v>
      </c>
      <c r="E92" s="877"/>
      <c r="F92" s="878"/>
      <c r="G92" s="317"/>
      <c r="K92" s="19"/>
    </row>
    <row r="93" spans="2:11" ht="17.25" x14ac:dyDescent="0.35">
      <c r="B93" s="326"/>
      <c r="C93" s="321"/>
      <c r="D93" s="327" t="s">
        <v>56</v>
      </c>
      <c r="E93" s="327" t="s">
        <v>57</v>
      </c>
      <c r="F93" s="328" t="s">
        <v>58</v>
      </c>
      <c r="G93" s="317"/>
      <c r="K93" s="19"/>
    </row>
    <row r="94" spans="2:11" x14ac:dyDescent="0.3">
      <c r="B94" s="321"/>
      <c r="C94" s="322" t="s">
        <v>432</v>
      </c>
      <c r="D94" s="315"/>
      <c r="E94" s="315"/>
      <c r="F94" s="313"/>
      <c r="G94" s="317"/>
      <c r="K94" s="19"/>
    </row>
    <row r="95" spans="2:11" x14ac:dyDescent="0.3">
      <c r="B95" s="321"/>
      <c r="C95" s="322" t="s">
        <v>433</v>
      </c>
      <c r="D95" s="315"/>
      <c r="E95" s="315"/>
      <c r="F95" s="313"/>
      <c r="G95" s="317"/>
      <c r="K95" s="19"/>
    </row>
    <row r="96" spans="2:11" x14ac:dyDescent="0.3">
      <c r="B96" s="321"/>
      <c r="C96" s="322" t="s">
        <v>59</v>
      </c>
      <c r="D96" s="315"/>
      <c r="E96" s="315"/>
      <c r="F96" s="313"/>
      <c r="G96" s="317"/>
      <c r="K96" s="19"/>
    </row>
    <row r="97" spans="2:11" x14ac:dyDescent="0.3">
      <c r="B97" s="321"/>
      <c r="C97" s="322" t="s">
        <v>60</v>
      </c>
      <c r="D97" s="315"/>
      <c r="E97" s="315"/>
      <c r="F97" s="313"/>
      <c r="G97" s="317"/>
      <c r="K97" s="19"/>
    </row>
    <row r="98" spans="2:11" x14ac:dyDescent="0.3">
      <c r="B98" s="321"/>
      <c r="C98" s="322" t="s">
        <v>430</v>
      </c>
      <c r="D98" s="315"/>
      <c r="E98" s="316"/>
      <c r="F98" s="317"/>
      <c r="G98" s="317"/>
      <c r="I98" s="140"/>
      <c r="K98" s="19"/>
    </row>
    <row r="99" spans="2:11" ht="17.25" thickBot="1" x14ac:dyDescent="0.35">
      <c r="B99" s="321"/>
      <c r="C99" s="324" t="s">
        <v>443</v>
      </c>
      <c r="D99" s="318"/>
      <c r="E99" s="319"/>
      <c r="F99" s="320"/>
      <c r="G99" s="317"/>
      <c r="K99" s="19"/>
    </row>
    <row r="100" spans="2:11" ht="17.25" thickBot="1" x14ac:dyDescent="0.35">
      <c r="B100" s="321"/>
      <c r="C100" s="337"/>
      <c r="D100" s="316"/>
      <c r="E100" s="316"/>
      <c r="F100" s="316"/>
      <c r="G100" s="317"/>
      <c r="K100" s="19"/>
    </row>
    <row r="101" spans="2:11" ht="18" thickBot="1" x14ac:dyDescent="0.4">
      <c r="B101" s="321"/>
      <c r="C101" s="874" t="s">
        <v>61</v>
      </c>
      <c r="D101" s="875"/>
      <c r="E101" s="875"/>
      <c r="F101" s="876"/>
      <c r="G101" s="317"/>
      <c r="K101" s="19"/>
    </row>
    <row r="102" spans="2:11" ht="17.25" x14ac:dyDescent="0.35">
      <c r="B102" s="321"/>
      <c r="C102" s="325"/>
      <c r="D102" s="877" t="s">
        <v>48</v>
      </c>
      <c r="E102" s="877"/>
      <c r="F102" s="878"/>
      <c r="G102" s="317"/>
      <c r="K102" s="19"/>
    </row>
    <row r="103" spans="2:11" ht="17.25" x14ac:dyDescent="0.35">
      <c r="B103" s="326"/>
      <c r="C103" s="338"/>
      <c r="D103" s="327" t="s">
        <v>56</v>
      </c>
      <c r="E103" s="327" t="s">
        <v>57</v>
      </c>
      <c r="F103" s="328" t="s">
        <v>58</v>
      </c>
      <c r="G103" s="317"/>
      <c r="K103" s="19"/>
    </row>
    <row r="104" spans="2:11" x14ac:dyDescent="0.3">
      <c r="B104" s="321"/>
      <c r="C104" s="322" t="s">
        <v>62</v>
      </c>
      <c r="D104" s="315"/>
      <c r="E104" s="315"/>
      <c r="F104" s="313"/>
      <c r="G104" s="317"/>
      <c r="K104" s="19"/>
    </row>
    <row r="105" spans="2:11" x14ac:dyDescent="0.3">
      <c r="B105" s="321"/>
      <c r="C105" s="322" t="s">
        <v>607</v>
      </c>
      <c r="D105" s="315"/>
      <c r="E105" s="315"/>
      <c r="F105" s="315"/>
      <c r="G105" s="317"/>
      <c r="K105" s="19"/>
    </row>
    <row r="106" spans="2:11" x14ac:dyDescent="0.3">
      <c r="B106" s="321"/>
      <c r="C106" s="322" t="s">
        <v>608</v>
      </c>
      <c r="D106" s="315"/>
      <c r="E106" s="315"/>
      <c r="F106" s="315"/>
      <c r="G106" s="317"/>
      <c r="K106" s="19"/>
    </row>
    <row r="107" spans="2:11" x14ac:dyDescent="0.3">
      <c r="B107" s="321"/>
      <c r="C107" s="322" t="s">
        <v>413</v>
      </c>
      <c r="D107" s="315"/>
      <c r="E107" s="315"/>
      <c r="F107" s="313"/>
      <c r="G107" s="317"/>
      <c r="K107" s="19"/>
    </row>
    <row r="108" spans="2:11" ht="17.25" thickBot="1" x14ac:dyDescent="0.35">
      <c r="B108" s="321"/>
      <c r="C108" s="324" t="s">
        <v>427</v>
      </c>
      <c r="D108" s="318"/>
      <c r="E108" s="318"/>
      <c r="F108" s="314"/>
      <c r="G108" s="317"/>
      <c r="K108" s="19"/>
    </row>
    <row r="109" spans="2:11" ht="17.25" thickBot="1" x14ac:dyDescent="0.35">
      <c r="B109" s="321"/>
      <c r="C109" s="316"/>
      <c r="D109" s="316"/>
      <c r="E109" s="316"/>
      <c r="F109" s="316"/>
      <c r="G109" s="317"/>
      <c r="K109" s="19"/>
    </row>
    <row r="110" spans="2:11" ht="18" thickBot="1" x14ac:dyDescent="0.4">
      <c r="B110" s="321"/>
      <c r="C110" s="874" t="s">
        <v>63</v>
      </c>
      <c r="D110" s="875"/>
      <c r="E110" s="875"/>
      <c r="F110" s="876"/>
      <c r="G110" s="317"/>
      <c r="K110" s="19"/>
    </row>
    <row r="111" spans="2:11" ht="17.25" x14ac:dyDescent="0.35">
      <c r="B111" s="321"/>
      <c r="C111" s="325"/>
      <c r="D111" s="877" t="s">
        <v>48</v>
      </c>
      <c r="E111" s="877"/>
      <c r="F111" s="878"/>
      <c r="G111" s="317"/>
      <c r="K111" s="19"/>
    </row>
    <row r="112" spans="2:11" ht="17.25" x14ac:dyDescent="0.35">
      <c r="B112" s="326"/>
      <c r="C112" s="321"/>
      <c r="D112" s="327" t="s">
        <v>56</v>
      </c>
      <c r="E112" s="327" t="s">
        <v>57</v>
      </c>
      <c r="F112" s="328" t="s">
        <v>58</v>
      </c>
      <c r="G112" s="317"/>
      <c r="K112" s="19"/>
    </row>
    <row r="113" spans="2:11" x14ac:dyDescent="0.3">
      <c r="B113" s="321"/>
      <c r="C113" s="329" t="s">
        <v>64</v>
      </c>
      <c r="D113" s="315"/>
      <c r="E113" s="315"/>
      <c r="F113" s="313"/>
      <c r="G113" s="317"/>
      <c r="K113" s="19"/>
    </row>
    <row r="114" spans="2:11" x14ac:dyDescent="0.3">
      <c r="B114" s="321"/>
      <c r="C114" s="329" t="s">
        <v>65</v>
      </c>
      <c r="D114" s="315"/>
      <c r="E114" s="315"/>
      <c r="F114" s="313"/>
      <c r="G114" s="317"/>
      <c r="K114" s="19"/>
    </row>
    <row r="115" spans="2:11" x14ac:dyDescent="0.3">
      <c r="B115" s="321"/>
      <c r="C115" s="329" t="s">
        <v>66</v>
      </c>
      <c r="D115" s="315"/>
      <c r="E115" s="315"/>
      <c r="F115" s="313"/>
      <c r="G115" s="317"/>
      <c r="K115" s="19"/>
    </row>
    <row r="116" spans="2:11" x14ac:dyDescent="0.3">
      <c r="B116" s="321"/>
      <c r="C116" s="329" t="s">
        <v>67</v>
      </c>
      <c r="D116" s="315"/>
      <c r="E116" s="315"/>
      <c r="F116" s="313"/>
      <c r="G116" s="317"/>
      <c r="K116" s="19"/>
    </row>
    <row r="117" spans="2:11" x14ac:dyDescent="0.3">
      <c r="B117" s="321"/>
      <c r="C117" s="329" t="s">
        <v>68</v>
      </c>
      <c r="D117" s="315"/>
      <c r="E117" s="315"/>
      <c r="F117" s="313"/>
      <c r="G117" s="317"/>
      <c r="K117" s="19"/>
    </row>
    <row r="118" spans="2:11" x14ac:dyDescent="0.3">
      <c r="B118" s="321"/>
      <c r="C118" s="329" t="s">
        <v>69</v>
      </c>
      <c r="D118" s="315"/>
      <c r="E118" s="315"/>
      <c r="F118" s="313"/>
      <c r="G118" s="317"/>
      <c r="K118" s="19"/>
    </row>
    <row r="119" spans="2:11" x14ac:dyDescent="0.3">
      <c r="B119" s="321"/>
      <c r="C119" s="329" t="s">
        <v>70</v>
      </c>
      <c r="D119" s="315"/>
      <c r="E119" s="315"/>
      <c r="F119" s="313"/>
      <c r="G119" s="317"/>
      <c r="K119" s="19"/>
    </row>
    <row r="120" spans="2:11" x14ac:dyDescent="0.3">
      <c r="B120" s="321"/>
      <c r="C120" s="329" t="s">
        <v>71</v>
      </c>
      <c r="D120" s="315"/>
      <c r="E120" s="315"/>
      <c r="F120" s="313"/>
      <c r="G120" s="317"/>
      <c r="K120" s="19"/>
    </row>
    <row r="121" spans="2:11" x14ac:dyDescent="0.3">
      <c r="B121" s="321"/>
      <c r="C121" s="329" t="s">
        <v>72</v>
      </c>
      <c r="D121" s="315"/>
      <c r="E121" s="315"/>
      <c r="F121" s="313"/>
      <c r="G121" s="317"/>
      <c r="K121" s="19"/>
    </row>
    <row r="122" spans="2:11" x14ac:dyDescent="0.3">
      <c r="B122" s="321"/>
      <c r="C122" s="329" t="s">
        <v>73</v>
      </c>
      <c r="D122" s="315"/>
      <c r="E122" s="315"/>
      <c r="F122" s="313"/>
      <c r="G122" s="317"/>
      <c r="K122" s="19"/>
    </row>
    <row r="123" spans="2:11" ht="17.25" thickBot="1" x14ac:dyDescent="0.35">
      <c r="B123" s="321"/>
      <c r="C123" s="330" t="s">
        <v>74</v>
      </c>
      <c r="D123" s="318"/>
      <c r="E123" s="318"/>
      <c r="F123" s="314"/>
      <c r="G123" s="317"/>
      <c r="K123" s="19"/>
    </row>
    <row r="124" spans="2:11" ht="17.25" thickBot="1" x14ac:dyDescent="0.35">
      <c r="B124" s="321"/>
      <c r="C124" s="316"/>
      <c r="D124" s="316"/>
      <c r="E124" s="316"/>
      <c r="F124" s="317"/>
      <c r="G124" s="317"/>
      <c r="K124" s="19"/>
    </row>
    <row r="125" spans="2:11" ht="18" thickBot="1" x14ac:dyDescent="0.4">
      <c r="B125" s="321"/>
      <c r="C125" s="874" t="s">
        <v>75</v>
      </c>
      <c r="D125" s="875"/>
      <c r="E125" s="875"/>
      <c r="F125" s="876"/>
      <c r="G125" s="317"/>
      <c r="K125" s="19"/>
    </row>
    <row r="126" spans="2:11" ht="17.25" x14ac:dyDescent="0.35">
      <c r="B126" s="321"/>
      <c r="C126" s="325"/>
      <c r="D126" s="877" t="s">
        <v>48</v>
      </c>
      <c r="E126" s="877"/>
      <c r="F126" s="878"/>
      <c r="G126" s="317"/>
      <c r="K126" s="19"/>
    </row>
    <row r="127" spans="2:11" ht="17.25" x14ac:dyDescent="0.35">
      <c r="B127" s="326"/>
      <c r="C127" s="321"/>
      <c r="D127" s="327" t="s">
        <v>56</v>
      </c>
      <c r="E127" s="327" t="s">
        <v>57</v>
      </c>
      <c r="F127" s="328" t="s">
        <v>58</v>
      </c>
      <c r="G127" s="317"/>
      <c r="K127" s="19"/>
    </row>
    <row r="128" spans="2:11" x14ac:dyDescent="0.3">
      <c r="B128" s="321"/>
      <c r="C128" s="329" t="s">
        <v>76</v>
      </c>
      <c r="D128" s="315"/>
      <c r="E128" s="315"/>
      <c r="F128" s="313"/>
      <c r="G128" s="317"/>
      <c r="K128" s="19"/>
    </row>
    <row r="129" spans="2:11" x14ac:dyDescent="0.3">
      <c r="B129" s="321"/>
      <c r="C129" s="329" t="s">
        <v>77</v>
      </c>
      <c r="D129" s="315"/>
      <c r="E129" s="315"/>
      <c r="F129" s="313"/>
      <c r="G129" s="317"/>
      <c r="K129" s="19"/>
    </row>
    <row r="130" spans="2:11" x14ac:dyDescent="0.3">
      <c r="B130" s="321"/>
      <c r="C130" s="329" t="s">
        <v>78</v>
      </c>
      <c r="D130" s="315"/>
      <c r="E130" s="315"/>
      <c r="F130" s="313"/>
      <c r="G130" s="317"/>
      <c r="K130" s="19"/>
    </row>
    <row r="131" spans="2:11" x14ac:dyDescent="0.3">
      <c r="B131" s="321"/>
      <c r="C131" s="329" t="s">
        <v>79</v>
      </c>
      <c r="D131" s="315"/>
      <c r="E131" s="315"/>
      <c r="F131" s="313"/>
      <c r="G131" s="317"/>
      <c r="K131" s="19"/>
    </row>
    <row r="132" spans="2:11" ht="17.25" thickBot="1" x14ac:dyDescent="0.35">
      <c r="B132" s="321"/>
      <c r="C132" s="330" t="s">
        <v>428</v>
      </c>
      <c r="D132" s="318"/>
      <c r="E132" s="318"/>
      <c r="F132" s="314"/>
      <c r="G132" s="317"/>
      <c r="K132" s="19"/>
    </row>
    <row r="133" spans="2:11" ht="17.25" thickBot="1" x14ac:dyDescent="0.35">
      <c r="B133" s="321"/>
      <c r="C133" s="316"/>
      <c r="D133" s="316"/>
      <c r="E133" s="316"/>
      <c r="F133" s="316"/>
      <c r="G133" s="317"/>
      <c r="K133" s="19"/>
    </row>
    <row r="134" spans="2:11" ht="18" thickBot="1" x14ac:dyDescent="0.4">
      <c r="B134" s="321"/>
      <c r="C134" s="874" t="s">
        <v>80</v>
      </c>
      <c r="D134" s="875"/>
      <c r="E134" s="875"/>
      <c r="F134" s="876"/>
      <c r="G134" s="317"/>
      <c r="K134" s="19"/>
    </row>
    <row r="135" spans="2:11" ht="17.25" x14ac:dyDescent="0.35">
      <c r="B135" s="321"/>
      <c r="C135" s="325"/>
      <c r="D135" s="877" t="s">
        <v>48</v>
      </c>
      <c r="E135" s="877"/>
      <c r="F135" s="878"/>
      <c r="G135" s="317"/>
      <c r="K135" s="19"/>
    </row>
    <row r="136" spans="2:11" ht="17.25" x14ac:dyDescent="0.35">
      <c r="B136" s="331"/>
      <c r="C136" s="321"/>
      <c r="D136" s="327" t="s">
        <v>56</v>
      </c>
      <c r="E136" s="327" t="s">
        <v>57</v>
      </c>
      <c r="F136" s="328" t="s">
        <v>58</v>
      </c>
      <c r="G136" s="317"/>
      <c r="K136" s="19"/>
    </row>
    <row r="137" spans="2:11" x14ac:dyDescent="0.3">
      <c r="B137" s="321"/>
      <c r="C137" s="332" t="s">
        <v>81</v>
      </c>
      <c r="D137" s="315"/>
      <c r="E137" s="315"/>
      <c r="F137" s="313"/>
      <c r="G137" s="317"/>
      <c r="K137" s="19"/>
    </row>
    <row r="138" spans="2:11" x14ac:dyDescent="0.3">
      <c r="B138" s="321"/>
      <c r="C138" s="332" t="s">
        <v>82</v>
      </c>
      <c r="D138" s="315"/>
      <c r="E138" s="315"/>
      <c r="F138" s="313"/>
      <c r="G138" s="317"/>
      <c r="K138" s="19"/>
    </row>
    <row r="139" spans="2:11" x14ac:dyDescent="0.3">
      <c r="B139" s="321"/>
      <c r="C139" s="332" t="s">
        <v>83</v>
      </c>
      <c r="D139" s="315"/>
      <c r="E139" s="315"/>
      <c r="F139" s="313"/>
      <c r="G139" s="317"/>
      <c r="K139" s="19"/>
    </row>
    <row r="140" spans="2:11" x14ac:dyDescent="0.3">
      <c r="B140" s="321"/>
      <c r="C140" s="332" t="s">
        <v>84</v>
      </c>
      <c r="D140" s="315"/>
      <c r="E140" s="315"/>
      <c r="F140" s="313"/>
      <c r="G140" s="317"/>
      <c r="K140" s="19"/>
    </row>
    <row r="141" spans="2:11" x14ac:dyDescent="0.3">
      <c r="B141" s="321"/>
      <c r="C141" s="332" t="s">
        <v>85</v>
      </c>
      <c r="D141" s="315"/>
      <c r="E141" s="315"/>
      <c r="F141" s="313"/>
      <c r="G141" s="317"/>
      <c r="K141" s="19"/>
    </row>
    <row r="142" spans="2:11" x14ac:dyDescent="0.3">
      <c r="B142" s="321"/>
      <c r="C142" s="332" t="s">
        <v>86</v>
      </c>
      <c r="D142" s="315"/>
      <c r="E142" s="315"/>
      <c r="F142" s="313"/>
      <c r="G142" s="317"/>
      <c r="K142" s="19"/>
    </row>
    <row r="143" spans="2:11" x14ac:dyDescent="0.3">
      <c r="B143" s="321"/>
      <c r="C143" s="332" t="s">
        <v>87</v>
      </c>
      <c r="D143" s="315"/>
      <c r="E143" s="315"/>
      <c r="F143" s="313"/>
      <c r="G143" s="317"/>
      <c r="K143" s="19"/>
    </row>
    <row r="144" spans="2:11" ht="17.25" thickBot="1" x14ac:dyDescent="0.35">
      <c r="B144" s="321"/>
      <c r="C144" s="333" t="s">
        <v>88</v>
      </c>
      <c r="D144" s="318"/>
      <c r="E144" s="318"/>
      <c r="F144" s="314"/>
      <c r="G144" s="317"/>
      <c r="K144" s="19"/>
    </row>
    <row r="145" spans="1:11" ht="17.25" thickBot="1" x14ac:dyDescent="0.35">
      <c r="B145" s="321"/>
      <c r="C145" s="316"/>
      <c r="D145" s="316"/>
      <c r="E145" s="316"/>
      <c r="F145" s="339"/>
      <c r="G145" s="317"/>
      <c r="K145" s="19"/>
    </row>
    <row r="146" spans="1:11" ht="18" thickBot="1" x14ac:dyDescent="0.4">
      <c r="B146" s="321"/>
      <c r="C146" s="874" t="s">
        <v>194</v>
      </c>
      <c r="D146" s="875"/>
      <c r="E146" s="875"/>
      <c r="F146" s="876"/>
      <c r="G146" s="317"/>
      <c r="K146" s="19"/>
    </row>
    <row r="147" spans="1:11" ht="17.25" x14ac:dyDescent="0.35">
      <c r="A147" s="6" t="s">
        <v>436</v>
      </c>
      <c r="B147" s="326"/>
      <c r="C147" s="325"/>
      <c r="D147" s="877" t="s">
        <v>48</v>
      </c>
      <c r="E147" s="877"/>
      <c r="F147" s="878"/>
      <c r="G147" s="317"/>
      <c r="K147" s="19"/>
    </row>
    <row r="148" spans="1:11" x14ac:dyDescent="0.3">
      <c r="B148" s="321"/>
      <c r="C148" s="332" t="s">
        <v>193</v>
      </c>
      <c r="D148" s="882"/>
      <c r="E148" s="882"/>
      <c r="F148" s="883"/>
      <c r="G148" s="317"/>
      <c r="K148" s="19"/>
    </row>
    <row r="149" spans="1:11" x14ac:dyDescent="0.3">
      <c r="B149" s="321"/>
      <c r="C149" s="332" t="s">
        <v>192</v>
      </c>
      <c r="D149" s="882"/>
      <c r="E149" s="882"/>
      <c r="F149" s="883"/>
      <c r="G149" s="317"/>
      <c r="K149" s="19"/>
    </row>
    <row r="150" spans="1:11" x14ac:dyDescent="0.3">
      <c r="B150" s="321"/>
      <c r="C150" s="332" t="s">
        <v>306</v>
      </c>
      <c r="D150" s="882"/>
      <c r="E150" s="882"/>
      <c r="F150" s="883"/>
      <c r="G150" s="317"/>
      <c r="K150" s="19"/>
    </row>
    <row r="151" spans="1:11" x14ac:dyDescent="0.3">
      <c r="B151" s="321"/>
      <c r="C151" s="332" t="s">
        <v>92</v>
      </c>
      <c r="D151" s="895" t="str">
        <f>IF(D148+D150=0,"",D148+D150)</f>
        <v/>
      </c>
      <c r="E151" s="895"/>
      <c r="F151" s="896"/>
      <c r="G151" s="317"/>
      <c r="K151" s="19"/>
    </row>
    <row r="152" spans="1:11" x14ac:dyDescent="0.3">
      <c r="B152" s="321"/>
      <c r="C152" s="332" t="s">
        <v>191</v>
      </c>
      <c r="D152" s="882"/>
      <c r="E152" s="882"/>
      <c r="F152" s="883"/>
      <c r="G152" s="317"/>
      <c r="K152" s="19"/>
    </row>
    <row r="153" spans="1:11" x14ac:dyDescent="0.3">
      <c r="B153" s="321"/>
      <c r="C153" s="332" t="s">
        <v>190</v>
      </c>
      <c r="D153" s="882"/>
      <c r="E153" s="882"/>
      <c r="F153" s="883"/>
      <c r="G153" s="317"/>
      <c r="K153" s="19"/>
    </row>
    <row r="154" spans="1:11" x14ac:dyDescent="0.3">
      <c r="B154" s="321"/>
      <c r="C154" s="332" t="s">
        <v>189</v>
      </c>
      <c r="D154" s="882"/>
      <c r="E154" s="882"/>
      <c r="F154" s="883"/>
      <c r="G154" s="317"/>
      <c r="K154" s="19"/>
    </row>
    <row r="155" spans="1:11" x14ac:dyDescent="0.3">
      <c r="B155" s="321"/>
      <c r="C155" s="332" t="s">
        <v>306</v>
      </c>
      <c r="D155" s="882"/>
      <c r="E155" s="882"/>
      <c r="F155" s="883"/>
      <c r="G155" s="317"/>
      <c r="K155" s="19"/>
    </row>
    <row r="156" spans="1:11" ht="17.25" thickBot="1" x14ac:dyDescent="0.35">
      <c r="B156" s="321"/>
      <c r="C156" s="333" t="s">
        <v>92</v>
      </c>
      <c r="D156" s="897" t="str">
        <f>IF(D153+D155=0,"",D153+D155)</f>
        <v/>
      </c>
      <c r="E156" s="897"/>
      <c r="F156" s="898"/>
      <c r="G156" s="317"/>
      <c r="K156" s="19"/>
    </row>
    <row r="157" spans="1:11" ht="17.25" thickBot="1" x14ac:dyDescent="0.35">
      <c r="B157" s="148"/>
      <c r="C157" s="141"/>
      <c r="D157" s="141"/>
      <c r="E157" s="141"/>
      <c r="F157" s="141"/>
      <c r="G157" s="142"/>
      <c r="K157" s="19"/>
    </row>
    <row r="158" spans="1:11" ht="17.25" thickBot="1" x14ac:dyDescent="0.35">
      <c r="B158" s="8"/>
      <c r="C158" s="8"/>
      <c r="D158" s="8"/>
      <c r="E158" s="8"/>
      <c r="F158" s="8"/>
      <c r="G158" s="8"/>
      <c r="H158" s="8"/>
      <c r="K158" s="19"/>
    </row>
    <row r="159" spans="1:11" ht="17.25" thickBot="1" x14ac:dyDescent="0.35">
      <c r="A159" s="8"/>
      <c r="B159" s="8"/>
      <c r="C159" s="8"/>
      <c r="D159" s="8"/>
      <c r="E159" s="8"/>
      <c r="F159" s="8"/>
      <c r="G159" s="8"/>
      <c r="K159" s="19"/>
    </row>
    <row r="160" spans="1:11" ht="18" thickBot="1" x14ac:dyDescent="0.4">
      <c r="A160" s="8"/>
      <c r="B160" s="8"/>
      <c r="C160" s="874" t="s">
        <v>565</v>
      </c>
      <c r="D160" s="875"/>
      <c r="E160" s="875"/>
      <c r="F160" s="876"/>
      <c r="G160" s="8"/>
      <c r="K160" s="19"/>
    </row>
    <row r="161" spans="1:11" ht="17.25" x14ac:dyDescent="0.35">
      <c r="A161" s="8"/>
      <c r="B161" s="8"/>
      <c r="C161" s="325"/>
      <c r="D161" s="877"/>
      <c r="E161" s="877"/>
      <c r="F161" s="878"/>
      <c r="G161" s="8"/>
      <c r="K161" s="19"/>
    </row>
    <row r="162" spans="1:11" ht="35.25" customHeight="1" x14ac:dyDescent="0.3">
      <c r="A162" s="8"/>
      <c r="B162" s="8"/>
      <c r="C162" s="559" t="s">
        <v>568</v>
      </c>
      <c r="D162" s="554" t="s">
        <v>564</v>
      </c>
      <c r="E162" s="879" t="s">
        <v>649</v>
      </c>
      <c r="F162" s="880"/>
      <c r="G162" s="8"/>
      <c r="K162" s="19"/>
    </row>
    <row r="163" spans="1:11" x14ac:dyDescent="0.3">
      <c r="A163" s="8"/>
      <c r="B163" s="8"/>
      <c r="C163" s="556" t="s">
        <v>566</v>
      </c>
      <c r="D163" s="557" t="str">
        <f>IF(AND('General Info and Test Results'!C26="Single-Speed",'General Info and Test Results'!C27="Fixed Speed"),'A Test Recorded Data'!D81/'A Test Recorded Data'!D29,"")</f>
        <v/>
      </c>
      <c r="E163" s="872" t="e">
        <f>MROUND(D163,0.025)</f>
        <v>#VALUE!</v>
      </c>
      <c r="F163" s="873"/>
      <c r="G163" s="8"/>
      <c r="K163" s="19"/>
    </row>
    <row r="164" spans="1:11" x14ac:dyDescent="0.3">
      <c r="A164" s="8"/>
      <c r="B164" s="8"/>
      <c r="C164" s="556" t="s">
        <v>567</v>
      </c>
      <c r="D164" s="557" t="str">
        <f>IF(AND('General Info and Test Results'!C26="Single-Speed",'General Info and Test Results'!C27="Variable Speed"),'A Test Recorded Data'!D151/'A Test Recorded Data'!D99,"")</f>
        <v/>
      </c>
      <c r="E164" s="872" t="e">
        <f>MROUND(D164,0.025)</f>
        <v>#VALUE!</v>
      </c>
      <c r="F164" s="873"/>
      <c r="G164" s="8"/>
      <c r="K164" s="19"/>
    </row>
    <row r="165" spans="1:11" x14ac:dyDescent="0.3">
      <c r="A165" s="8"/>
      <c r="B165" s="8"/>
      <c r="C165" s="332" t="s">
        <v>569</v>
      </c>
      <c r="D165" s="557" t="str">
        <f>IF('General Info and Test Results'!C26="Two-Speed",'A Test Recorded Data'!D151/'A Test Recorded Data'!D99,"")</f>
        <v/>
      </c>
      <c r="E165" s="872" t="e">
        <f>MROUND(D165,0.025)</f>
        <v>#VALUE!</v>
      </c>
      <c r="F165" s="873"/>
      <c r="G165" s="8"/>
      <c r="K165" s="19"/>
    </row>
    <row r="166" spans="1:11" ht="17.25" thickBot="1" x14ac:dyDescent="0.35">
      <c r="A166" s="8"/>
      <c r="B166" s="8"/>
      <c r="C166" s="333" t="s">
        <v>570</v>
      </c>
      <c r="D166" s="558" t="str">
        <f>IF('General Info and Test Results'!C26 = "Variable-Speed", 'A Test Recorded Data'!D151/'A Test Recorded Data'!D99,"")</f>
        <v/>
      </c>
      <c r="E166" s="872" t="e">
        <f>MROUND(D166,0.025)</f>
        <v>#VALUE!</v>
      </c>
      <c r="F166" s="873"/>
      <c r="G166" s="8"/>
      <c r="K166" s="19"/>
    </row>
    <row r="167" spans="1:11" x14ac:dyDescent="0.3">
      <c r="A167" s="8"/>
      <c r="B167" s="8"/>
      <c r="C167" s="8"/>
      <c r="D167" s="8"/>
      <c r="E167" s="8"/>
      <c r="F167" s="8"/>
      <c r="G167" s="8"/>
      <c r="K167" s="19"/>
    </row>
    <row r="168" spans="1:11" s="18" customFormat="1" x14ac:dyDescent="0.3">
      <c r="A168" s="19"/>
      <c r="B168" s="19"/>
      <c r="C168" s="19"/>
      <c r="D168" s="19"/>
      <c r="E168" s="19"/>
      <c r="F168" s="19"/>
      <c r="G168" s="19"/>
      <c r="H168" s="19"/>
      <c r="I168" s="19"/>
      <c r="J168" s="19"/>
      <c r="K168" s="19"/>
    </row>
  </sheetData>
  <sheetProtection password="D93F" sheet="1" objects="1" scenarios="1" selectLockedCells="1"/>
  <customSheetViews>
    <customSheetView guid="{2A4C6EB9-430A-44F2-86C8-15B50360FC3B}" scale="70" showGridLines="0">
      <selection activeCell="F2" sqref="F2"/>
      <pageMargins left="0.7" right="0.7" top="0.75" bottom="0.75" header="0.3" footer="0.3"/>
      <pageSetup orientation="portrait" horizontalDpi="200" verticalDpi="200" r:id="rId1"/>
    </customSheetView>
    <customSheetView guid="{B3BD5AF3-9A64-4EA7-AE1F-3CC326849B8F}" scale="70" showGridLines="0" topLeftCell="A61">
      <selection activeCell="I82" sqref="I82"/>
      <pageMargins left="0.7" right="0.7" top="0.75" bottom="0.75" header="0.3" footer="0.3"/>
      <pageSetup orientation="portrait" horizontalDpi="200" verticalDpi="200" r:id="rId2"/>
    </customSheetView>
  </customSheetViews>
  <mergeCells count="56">
    <mergeCell ref="H4:I4"/>
    <mergeCell ref="B2:C2"/>
    <mergeCell ref="C11:D11"/>
    <mergeCell ref="E2:F2"/>
    <mergeCell ref="C146:F146"/>
    <mergeCell ref="C134:F134"/>
    <mergeCell ref="C125:F125"/>
    <mergeCell ref="C110:F110"/>
    <mergeCell ref="C101:F101"/>
    <mergeCell ref="C91:F91"/>
    <mergeCell ref="C76:F76"/>
    <mergeCell ref="C64:F64"/>
    <mergeCell ref="C55:F55"/>
    <mergeCell ref="C40:F40"/>
    <mergeCell ref="C31:F31"/>
    <mergeCell ref="C21:F21"/>
    <mergeCell ref="D156:F156"/>
    <mergeCell ref="D83:F83"/>
    <mergeCell ref="D84:F84"/>
    <mergeCell ref="D85:F85"/>
    <mergeCell ref="D86:F86"/>
    <mergeCell ref="B89:G89"/>
    <mergeCell ref="D148:F148"/>
    <mergeCell ref="D149:F149"/>
    <mergeCell ref="D92:F92"/>
    <mergeCell ref="D102:F102"/>
    <mergeCell ref="D111:F111"/>
    <mergeCell ref="D126:F126"/>
    <mergeCell ref="D41:F41"/>
    <mergeCell ref="D56:F56"/>
    <mergeCell ref="D147:F147"/>
    <mergeCell ref="D151:F151"/>
    <mergeCell ref="D150:F150"/>
    <mergeCell ref="F14:G14"/>
    <mergeCell ref="D65:F65"/>
    <mergeCell ref="D154:F154"/>
    <mergeCell ref="D153:F153"/>
    <mergeCell ref="D155:F155"/>
    <mergeCell ref="D81:F81"/>
    <mergeCell ref="B19:G19"/>
    <mergeCell ref="D78:F78"/>
    <mergeCell ref="D79:F79"/>
    <mergeCell ref="D80:F80"/>
    <mergeCell ref="D135:F135"/>
    <mergeCell ref="D77:F77"/>
    <mergeCell ref="D82:F82"/>
    <mergeCell ref="D152:F152"/>
    <mergeCell ref="D22:F22"/>
    <mergeCell ref="D32:F32"/>
    <mergeCell ref="E165:F165"/>
    <mergeCell ref="E166:F166"/>
    <mergeCell ref="C160:F160"/>
    <mergeCell ref="D161:F161"/>
    <mergeCell ref="E162:F162"/>
    <mergeCell ref="E163:F163"/>
    <mergeCell ref="E164:F164"/>
  </mergeCells>
  <phoneticPr fontId="27" type="noConversion"/>
  <conditionalFormatting sqref="D78:D81 D83:D86 D82:F82 D34:F38 D43:F53 D58:F62 D67:F74 D28:D29 D24:F27">
    <cfRule type="expression" dxfId="76" priority="4" stopIfTrue="1">
      <formula>OR($I$5 = "Heating Only Central Heat Pump", $I$6 &lt;&gt; "Single-Speed")</formula>
    </cfRule>
  </conditionalFormatting>
  <conditionalFormatting sqref="D13:D14">
    <cfRule type="expression" dxfId="75" priority="20" stopIfTrue="1">
      <formula>$I$5="Heating Only Central Heat Pump"</formula>
    </cfRule>
  </conditionalFormatting>
  <conditionalFormatting sqref="D113:F123 D104:F108 D128:F132 D137:F144 D148:D151 D152:F152 D153:D156 E94:F97 D94:D99">
    <cfRule type="expression" dxfId="74" priority="21" stopIfTrue="1">
      <formula>OR($I$5 = "Heating Only Central Heat Pump",AND($I$6 = "Single-Speed",$I$7 = "Fixed Speed"))</formula>
    </cfRule>
  </conditionalFormatting>
  <conditionalFormatting sqref="D15">
    <cfRule type="expression" dxfId="73" priority="22" stopIfTrue="1">
      <formula>OR($D$14="No",$I$5="Heating Only Central Heat Pump")</formula>
    </cfRule>
  </conditionalFormatting>
  <conditionalFormatting sqref="D17">
    <cfRule type="expression" dxfId="72" priority="3" stopIfTrue="1">
      <formula>OR($D$14="No",$I$5="Heating Only Central Heat Pump")</formula>
    </cfRule>
  </conditionalFormatting>
  <conditionalFormatting sqref="D16">
    <cfRule type="expression" dxfId="71" priority="2" stopIfTrue="1">
      <formula>OR($D$14="No",$I$5="Heating Only Central Heat Pump")</formula>
    </cfRule>
  </conditionalFormatting>
  <dataValidations count="1">
    <dataValidation type="list" showInputMessage="1" showErrorMessage="1" sqref="D13">
      <formula1>Yes_No</formula1>
    </dataValidation>
  </dataValidations>
  <hyperlinks>
    <hyperlink ref="E2" location="Instructions!A1" display="Back to Instructions"/>
    <hyperlink ref="E2:F2" location="Instructions!A1" display="Back to Instructions tab"/>
  </hyperlinks>
  <pageMargins left="0.7" right="0.7" top="0.75" bottom="0.75" header="0.3" footer="0.3"/>
  <pageSetup orientation="landscape" horizontalDpi="200" verticalDpi="200"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0070C0"/>
  </sheetPr>
  <dimension ref="A1:K166"/>
  <sheetViews>
    <sheetView showGridLines="0" zoomScale="80" zoomScaleNormal="80" workbookViewId="0">
      <selection activeCell="E2" sqref="E2:F2"/>
    </sheetView>
  </sheetViews>
  <sheetFormatPr defaultColWidth="9.140625" defaultRowHeight="16.5" x14ac:dyDescent="0.3"/>
  <cols>
    <col min="1" max="1" width="3.5703125" style="6" customWidth="1"/>
    <col min="2" max="2" width="30.42578125" style="6" customWidth="1"/>
    <col min="3" max="3" width="68" style="6" customWidth="1"/>
    <col min="4" max="4" width="14.85546875" style="6" customWidth="1"/>
    <col min="5" max="5" width="18.7109375" style="6" customWidth="1"/>
    <col min="6" max="6" width="21" style="6" customWidth="1"/>
    <col min="7" max="7" width="14.42578125" style="6" customWidth="1"/>
    <col min="8" max="8" width="22.5703125" style="6" customWidth="1"/>
    <col min="9" max="9" width="16.28515625" style="6" customWidth="1"/>
    <col min="10" max="10" width="6.28515625" style="114" customWidth="1"/>
    <col min="11" max="11" width="4.7109375" style="6" customWidth="1"/>
    <col min="12" max="16384" width="9.140625" style="6"/>
  </cols>
  <sheetData>
    <row r="1" spans="1:11" ht="17.25" thickBot="1" x14ac:dyDescent="0.35">
      <c r="J1" s="127"/>
      <c r="K1" s="19"/>
    </row>
    <row r="2" spans="1:11" s="1" customFormat="1" ht="18.75" thickBot="1" x14ac:dyDescent="0.4">
      <c r="B2" s="764" t="s">
        <v>562</v>
      </c>
      <c r="C2" s="765"/>
      <c r="E2" s="827" t="s">
        <v>540</v>
      </c>
      <c r="F2" s="827"/>
      <c r="G2" s="639"/>
      <c r="J2" s="128"/>
      <c r="K2" s="129"/>
    </row>
    <row r="3" spans="1:11" s="1" customFormat="1" ht="17.25" customHeight="1" thickBot="1" x14ac:dyDescent="0.35">
      <c r="B3" s="297" t="s">
        <v>563</v>
      </c>
      <c r="C3" s="298" t="str">
        <f>'Version Control'!C3</f>
        <v>Residential Central Air Conditioners and Heat Pumps</v>
      </c>
      <c r="J3" s="128"/>
      <c r="K3" s="129"/>
    </row>
    <row r="4" spans="1:11" s="1" customFormat="1" ht="18" thickBot="1" x14ac:dyDescent="0.35">
      <c r="B4" s="299" t="s">
        <v>140</v>
      </c>
      <c r="C4" s="300" t="str">
        <f>'Version Control'!C4</f>
        <v>v2.1</v>
      </c>
      <c r="H4" s="761" t="s">
        <v>349</v>
      </c>
      <c r="I4" s="763"/>
      <c r="J4" s="128"/>
      <c r="K4" s="129"/>
    </row>
    <row r="5" spans="1:11" s="1" customFormat="1" x14ac:dyDescent="0.3">
      <c r="B5" s="299" t="s">
        <v>462</v>
      </c>
      <c r="C5" s="301">
        <f>'Version Control'!C5</f>
        <v>42653</v>
      </c>
      <c r="H5" s="55" t="s">
        <v>158</v>
      </c>
      <c r="I5" s="598">
        <f>'General Info and Test Results'!C25</f>
        <v>0</v>
      </c>
      <c r="J5" s="128"/>
      <c r="K5" s="129"/>
    </row>
    <row r="6" spans="1:11" s="1" customFormat="1" x14ac:dyDescent="0.3">
      <c r="B6" s="302" t="s">
        <v>139</v>
      </c>
      <c r="C6" s="303" t="str">
        <f ca="1">MID(CELL("filename",$A$1), FIND("]", CELL("filename", $A$1))+ 1, 255)</f>
        <v>B Test Recorded Data</v>
      </c>
      <c r="H6" s="56" t="s">
        <v>153</v>
      </c>
      <c r="I6" s="599">
        <f>'General Info and Test Results'!C26</f>
        <v>0</v>
      </c>
      <c r="J6" s="128"/>
      <c r="K6" s="129"/>
    </row>
    <row r="7" spans="1:11" s="1" customFormat="1" ht="33.75" thickBot="1" x14ac:dyDescent="0.35">
      <c r="B7" s="304" t="s">
        <v>138</v>
      </c>
      <c r="C7" s="305" t="str">
        <f ca="1">MID(CELL("FILENAME",F16),FIND("[",CELL("FILENAME",F16))+1,FIND("]",CELL("FILENAME",F16))-FIND("[",CELL("FILENAME",F16))-1)</f>
        <v>Residential Central Air Conditioners and Heat Pumps - v2.1.xlsx</v>
      </c>
      <c r="H7" s="57" t="s">
        <v>199</v>
      </c>
      <c r="I7" s="600">
        <f>'General Info and Test Results'!C27</f>
        <v>0</v>
      </c>
      <c r="J7" s="128"/>
      <c r="K7" s="129"/>
    </row>
    <row r="8" spans="1:11" s="1" customFormat="1" ht="17.25" thickBot="1" x14ac:dyDescent="0.35">
      <c r="B8" s="306" t="s">
        <v>141</v>
      </c>
      <c r="C8" s="307" t="str">
        <f>'Version Control'!C8</f>
        <v>[MM/DD/YYYY]</v>
      </c>
      <c r="G8" s="14"/>
      <c r="H8" s="9"/>
      <c r="J8" s="128"/>
      <c r="K8" s="129"/>
    </row>
    <row r="9" spans="1:11" s="1" customFormat="1" x14ac:dyDescent="0.3">
      <c r="B9" s="4"/>
      <c r="C9" s="262"/>
      <c r="G9" s="14"/>
      <c r="H9" s="9"/>
      <c r="J9" s="128"/>
      <c r="K9" s="129"/>
    </row>
    <row r="10" spans="1:11" ht="17.25" thickBot="1" x14ac:dyDescent="0.35">
      <c r="E10" s="114"/>
      <c r="K10" s="19"/>
    </row>
    <row r="11" spans="1:11" ht="18.75" thickBot="1" x14ac:dyDescent="0.4">
      <c r="B11" s="340"/>
      <c r="C11" s="902" t="s">
        <v>409</v>
      </c>
      <c r="D11" s="904"/>
      <c r="E11" s="341"/>
      <c r="F11" s="340"/>
      <c r="G11" s="340"/>
      <c r="K11" s="19"/>
    </row>
    <row r="12" spans="1:11" ht="17.25" x14ac:dyDescent="0.35">
      <c r="B12" s="340"/>
      <c r="C12" s="326" t="s">
        <v>52</v>
      </c>
      <c r="D12" s="317"/>
      <c r="E12" s="321"/>
      <c r="F12" s="340"/>
      <c r="G12" s="340"/>
      <c r="H12" s="8"/>
      <c r="K12" s="19"/>
    </row>
    <row r="13" spans="1:11" ht="17.25" x14ac:dyDescent="0.35">
      <c r="B13" s="342"/>
      <c r="C13" s="322" t="s">
        <v>53</v>
      </c>
      <c r="D13" s="312"/>
      <c r="E13" s="321"/>
      <c r="F13" s="340"/>
      <c r="G13" s="340"/>
      <c r="H13" s="14"/>
      <c r="K13" s="19"/>
    </row>
    <row r="14" spans="1:11" x14ac:dyDescent="0.3">
      <c r="A14" s="8"/>
      <c r="B14" s="316"/>
      <c r="C14" s="322" t="s">
        <v>127</v>
      </c>
      <c r="D14" s="597">
        <f>'General Info and Test Results'!C34</f>
        <v>0</v>
      </c>
      <c r="E14" s="321"/>
      <c r="F14" s="913"/>
      <c r="G14" s="913"/>
      <c r="K14" s="19"/>
    </row>
    <row r="15" spans="1:11" x14ac:dyDescent="0.3">
      <c r="A15" s="8"/>
      <c r="B15" s="316"/>
      <c r="C15" s="322" t="s">
        <v>128</v>
      </c>
      <c r="D15" s="313"/>
      <c r="E15" s="321"/>
      <c r="F15" s="340"/>
      <c r="G15" s="340"/>
      <c r="K15" s="19"/>
    </row>
    <row r="16" spans="1:11" ht="17.25" thickBot="1" x14ac:dyDescent="0.35">
      <c r="A16" s="8"/>
      <c r="B16" s="316"/>
      <c r="C16" s="324" t="s">
        <v>129</v>
      </c>
      <c r="D16" s="314"/>
      <c r="E16" s="321"/>
      <c r="F16" s="340"/>
      <c r="G16" s="340"/>
      <c r="K16" s="19"/>
    </row>
    <row r="17" spans="1:11" ht="17.25" thickBot="1" x14ac:dyDescent="0.35">
      <c r="A17" s="8"/>
      <c r="B17" s="316"/>
      <c r="C17" s="316"/>
      <c r="D17" s="343"/>
      <c r="E17" s="316"/>
      <c r="F17" s="340"/>
      <c r="G17" s="340"/>
      <c r="K17" s="19"/>
    </row>
    <row r="18" spans="1:11" ht="18.75" thickBot="1" x14ac:dyDescent="0.4">
      <c r="B18" s="914" t="str">
        <f>IF(AND($I$6="Single-Speed",$I$7="Fixed Speed"),"'B Test' Data to be recorded","'B1 Test' Data to be recorded")</f>
        <v>'B1 Test' Data to be recorded</v>
      </c>
      <c r="C18" s="915"/>
      <c r="D18" s="915"/>
      <c r="E18" s="915"/>
      <c r="F18" s="915"/>
      <c r="G18" s="916"/>
      <c r="K18" s="19"/>
    </row>
    <row r="19" spans="1:11" ht="17.25" thickBot="1" x14ac:dyDescent="0.35">
      <c r="B19" s="325"/>
      <c r="C19" s="344"/>
      <c r="D19" s="344"/>
      <c r="E19" s="344"/>
      <c r="F19" s="344"/>
      <c r="G19" s="345"/>
      <c r="K19" s="19"/>
    </row>
    <row r="20" spans="1:11" ht="18" thickBot="1" x14ac:dyDescent="0.4">
      <c r="B20" s="321"/>
      <c r="C20" s="874" t="s">
        <v>55</v>
      </c>
      <c r="D20" s="875"/>
      <c r="E20" s="875"/>
      <c r="F20" s="876"/>
      <c r="G20" s="346"/>
      <c r="K20" s="19"/>
    </row>
    <row r="21" spans="1:11" ht="17.25" x14ac:dyDescent="0.35">
      <c r="B21" s="321"/>
      <c r="C21" s="325"/>
      <c r="D21" s="877" t="s">
        <v>48</v>
      </c>
      <c r="E21" s="877"/>
      <c r="F21" s="878"/>
      <c r="G21" s="346"/>
      <c r="I21" s="149"/>
      <c r="K21" s="19"/>
    </row>
    <row r="22" spans="1:11" ht="17.25" x14ac:dyDescent="0.35">
      <c r="B22" s="326"/>
      <c r="C22" s="321"/>
      <c r="D22" s="327" t="s">
        <v>56</v>
      </c>
      <c r="E22" s="327" t="s">
        <v>57</v>
      </c>
      <c r="F22" s="328" t="s">
        <v>58</v>
      </c>
      <c r="G22" s="346"/>
      <c r="I22" s="149"/>
      <c r="K22" s="19"/>
    </row>
    <row r="23" spans="1:11" x14ac:dyDescent="0.3">
      <c r="B23" s="321"/>
      <c r="C23" s="322" t="s">
        <v>432</v>
      </c>
      <c r="D23" s="347"/>
      <c r="E23" s="347"/>
      <c r="F23" s="348"/>
      <c r="G23" s="346"/>
      <c r="I23" s="147"/>
      <c r="K23" s="19"/>
    </row>
    <row r="24" spans="1:11" x14ac:dyDescent="0.3">
      <c r="B24" s="321"/>
      <c r="C24" s="322" t="s">
        <v>433</v>
      </c>
      <c r="D24" s="347"/>
      <c r="E24" s="347"/>
      <c r="F24" s="348"/>
      <c r="G24" s="346"/>
      <c r="I24" s="147"/>
      <c r="K24" s="19"/>
    </row>
    <row r="25" spans="1:11" x14ac:dyDescent="0.3">
      <c r="B25" s="321"/>
      <c r="C25" s="322" t="s">
        <v>59</v>
      </c>
      <c r="D25" s="347"/>
      <c r="E25" s="347"/>
      <c r="F25" s="348"/>
      <c r="G25" s="346"/>
      <c r="I25" s="147"/>
      <c r="K25" s="19"/>
    </row>
    <row r="26" spans="1:11" x14ac:dyDescent="0.3">
      <c r="B26" s="321"/>
      <c r="C26" s="322" t="s">
        <v>60</v>
      </c>
      <c r="D26" s="347"/>
      <c r="E26" s="347"/>
      <c r="F26" s="348"/>
      <c r="G26" s="346"/>
      <c r="I26" s="147"/>
      <c r="K26" s="19"/>
    </row>
    <row r="27" spans="1:11" x14ac:dyDescent="0.3">
      <c r="B27" s="321"/>
      <c r="C27" s="322" t="s">
        <v>435</v>
      </c>
      <c r="D27" s="349"/>
      <c r="E27" s="316"/>
      <c r="F27" s="317"/>
      <c r="G27" s="346"/>
      <c r="I27" s="147"/>
      <c r="K27" s="19"/>
    </row>
    <row r="28" spans="1:11" ht="17.25" thickBot="1" x14ac:dyDescent="0.35">
      <c r="B28" s="321"/>
      <c r="C28" s="324" t="s">
        <v>443</v>
      </c>
      <c r="D28" s="350"/>
      <c r="E28" s="319"/>
      <c r="F28" s="320"/>
      <c r="G28" s="346"/>
      <c r="I28" s="147"/>
      <c r="K28" s="19"/>
    </row>
    <row r="29" spans="1:11" ht="17.25" thickBot="1" x14ac:dyDescent="0.35">
      <c r="B29" s="321"/>
      <c r="C29" s="337"/>
      <c r="D29" s="316"/>
      <c r="E29" s="316"/>
      <c r="F29" s="316"/>
      <c r="G29" s="351"/>
      <c r="I29" s="147"/>
      <c r="K29" s="19"/>
    </row>
    <row r="30" spans="1:11" ht="18" thickBot="1" x14ac:dyDescent="0.4">
      <c r="B30" s="321"/>
      <c r="C30" s="874" t="s">
        <v>61</v>
      </c>
      <c r="D30" s="875"/>
      <c r="E30" s="875"/>
      <c r="F30" s="876"/>
      <c r="G30" s="346"/>
      <c r="I30" s="147"/>
      <c r="K30" s="19"/>
    </row>
    <row r="31" spans="1:11" ht="17.25" x14ac:dyDescent="0.35">
      <c r="B31" s="321"/>
      <c r="C31" s="352"/>
      <c r="D31" s="877" t="s">
        <v>48</v>
      </c>
      <c r="E31" s="877"/>
      <c r="F31" s="878"/>
      <c r="G31" s="346"/>
      <c r="I31" s="147"/>
      <c r="K31" s="19"/>
    </row>
    <row r="32" spans="1:11" ht="17.25" x14ac:dyDescent="0.35">
      <c r="B32" s="326"/>
      <c r="C32" s="338"/>
      <c r="D32" s="327" t="s">
        <v>56</v>
      </c>
      <c r="E32" s="327" t="s">
        <v>57</v>
      </c>
      <c r="F32" s="328" t="s">
        <v>58</v>
      </c>
      <c r="G32" s="346"/>
      <c r="I32" s="147"/>
      <c r="K32" s="19"/>
    </row>
    <row r="33" spans="2:11" x14ac:dyDescent="0.3">
      <c r="B33" s="321"/>
      <c r="C33" s="322" t="s">
        <v>62</v>
      </c>
      <c r="D33" s="353"/>
      <c r="E33" s="353"/>
      <c r="F33" s="354"/>
      <c r="G33" s="346"/>
      <c r="I33" s="147"/>
      <c r="K33" s="19"/>
    </row>
    <row r="34" spans="2:11" x14ac:dyDescent="0.3">
      <c r="B34" s="321"/>
      <c r="C34" s="322" t="s">
        <v>607</v>
      </c>
      <c r="D34" s="353"/>
      <c r="E34" s="353"/>
      <c r="F34" s="354"/>
      <c r="G34" s="346"/>
      <c r="I34" s="150"/>
      <c r="K34" s="19"/>
    </row>
    <row r="35" spans="2:11" x14ac:dyDescent="0.3">
      <c r="B35" s="321"/>
      <c r="C35" s="322" t="s">
        <v>608</v>
      </c>
      <c r="D35" s="353"/>
      <c r="E35" s="353"/>
      <c r="F35" s="354"/>
      <c r="G35" s="346"/>
      <c r="I35" s="147"/>
      <c r="K35" s="19"/>
    </row>
    <row r="36" spans="2:11" x14ac:dyDescent="0.3">
      <c r="B36" s="321"/>
      <c r="C36" s="322" t="s">
        <v>413</v>
      </c>
      <c r="D36" s="353"/>
      <c r="E36" s="353"/>
      <c r="F36" s="354"/>
      <c r="G36" s="346"/>
      <c r="I36" s="147"/>
      <c r="K36" s="19"/>
    </row>
    <row r="37" spans="2:11" ht="17.25" thickBot="1" x14ac:dyDescent="0.35">
      <c r="B37" s="321"/>
      <c r="C37" s="324" t="s">
        <v>427</v>
      </c>
      <c r="D37" s="350"/>
      <c r="E37" s="350"/>
      <c r="F37" s="355"/>
      <c r="G37" s="346"/>
      <c r="I37" s="147"/>
      <c r="K37" s="19"/>
    </row>
    <row r="38" spans="2:11" ht="17.25" thickBot="1" x14ac:dyDescent="0.35">
      <c r="B38" s="321"/>
      <c r="C38" s="316"/>
      <c r="D38" s="316"/>
      <c r="E38" s="316"/>
      <c r="F38" s="316"/>
      <c r="G38" s="351"/>
      <c r="I38" s="147"/>
      <c r="K38" s="19"/>
    </row>
    <row r="39" spans="2:11" ht="18" thickBot="1" x14ac:dyDescent="0.4">
      <c r="B39" s="321"/>
      <c r="C39" s="874" t="s">
        <v>63</v>
      </c>
      <c r="D39" s="875"/>
      <c r="E39" s="875"/>
      <c r="F39" s="876"/>
      <c r="G39" s="346"/>
      <c r="I39" s="147"/>
      <c r="K39" s="19"/>
    </row>
    <row r="40" spans="2:11" ht="17.25" x14ac:dyDescent="0.35">
      <c r="B40" s="321"/>
      <c r="C40" s="325"/>
      <c r="D40" s="877" t="s">
        <v>48</v>
      </c>
      <c r="E40" s="877"/>
      <c r="F40" s="878"/>
      <c r="G40" s="346"/>
      <c r="I40" s="147"/>
      <c r="K40" s="19"/>
    </row>
    <row r="41" spans="2:11" ht="17.25" x14ac:dyDescent="0.35">
      <c r="B41" s="326"/>
      <c r="C41" s="321"/>
      <c r="D41" s="327" t="s">
        <v>56</v>
      </c>
      <c r="E41" s="327" t="s">
        <v>57</v>
      </c>
      <c r="F41" s="328" t="s">
        <v>58</v>
      </c>
      <c r="G41" s="346"/>
      <c r="I41" s="147"/>
      <c r="K41" s="19"/>
    </row>
    <row r="42" spans="2:11" x14ac:dyDescent="0.3">
      <c r="B42" s="321"/>
      <c r="C42" s="322" t="s">
        <v>64</v>
      </c>
      <c r="D42" s="353"/>
      <c r="E42" s="353"/>
      <c r="F42" s="354"/>
      <c r="G42" s="346"/>
      <c r="I42" s="147"/>
      <c r="K42" s="19"/>
    </row>
    <row r="43" spans="2:11" x14ac:dyDescent="0.3">
      <c r="B43" s="321"/>
      <c r="C43" s="322" t="s">
        <v>65</v>
      </c>
      <c r="D43" s="353"/>
      <c r="E43" s="353"/>
      <c r="F43" s="354"/>
      <c r="G43" s="346"/>
      <c r="I43" s="147"/>
      <c r="K43" s="19"/>
    </row>
    <row r="44" spans="2:11" x14ac:dyDescent="0.3">
      <c r="B44" s="321"/>
      <c r="C44" s="322" t="s">
        <v>66</v>
      </c>
      <c r="D44" s="353"/>
      <c r="E44" s="353"/>
      <c r="F44" s="354"/>
      <c r="G44" s="346"/>
      <c r="I44" s="147"/>
      <c r="K44" s="19"/>
    </row>
    <row r="45" spans="2:11" x14ac:dyDescent="0.3">
      <c r="B45" s="321"/>
      <c r="C45" s="322" t="s">
        <v>67</v>
      </c>
      <c r="D45" s="353"/>
      <c r="E45" s="353"/>
      <c r="F45" s="354"/>
      <c r="G45" s="346"/>
      <c r="I45" s="147"/>
      <c r="K45" s="19"/>
    </row>
    <row r="46" spans="2:11" x14ac:dyDescent="0.3">
      <c r="B46" s="321"/>
      <c r="C46" s="322" t="s">
        <v>68</v>
      </c>
      <c r="D46" s="353"/>
      <c r="E46" s="353"/>
      <c r="F46" s="354"/>
      <c r="G46" s="346"/>
      <c r="I46" s="147"/>
      <c r="K46" s="19"/>
    </row>
    <row r="47" spans="2:11" x14ac:dyDescent="0.3">
      <c r="B47" s="321"/>
      <c r="C47" s="322" t="s">
        <v>69</v>
      </c>
      <c r="D47" s="353"/>
      <c r="E47" s="353"/>
      <c r="F47" s="354"/>
      <c r="G47" s="346"/>
      <c r="I47" s="147"/>
      <c r="K47" s="19"/>
    </row>
    <row r="48" spans="2:11" x14ac:dyDescent="0.3">
      <c r="B48" s="321"/>
      <c r="C48" s="322" t="s">
        <v>70</v>
      </c>
      <c r="D48" s="353"/>
      <c r="E48" s="353"/>
      <c r="F48" s="354"/>
      <c r="G48" s="346"/>
      <c r="I48" s="147"/>
      <c r="K48" s="19"/>
    </row>
    <row r="49" spans="2:11" x14ac:dyDescent="0.3">
      <c r="B49" s="321"/>
      <c r="C49" s="322" t="s">
        <v>71</v>
      </c>
      <c r="D49" s="353"/>
      <c r="E49" s="353"/>
      <c r="F49" s="354"/>
      <c r="G49" s="346"/>
      <c r="I49" s="147"/>
      <c r="K49" s="19"/>
    </row>
    <row r="50" spans="2:11" x14ac:dyDescent="0.3">
      <c r="B50" s="321"/>
      <c r="C50" s="322" t="s">
        <v>72</v>
      </c>
      <c r="D50" s="353"/>
      <c r="E50" s="353"/>
      <c r="F50" s="354"/>
      <c r="G50" s="346"/>
      <c r="I50" s="147"/>
      <c r="K50" s="19"/>
    </row>
    <row r="51" spans="2:11" x14ac:dyDescent="0.3">
      <c r="B51" s="321"/>
      <c r="C51" s="322" t="s">
        <v>73</v>
      </c>
      <c r="D51" s="353"/>
      <c r="E51" s="353"/>
      <c r="F51" s="354"/>
      <c r="G51" s="346"/>
      <c r="I51" s="147"/>
      <c r="K51" s="19"/>
    </row>
    <row r="52" spans="2:11" ht="17.25" thickBot="1" x14ac:dyDescent="0.35">
      <c r="B52" s="321"/>
      <c r="C52" s="324" t="s">
        <v>74</v>
      </c>
      <c r="D52" s="350"/>
      <c r="E52" s="350"/>
      <c r="F52" s="355"/>
      <c r="G52" s="346"/>
      <c r="I52" s="147"/>
      <c r="K52" s="19"/>
    </row>
    <row r="53" spans="2:11" ht="17.25" thickBot="1" x14ac:dyDescent="0.35">
      <c r="B53" s="321"/>
      <c r="C53" s="316"/>
      <c r="D53" s="316"/>
      <c r="E53" s="316"/>
      <c r="F53" s="316"/>
      <c r="G53" s="351"/>
      <c r="I53" s="147"/>
      <c r="K53" s="19"/>
    </row>
    <row r="54" spans="2:11" ht="18" thickBot="1" x14ac:dyDescent="0.4">
      <c r="B54" s="321"/>
      <c r="C54" s="874" t="s">
        <v>75</v>
      </c>
      <c r="D54" s="875"/>
      <c r="E54" s="875"/>
      <c r="F54" s="876"/>
      <c r="G54" s="346"/>
      <c r="I54" s="147"/>
      <c r="K54" s="19"/>
    </row>
    <row r="55" spans="2:11" ht="17.25" x14ac:dyDescent="0.35">
      <c r="B55" s="321"/>
      <c r="C55" s="325"/>
      <c r="D55" s="877" t="s">
        <v>48</v>
      </c>
      <c r="E55" s="877"/>
      <c r="F55" s="878"/>
      <c r="G55" s="346"/>
      <c r="I55" s="147"/>
      <c r="K55" s="19"/>
    </row>
    <row r="56" spans="2:11" ht="17.25" x14ac:dyDescent="0.35">
      <c r="B56" s="326"/>
      <c r="C56" s="321"/>
      <c r="D56" s="327" t="s">
        <v>56</v>
      </c>
      <c r="E56" s="327" t="s">
        <v>57</v>
      </c>
      <c r="F56" s="328" t="s">
        <v>58</v>
      </c>
      <c r="G56" s="346"/>
      <c r="I56" s="147"/>
      <c r="K56" s="19"/>
    </row>
    <row r="57" spans="2:11" x14ac:dyDescent="0.3">
      <c r="B57" s="321"/>
      <c r="C57" s="322" t="s">
        <v>304</v>
      </c>
      <c r="D57" s="353"/>
      <c r="E57" s="353"/>
      <c r="F57" s="353"/>
      <c r="G57" s="346"/>
      <c r="I57" s="147"/>
      <c r="K57" s="19"/>
    </row>
    <row r="58" spans="2:11" x14ac:dyDescent="0.3">
      <c r="B58" s="321"/>
      <c r="C58" s="322" t="s">
        <v>305</v>
      </c>
      <c r="D58" s="353"/>
      <c r="E58" s="353"/>
      <c r="F58" s="354"/>
      <c r="G58" s="346"/>
      <c r="I58" s="147"/>
      <c r="K58" s="19"/>
    </row>
    <row r="59" spans="2:11" x14ac:dyDescent="0.3">
      <c r="B59" s="321"/>
      <c r="C59" s="322" t="s">
        <v>78</v>
      </c>
      <c r="D59" s="353"/>
      <c r="E59" s="353"/>
      <c r="F59" s="354"/>
      <c r="G59" s="346"/>
      <c r="I59" s="147"/>
      <c r="K59" s="19"/>
    </row>
    <row r="60" spans="2:11" x14ac:dyDescent="0.3">
      <c r="B60" s="321"/>
      <c r="C60" s="322" t="s">
        <v>79</v>
      </c>
      <c r="D60" s="353"/>
      <c r="E60" s="353"/>
      <c r="F60" s="354"/>
      <c r="G60" s="346"/>
      <c r="I60" s="147"/>
      <c r="K60" s="19"/>
    </row>
    <row r="61" spans="2:11" ht="17.25" thickBot="1" x14ac:dyDescent="0.35">
      <c r="B61" s="321"/>
      <c r="C61" s="330" t="s">
        <v>428</v>
      </c>
      <c r="D61" s="350"/>
      <c r="E61" s="350"/>
      <c r="F61" s="355"/>
      <c r="G61" s="346"/>
      <c r="K61" s="19"/>
    </row>
    <row r="62" spans="2:11" ht="17.25" thickBot="1" x14ac:dyDescent="0.35">
      <c r="B62" s="321"/>
      <c r="C62" s="316"/>
      <c r="D62" s="316"/>
      <c r="E62" s="316"/>
      <c r="F62" s="316"/>
      <c r="G62" s="351"/>
      <c r="I62" s="147"/>
      <c r="K62" s="19"/>
    </row>
    <row r="63" spans="2:11" ht="18" thickBot="1" x14ac:dyDescent="0.4">
      <c r="B63" s="321"/>
      <c r="C63" s="874" t="s">
        <v>80</v>
      </c>
      <c r="D63" s="875"/>
      <c r="E63" s="875"/>
      <c r="F63" s="876"/>
      <c r="G63" s="346"/>
      <c r="I63" s="147"/>
      <c r="K63" s="19"/>
    </row>
    <row r="64" spans="2:11" ht="17.25" x14ac:dyDescent="0.35">
      <c r="B64" s="321"/>
      <c r="C64" s="325"/>
      <c r="D64" s="877" t="s">
        <v>48</v>
      </c>
      <c r="E64" s="877"/>
      <c r="F64" s="878"/>
      <c r="G64" s="346"/>
      <c r="I64" s="147"/>
      <c r="K64" s="19"/>
    </row>
    <row r="65" spans="2:11" ht="17.25" x14ac:dyDescent="0.35">
      <c r="B65" s="331"/>
      <c r="C65" s="321"/>
      <c r="D65" s="327" t="s">
        <v>56</v>
      </c>
      <c r="E65" s="327" t="s">
        <v>57</v>
      </c>
      <c r="F65" s="328" t="s">
        <v>58</v>
      </c>
      <c r="G65" s="346"/>
      <c r="I65" s="147"/>
      <c r="K65" s="19"/>
    </row>
    <row r="66" spans="2:11" x14ac:dyDescent="0.3">
      <c r="B66" s="321"/>
      <c r="C66" s="322" t="s">
        <v>81</v>
      </c>
      <c r="D66" s="353"/>
      <c r="E66" s="353"/>
      <c r="F66" s="354"/>
      <c r="G66" s="346"/>
      <c r="I66" s="147"/>
      <c r="K66" s="19"/>
    </row>
    <row r="67" spans="2:11" x14ac:dyDescent="0.3">
      <c r="B67" s="321"/>
      <c r="C67" s="322" t="s">
        <v>82</v>
      </c>
      <c r="D67" s="353"/>
      <c r="E67" s="353"/>
      <c r="F67" s="354"/>
      <c r="G67" s="346"/>
      <c r="I67" s="147"/>
      <c r="K67" s="19"/>
    </row>
    <row r="68" spans="2:11" x14ac:dyDescent="0.3">
      <c r="B68" s="321"/>
      <c r="C68" s="322" t="s">
        <v>83</v>
      </c>
      <c r="D68" s="353"/>
      <c r="E68" s="353"/>
      <c r="F68" s="354"/>
      <c r="G68" s="346"/>
      <c r="I68" s="147"/>
      <c r="K68" s="19"/>
    </row>
    <row r="69" spans="2:11" x14ac:dyDescent="0.3">
      <c r="B69" s="321"/>
      <c r="C69" s="322" t="s">
        <v>84</v>
      </c>
      <c r="D69" s="353"/>
      <c r="E69" s="353"/>
      <c r="F69" s="354"/>
      <c r="G69" s="346"/>
      <c r="I69" s="147"/>
      <c r="K69" s="19"/>
    </row>
    <row r="70" spans="2:11" x14ac:dyDescent="0.3">
      <c r="B70" s="321"/>
      <c r="C70" s="322" t="s">
        <v>85</v>
      </c>
      <c r="D70" s="353"/>
      <c r="E70" s="353"/>
      <c r="F70" s="354"/>
      <c r="G70" s="346"/>
      <c r="I70" s="147"/>
      <c r="K70" s="19"/>
    </row>
    <row r="71" spans="2:11" x14ac:dyDescent="0.3">
      <c r="B71" s="321"/>
      <c r="C71" s="322" t="s">
        <v>86</v>
      </c>
      <c r="D71" s="353"/>
      <c r="E71" s="353"/>
      <c r="F71" s="354"/>
      <c r="G71" s="346"/>
      <c r="I71" s="147"/>
      <c r="K71" s="19"/>
    </row>
    <row r="72" spans="2:11" x14ac:dyDescent="0.3">
      <c r="B72" s="321"/>
      <c r="C72" s="322" t="s">
        <v>87</v>
      </c>
      <c r="D72" s="353"/>
      <c r="E72" s="353"/>
      <c r="F72" s="354"/>
      <c r="G72" s="346"/>
      <c r="I72" s="147"/>
      <c r="K72" s="19"/>
    </row>
    <row r="73" spans="2:11" ht="17.25" thickBot="1" x14ac:dyDescent="0.35">
      <c r="B73" s="321"/>
      <c r="C73" s="324" t="s">
        <v>88</v>
      </c>
      <c r="D73" s="350"/>
      <c r="E73" s="350"/>
      <c r="F73" s="355"/>
      <c r="G73" s="346"/>
      <c r="I73" s="147"/>
      <c r="K73" s="19"/>
    </row>
    <row r="74" spans="2:11" ht="17.25" thickBot="1" x14ac:dyDescent="0.35">
      <c r="B74" s="321"/>
      <c r="C74" s="316"/>
      <c r="D74" s="316"/>
      <c r="E74" s="316"/>
      <c r="F74" s="316"/>
      <c r="G74" s="351"/>
      <c r="I74" s="147"/>
      <c r="K74" s="19"/>
    </row>
    <row r="75" spans="2:11" ht="18" thickBot="1" x14ac:dyDescent="0.4">
      <c r="B75" s="321"/>
      <c r="C75" s="874" t="s">
        <v>194</v>
      </c>
      <c r="D75" s="875"/>
      <c r="E75" s="875"/>
      <c r="F75" s="876"/>
      <c r="G75" s="346"/>
      <c r="I75" s="147"/>
      <c r="K75" s="19"/>
    </row>
    <row r="76" spans="2:11" ht="17.25" x14ac:dyDescent="0.35">
      <c r="B76" s="326"/>
      <c r="C76" s="325"/>
      <c r="D76" s="877" t="s">
        <v>48</v>
      </c>
      <c r="E76" s="877"/>
      <c r="F76" s="878"/>
      <c r="G76" s="351"/>
      <c r="I76" s="147"/>
      <c r="K76" s="19"/>
    </row>
    <row r="77" spans="2:11" x14ac:dyDescent="0.3">
      <c r="B77" s="321"/>
      <c r="C77" s="322" t="s">
        <v>193</v>
      </c>
      <c r="D77" s="907"/>
      <c r="E77" s="907"/>
      <c r="F77" s="908"/>
      <c r="G77" s="351"/>
      <c r="I77" s="147"/>
      <c r="K77" s="19"/>
    </row>
    <row r="78" spans="2:11" x14ac:dyDescent="0.3">
      <c r="B78" s="321"/>
      <c r="C78" s="322" t="s">
        <v>192</v>
      </c>
      <c r="D78" s="907"/>
      <c r="E78" s="907"/>
      <c r="F78" s="908"/>
      <c r="G78" s="351"/>
      <c r="I78" s="147"/>
      <c r="K78" s="19"/>
    </row>
    <row r="79" spans="2:11" x14ac:dyDescent="0.3">
      <c r="B79" s="321"/>
      <c r="C79" s="322" t="s">
        <v>306</v>
      </c>
      <c r="D79" s="907"/>
      <c r="E79" s="907"/>
      <c r="F79" s="908"/>
      <c r="G79" s="351"/>
      <c r="I79" s="147"/>
      <c r="K79" s="19"/>
    </row>
    <row r="80" spans="2:11" x14ac:dyDescent="0.3">
      <c r="B80" s="321"/>
      <c r="C80" s="322" t="s">
        <v>92</v>
      </c>
      <c r="D80" s="895" t="str">
        <f>IF(D77+D79=0,"",D77+D79)</f>
        <v/>
      </c>
      <c r="E80" s="895"/>
      <c r="F80" s="896"/>
      <c r="G80" s="351"/>
      <c r="I80" s="146"/>
      <c r="K80" s="19"/>
    </row>
    <row r="81" spans="1:11" x14ac:dyDescent="0.3">
      <c r="B81" s="321"/>
      <c r="C81" s="322" t="s">
        <v>191</v>
      </c>
      <c r="D81" s="882"/>
      <c r="E81" s="882"/>
      <c r="F81" s="883"/>
      <c r="G81" s="351"/>
      <c r="I81" s="146"/>
      <c r="K81" s="19"/>
    </row>
    <row r="82" spans="1:11" x14ac:dyDescent="0.3">
      <c r="B82" s="321"/>
      <c r="C82" s="322" t="s">
        <v>190</v>
      </c>
      <c r="D82" s="907"/>
      <c r="E82" s="907"/>
      <c r="F82" s="908"/>
      <c r="G82" s="351"/>
      <c r="I82" s="146"/>
      <c r="K82" s="19"/>
    </row>
    <row r="83" spans="1:11" x14ac:dyDescent="0.3">
      <c r="B83" s="321"/>
      <c r="C83" s="322" t="s">
        <v>189</v>
      </c>
      <c r="D83" s="907"/>
      <c r="E83" s="907"/>
      <c r="F83" s="908"/>
      <c r="G83" s="351"/>
      <c r="I83" s="146"/>
      <c r="K83" s="19"/>
    </row>
    <row r="84" spans="1:11" x14ac:dyDescent="0.3">
      <c r="B84" s="321"/>
      <c r="C84" s="322" t="s">
        <v>306</v>
      </c>
      <c r="D84" s="907"/>
      <c r="E84" s="907"/>
      <c r="F84" s="908"/>
      <c r="G84" s="351"/>
      <c r="I84" s="146"/>
      <c r="K84" s="19"/>
    </row>
    <row r="85" spans="1:11" ht="17.25" thickBot="1" x14ac:dyDescent="0.35">
      <c r="B85" s="321"/>
      <c r="C85" s="324" t="s">
        <v>92</v>
      </c>
      <c r="D85" s="911" t="str">
        <f>IF(D82+D84=0,"",D82+D84)</f>
        <v/>
      </c>
      <c r="E85" s="911"/>
      <c r="F85" s="912"/>
      <c r="G85" s="351"/>
      <c r="I85" s="147"/>
      <c r="K85" s="19"/>
    </row>
    <row r="86" spans="1:11" ht="17.25" thickBot="1" x14ac:dyDescent="0.35">
      <c r="B86" s="334"/>
      <c r="C86" s="319"/>
      <c r="D86" s="319"/>
      <c r="E86" s="319"/>
      <c r="F86" s="319"/>
      <c r="G86" s="356"/>
      <c r="I86" s="147"/>
      <c r="K86" s="19"/>
    </row>
    <row r="87" spans="1:11" ht="17.25" thickBot="1" x14ac:dyDescent="0.35">
      <c r="A87" s="8"/>
      <c r="B87" s="316"/>
      <c r="C87" s="316"/>
      <c r="D87" s="316"/>
      <c r="E87" s="316"/>
      <c r="F87" s="316"/>
      <c r="G87" s="316"/>
      <c r="H87" s="8"/>
      <c r="I87" s="147"/>
      <c r="K87" s="19"/>
    </row>
    <row r="88" spans="1:11" ht="18.75" thickBot="1" x14ac:dyDescent="0.4">
      <c r="B88" s="902" t="s">
        <v>410</v>
      </c>
      <c r="C88" s="903"/>
      <c r="D88" s="903"/>
      <c r="E88" s="903"/>
      <c r="F88" s="903"/>
      <c r="G88" s="904"/>
      <c r="K88" s="19"/>
    </row>
    <row r="89" spans="1:11" ht="17.25" thickBot="1" x14ac:dyDescent="0.35">
      <c r="B89" s="321"/>
      <c r="C89" s="316"/>
      <c r="D89" s="316"/>
      <c r="E89" s="316"/>
      <c r="F89" s="316"/>
      <c r="G89" s="336"/>
      <c r="K89" s="19"/>
    </row>
    <row r="90" spans="1:11" ht="18" thickBot="1" x14ac:dyDescent="0.4">
      <c r="B90" s="321"/>
      <c r="C90" s="874" t="s">
        <v>55</v>
      </c>
      <c r="D90" s="875"/>
      <c r="E90" s="875"/>
      <c r="F90" s="876"/>
      <c r="G90" s="323"/>
      <c r="K90" s="19"/>
    </row>
    <row r="91" spans="1:11" ht="17.25" x14ac:dyDescent="0.35">
      <c r="B91" s="321"/>
      <c r="C91" s="325"/>
      <c r="D91" s="877" t="s">
        <v>48</v>
      </c>
      <c r="E91" s="877"/>
      <c r="F91" s="878"/>
      <c r="G91" s="323"/>
      <c r="K91" s="19"/>
    </row>
    <row r="92" spans="1:11" ht="17.25" x14ac:dyDescent="0.35">
      <c r="B92" s="326"/>
      <c r="C92" s="321"/>
      <c r="D92" s="327" t="s">
        <v>56</v>
      </c>
      <c r="E92" s="327" t="s">
        <v>57</v>
      </c>
      <c r="F92" s="328" t="s">
        <v>58</v>
      </c>
      <c r="G92" s="323"/>
      <c r="K92" s="19"/>
    </row>
    <row r="93" spans="1:11" x14ac:dyDescent="0.3">
      <c r="B93" s="321"/>
      <c r="C93" s="322" t="s">
        <v>432</v>
      </c>
      <c r="D93" s="347"/>
      <c r="E93" s="353"/>
      <c r="F93" s="354"/>
      <c r="G93" s="323"/>
      <c r="K93" s="19"/>
    </row>
    <row r="94" spans="1:11" x14ac:dyDescent="0.3">
      <c r="B94" s="321"/>
      <c r="C94" s="322" t="s">
        <v>433</v>
      </c>
      <c r="D94" s="347"/>
      <c r="E94" s="353"/>
      <c r="F94" s="354"/>
      <c r="G94" s="323"/>
      <c r="K94" s="19"/>
    </row>
    <row r="95" spans="1:11" x14ac:dyDescent="0.3">
      <c r="B95" s="321"/>
      <c r="C95" s="322" t="s">
        <v>59</v>
      </c>
      <c r="D95" s="347"/>
      <c r="E95" s="353"/>
      <c r="F95" s="354"/>
      <c r="G95" s="323"/>
      <c r="K95" s="19"/>
    </row>
    <row r="96" spans="1:11" x14ac:dyDescent="0.3">
      <c r="B96" s="321"/>
      <c r="C96" s="322" t="s">
        <v>60</v>
      </c>
      <c r="D96" s="347"/>
      <c r="E96" s="353"/>
      <c r="F96" s="354"/>
      <c r="G96" s="323"/>
      <c r="K96" s="19"/>
    </row>
    <row r="97" spans="2:11" x14ac:dyDescent="0.3">
      <c r="B97" s="321"/>
      <c r="C97" s="322" t="s">
        <v>435</v>
      </c>
      <c r="D97" s="349"/>
      <c r="E97" s="316"/>
      <c r="F97" s="317"/>
      <c r="G97" s="323"/>
      <c r="I97" s="147"/>
      <c r="K97" s="19"/>
    </row>
    <row r="98" spans="2:11" ht="17.25" thickBot="1" x14ac:dyDescent="0.35">
      <c r="B98" s="321"/>
      <c r="C98" s="324" t="s">
        <v>443</v>
      </c>
      <c r="D98" s="350"/>
      <c r="E98" s="319"/>
      <c r="F98" s="320"/>
      <c r="G98" s="323"/>
      <c r="K98" s="19"/>
    </row>
    <row r="99" spans="2:11" ht="17.25" thickBot="1" x14ac:dyDescent="0.35">
      <c r="B99" s="321"/>
      <c r="C99" s="337"/>
      <c r="D99" s="316"/>
      <c r="E99" s="316"/>
      <c r="F99" s="316"/>
      <c r="G99" s="317"/>
      <c r="K99" s="19"/>
    </row>
    <row r="100" spans="2:11" ht="18" thickBot="1" x14ac:dyDescent="0.4">
      <c r="B100" s="321"/>
      <c r="C100" s="874" t="s">
        <v>61</v>
      </c>
      <c r="D100" s="875"/>
      <c r="E100" s="875"/>
      <c r="F100" s="876"/>
      <c r="G100" s="323"/>
      <c r="K100" s="19"/>
    </row>
    <row r="101" spans="2:11" ht="17.25" x14ac:dyDescent="0.35">
      <c r="B101" s="321"/>
      <c r="C101" s="352"/>
      <c r="D101" s="877" t="s">
        <v>48</v>
      </c>
      <c r="E101" s="877"/>
      <c r="F101" s="878"/>
      <c r="G101" s="323"/>
      <c r="K101" s="19"/>
    </row>
    <row r="102" spans="2:11" ht="17.25" x14ac:dyDescent="0.35">
      <c r="B102" s="326"/>
      <c r="C102" s="338"/>
      <c r="D102" s="327" t="s">
        <v>56</v>
      </c>
      <c r="E102" s="327" t="s">
        <v>57</v>
      </c>
      <c r="F102" s="328" t="s">
        <v>58</v>
      </c>
      <c r="G102" s="323"/>
      <c r="K102" s="19"/>
    </row>
    <row r="103" spans="2:11" x14ac:dyDescent="0.3">
      <c r="B103" s="321"/>
      <c r="C103" s="322" t="s">
        <v>62</v>
      </c>
      <c r="D103" s="353"/>
      <c r="E103" s="353"/>
      <c r="F103" s="354"/>
      <c r="G103" s="323"/>
      <c r="K103" s="19"/>
    </row>
    <row r="104" spans="2:11" x14ac:dyDescent="0.3">
      <c r="B104" s="321"/>
      <c r="C104" s="322" t="s">
        <v>607</v>
      </c>
      <c r="D104" s="353"/>
      <c r="E104" s="353"/>
      <c r="F104" s="354"/>
      <c r="G104" s="323"/>
      <c r="K104" s="19"/>
    </row>
    <row r="105" spans="2:11" x14ac:dyDescent="0.3">
      <c r="B105" s="321"/>
      <c r="C105" s="322" t="s">
        <v>608</v>
      </c>
      <c r="D105" s="353"/>
      <c r="E105" s="353"/>
      <c r="F105" s="354"/>
      <c r="G105" s="323"/>
      <c r="K105" s="19"/>
    </row>
    <row r="106" spans="2:11" x14ac:dyDescent="0.3">
      <c r="B106" s="321"/>
      <c r="C106" s="322" t="s">
        <v>413</v>
      </c>
      <c r="D106" s="353"/>
      <c r="E106" s="353"/>
      <c r="F106" s="354"/>
      <c r="G106" s="323"/>
      <c r="K106" s="19"/>
    </row>
    <row r="107" spans="2:11" ht="17.25" thickBot="1" x14ac:dyDescent="0.35">
      <c r="B107" s="321"/>
      <c r="C107" s="324" t="s">
        <v>427</v>
      </c>
      <c r="D107" s="350"/>
      <c r="E107" s="350"/>
      <c r="F107" s="355"/>
      <c r="G107" s="323"/>
      <c r="K107" s="19"/>
    </row>
    <row r="108" spans="2:11" ht="17.25" thickBot="1" x14ac:dyDescent="0.35">
      <c r="B108" s="321"/>
      <c r="C108" s="316"/>
      <c r="D108" s="316"/>
      <c r="E108" s="316"/>
      <c r="F108" s="316"/>
      <c r="G108" s="317"/>
      <c r="K108" s="19"/>
    </row>
    <row r="109" spans="2:11" ht="18" thickBot="1" x14ac:dyDescent="0.4">
      <c r="B109" s="321"/>
      <c r="C109" s="874" t="s">
        <v>63</v>
      </c>
      <c r="D109" s="875"/>
      <c r="E109" s="875"/>
      <c r="F109" s="876"/>
      <c r="G109" s="323"/>
      <c r="K109" s="19"/>
    </row>
    <row r="110" spans="2:11" ht="17.25" x14ac:dyDescent="0.35">
      <c r="B110" s="321"/>
      <c r="C110" s="325"/>
      <c r="D110" s="877" t="s">
        <v>48</v>
      </c>
      <c r="E110" s="877"/>
      <c r="F110" s="878"/>
      <c r="G110" s="323"/>
      <c r="K110" s="19"/>
    </row>
    <row r="111" spans="2:11" ht="17.25" x14ac:dyDescent="0.35">
      <c r="B111" s="326"/>
      <c r="C111" s="321"/>
      <c r="D111" s="327" t="s">
        <v>56</v>
      </c>
      <c r="E111" s="327" t="s">
        <v>57</v>
      </c>
      <c r="F111" s="328" t="s">
        <v>58</v>
      </c>
      <c r="G111" s="323"/>
      <c r="K111" s="19"/>
    </row>
    <row r="112" spans="2:11" x14ac:dyDescent="0.3">
      <c r="B112" s="321"/>
      <c r="C112" s="322" t="s">
        <v>64</v>
      </c>
      <c r="D112" s="353"/>
      <c r="E112" s="353"/>
      <c r="F112" s="354"/>
      <c r="G112" s="323"/>
      <c r="K112" s="19"/>
    </row>
    <row r="113" spans="2:11" x14ac:dyDescent="0.3">
      <c r="B113" s="321"/>
      <c r="C113" s="322" t="s">
        <v>65</v>
      </c>
      <c r="D113" s="353"/>
      <c r="E113" s="353"/>
      <c r="F113" s="354"/>
      <c r="G113" s="323"/>
      <c r="K113" s="19"/>
    </row>
    <row r="114" spans="2:11" x14ac:dyDescent="0.3">
      <c r="B114" s="321"/>
      <c r="C114" s="322" t="s">
        <v>66</v>
      </c>
      <c r="D114" s="353"/>
      <c r="E114" s="353"/>
      <c r="F114" s="354"/>
      <c r="G114" s="323"/>
      <c r="K114" s="19"/>
    </row>
    <row r="115" spans="2:11" x14ac:dyDescent="0.3">
      <c r="B115" s="321"/>
      <c r="C115" s="322" t="s">
        <v>67</v>
      </c>
      <c r="D115" s="353"/>
      <c r="E115" s="353"/>
      <c r="F115" s="354"/>
      <c r="G115" s="323"/>
      <c r="K115" s="19"/>
    </row>
    <row r="116" spans="2:11" x14ac:dyDescent="0.3">
      <c r="B116" s="321"/>
      <c r="C116" s="322" t="s">
        <v>68</v>
      </c>
      <c r="D116" s="353"/>
      <c r="E116" s="353"/>
      <c r="F116" s="354"/>
      <c r="G116" s="323"/>
      <c r="K116" s="19"/>
    </row>
    <row r="117" spans="2:11" x14ac:dyDescent="0.3">
      <c r="B117" s="321"/>
      <c r="C117" s="322" t="s">
        <v>69</v>
      </c>
      <c r="D117" s="353"/>
      <c r="E117" s="353"/>
      <c r="F117" s="354"/>
      <c r="G117" s="323"/>
      <c r="K117" s="19"/>
    </row>
    <row r="118" spans="2:11" x14ac:dyDescent="0.3">
      <c r="B118" s="321"/>
      <c r="C118" s="322" t="s">
        <v>70</v>
      </c>
      <c r="D118" s="353"/>
      <c r="E118" s="353"/>
      <c r="F118" s="354"/>
      <c r="G118" s="323"/>
      <c r="K118" s="19"/>
    </row>
    <row r="119" spans="2:11" x14ac:dyDescent="0.3">
      <c r="B119" s="321"/>
      <c r="C119" s="322" t="s">
        <v>71</v>
      </c>
      <c r="D119" s="353"/>
      <c r="E119" s="353"/>
      <c r="F119" s="354"/>
      <c r="G119" s="323"/>
      <c r="K119" s="19"/>
    </row>
    <row r="120" spans="2:11" x14ac:dyDescent="0.3">
      <c r="B120" s="321"/>
      <c r="C120" s="322" t="s">
        <v>72</v>
      </c>
      <c r="D120" s="353"/>
      <c r="E120" s="353"/>
      <c r="F120" s="354"/>
      <c r="G120" s="323"/>
      <c r="K120" s="19"/>
    </row>
    <row r="121" spans="2:11" x14ac:dyDescent="0.3">
      <c r="B121" s="321"/>
      <c r="C121" s="322" t="s">
        <v>73</v>
      </c>
      <c r="D121" s="353"/>
      <c r="E121" s="353"/>
      <c r="F121" s="354"/>
      <c r="G121" s="323"/>
      <c r="K121" s="19"/>
    </row>
    <row r="122" spans="2:11" ht="17.25" thickBot="1" x14ac:dyDescent="0.35">
      <c r="B122" s="321"/>
      <c r="C122" s="324" t="s">
        <v>74</v>
      </c>
      <c r="D122" s="350"/>
      <c r="E122" s="350"/>
      <c r="F122" s="355"/>
      <c r="G122" s="323"/>
      <c r="K122" s="19"/>
    </row>
    <row r="123" spans="2:11" ht="17.25" thickBot="1" x14ac:dyDescent="0.35">
      <c r="B123" s="321"/>
      <c r="C123" s="316"/>
      <c r="D123" s="316"/>
      <c r="E123" s="316"/>
      <c r="F123" s="316"/>
      <c r="G123" s="317"/>
      <c r="K123" s="19"/>
    </row>
    <row r="124" spans="2:11" ht="18" thickBot="1" x14ac:dyDescent="0.4">
      <c r="B124" s="321"/>
      <c r="C124" s="874" t="s">
        <v>75</v>
      </c>
      <c r="D124" s="875"/>
      <c r="E124" s="875"/>
      <c r="F124" s="876"/>
      <c r="G124" s="323"/>
      <c r="K124" s="19"/>
    </row>
    <row r="125" spans="2:11" ht="17.25" x14ac:dyDescent="0.35">
      <c r="B125" s="321"/>
      <c r="C125" s="325"/>
      <c r="D125" s="877" t="s">
        <v>48</v>
      </c>
      <c r="E125" s="877"/>
      <c r="F125" s="878"/>
      <c r="G125" s="323"/>
      <c r="K125" s="19"/>
    </row>
    <row r="126" spans="2:11" ht="17.25" x14ac:dyDescent="0.35">
      <c r="B126" s="326"/>
      <c r="C126" s="321"/>
      <c r="D126" s="327" t="s">
        <v>56</v>
      </c>
      <c r="E126" s="327" t="s">
        <v>57</v>
      </c>
      <c r="F126" s="328" t="s">
        <v>58</v>
      </c>
      <c r="G126" s="323"/>
      <c r="K126" s="19"/>
    </row>
    <row r="127" spans="2:11" x14ac:dyDescent="0.3">
      <c r="B127" s="321"/>
      <c r="C127" s="322" t="s">
        <v>76</v>
      </c>
      <c r="D127" s="353"/>
      <c r="E127" s="353"/>
      <c r="F127" s="353"/>
      <c r="G127" s="323"/>
      <c r="K127" s="19"/>
    </row>
    <row r="128" spans="2:11" x14ac:dyDescent="0.3">
      <c r="B128" s="321"/>
      <c r="C128" s="322" t="s">
        <v>77</v>
      </c>
      <c r="D128" s="353"/>
      <c r="E128" s="353"/>
      <c r="F128" s="354"/>
      <c r="G128" s="323"/>
      <c r="K128" s="19"/>
    </row>
    <row r="129" spans="2:11" x14ac:dyDescent="0.3">
      <c r="B129" s="321"/>
      <c r="C129" s="322" t="s">
        <v>78</v>
      </c>
      <c r="D129" s="353"/>
      <c r="E129" s="353"/>
      <c r="F129" s="354"/>
      <c r="G129" s="323"/>
      <c r="K129" s="19"/>
    </row>
    <row r="130" spans="2:11" x14ac:dyDescent="0.3">
      <c r="B130" s="321"/>
      <c r="C130" s="322" t="s">
        <v>79</v>
      </c>
      <c r="D130" s="353"/>
      <c r="E130" s="353"/>
      <c r="F130" s="354"/>
      <c r="G130" s="323"/>
      <c r="K130" s="19"/>
    </row>
    <row r="131" spans="2:11" ht="17.25" thickBot="1" x14ac:dyDescent="0.35">
      <c r="B131" s="321"/>
      <c r="C131" s="330" t="s">
        <v>428</v>
      </c>
      <c r="D131" s="350"/>
      <c r="E131" s="350"/>
      <c r="F131" s="355"/>
      <c r="G131" s="323"/>
      <c r="K131" s="19"/>
    </row>
    <row r="132" spans="2:11" ht="17.25" thickBot="1" x14ac:dyDescent="0.35">
      <c r="B132" s="321"/>
      <c r="C132" s="316"/>
      <c r="D132" s="316"/>
      <c r="E132" s="316"/>
      <c r="F132" s="316"/>
      <c r="G132" s="317"/>
      <c r="K132" s="19"/>
    </row>
    <row r="133" spans="2:11" ht="18" thickBot="1" x14ac:dyDescent="0.4">
      <c r="B133" s="321"/>
      <c r="C133" s="874" t="s">
        <v>80</v>
      </c>
      <c r="D133" s="875"/>
      <c r="E133" s="875"/>
      <c r="F133" s="876"/>
      <c r="G133" s="323"/>
      <c r="K133" s="19"/>
    </row>
    <row r="134" spans="2:11" ht="17.25" x14ac:dyDescent="0.35">
      <c r="B134" s="321"/>
      <c r="C134" s="325"/>
      <c r="D134" s="877" t="s">
        <v>48</v>
      </c>
      <c r="E134" s="877"/>
      <c r="F134" s="878"/>
      <c r="G134" s="323"/>
      <c r="K134" s="19"/>
    </row>
    <row r="135" spans="2:11" ht="17.25" x14ac:dyDescent="0.35">
      <c r="B135" s="331"/>
      <c r="C135" s="321"/>
      <c r="D135" s="327" t="s">
        <v>56</v>
      </c>
      <c r="E135" s="327" t="s">
        <v>57</v>
      </c>
      <c r="F135" s="328" t="s">
        <v>58</v>
      </c>
      <c r="G135" s="323"/>
      <c r="K135" s="19"/>
    </row>
    <row r="136" spans="2:11" x14ac:dyDescent="0.3">
      <c r="B136" s="321"/>
      <c r="C136" s="322" t="s">
        <v>81</v>
      </c>
      <c r="D136" s="353"/>
      <c r="E136" s="353"/>
      <c r="F136" s="354"/>
      <c r="G136" s="323"/>
      <c r="K136" s="19"/>
    </row>
    <row r="137" spans="2:11" x14ac:dyDescent="0.3">
      <c r="B137" s="321"/>
      <c r="C137" s="322" t="s">
        <v>82</v>
      </c>
      <c r="D137" s="353"/>
      <c r="E137" s="353"/>
      <c r="F137" s="354"/>
      <c r="G137" s="323"/>
      <c r="K137" s="19"/>
    </row>
    <row r="138" spans="2:11" x14ac:dyDescent="0.3">
      <c r="B138" s="321"/>
      <c r="C138" s="322" t="s">
        <v>83</v>
      </c>
      <c r="D138" s="353"/>
      <c r="E138" s="353"/>
      <c r="F138" s="354"/>
      <c r="G138" s="323"/>
      <c r="K138" s="19"/>
    </row>
    <row r="139" spans="2:11" x14ac:dyDescent="0.3">
      <c r="B139" s="321"/>
      <c r="C139" s="322" t="s">
        <v>84</v>
      </c>
      <c r="D139" s="353"/>
      <c r="E139" s="353"/>
      <c r="F139" s="354"/>
      <c r="G139" s="323"/>
      <c r="K139" s="19"/>
    </row>
    <row r="140" spans="2:11" x14ac:dyDescent="0.3">
      <c r="B140" s="321"/>
      <c r="C140" s="322" t="s">
        <v>85</v>
      </c>
      <c r="D140" s="353"/>
      <c r="E140" s="353"/>
      <c r="F140" s="354"/>
      <c r="G140" s="323"/>
      <c r="K140" s="19"/>
    </row>
    <row r="141" spans="2:11" x14ac:dyDescent="0.3">
      <c r="B141" s="321"/>
      <c r="C141" s="322" t="s">
        <v>86</v>
      </c>
      <c r="D141" s="353"/>
      <c r="E141" s="353"/>
      <c r="F141" s="354"/>
      <c r="G141" s="323"/>
      <c r="K141" s="19"/>
    </row>
    <row r="142" spans="2:11" x14ac:dyDescent="0.3">
      <c r="B142" s="321"/>
      <c r="C142" s="322" t="s">
        <v>87</v>
      </c>
      <c r="D142" s="353"/>
      <c r="E142" s="353"/>
      <c r="F142" s="354"/>
      <c r="G142" s="323"/>
      <c r="K142" s="19"/>
    </row>
    <row r="143" spans="2:11" ht="17.25" thickBot="1" x14ac:dyDescent="0.35">
      <c r="B143" s="321"/>
      <c r="C143" s="324" t="s">
        <v>88</v>
      </c>
      <c r="D143" s="350"/>
      <c r="E143" s="350"/>
      <c r="F143" s="355"/>
      <c r="G143" s="323"/>
      <c r="K143" s="19"/>
    </row>
    <row r="144" spans="2:11" ht="17.25" thickBot="1" x14ac:dyDescent="0.35">
      <c r="B144" s="321"/>
      <c r="C144" s="316"/>
      <c r="D144" s="316"/>
      <c r="E144" s="316"/>
      <c r="F144" s="316"/>
      <c r="G144" s="317"/>
      <c r="K144" s="19"/>
    </row>
    <row r="145" spans="1:11" ht="18" thickBot="1" x14ac:dyDescent="0.4">
      <c r="B145" s="321"/>
      <c r="C145" s="874" t="s">
        <v>194</v>
      </c>
      <c r="D145" s="875"/>
      <c r="E145" s="875"/>
      <c r="F145" s="876"/>
      <c r="G145" s="317"/>
      <c r="K145" s="19"/>
    </row>
    <row r="146" spans="1:11" ht="17.25" x14ac:dyDescent="0.35">
      <c r="B146" s="326"/>
      <c r="C146" s="321"/>
      <c r="D146" s="909" t="s">
        <v>48</v>
      </c>
      <c r="E146" s="909"/>
      <c r="F146" s="910"/>
      <c r="G146" s="317"/>
      <c r="K146" s="19"/>
    </row>
    <row r="147" spans="1:11" x14ac:dyDescent="0.3">
      <c r="B147" s="321"/>
      <c r="C147" s="322" t="s">
        <v>193</v>
      </c>
      <c r="D147" s="907"/>
      <c r="E147" s="907"/>
      <c r="F147" s="908"/>
      <c r="G147" s="317"/>
      <c r="K147" s="19"/>
    </row>
    <row r="148" spans="1:11" x14ac:dyDescent="0.3">
      <c r="B148" s="321"/>
      <c r="C148" s="322" t="s">
        <v>192</v>
      </c>
      <c r="D148" s="907"/>
      <c r="E148" s="907"/>
      <c r="F148" s="908"/>
      <c r="G148" s="317"/>
      <c r="K148" s="19"/>
    </row>
    <row r="149" spans="1:11" x14ac:dyDescent="0.3">
      <c r="B149" s="321"/>
      <c r="C149" s="322" t="s">
        <v>306</v>
      </c>
      <c r="D149" s="907"/>
      <c r="E149" s="907"/>
      <c r="F149" s="908"/>
      <c r="G149" s="317"/>
      <c r="K149" s="19"/>
    </row>
    <row r="150" spans="1:11" x14ac:dyDescent="0.3">
      <c r="B150" s="321"/>
      <c r="C150" s="322" t="s">
        <v>92</v>
      </c>
      <c r="D150" s="895" t="str">
        <f>IF(D147+D149=0,"",D147+D149)</f>
        <v/>
      </c>
      <c r="E150" s="895"/>
      <c r="F150" s="896"/>
      <c r="G150" s="317"/>
      <c r="K150" s="19"/>
    </row>
    <row r="151" spans="1:11" x14ac:dyDescent="0.3">
      <c r="B151" s="321"/>
      <c r="C151" s="322" t="s">
        <v>191</v>
      </c>
      <c r="D151" s="882"/>
      <c r="E151" s="882"/>
      <c r="F151" s="883"/>
      <c r="G151" s="317"/>
      <c r="K151" s="19"/>
    </row>
    <row r="152" spans="1:11" x14ac:dyDescent="0.3">
      <c r="B152" s="321"/>
      <c r="C152" s="322" t="s">
        <v>190</v>
      </c>
      <c r="D152" s="907"/>
      <c r="E152" s="907"/>
      <c r="F152" s="908"/>
      <c r="G152" s="317"/>
      <c r="K152" s="19"/>
    </row>
    <row r="153" spans="1:11" x14ac:dyDescent="0.3">
      <c r="B153" s="321"/>
      <c r="C153" s="322" t="s">
        <v>189</v>
      </c>
      <c r="D153" s="907"/>
      <c r="E153" s="907"/>
      <c r="F153" s="908"/>
      <c r="G153" s="317"/>
      <c r="K153" s="19"/>
    </row>
    <row r="154" spans="1:11" x14ac:dyDescent="0.3">
      <c r="B154" s="321"/>
      <c r="C154" s="322" t="s">
        <v>306</v>
      </c>
      <c r="D154" s="907"/>
      <c r="E154" s="907"/>
      <c r="F154" s="908"/>
      <c r="G154" s="317"/>
      <c r="K154" s="19"/>
    </row>
    <row r="155" spans="1:11" ht="17.25" thickBot="1" x14ac:dyDescent="0.35">
      <c r="B155" s="321"/>
      <c r="C155" s="324" t="s">
        <v>92</v>
      </c>
      <c r="D155" s="911" t="str">
        <f>IF(D152+D154=0,"",D152+D154)</f>
        <v/>
      </c>
      <c r="E155" s="911"/>
      <c r="F155" s="912"/>
      <c r="G155" s="317"/>
      <c r="K155" s="19"/>
    </row>
    <row r="156" spans="1:11" ht="17.25" thickBot="1" x14ac:dyDescent="0.35">
      <c r="B156" s="334"/>
      <c r="C156" s="319"/>
      <c r="D156" s="319"/>
      <c r="E156" s="319"/>
      <c r="F156" s="319"/>
      <c r="G156" s="320"/>
      <c r="K156" s="19"/>
    </row>
    <row r="157" spans="1:11" ht="17.25" thickBot="1" x14ac:dyDescent="0.35">
      <c r="B157" s="316"/>
      <c r="C157" s="316"/>
      <c r="D157" s="316"/>
      <c r="E157" s="316"/>
      <c r="F157" s="316"/>
      <c r="G157" s="316"/>
      <c r="K157" s="19"/>
    </row>
    <row r="158" spans="1:11" ht="17.25" x14ac:dyDescent="0.35">
      <c r="A158" s="8"/>
      <c r="B158" s="8"/>
      <c r="C158" s="917" t="s">
        <v>616</v>
      </c>
      <c r="D158" s="918"/>
      <c r="E158" s="918"/>
      <c r="F158" s="918"/>
      <c r="G158" s="918"/>
      <c r="H158" s="918"/>
      <c r="I158" s="919"/>
      <c r="K158" s="19"/>
    </row>
    <row r="159" spans="1:11" x14ac:dyDescent="0.3">
      <c r="A159" s="8"/>
      <c r="B159" s="8"/>
      <c r="C159" s="920"/>
      <c r="D159" s="921"/>
      <c r="E159" s="921"/>
      <c r="F159" s="921"/>
      <c r="G159" s="921"/>
      <c r="H159" s="921"/>
      <c r="I159" s="922"/>
      <c r="K159" s="19"/>
    </row>
    <row r="160" spans="1:11" ht="57" customHeight="1" x14ac:dyDescent="0.3">
      <c r="A160" s="8"/>
      <c r="B160" s="8"/>
      <c r="C160" s="559" t="s">
        <v>568</v>
      </c>
      <c r="D160" s="554" t="s">
        <v>617</v>
      </c>
      <c r="E160" s="879" t="s">
        <v>650</v>
      </c>
      <c r="F160" s="880"/>
      <c r="G160" s="554" t="s">
        <v>618</v>
      </c>
      <c r="H160" s="879" t="s">
        <v>651</v>
      </c>
      <c r="I160" s="880"/>
      <c r="K160" s="19"/>
    </row>
    <row r="161" spans="1:11" x14ac:dyDescent="0.3">
      <c r="A161" s="8"/>
      <c r="B161" s="8"/>
      <c r="C161" s="556" t="s">
        <v>566</v>
      </c>
      <c r="D161" s="679" t="str">
        <f>IF(AND('General Info and Test Results'!C26="Single-Speed",'General Info and Test Results'!C27="Fixed Speed"),'B Test Recorded Data'!D78/'B Test Recorded Data'!D77,"")</f>
        <v/>
      </c>
      <c r="E161" s="923" t="e">
        <f>MROUND(D161,0.005)</f>
        <v>#VALUE!</v>
      </c>
      <c r="F161" s="924"/>
      <c r="G161" s="733"/>
      <c r="H161" s="925"/>
      <c r="I161" s="926"/>
      <c r="K161" s="19"/>
    </row>
    <row r="162" spans="1:11" x14ac:dyDescent="0.3">
      <c r="A162" s="8"/>
      <c r="B162" s="8"/>
      <c r="C162" s="556" t="s">
        <v>567</v>
      </c>
      <c r="D162" s="679" t="str">
        <f>IF(AND('General Info and Test Results'!C26="Single-Speed",'General Info and Test Results'!C27="Variable Speed"),'B Test Recorded Data'!D78/'B Test Recorded Data'!D77,"")</f>
        <v/>
      </c>
      <c r="E162" s="923" t="e">
        <f>MROUND(D162,0.005)</f>
        <v>#VALUE!</v>
      </c>
      <c r="F162" s="924"/>
      <c r="G162" s="679" t="str">
        <f>IF(AND('General Info and Test Results'!C26="Single-Speed",'General Info and Test Results'!C27="Variable Speed"),'B Test Recorded Data'!D148/'B Test Recorded Data'!D147,"")</f>
        <v/>
      </c>
      <c r="H162" s="923" t="e">
        <f>MROUND(G162,0.005)</f>
        <v>#VALUE!</v>
      </c>
      <c r="I162" s="924"/>
      <c r="K162" s="19"/>
    </row>
    <row r="163" spans="1:11" x14ac:dyDescent="0.3">
      <c r="A163" s="8"/>
      <c r="B163" s="8"/>
      <c r="C163" s="332" t="s">
        <v>569</v>
      </c>
      <c r="D163" s="679" t="str">
        <f>IF('General Info and Test Results'!C26="Two-Speed",'B Test Recorded Data'!D78/'B Test Recorded Data'!D77,"")</f>
        <v/>
      </c>
      <c r="E163" s="923" t="e">
        <f>MROUND(D163,0.005)</f>
        <v>#VALUE!</v>
      </c>
      <c r="F163" s="924"/>
      <c r="G163" s="679" t="str">
        <f>IF('General Info and Test Results'!C26="Two-Speed",'B Test Recorded Data'!D148/'B Test Recorded Data'!D147,"")</f>
        <v/>
      </c>
      <c r="H163" s="923" t="e">
        <f>MROUND(G163,0.005)</f>
        <v>#VALUE!</v>
      </c>
      <c r="I163" s="924"/>
      <c r="K163" s="19"/>
    </row>
    <row r="164" spans="1:11" ht="17.25" thickBot="1" x14ac:dyDescent="0.35">
      <c r="A164" s="8"/>
      <c r="B164" s="8"/>
      <c r="C164" s="333" t="s">
        <v>570</v>
      </c>
      <c r="D164" s="680" t="str">
        <f>IF('General Info and Test Results'!C26 = "Variable-Speed", 'B Test Recorded Data'!D78/'B Test Recorded Data'!D77,"")</f>
        <v/>
      </c>
      <c r="E164" s="923" t="e">
        <f>MROUND(D164,0.005)</f>
        <v>#VALUE!</v>
      </c>
      <c r="F164" s="924"/>
      <c r="G164" s="680" t="str">
        <f>IF('General Info and Test Results'!C26 = "Variable-Speed", 'B Test Recorded Data'!D148/'B Test Recorded Data'!D147,"")</f>
        <v/>
      </c>
      <c r="H164" s="923" t="e">
        <f>MROUND(G164,0.005)</f>
        <v>#VALUE!</v>
      </c>
      <c r="I164" s="924"/>
      <c r="K164" s="19"/>
    </row>
    <row r="165" spans="1:11" x14ac:dyDescent="0.3">
      <c r="K165" s="19"/>
    </row>
    <row r="166" spans="1:11" s="18" customFormat="1" x14ac:dyDescent="0.3">
      <c r="A166" s="19"/>
      <c r="B166" s="19"/>
      <c r="C166" s="19"/>
      <c r="D166" s="19"/>
      <c r="E166" s="19"/>
      <c r="F166" s="19"/>
      <c r="G166" s="19"/>
      <c r="H166" s="19"/>
      <c r="I166" s="19"/>
      <c r="J166" s="19"/>
      <c r="K166" s="19"/>
    </row>
  </sheetData>
  <sheetProtection password="D93F" sheet="1" objects="1" scenarios="1" selectLockedCells="1"/>
  <customSheetViews>
    <customSheetView guid="{2A4C6EB9-430A-44F2-86C8-15B50360FC3B}" scale="70" showGridLines="0">
      <selection activeCell="F2" sqref="F2"/>
      <pageMargins left="0.7" right="0.7" top="0.75" bottom="0.75" header="0.3" footer="0.3"/>
      <pageSetup orientation="portrait" horizontalDpi="200" verticalDpi="200" r:id="rId1"/>
    </customSheetView>
    <customSheetView guid="{B3BD5AF3-9A64-4EA7-AE1F-3CC326849B8F}" scale="70" showGridLines="0">
      <selection activeCell="K3" sqref="K3:K5"/>
      <pageMargins left="0.7" right="0.7" top="0.75" bottom="0.75" header="0.3" footer="0.3"/>
      <pageSetup orientation="portrait" horizontalDpi="200" verticalDpi="200" r:id="rId2"/>
    </customSheetView>
  </customSheetViews>
  <mergeCells count="61">
    <mergeCell ref="E163:F163"/>
    <mergeCell ref="E164:F164"/>
    <mergeCell ref="H160:I160"/>
    <mergeCell ref="H161:I161"/>
    <mergeCell ref="H162:I162"/>
    <mergeCell ref="H163:I163"/>
    <mergeCell ref="H164:I164"/>
    <mergeCell ref="E160:F160"/>
    <mergeCell ref="E161:F161"/>
    <mergeCell ref="E162:F162"/>
    <mergeCell ref="C158:I158"/>
    <mergeCell ref="C159:I159"/>
    <mergeCell ref="C100:F100"/>
    <mergeCell ref="C109:F109"/>
    <mergeCell ref="C124:F124"/>
    <mergeCell ref="C133:F133"/>
    <mergeCell ref="C145:F145"/>
    <mergeCell ref="D153:F153"/>
    <mergeCell ref="D154:F154"/>
    <mergeCell ref="D155:F155"/>
    <mergeCell ref="D148:F148"/>
    <mergeCell ref="B2:C2"/>
    <mergeCell ref="C11:D11"/>
    <mergeCell ref="C20:F20"/>
    <mergeCell ref="C30:F30"/>
    <mergeCell ref="C39:F39"/>
    <mergeCell ref="F14:G14"/>
    <mergeCell ref="E2:F2"/>
    <mergeCell ref="B18:G18"/>
    <mergeCell ref="B88:G88"/>
    <mergeCell ref="D83:F83"/>
    <mergeCell ref="D84:F84"/>
    <mergeCell ref="D85:F85"/>
    <mergeCell ref="D147:F147"/>
    <mergeCell ref="C90:F90"/>
    <mergeCell ref="C54:F54"/>
    <mergeCell ref="C63:F63"/>
    <mergeCell ref="C75:F75"/>
    <mergeCell ref="D64:F64"/>
    <mergeCell ref="D55:F55"/>
    <mergeCell ref="D77:F77"/>
    <mergeCell ref="D78:F78"/>
    <mergeCell ref="D79:F79"/>
    <mergeCell ref="D80:F80"/>
    <mergeCell ref="D82:F82"/>
    <mergeCell ref="D40:F40"/>
    <mergeCell ref="D31:F31"/>
    <mergeCell ref="D21:F21"/>
    <mergeCell ref="H4:I4"/>
    <mergeCell ref="D152:F152"/>
    <mergeCell ref="D151:F151"/>
    <mergeCell ref="D134:F134"/>
    <mergeCell ref="D125:F125"/>
    <mergeCell ref="D110:F110"/>
    <mergeCell ref="D101:F101"/>
    <mergeCell ref="D149:F149"/>
    <mergeCell ref="D150:F150"/>
    <mergeCell ref="D76:F76"/>
    <mergeCell ref="D146:F146"/>
    <mergeCell ref="D81:F81"/>
    <mergeCell ref="D91:F91"/>
  </mergeCells>
  <phoneticPr fontId="27" type="noConversion"/>
  <conditionalFormatting sqref="D81:F81 E93:F96 D119:D122 D129:F131 E112:F122 D153:D155 D149:D150 D151:F151">
    <cfRule type="expression" dxfId="70" priority="24" stopIfTrue="1">
      <formula>OR($I$5 = "Heating Only Central Heat Pump",AND($I$6 = "Single-Speed",$I$7 = "Fixed Speed"))</formula>
    </cfRule>
  </conditionalFormatting>
  <conditionalFormatting sqref="D33:F37 D42:F52 D13:D14 D66:F73 D79:D80 D57:F61 D83:D85 D27:D28 D23:F26 D93:D98 D103:F107 D112:D118 D127:F128 D136:F143 D147:D148 D152">
    <cfRule type="expression" dxfId="69" priority="32" stopIfTrue="1">
      <formula>$I$5="Heating Only Central Heat Pump"</formula>
    </cfRule>
  </conditionalFormatting>
  <conditionalFormatting sqref="D15:D16">
    <cfRule type="expression" dxfId="68" priority="33" stopIfTrue="1">
      <formula>OR($D$14="No",$I$5="Heating Only Central Heat Pump")</formula>
    </cfRule>
  </conditionalFormatting>
  <conditionalFormatting sqref="D77:D78">
    <cfRule type="expression" dxfId="67" priority="7" stopIfTrue="1">
      <formula>$I$5="Heating Only Central Heat Pump"</formula>
    </cfRule>
  </conditionalFormatting>
  <conditionalFormatting sqref="D82">
    <cfRule type="expression" dxfId="66" priority="6" stopIfTrue="1">
      <formula>$I$5="Heating Only Central Heat Pump"</formula>
    </cfRule>
  </conditionalFormatting>
  <conditionalFormatting sqref="G161:I161">
    <cfRule type="expression" dxfId="65" priority="1" stopIfTrue="1">
      <formula>1</formula>
    </cfRule>
  </conditionalFormatting>
  <dataValidations count="1">
    <dataValidation type="list" showInputMessage="1" showErrorMessage="1" sqref="D13">
      <formula1>Yes_No</formula1>
    </dataValidation>
  </dataValidations>
  <hyperlinks>
    <hyperlink ref="E2" location="Instructions!A1" display="Back to Instructions"/>
    <hyperlink ref="E2:F2" location="Instructions!A1" display="Back to Instructions tab"/>
  </hyperlinks>
  <pageMargins left="0.7" right="0.7" top="0.75" bottom="0.75" header="0.3" footer="0.3"/>
  <pageSetup orientation="portrait" horizontalDpi="200" verticalDpi="200"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rgb="FF0070C0"/>
  </sheetPr>
  <dimension ref="A1:K87"/>
  <sheetViews>
    <sheetView showGridLines="0" zoomScale="80" zoomScaleNormal="80" workbookViewId="0">
      <selection activeCell="E2" sqref="E2:F2"/>
    </sheetView>
  </sheetViews>
  <sheetFormatPr defaultColWidth="9.140625" defaultRowHeight="16.5" x14ac:dyDescent="0.3"/>
  <cols>
    <col min="1" max="1" width="5.7109375" style="6" customWidth="1"/>
    <col min="2" max="2" width="30.7109375" style="6" customWidth="1"/>
    <col min="3" max="3" width="69" style="6" customWidth="1"/>
    <col min="4" max="6" width="12.85546875" style="6" customWidth="1"/>
    <col min="7" max="7" width="10.28515625" style="6" customWidth="1"/>
    <col min="8" max="8" width="21.85546875" style="6" customWidth="1"/>
    <col min="9" max="9" width="21.5703125" style="6" customWidth="1"/>
    <col min="10" max="10" width="6.140625" style="114" customWidth="1"/>
    <col min="11" max="11" width="5.7109375" style="6" customWidth="1"/>
    <col min="12" max="16384" width="9.140625" style="6"/>
  </cols>
  <sheetData>
    <row r="1" spans="1:11" ht="17.25" thickBot="1" x14ac:dyDescent="0.35">
      <c r="J1" s="127"/>
      <c r="K1" s="19"/>
    </row>
    <row r="2" spans="1:11" s="1" customFormat="1" ht="18.75" thickBot="1" x14ac:dyDescent="0.4">
      <c r="B2" s="764" t="s">
        <v>562</v>
      </c>
      <c r="C2" s="765"/>
      <c r="E2" s="827" t="s">
        <v>540</v>
      </c>
      <c r="F2" s="827"/>
      <c r="G2" s="639"/>
      <c r="J2" s="128"/>
      <c r="K2" s="129"/>
    </row>
    <row r="3" spans="1:11" s="1" customFormat="1" ht="17.25" customHeight="1" thickBot="1" x14ac:dyDescent="0.35">
      <c r="B3" s="297" t="s">
        <v>563</v>
      </c>
      <c r="C3" s="298" t="str">
        <f>'Version Control'!C3</f>
        <v>Residential Central Air Conditioners and Heat Pumps</v>
      </c>
      <c r="J3" s="128"/>
      <c r="K3" s="129"/>
    </row>
    <row r="4" spans="1:11" s="1" customFormat="1" ht="18" thickBot="1" x14ac:dyDescent="0.35">
      <c r="B4" s="299" t="s">
        <v>140</v>
      </c>
      <c r="C4" s="300" t="str">
        <f>'Version Control'!C4</f>
        <v>v2.1</v>
      </c>
      <c r="H4" s="761" t="s">
        <v>349</v>
      </c>
      <c r="I4" s="763"/>
      <c r="J4" s="128"/>
      <c r="K4" s="129"/>
    </row>
    <row r="5" spans="1:11" s="1" customFormat="1" x14ac:dyDescent="0.3">
      <c r="B5" s="299" t="s">
        <v>462</v>
      </c>
      <c r="C5" s="301">
        <f>'Version Control'!C5</f>
        <v>42653</v>
      </c>
      <c r="H5" s="55" t="s">
        <v>158</v>
      </c>
      <c r="I5" s="598">
        <f>'General Info and Test Results'!C25</f>
        <v>0</v>
      </c>
      <c r="J5" s="128"/>
      <c r="K5" s="129"/>
    </row>
    <row r="6" spans="1:11" s="1" customFormat="1" x14ac:dyDescent="0.3">
      <c r="B6" s="302" t="s">
        <v>139</v>
      </c>
      <c r="C6" s="303" t="str">
        <f ca="1">MID(CELL("filename",$A$1), FIND("]", CELL("filename", $A$1))+ 1, 255)</f>
        <v>F Test Recorded Data</v>
      </c>
      <c r="H6" s="56" t="s">
        <v>153</v>
      </c>
      <c r="I6" s="599">
        <f>'General Info and Test Results'!C26</f>
        <v>0</v>
      </c>
      <c r="J6" s="128"/>
      <c r="K6" s="129"/>
    </row>
    <row r="7" spans="1:11" s="1" customFormat="1" ht="33.75" thickBot="1" x14ac:dyDescent="0.35">
      <c r="B7" s="304" t="s">
        <v>138</v>
      </c>
      <c r="C7" s="305" t="str">
        <f ca="1">MID(CELL("FILENAME",F16),FIND("[",CELL("FILENAME",F16))+1,FIND("]",CELL("FILENAME",F16))-FIND("[",CELL("FILENAME",F16))-1)</f>
        <v>Residential Central Air Conditioners and Heat Pumps - v2.1.xlsx</v>
      </c>
      <c r="H7" s="57" t="s">
        <v>199</v>
      </c>
      <c r="I7" s="600">
        <f>'General Info and Test Results'!C27</f>
        <v>0</v>
      </c>
      <c r="J7" s="128"/>
      <c r="K7" s="129"/>
    </row>
    <row r="8" spans="1:11" s="1" customFormat="1" ht="17.25" thickBot="1" x14ac:dyDescent="0.35">
      <c r="B8" s="306" t="s">
        <v>141</v>
      </c>
      <c r="C8" s="307" t="str">
        <f>'Version Control'!C8</f>
        <v>[MM/DD/YYYY]</v>
      </c>
      <c r="G8" s="14"/>
      <c r="H8" s="9"/>
      <c r="J8" s="128"/>
      <c r="K8" s="129"/>
    </row>
    <row r="9" spans="1:11" s="1" customFormat="1" x14ac:dyDescent="0.3">
      <c r="B9" s="4"/>
      <c r="C9" s="262"/>
      <c r="G9" s="14"/>
      <c r="H9" s="9"/>
      <c r="J9" s="128"/>
      <c r="K9" s="129"/>
    </row>
    <row r="10" spans="1:11" ht="17.25" thickBot="1" x14ac:dyDescent="0.35">
      <c r="B10" s="340"/>
      <c r="C10" s="340"/>
      <c r="D10" s="340"/>
      <c r="E10" s="340"/>
      <c r="F10" s="340"/>
      <c r="G10" s="340"/>
      <c r="K10" s="19"/>
    </row>
    <row r="11" spans="1:11" ht="18.75" thickBot="1" x14ac:dyDescent="0.4">
      <c r="B11" s="340"/>
      <c r="C11" s="902" t="s">
        <v>412</v>
      </c>
      <c r="D11" s="904"/>
      <c r="E11" s="341"/>
      <c r="F11" s="340"/>
      <c r="G11" s="340"/>
      <c r="K11" s="19"/>
    </row>
    <row r="12" spans="1:11" ht="17.25" x14ac:dyDescent="0.35">
      <c r="B12" s="340"/>
      <c r="C12" s="357" t="s">
        <v>52</v>
      </c>
      <c r="D12" s="336"/>
      <c r="E12" s="341"/>
      <c r="F12" s="340"/>
      <c r="G12" s="340"/>
      <c r="K12" s="19"/>
    </row>
    <row r="13" spans="1:11" ht="17.25" x14ac:dyDescent="0.35">
      <c r="A13" s="8"/>
      <c r="B13" s="358"/>
      <c r="C13" s="332" t="s">
        <v>53</v>
      </c>
      <c r="D13" s="312"/>
      <c r="E13" s="341"/>
      <c r="F13" s="340"/>
      <c r="G13" s="340"/>
      <c r="K13" s="19"/>
    </row>
    <row r="14" spans="1:11" x14ac:dyDescent="0.3">
      <c r="A14" s="8"/>
      <c r="B14" s="316"/>
      <c r="C14" s="332" t="s">
        <v>127</v>
      </c>
      <c r="D14" s="597">
        <f>'General Info and Test Results'!C34</f>
        <v>0</v>
      </c>
      <c r="E14" s="341"/>
      <c r="F14" s="913"/>
      <c r="G14" s="913"/>
      <c r="K14" s="19"/>
    </row>
    <row r="15" spans="1:11" x14ac:dyDescent="0.3">
      <c r="A15" s="8"/>
      <c r="B15" s="316"/>
      <c r="C15" s="332" t="s">
        <v>128</v>
      </c>
      <c r="D15" s="313"/>
      <c r="E15" s="341"/>
      <c r="F15" s="340"/>
      <c r="G15" s="340"/>
      <c r="K15" s="19"/>
    </row>
    <row r="16" spans="1:11" ht="17.25" thickBot="1" x14ac:dyDescent="0.35">
      <c r="A16" s="8"/>
      <c r="B16" s="316"/>
      <c r="C16" s="333" t="s">
        <v>129</v>
      </c>
      <c r="D16" s="314"/>
      <c r="E16" s="341"/>
      <c r="F16" s="340"/>
      <c r="G16" s="340"/>
      <c r="H16" s="152"/>
      <c r="K16" s="19"/>
    </row>
    <row r="17" spans="1:11" ht="17.25" thickBot="1" x14ac:dyDescent="0.35">
      <c r="A17" s="8"/>
      <c r="B17" s="316"/>
      <c r="C17" s="316"/>
      <c r="D17" s="343"/>
      <c r="E17" s="359"/>
      <c r="F17" s="340"/>
      <c r="G17" s="340"/>
      <c r="H17" s="152"/>
      <c r="K17" s="19"/>
    </row>
    <row r="18" spans="1:11" ht="18.75" thickBot="1" x14ac:dyDescent="0.4">
      <c r="B18" s="902" t="s">
        <v>411</v>
      </c>
      <c r="C18" s="903"/>
      <c r="D18" s="903"/>
      <c r="E18" s="903"/>
      <c r="F18" s="903"/>
      <c r="G18" s="904"/>
      <c r="H18" s="9"/>
      <c r="K18" s="19"/>
    </row>
    <row r="19" spans="1:11" ht="17.25" thickBot="1" x14ac:dyDescent="0.35">
      <c r="B19" s="325"/>
      <c r="C19" s="344"/>
      <c r="D19" s="344"/>
      <c r="E19" s="344"/>
      <c r="F19" s="344"/>
      <c r="G19" s="345"/>
      <c r="H19" s="9"/>
      <c r="K19" s="19"/>
    </row>
    <row r="20" spans="1:11" ht="18" thickBot="1" x14ac:dyDescent="0.4">
      <c r="B20" s="321"/>
      <c r="C20" s="874" t="s">
        <v>55</v>
      </c>
      <c r="D20" s="875"/>
      <c r="E20" s="875"/>
      <c r="F20" s="876"/>
      <c r="G20" s="346"/>
      <c r="H20" s="9"/>
      <c r="K20" s="19"/>
    </row>
    <row r="21" spans="1:11" ht="17.25" x14ac:dyDescent="0.35">
      <c r="B21" s="321"/>
      <c r="C21" s="325"/>
      <c r="D21" s="927" t="s">
        <v>48</v>
      </c>
      <c r="E21" s="927"/>
      <c r="F21" s="928"/>
      <c r="G21" s="346"/>
      <c r="H21" s="9"/>
      <c r="K21" s="19"/>
    </row>
    <row r="22" spans="1:11" ht="17.25" x14ac:dyDescent="0.35">
      <c r="B22" s="326"/>
      <c r="C22" s="321"/>
      <c r="D22" s="327" t="s">
        <v>56</v>
      </c>
      <c r="E22" s="327" t="s">
        <v>57</v>
      </c>
      <c r="F22" s="328" t="s">
        <v>58</v>
      </c>
      <c r="G22" s="360"/>
      <c r="H22" s="9"/>
      <c r="K22" s="19"/>
    </row>
    <row r="23" spans="1:11" x14ac:dyDescent="0.3">
      <c r="B23" s="321"/>
      <c r="C23" s="322" t="s">
        <v>432</v>
      </c>
      <c r="D23" s="361"/>
      <c r="E23" s="362"/>
      <c r="F23" s="354"/>
      <c r="G23" s="363"/>
      <c r="H23" s="9"/>
      <c r="K23" s="19"/>
    </row>
    <row r="24" spans="1:11" x14ac:dyDescent="0.3">
      <c r="B24" s="321"/>
      <c r="C24" s="322" t="s">
        <v>433</v>
      </c>
      <c r="D24" s="353"/>
      <c r="E24" s="353"/>
      <c r="F24" s="354"/>
      <c r="G24" s="363"/>
      <c r="H24" s="9"/>
      <c r="K24" s="19"/>
    </row>
    <row r="25" spans="1:11" x14ac:dyDescent="0.3">
      <c r="B25" s="321"/>
      <c r="C25" s="332" t="s">
        <v>59</v>
      </c>
      <c r="D25" s="353"/>
      <c r="E25" s="353"/>
      <c r="F25" s="354"/>
      <c r="G25" s="363"/>
      <c r="H25" s="9"/>
      <c r="K25" s="19"/>
    </row>
    <row r="26" spans="1:11" x14ac:dyDescent="0.3">
      <c r="B26" s="321"/>
      <c r="C26" s="332" t="s">
        <v>60</v>
      </c>
      <c r="D26" s="353"/>
      <c r="E26" s="353"/>
      <c r="F26" s="354"/>
      <c r="G26" s="363"/>
      <c r="H26" s="9"/>
      <c r="K26" s="19"/>
    </row>
    <row r="27" spans="1:11" x14ac:dyDescent="0.3">
      <c r="B27" s="321"/>
      <c r="C27" s="322" t="s">
        <v>435</v>
      </c>
      <c r="D27" s="353"/>
      <c r="E27" s="316"/>
      <c r="F27" s="317"/>
      <c r="G27" s="364"/>
      <c r="H27" s="9"/>
      <c r="K27" s="19"/>
    </row>
    <row r="28" spans="1:11" ht="17.25" thickBot="1" x14ac:dyDescent="0.35">
      <c r="B28" s="321"/>
      <c r="C28" s="324" t="s">
        <v>443</v>
      </c>
      <c r="D28" s="350"/>
      <c r="E28" s="319"/>
      <c r="F28" s="320"/>
      <c r="G28" s="364"/>
      <c r="H28" s="9"/>
      <c r="K28" s="19"/>
    </row>
    <row r="29" spans="1:11" ht="17.25" thickBot="1" x14ac:dyDescent="0.35">
      <c r="B29" s="321"/>
      <c r="C29" s="337"/>
      <c r="D29" s="316"/>
      <c r="E29" s="316"/>
      <c r="F29" s="316"/>
      <c r="G29" s="365"/>
      <c r="H29" s="9"/>
      <c r="K29" s="19"/>
    </row>
    <row r="30" spans="1:11" ht="18" thickBot="1" x14ac:dyDescent="0.4">
      <c r="B30" s="321"/>
      <c r="C30" s="874" t="s">
        <v>61</v>
      </c>
      <c r="D30" s="875"/>
      <c r="E30" s="875"/>
      <c r="F30" s="876"/>
      <c r="G30" s="364"/>
      <c r="H30" s="9"/>
      <c r="K30" s="19"/>
    </row>
    <row r="31" spans="1:11" ht="17.25" x14ac:dyDescent="0.35">
      <c r="B31" s="321"/>
      <c r="C31" s="352"/>
      <c r="D31" s="927" t="s">
        <v>48</v>
      </c>
      <c r="E31" s="927"/>
      <c r="F31" s="928"/>
      <c r="G31" s="364"/>
      <c r="H31" s="9"/>
      <c r="K31" s="19"/>
    </row>
    <row r="32" spans="1:11" ht="17.25" x14ac:dyDescent="0.35">
      <c r="B32" s="326"/>
      <c r="C32" s="338"/>
      <c r="D32" s="327" t="s">
        <v>56</v>
      </c>
      <c r="E32" s="327" t="s">
        <v>57</v>
      </c>
      <c r="F32" s="328" t="s">
        <v>58</v>
      </c>
      <c r="G32" s="366"/>
      <c r="H32" s="9"/>
      <c r="K32" s="19"/>
    </row>
    <row r="33" spans="2:11" x14ac:dyDescent="0.3">
      <c r="B33" s="321"/>
      <c r="C33" s="332" t="s">
        <v>62</v>
      </c>
      <c r="D33" s="353"/>
      <c r="E33" s="353"/>
      <c r="F33" s="354"/>
      <c r="G33" s="363"/>
      <c r="H33" s="9"/>
      <c r="K33" s="19"/>
    </row>
    <row r="34" spans="2:11" x14ac:dyDescent="0.3">
      <c r="B34" s="321"/>
      <c r="C34" s="332" t="s">
        <v>607</v>
      </c>
      <c r="D34" s="353"/>
      <c r="E34" s="353"/>
      <c r="F34" s="354"/>
      <c r="G34" s="363"/>
      <c r="H34" s="9"/>
      <c r="K34" s="19"/>
    </row>
    <row r="35" spans="2:11" x14ac:dyDescent="0.3">
      <c r="B35" s="321"/>
      <c r="C35" s="332" t="s">
        <v>608</v>
      </c>
      <c r="D35" s="353"/>
      <c r="E35" s="353"/>
      <c r="F35" s="354"/>
      <c r="G35" s="363"/>
      <c r="H35" s="9"/>
      <c r="K35" s="19"/>
    </row>
    <row r="36" spans="2:11" x14ac:dyDescent="0.3">
      <c r="B36" s="321"/>
      <c r="C36" s="332" t="s">
        <v>413</v>
      </c>
      <c r="D36" s="353"/>
      <c r="E36" s="353"/>
      <c r="F36" s="354"/>
      <c r="G36" s="363"/>
      <c r="H36" s="9"/>
      <c r="K36" s="19"/>
    </row>
    <row r="37" spans="2:11" ht="17.25" thickBot="1" x14ac:dyDescent="0.35">
      <c r="B37" s="321"/>
      <c r="C37" s="324" t="s">
        <v>427</v>
      </c>
      <c r="D37" s="350"/>
      <c r="E37" s="350"/>
      <c r="F37" s="355"/>
      <c r="G37" s="363"/>
      <c r="H37" s="9"/>
      <c r="K37" s="19"/>
    </row>
    <row r="38" spans="2:11" ht="17.25" thickBot="1" x14ac:dyDescent="0.35">
      <c r="B38" s="321"/>
      <c r="C38" s="316"/>
      <c r="D38" s="316"/>
      <c r="E38" s="316"/>
      <c r="F38" s="316"/>
      <c r="G38" s="365"/>
      <c r="H38" s="9"/>
      <c r="K38" s="19"/>
    </row>
    <row r="39" spans="2:11" ht="18" thickBot="1" x14ac:dyDescent="0.4">
      <c r="B39" s="321"/>
      <c r="C39" s="874" t="s">
        <v>63</v>
      </c>
      <c r="D39" s="875"/>
      <c r="E39" s="875"/>
      <c r="F39" s="876"/>
      <c r="G39" s="364"/>
      <c r="H39" s="9"/>
      <c r="K39" s="19"/>
    </row>
    <row r="40" spans="2:11" ht="17.25" x14ac:dyDescent="0.35">
      <c r="B40" s="321"/>
      <c r="C40" s="325"/>
      <c r="D40" s="927" t="s">
        <v>48</v>
      </c>
      <c r="E40" s="927"/>
      <c r="F40" s="928"/>
      <c r="G40" s="364"/>
      <c r="H40" s="9"/>
      <c r="K40" s="19"/>
    </row>
    <row r="41" spans="2:11" ht="17.25" x14ac:dyDescent="0.35">
      <c r="B41" s="326"/>
      <c r="C41" s="321"/>
      <c r="D41" s="327" t="s">
        <v>56</v>
      </c>
      <c r="E41" s="327" t="s">
        <v>57</v>
      </c>
      <c r="F41" s="328" t="s">
        <v>58</v>
      </c>
      <c r="G41" s="366"/>
      <c r="H41" s="9"/>
      <c r="K41" s="19"/>
    </row>
    <row r="42" spans="2:11" x14ac:dyDescent="0.3">
      <c r="B42" s="321"/>
      <c r="C42" s="332" t="s">
        <v>64</v>
      </c>
      <c r="D42" s="353"/>
      <c r="E42" s="353"/>
      <c r="F42" s="354"/>
      <c r="G42" s="363"/>
      <c r="H42" s="9"/>
      <c r="K42" s="19"/>
    </row>
    <row r="43" spans="2:11" x14ac:dyDescent="0.3">
      <c r="B43" s="321"/>
      <c r="C43" s="332" t="s">
        <v>65</v>
      </c>
      <c r="D43" s="353"/>
      <c r="E43" s="353"/>
      <c r="F43" s="354"/>
      <c r="G43" s="363"/>
      <c r="H43" s="9"/>
      <c r="K43" s="19"/>
    </row>
    <row r="44" spans="2:11" x14ac:dyDescent="0.3">
      <c r="B44" s="321"/>
      <c r="C44" s="332" t="s">
        <v>66</v>
      </c>
      <c r="D44" s="353"/>
      <c r="E44" s="353"/>
      <c r="F44" s="354"/>
      <c r="G44" s="363"/>
      <c r="H44" s="9"/>
      <c r="K44" s="19"/>
    </row>
    <row r="45" spans="2:11" x14ac:dyDescent="0.3">
      <c r="B45" s="321"/>
      <c r="C45" s="332" t="s">
        <v>67</v>
      </c>
      <c r="D45" s="353"/>
      <c r="E45" s="353"/>
      <c r="F45" s="354"/>
      <c r="G45" s="363"/>
      <c r="H45" s="9"/>
      <c r="K45" s="19"/>
    </row>
    <row r="46" spans="2:11" x14ac:dyDescent="0.3">
      <c r="B46" s="321"/>
      <c r="C46" s="332" t="s">
        <v>68</v>
      </c>
      <c r="D46" s="353"/>
      <c r="E46" s="353"/>
      <c r="F46" s="354"/>
      <c r="G46" s="363"/>
      <c r="H46" s="9"/>
      <c r="K46" s="19"/>
    </row>
    <row r="47" spans="2:11" x14ac:dyDescent="0.3">
      <c r="B47" s="321"/>
      <c r="C47" s="332" t="s">
        <v>69</v>
      </c>
      <c r="D47" s="353"/>
      <c r="E47" s="353"/>
      <c r="F47" s="354"/>
      <c r="G47" s="363"/>
      <c r="H47" s="9"/>
      <c r="K47" s="19"/>
    </row>
    <row r="48" spans="2:11" x14ac:dyDescent="0.3">
      <c r="B48" s="321"/>
      <c r="C48" s="332" t="s">
        <v>70</v>
      </c>
      <c r="D48" s="353"/>
      <c r="E48" s="353"/>
      <c r="F48" s="354"/>
      <c r="G48" s="363"/>
      <c r="H48" s="9"/>
      <c r="K48" s="19"/>
    </row>
    <row r="49" spans="2:11" x14ac:dyDescent="0.3">
      <c r="B49" s="321"/>
      <c r="C49" s="332" t="s">
        <v>71</v>
      </c>
      <c r="D49" s="353"/>
      <c r="E49" s="353"/>
      <c r="F49" s="354"/>
      <c r="G49" s="363"/>
      <c r="H49" s="9"/>
      <c r="K49" s="19"/>
    </row>
    <row r="50" spans="2:11" x14ac:dyDescent="0.3">
      <c r="B50" s="321"/>
      <c r="C50" s="332" t="s">
        <v>72</v>
      </c>
      <c r="D50" s="353"/>
      <c r="E50" s="353"/>
      <c r="F50" s="354"/>
      <c r="G50" s="363"/>
      <c r="H50" s="9"/>
      <c r="K50" s="19"/>
    </row>
    <row r="51" spans="2:11" x14ac:dyDescent="0.3">
      <c r="B51" s="321"/>
      <c r="C51" s="332" t="s">
        <v>73</v>
      </c>
      <c r="D51" s="353"/>
      <c r="E51" s="353"/>
      <c r="F51" s="354"/>
      <c r="G51" s="363"/>
      <c r="H51" s="9"/>
      <c r="K51" s="19"/>
    </row>
    <row r="52" spans="2:11" ht="17.25" thickBot="1" x14ac:dyDescent="0.35">
      <c r="B52" s="321"/>
      <c r="C52" s="333" t="s">
        <v>74</v>
      </c>
      <c r="D52" s="350"/>
      <c r="E52" s="350"/>
      <c r="F52" s="355"/>
      <c r="G52" s="363"/>
      <c r="H52" s="9"/>
      <c r="K52" s="19"/>
    </row>
    <row r="53" spans="2:11" ht="17.25" thickBot="1" x14ac:dyDescent="0.35">
      <c r="B53" s="321"/>
      <c r="C53" s="316"/>
      <c r="D53" s="316"/>
      <c r="E53" s="316"/>
      <c r="F53" s="316"/>
      <c r="G53" s="365"/>
      <c r="H53" s="9"/>
      <c r="K53" s="19"/>
    </row>
    <row r="54" spans="2:11" ht="18" thickBot="1" x14ac:dyDescent="0.4">
      <c r="B54" s="321"/>
      <c r="C54" s="874" t="s">
        <v>75</v>
      </c>
      <c r="D54" s="875"/>
      <c r="E54" s="875"/>
      <c r="F54" s="876"/>
      <c r="G54" s="364"/>
      <c r="H54" s="9"/>
      <c r="K54" s="19"/>
    </row>
    <row r="55" spans="2:11" ht="17.25" x14ac:dyDescent="0.35">
      <c r="B55" s="321"/>
      <c r="C55" s="325"/>
      <c r="D55" s="927" t="s">
        <v>48</v>
      </c>
      <c r="E55" s="927"/>
      <c r="F55" s="928"/>
      <c r="G55" s="364"/>
      <c r="H55" s="9"/>
      <c r="K55" s="19"/>
    </row>
    <row r="56" spans="2:11" ht="17.25" x14ac:dyDescent="0.35">
      <c r="B56" s="326"/>
      <c r="C56" s="321"/>
      <c r="D56" s="327" t="s">
        <v>56</v>
      </c>
      <c r="E56" s="327" t="s">
        <v>57</v>
      </c>
      <c r="F56" s="328" t="s">
        <v>58</v>
      </c>
      <c r="G56" s="366"/>
      <c r="H56" s="9"/>
      <c r="K56" s="19"/>
    </row>
    <row r="57" spans="2:11" x14ac:dyDescent="0.3">
      <c r="B57" s="321"/>
      <c r="C57" s="332" t="s">
        <v>304</v>
      </c>
      <c r="D57" s="353"/>
      <c r="E57" s="353"/>
      <c r="F57" s="354"/>
      <c r="G57" s="363"/>
      <c r="H57" s="9"/>
      <c r="K57" s="19"/>
    </row>
    <row r="58" spans="2:11" x14ac:dyDescent="0.3">
      <c r="B58" s="321"/>
      <c r="C58" s="332" t="s">
        <v>305</v>
      </c>
      <c r="D58" s="353"/>
      <c r="E58" s="353"/>
      <c r="F58" s="354"/>
      <c r="G58" s="363"/>
      <c r="H58" s="9"/>
      <c r="K58" s="19"/>
    </row>
    <row r="59" spans="2:11" x14ac:dyDescent="0.3">
      <c r="B59" s="321"/>
      <c r="C59" s="332" t="s">
        <v>78</v>
      </c>
      <c r="D59" s="353"/>
      <c r="E59" s="353"/>
      <c r="F59" s="354"/>
      <c r="G59" s="363"/>
      <c r="H59" s="9"/>
      <c r="K59" s="19"/>
    </row>
    <row r="60" spans="2:11" ht="17.25" thickBot="1" x14ac:dyDescent="0.35">
      <c r="B60" s="321"/>
      <c r="C60" s="333" t="s">
        <v>79</v>
      </c>
      <c r="D60" s="350"/>
      <c r="E60" s="350"/>
      <c r="F60" s="355"/>
      <c r="G60" s="363"/>
      <c r="H60" s="9"/>
      <c r="K60" s="19"/>
    </row>
    <row r="61" spans="2:11" ht="17.25" thickBot="1" x14ac:dyDescent="0.35">
      <c r="B61" s="321"/>
      <c r="C61" s="367"/>
      <c r="D61" s="316"/>
      <c r="E61" s="316"/>
      <c r="F61" s="316"/>
      <c r="G61" s="365"/>
      <c r="H61" s="153"/>
      <c r="I61" s="146"/>
      <c r="K61" s="19"/>
    </row>
    <row r="62" spans="2:11" ht="18" thickBot="1" x14ac:dyDescent="0.4">
      <c r="B62" s="321"/>
      <c r="C62" s="874" t="s">
        <v>80</v>
      </c>
      <c r="D62" s="875"/>
      <c r="E62" s="875"/>
      <c r="F62" s="876"/>
      <c r="G62" s="364"/>
      <c r="H62" s="9"/>
      <c r="K62" s="19"/>
    </row>
    <row r="63" spans="2:11" ht="17.25" x14ac:dyDescent="0.35">
      <c r="B63" s="321"/>
      <c r="C63" s="325"/>
      <c r="D63" s="927" t="s">
        <v>48</v>
      </c>
      <c r="E63" s="927"/>
      <c r="F63" s="928"/>
      <c r="G63" s="368"/>
      <c r="H63" s="9"/>
      <c r="K63" s="19"/>
    </row>
    <row r="64" spans="2:11" ht="17.25" x14ac:dyDescent="0.35">
      <c r="B64" s="331"/>
      <c r="C64" s="321"/>
      <c r="D64" s="327" t="s">
        <v>56</v>
      </c>
      <c r="E64" s="327" t="s">
        <v>57</v>
      </c>
      <c r="F64" s="328" t="s">
        <v>58</v>
      </c>
      <c r="G64" s="368"/>
      <c r="H64" s="9"/>
      <c r="K64" s="19"/>
    </row>
    <row r="65" spans="2:11" x14ac:dyDescent="0.3">
      <c r="B65" s="321"/>
      <c r="C65" s="332" t="s">
        <v>81</v>
      </c>
      <c r="D65" s="353"/>
      <c r="E65" s="353"/>
      <c r="F65" s="354"/>
      <c r="G65" s="363"/>
      <c r="H65" s="9"/>
      <c r="K65" s="19"/>
    </row>
    <row r="66" spans="2:11" x14ac:dyDescent="0.3">
      <c r="B66" s="321"/>
      <c r="C66" s="332" t="s">
        <v>82</v>
      </c>
      <c r="D66" s="353"/>
      <c r="E66" s="353"/>
      <c r="F66" s="354"/>
      <c r="G66" s="363"/>
      <c r="H66" s="9"/>
      <c r="K66" s="19"/>
    </row>
    <row r="67" spans="2:11" x14ac:dyDescent="0.3">
      <c r="B67" s="321"/>
      <c r="C67" s="332" t="s">
        <v>83</v>
      </c>
      <c r="D67" s="353"/>
      <c r="E67" s="353"/>
      <c r="F67" s="354"/>
      <c r="G67" s="363"/>
      <c r="H67" s="9"/>
      <c r="K67" s="19"/>
    </row>
    <row r="68" spans="2:11" x14ac:dyDescent="0.3">
      <c r="B68" s="321"/>
      <c r="C68" s="332" t="s">
        <v>84</v>
      </c>
      <c r="D68" s="353"/>
      <c r="E68" s="353"/>
      <c r="F68" s="354"/>
      <c r="G68" s="363"/>
      <c r="H68" s="9"/>
      <c r="K68" s="19"/>
    </row>
    <row r="69" spans="2:11" x14ac:dyDescent="0.3">
      <c r="B69" s="321"/>
      <c r="C69" s="332" t="s">
        <v>85</v>
      </c>
      <c r="D69" s="353"/>
      <c r="E69" s="353"/>
      <c r="F69" s="354"/>
      <c r="G69" s="363"/>
      <c r="H69" s="9"/>
      <c r="K69" s="19"/>
    </row>
    <row r="70" spans="2:11" x14ac:dyDescent="0.3">
      <c r="B70" s="321"/>
      <c r="C70" s="332" t="s">
        <v>86</v>
      </c>
      <c r="D70" s="353"/>
      <c r="E70" s="353"/>
      <c r="F70" s="354"/>
      <c r="G70" s="363"/>
      <c r="H70" s="9"/>
      <c r="K70" s="19"/>
    </row>
    <row r="71" spans="2:11" x14ac:dyDescent="0.3">
      <c r="B71" s="321"/>
      <c r="C71" s="332" t="s">
        <v>87</v>
      </c>
      <c r="D71" s="353"/>
      <c r="E71" s="353"/>
      <c r="F71" s="354"/>
      <c r="G71" s="363"/>
      <c r="H71" s="9"/>
      <c r="K71" s="19"/>
    </row>
    <row r="72" spans="2:11" ht="17.25" thickBot="1" x14ac:dyDescent="0.35">
      <c r="B72" s="321"/>
      <c r="C72" s="333" t="s">
        <v>88</v>
      </c>
      <c r="D72" s="350"/>
      <c r="E72" s="350"/>
      <c r="F72" s="355"/>
      <c r="G72" s="363"/>
      <c r="H72" s="9"/>
      <c r="K72" s="19"/>
    </row>
    <row r="73" spans="2:11" ht="17.25" thickBot="1" x14ac:dyDescent="0.35">
      <c r="B73" s="321"/>
      <c r="C73" s="316"/>
      <c r="D73" s="316"/>
      <c r="E73" s="316"/>
      <c r="F73" s="316"/>
      <c r="G73" s="365"/>
      <c r="H73" s="9"/>
      <c r="K73" s="19"/>
    </row>
    <row r="74" spans="2:11" ht="18" thickBot="1" x14ac:dyDescent="0.4">
      <c r="B74" s="321"/>
      <c r="C74" s="874" t="s">
        <v>194</v>
      </c>
      <c r="D74" s="875"/>
      <c r="E74" s="875"/>
      <c r="F74" s="876"/>
      <c r="G74" s="364"/>
      <c r="H74" s="9"/>
      <c r="K74" s="19"/>
    </row>
    <row r="75" spans="2:11" ht="17.25" x14ac:dyDescent="0.35">
      <c r="B75" s="326"/>
      <c r="C75" s="325"/>
      <c r="D75" s="927" t="s">
        <v>48</v>
      </c>
      <c r="E75" s="927"/>
      <c r="F75" s="928"/>
      <c r="G75" s="369"/>
      <c r="H75" s="9"/>
      <c r="K75" s="19"/>
    </row>
    <row r="76" spans="2:11" ht="17.25" x14ac:dyDescent="0.35">
      <c r="B76" s="321"/>
      <c r="C76" s="332" t="s">
        <v>193</v>
      </c>
      <c r="D76" s="907"/>
      <c r="E76" s="907"/>
      <c r="F76" s="908"/>
      <c r="G76" s="369"/>
      <c r="H76" s="9"/>
      <c r="K76" s="19"/>
    </row>
    <row r="77" spans="2:11" ht="17.25" x14ac:dyDescent="0.35">
      <c r="B77" s="321"/>
      <c r="C77" s="332" t="s">
        <v>192</v>
      </c>
      <c r="D77" s="907"/>
      <c r="E77" s="907"/>
      <c r="F77" s="908"/>
      <c r="G77" s="369"/>
      <c r="H77" s="9"/>
      <c r="K77" s="19"/>
    </row>
    <row r="78" spans="2:11" ht="17.25" x14ac:dyDescent="0.35">
      <c r="B78" s="321"/>
      <c r="C78" s="332" t="s">
        <v>306</v>
      </c>
      <c r="D78" s="907"/>
      <c r="E78" s="907"/>
      <c r="F78" s="908"/>
      <c r="G78" s="369"/>
      <c r="H78" s="9"/>
      <c r="K78" s="19"/>
    </row>
    <row r="79" spans="2:11" x14ac:dyDescent="0.3">
      <c r="B79" s="321"/>
      <c r="C79" s="332" t="s">
        <v>92</v>
      </c>
      <c r="D79" s="895" t="str">
        <f>IF(D76+D78=0,"",D76+D78)</f>
        <v/>
      </c>
      <c r="E79" s="895"/>
      <c r="F79" s="896"/>
      <c r="G79" s="365"/>
      <c r="H79" s="9"/>
      <c r="K79" s="19"/>
    </row>
    <row r="80" spans="2:11" x14ac:dyDescent="0.3">
      <c r="B80" s="321"/>
      <c r="C80" s="332" t="s">
        <v>191</v>
      </c>
      <c r="D80" s="907"/>
      <c r="E80" s="907"/>
      <c r="F80" s="908"/>
      <c r="G80" s="370"/>
      <c r="H80" s="9"/>
      <c r="K80" s="19"/>
    </row>
    <row r="81" spans="1:11" ht="17.25" x14ac:dyDescent="0.35">
      <c r="B81" s="321"/>
      <c r="C81" s="332" t="s">
        <v>190</v>
      </c>
      <c r="D81" s="907"/>
      <c r="E81" s="907"/>
      <c r="F81" s="908"/>
      <c r="G81" s="369"/>
      <c r="H81" s="9"/>
      <c r="K81" s="19"/>
    </row>
    <row r="82" spans="1:11" ht="17.25" x14ac:dyDescent="0.35">
      <c r="B82" s="321"/>
      <c r="C82" s="332" t="s">
        <v>189</v>
      </c>
      <c r="D82" s="907"/>
      <c r="E82" s="907"/>
      <c r="F82" s="908"/>
      <c r="G82" s="369"/>
      <c r="H82" s="9"/>
      <c r="K82" s="19"/>
    </row>
    <row r="83" spans="1:11" ht="17.25" x14ac:dyDescent="0.35">
      <c r="B83" s="321"/>
      <c r="C83" s="332" t="s">
        <v>306</v>
      </c>
      <c r="D83" s="907"/>
      <c r="E83" s="907"/>
      <c r="F83" s="908"/>
      <c r="G83" s="369"/>
      <c r="H83" s="9"/>
      <c r="K83" s="19"/>
    </row>
    <row r="84" spans="1:11" ht="17.25" thickBot="1" x14ac:dyDescent="0.35">
      <c r="B84" s="321"/>
      <c r="C84" s="333" t="s">
        <v>92</v>
      </c>
      <c r="D84" s="911" t="str">
        <f>IF(D81+D83=0,"",D81+D83)</f>
        <v/>
      </c>
      <c r="E84" s="911"/>
      <c r="F84" s="912"/>
      <c r="G84" s="365"/>
      <c r="H84" s="9"/>
      <c r="K84" s="19"/>
    </row>
    <row r="85" spans="1:11" ht="17.25" thickBot="1" x14ac:dyDescent="0.35">
      <c r="B85" s="334"/>
      <c r="C85" s="319"/>
      <c r="D85" s="319"/>
      <c r="E85" s="319"/>
      <c r="F85" s="319"/>
      <c r="G85" s="371"/>
      <c r="H85" s="9"/>
      <c r="K85" s="19"/>
    </row>
    <row r="86" spans="1:11" x14ac:dyDescent="0.3">
      <c r="K86" s="19"/>
    </row>
    <row r="87" spans="1:11" s="18" customFormat="1" x14ac:dyDescent="0.3">
      <c r="A87" s="19"/>
      <c r="B87" s="19"/>
      <c r="C87" s="19"/>
      <c r="D87" s="19"/>
      <c r="E87" s="19"/>
      <c r="F87" s="19"/>
      <c r="G87" s="19"/>
      <c r="H87" s="19"/>
      <c r="I87" s="19"/>
      <c r="J87" s="19"/>
      <c r="K87" s="19"/>
    </row>
  </sheetData>
  <sheetProtection password="D93F" sheet="1" objects="1" scenarios="1" selectLockedCells="1"/>
  <customSheetViews>
    <customSheetView guid="{2A4C6EB9-430A-44F2-86C8-15B50360FC3B}" scale="70" showGridLines="0">
      <selection activeCell="F2" sqref="F2"/>
      <pageMargins left="0.7" right="0.7" top="0.75" bottom="0.75" header="0.3" footer="0.3"/>
      <pageSetup orientation="portrait" horizontalDpi="200" verticalDpi="200" r:id="rId1"/>
    </customSheetView>
    <customSheetView guid="{B3BD5AF3-9A64-4EA7-AE1F-3CC326849B8F}" scale="70" showGridLines="0">
      <selection activeCell="K3" sqref="K3:K5"/>
      <pageMargins left="0.7" right="0.7" top="0.75" bottom="0.75" header="0.3" footer="0.3"/>
      <pageSetup orientation="portrait" horizontalDpi="200" verticalDpi="200" r:id="rId2"/>
    </customSheetView>
  </customSheetViews>
  <mergeCells count="27">
    <mergeCell ref="H4:I4"/>
    <mergeCell ref="B2:C2"/>
    <mergeCell ref="C11:D11"/>
    <mergeCell ref="C20:F20"/>
    <mergeCell ref="C30:F30"/>
    <mergeCell ref="B18:G18"/>
    <mergeCell ref="D82:F82"/>
    <mergeCell ref="D83:F83"/>
    <mergeCell ref="D84:F84"/>
    <mergeCell ref="D21:F21"/>
    <mergeCell ref="D78:F78"/>
    <mergeCell ref="D79:F79"/>
    <mergeCell ref="D76:F76"/>
    <mergeCell ref="D77:F77"/>
    <mergeCell ref="C39:F39"/>
    <mergeCell ref="C54:F54"/>
    <mergeCell ref="C62:F62"/>
    <mergeCell ref="C74:F74"/>
    <mergeCell ref="D81:F81"/>
    <mergeCell ref="D80:F80"/>
    <mergeCell ref="D63:F63"/>
    <mergeCell ref="D55:F55"/>
    <mergeCell ref="D40:F40"/>
    <mergeCell ref="D31:F31"/>
    <mergeCell ref="D75:F75"/>
    <mergeCell ref="F14:G14"/>
    <mergeCell ref="E2:F2"/>
  </mergeCells>
  <phoneticPr fontId="27" type="noConversion"/>
  <conditionalFormatting sqref="D65:F72 D76:D79 D80:F80 D81:D84 D33:F37 D42:F52 D57:F60 D27:D28 D23:F26 D13:D14">
    <cfRule type="expression" dxfId="64" priority="23" stopIfTrue="1">
      <formula>OR($I$5 = "Heating Only Central Heat Pump",$I$6 = "Single-Speed")</formula>
    </cfRule>
  </conditionalFormatting>
  <conditionalFormatting sqref="D15:D16">
    <cfRule type="expression" dxfId="63" priority="24" stopIfTrue="1">
      <formula>OR($D$14="No",$I$5="Heating Only Central Heat Pump")</formula>
    </cfRule>
  </conditionalFormatting>
  <dataValidations count="1">
    <dataValidation type="list" showInputMessage="1" showErrorMessage="1" sqref="D13">
      <formula1>Yes_No</formula1>
    </dataValidation>
  </dataValidations>
  <hyperlinks>
    <hyperlink ref="E2" location="Instructions!A1" display="Back to Instructions"/>
    <hyperlink ref="E2:F2" location="Instructions!A1" display="Back to Instructions tab"/>
  </hyperlinks>
  <pageMargins left="0.7" right="0.7" top="0.75" bottom="0.75" header="0.3" footer="0.3"/>
  <pageSetup orientation="portrait" horizontalDpi="200" verticalDpi="200"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documentManagement>
    <DocumentType xmlns="fa504290-48b0-421f-a269-8aa9478176e6"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34902EE12A29B44EA38DDA9853BB1AA8" ma:contentTypeVersion="5" ma:contentTypeDescription="Create a new document." ma:contentTypeScope="" ma:versionID="c8dae7b82d2d0f0a3fd97d37d92f2969">
  <xsd:schema xmlns:xsd="http://www.w3.org/2001/XMLSchema" xmlns:xs="http://www.w3.org/2001/XMLSchema" xmlns:p="http://schemas.microsoft.com/office/2006/metadata/properties" xmlns:ns2="fa504290-48b0-421f-a269-8aa9478176e6" targetNamespace="http://schemas.microsoft.com/office/2006/metadata/properties" ma:root="true" ma:fieldsID="9fc31efdddfdbff76d94c40b5652f649" ns2:_="">
    <xsd:import namespace="fa504290-48b0-421f-a269-8aa9478176e6"/>
    <xsd:element name="properties">
      <xsd:complexType>
        <xsd:sequence>
          <xsd:element name="documentManagement">
            <xsd:complexType>
              <xsd:all>
                <xsd:element ref="ns2:DocumentTyp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a504290-48b0-421f-a269-8aa9478176e6" elementFormDefault="qualified">
    <xsd:import namespace="http://schemas.microsoft.com/office/2006/documentManagement/types"/>
    <xsd:import namespace="http://schemas.microsoft.com/office/infopath/2007/PartnerControls"/>
    <xsd:element name="DocumentType" ma:index="8" nillable="true" ma:displayName="Document Type" ma:description="Please select the type of document you are uploading." ma:format="Dropdown" ma:internalName="DocumentType">
      <xsd:simpleType>
        <xsd:restriction base="dms:Choice">
          <xsd:enumeration value="Company/Client Information"/>
          <xsd:enumeration value="Correspondence"/>
          <xsd:enumeration value="Engagement Letter/Contract/Agreement"/>
          <xsd:enumeration value="Engagement Summary"/>
          <xsd:enumeration value="Financial Models"/>
          <xsd:enumeration value="Frequently Asked Question"/>
          <xsd:enumeration value="Methodology/Approach"/>
          <xsd:enumeration value="Policy/Procedure"/>
          <xsd:enumeration value="Presentation"/>
          <xsd:enumeration value="Proposal"/>
          <xsd:enumeration value="Qualifications/Statement of Qualifications"/>
          <xsd:enumeration value="Research"/>
          <xsd:enumeration value="Statement of Work"/>
          <xsd:enumeration value="Template/Example"/>
          <xsd:enumeration value="Training Materials"/>
          <xsd:enumeration value="Valuation Reports"/>
          <xsd:enumeration value="White Papers and Thought Leadership"/>
          <xsd:enumeration value="Work Product - Deliverabl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60BF07B-9816-4FB6-B4E8-B40D3DACBC37}">
  <ds:schemaRefs>
    <ds:schemaRef ds:uri="http://schemas.microsoft.com/sharepoint/v3/contenttype/forms"/>
  </ds:schemaRefs>
</ds:datastoreItem>
</file>

<file path=customXml/itemProps2.xml><?xml version="1.0" encoding="utf-8"?>
<ds:datastoreItem xmlns:ds="http://schemas.openxmlformats.org/officeDocument/2006/customXml" ds:itemID="{4A2DF677-70A4-4DFC-9345-5F550E653DD0}">
  <ds:schemaRefs>
    <ds:schemaRef ds:uri="fa504290-48b0-421f-a269-8aa9478176e6"/>
    <ds:schemaRef ds:uri="http://schemas.microsoft.com/office/2006/metadata/properties"/>
    <ds:schemaRef ds:uri="http://purl.org/dc/dcmitype/"/>
    <ds:schemaRef ds:uri="http://purl.org/dc/elements/1.1/"/>
    <ds:schemaRef ds:uri="http://schemas.microsoft.com/office/2006/documentManagement/types"/>
    <ds:schemaRef ds:uri="http://schemas.openxmlformats.org/package/2006/metadata/core-properties"/>
    <ds:schemaRef ds:uri="http://schemas.microsoft.com/office/infopath/2007/PartnerControls"/>
    <ds:schemaRef ds:uri="http://www.w3.org/XML/1998/namespace"/>
    <ds:schemaRef ds:uri="http://purl.org/dc/terms/"/>
  </ds:schemaRefs>
</ds:datastoreItem>
</file>

<file path=customXml/itemProps3.xml><?xml version="1.0" encoding="utf-8"?>
<ds:datastoreItem xmlns:ds="http://schemas.openxmlformats.org/officeDocument/2006/customXml" ds:itemID="{F9E5E431-647F-4A9A-A238-5F7E9FFB68F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a504290-48b0-421f-a269-8aa9478176e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28</vt:i4>
      </vt:variant>
      <vt:variant>
        <vt:lpstr>Named Ranges</vt:lpstr>
      </vt:variant>
      <vt:variant>
        <vt:i4>23</vt:i4>
      </vt:variant>
    </vt:vector>
  </HeadingPairs>
  <TitlesOfParts>
    <vt:vector size="51" baseType="lpstr">
      <vt:lpstr>Instructions</vt:lpstr>
      <vt:lpstr>General Info and Test Results</vt:lpstr>
      <vt:lpstr>Instrumentation</vt:lpstr>
      <vt:lpstr>Setup</vt:lpstr>
      <vt:lpstr>Photos</vt:lpstr>
      <vt:lpstr>Test Settings</vt:lpstr>
      <vt:lpstr>A Test Recorded Data</vt:lpstr>
      <vt:lpstr>B Test Recorded Data</vt:lpstr>
      <vt:lpstr>F Test Recorded Data</vt:lpstr>
      <vt:lpstr>Ev Test Recorded Data</vt:lpstr>
      <vt:lpstr>Optional C Test Recorded Data</vt:lpstr>
      <vt:lpstr>Optional D Test Recorded Data</vt:lpstr>
      <vt:lpstr>Optional G Test Recorded Data</vt:lpstr>
      <vt:lpstr>Optional I Test Recorded Data</vt:lpstr>
      <vt:lpstr>H0-1 Test Recorded Data</vt:lpstr>
      <vt:lpstr>H1 Test Recorded Data</vt:lpstr>
      <vt:lpstr>H2 Test Recorded Data</vt:lpstr>
      <vt:lpstr>H3 Test Recorded Data</vt:lpstr>
      <vt:lpstr>Optional H0C Test Recorded Data</vt:lpstr>
      <vt:lpstr>Optional H1C Test Recorded Data</vt:lpstr>
      <vt:lpstr>Off Mode Test Data</vt:lpstr>
      <vt:lpstr>Calculations</vt:lpstr>
      <vt:lpstr>Test Comments</vt:lpstr>
      <vt:lpstr>Test Report Attachments</vt:lpstr>
      <vt:lpstr>Report Sign-off Block</vt:lpstr>
      <vt:lpstr>Tables</vt:lpstr>
      <vt:lpstr>Drop-Downs</vt:lpstr>
      <vt:lpstr>Version Control</vt:lpstr>
      <vt:lpstr>Compressor_Type</vt:lpstr>
      <vt:lpstr>Controls_Type</vt:lpstr>
      <vt:lpstr>DD_TPused</vt:lpstr>
      <vt:lpstr>Duration</vt:lpstr>
      <vt:lpstr>Fan_Type</vt:lpstr>
      <vt:lpstr>H1_Type</vt:lpstr>
      <vt:lpstr>Min_Max</vt:lpstr>
      <vt:lpstr>Instructions!Print_Area</vt:lpstr>
      <vt:lpstr>Product_Type</vt:lpstr>
      <vt:lpstr>Refrigerant_Type</vt:lpstr>
      <vt:lpstr>Region</vt:lpstr>
      <vt:lpstr>SHRb1_SS_FS_rounded</vt:lpstr>
      <vt:lpstr>SHRb1_SS_VS_rounded</vt:lpstr>
      <vt:lpstr>SHRb1_TS_VS_rounded</vt:lpstr>
      <vt:lpstr>SHRb1_VS_VS_rounded</vt:lpstr>
      <vt:lpstr>SHRb2_SS_VS_rounded</vt:lpstr>
      <vt:lpstr>SHRb2_TS_VS_rounded</vt:lpstr>
      <vt:lpstr>SHRb2_VS_VS_rounded</vt:lpstr>
      <vt:lpstr>SS_FS_round</vt:lpstr>
      <vt:lpstr>SS_VS_round</vt:lpstr>
      <vt:lpstr>TS_VS_round</vt:lpstr>
      <vt:lpstr>VS_VS_round</vt:lpstr>
      <vt:lpstr>Yes_No</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Laura Degitz</dc:creator>
  <cp:lastModifiedBy>Carlisle</cp:lastModifiedBy>
  <dcterms:created xsi:type="dcterms:W3CDTF">2012-08-16T11:36:33Z</dcterms:created>
  <dcterms:modified xsi:type="dcterms:W3CDTF">2016-10-10T19:38:25Z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0x01010034902EE12A29B44EA38DDA9853BB1AA8</vt:lpwstr>
  </property>
</Properties>
</file>