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0" windowWidth="20490" windowHeight="7425" tabRatio="935" firstSheet="1" activeTab="2"/>
  </bookViews>
  <sheets>
    <sheet name="g's vs RPM" sheetId="1" state="hidden" r:id="rId1"/>
    <sheet name="Correlation Raw Data" sheetId="2" r:id="rId2"/>
    <sheet name="Correction" sheetId="3" r:id="rId3"/>
    <sheet name="Analysis" sheetId="4" r:id="rId4"/>
    <sheet name="Interaction Plot" sheetId="5" r:id="rId5"/>
    <sheet name="Least Squares Plot" sheetId="6" r:id="rId6"/>
  </sheets>
  <definedNames>
    <definedName name="edit">#REF!,#REF!,#REF!,#REF!,#REF!,#REF!</definedName>
  </definedNames>
  <calcPr fullCalcOnLoad="1"/>
</workbook>
</file>

<file path=xl/sharedStrings.xml><?xml version="1.0" encoding="utf-8"?>
<sst xmlns="http://schemas.openxmlformats.org/spreadsheetml/2006/main" count="215" uniqueCount="119">
  <si>
    <t>15 minute spin</t>
  </si>
  <si>
    <t>4 minute spin</t>
  </si>
  <si>
    <t>"g" force</t>
  </si>
  <si>
    <t>Table 2.6.5  Matrix of Extractor RMC test conditions</t>
  </si>
  <si>
    <t>warm soak</t>
  </si>
  <si>
    <t>cold soak</t>
  </si>
  <si>
    <t>best fit</t>
  </si>
  <si>
    <t>A=</t>
  </si>
  <si>
    <t>B=</t>
  </si>
  <si>
    <r>
      <t>Δ</t>
    </r>
    <r>
      <rPr>
        <vertAlign val="superscript"/>
        <sz val="10"/>
        <rFont val="Arial"/>
        <family val="2"/>
      </rPr>
      <t>2</t>
    </r>
  </si>
  <si>
    <t>RPM for g's</t>
  </si>
  <si>
    <t>basket diameter</t>
  </si>
  <si>
    <t>g force</t>
  </si>
  <si>
    <t>Table 2.6.6.1 - Standard RMC Values (lot #3)</t>
  </si>
  <si>
    <t>Lot number</t>
  </si>
  <si>
    <t>Test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</si>
  <si>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</si>
  <si>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</si>
  <si>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</si>
  <si>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</si>
  <si>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</si>
  <si>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</si>
  <si>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</si>
  <si>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</si>
  <si>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</si>
  <si>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</si>
  <si>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</si>
  <si>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</si>
  <si>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SS</t>
  </si>
  <si>
    <t>df</t>
  </si>
  <si>
    <t>MS</t>
  </si>
  <si>
    <t>F</t>
  </si>
  <si>
    <t>P-value</t>
  </si>
  <si>
    <t>F crit</t>
  </si>
  <si>
    <t>Interaction</t>
  </si>
  <si>
    <t>Total</t>
  </si>
  <si>
    <t>Source of Variation</t>
  </si>
  <si>
    <t>speed</t>
  </si>
  <si>
    <t>lot</t>
  </si>
  <si>
    <t>Within (error)</t>
  </si>
  <si>
    <t>Test with 8.4 +/- 0.1 lb preconditioned test cloth.</t>
  </si>
  <si>
    <t>100 F</t>
  </si>
  <si>
    <t>60 F</t>
  </si>
  <si>
    <r>
      <t>RMS error=√( sum (Δ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/ ( n-2 )) =</t>
    </r>
  </si>
  <si>
    <t>Spreadsheet calculates least squares fit to standard RMC table, and RMS error of corrected data to standard.</t>
  </si>
  <si>
    <t>C - 4-500</t>
  </si>
  <si>
    <t>W - 4-500</t>
  </si>
  <si>
    <t>C-15-500</t>
  </si>
  <si>
    <t>W-15-500</t>
  </si>
  <si>
    <t>C - 4-650</t>
  </si>
  <si>
    <t>W - 4-650</t>
  </si>
  <si>
    <t>C-15-650</t>
  </si>
  <si>
    <t>W-15-650</t>
  </si>
  <si>
    <t>Slope</t>
  </si>
  <si>
    <t>Intercept</t>
  </si>
  <si>
    <t>RMS Error</t>
  </si>
  <si>
    <t>100 to 350 g</t>
  </si>
  <si>
    <t>This is with 100 through 650 G data</t>
  </si>
  <si>
    <t>100 to 500 g</t>
  </si>
  <si>
    <t>Speed</t>
  </si>
  <si>
    <t>Within</t>
  </si>
  <si>
    <t xml:space="preserve">Speed </t>
  </si>
  <si>
    <t>Lot</t>
  </si>
  <si>
    <t>R square</t>
  </si>
  <si>
    <t>100 through 650 G</t>
  </si>
  <si>
    <t>200 thorugh 650 G</t>
  </si>
  <si>
    <t>Speed Ranges</t>
  </si>
  <si>
    <t>100 through 350</t>
  </si>
  <si>
    <t>100 through 500</t>
  </si>
  <si>
    <t>100 through 650</t>
  </si>
  <si>
    <t>200 through 650</t>
  </si>
  <si>
    <t>lot*speed</t>
  </si>
  <si>
    <t>P values</t>
  </si>
  <si>
    <t>Note: Please do not alter any cells in this worksheet.</t>
  </si>
  <si>
    <t xml:space="preserve">Speed*Lot interaction </t>
  </si>
  <si>
    <t xml:space="preserve">RMS Error </t>
  </si>
  <si>
    <t>Location</t>
  </si>
  <si>
    <t>Tested by:</t>
  </si>
  <si>
    <t>Date:</t>
  </si>
  <si>
    <t>Note - - If  P-value &gt; 0.10; interaction is NOT significant.</t>
  </si>
  <si>
    <t>Criteria for approving lot based on correction coefficient data with 100 through 650 G spin speeds</t>
  </si>
  <si>
    <t>Lot 3</t>
  </si>
  <si>
    <t>Accpetance criteria</t>
  </si>
  <si>
    <t>2.6.6.2</t>
  </si>
  <si>
    <t>J1  reference</t>
  </si>
  <si>
    <t>P value &gt; 0.10</t>
  </si>
  <si>
    <t>RMS Error &lt; 2%</t>
  </si>
  <si>
    <t>Data</t>
  </si>
  <si>
    <t>Result</t>
  </si>
  <si>
    <t>Dry Wt</t>
  </si>
  <si>
    <t>Wet Wt</t>
  </si>
  <si>
    <t>4 min</t>
  </si>
  <si>
    <t>15 min</t>
  </si>
  <si>
    <t>Batch #</t>
  </si>
  <si>
    <t>100 G</t>
  </si>
  <si>
    <t>200 G</t>
  </si>
  <si>
    <t>350 G</t>
  </si>
  <si>
    <t>500 G</t>
  </si>
  <si>
    <t>650 G</t>
  </si>
  <si>
    <t>% RMC</t>
  </si>
  <si>
    <r>
      <t>60</t>
    </r>
    <r>
      <rPr>
        <sz val="10"/>
        <color indexed="8"/>
        <rFont val="Arial"/>
        <family val="2"/>
      </rPr>
      <t>⁰F - Cold Bath</t>
    </r>
  </si>
  <si>
    <r>
      <t>100</t>
    </r>
    <r>
      <rPr>
        <sz val="10"/>
        <color indexed="8"/>
        <rFont val="Arial"/>
        <family val="2"/>
      </rPr>
      <t>⁰F - Warm Bath</t>
    </r>
  </si>
  <si>
    <t>Condition Point</t>
  </si>
  <si>
    <t>RMC averages by speed</t>
  </si>
  <si>
    <t>Ave RMC STDV</t>
  </si>
  <si>
    <t>200 to 500 g</t>
  </si>
  <si>
    <t>350 to 650 g</t>
  </si>
  <si>
    <t>350 through 650</t>
  </si>
  <si>
    <t>200 through 500</t>
  </si>
  <si>
    <t>"g" force"</t>
  </si>
  <si>
    <t>Ave RMC measured</t>
  </si>
  <si>
    <t>Ave RMC corrected</t>
  </si>
  <si>
    <t>Coeffiecents of the Least Squares Fit</t>
  </si>
  <si>
    <t>Lot 3 RMC standard</t>
  </si>
  <si>
    <t>*interaction is reported as the smallest p-value found.</t>
  </si>
  <si>
    <t>Standard Lot 3</t>
  </si>
  <si>
    <t>Ami Huff</t>
  </si>
  <si>
    <t>Whirlpool SJTC</t>
  </si>
  <si>
    <t>Table 2.6.5 - Ave RMC Values (lot #21)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</si>
</sst>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0.000%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[$-409]dddd\,\ mmmm\ dd\,\ yyyy"/>
    <numFmt numFmtId="185" formatCode="0.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000000%"/>
    <numFmt numFmtId="192" formatCode="m/d;@"/>
  </numFmts>
  <fonts count="6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28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5" fontId="0" fillId="0" borderId="10" xfId="59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77" fontId="0" fillId="0" borderId="0" xfId="59" applyNumberFormat="1" applyFont="1" applyAlignment="1" applyProtection="1">
      <alignment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right"/>
      <protection/>
    </xf>
    <xf numFmtId="174" fontId="4" fillId="33" borderId="24" xfId="0" applyNumberFormat="1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right"/>
      <protection/>
    </xf>
    <xf numFmtId="174" fontId="4" fillId="33" borderId="26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1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 applyProtection="1">
      <alignment/>
      <protection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10" fontId="1" fillId="0" borderId="16" xfId="0" applyNumberFormat="1" applyFon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75" fontId="0" fillId="0" borderId="38" xfId="0" applyNumberFormat="1" applyBorder="1" applyAlignment="1" applyProtection="1">
      <alignment/>
      <protection/>
    </xf>
    <xf numFmtId="175" fontId="0" fillId="0" borderId="39" xfId="0" applyNumberFormat="1" applyBorder="1" applyAlignment="1" applyProtection="1">
      <alignment/>
      <protection/>
    </xf>
    <xf numFmtId="175" fontId="0" fillId="0" borderId="40" xfId="0" applyNumberFormat="1" applyBorder="1" applyAlignment="1" applyProtection="1">
      <alignment/>
      <protection/>
    </xf>
    <xf numFmtId="175" fontId="0" fillId="0" borderId="39" xfId="0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75" fontId="0" fillId="0" borderId="42" xfId="0" applyNumberFormat="1" applyBorder="1" applyAlignment="1" applyProtection="1">
      <alignment/>
      <protection/>
    </xf>
    <xf numFmtId="0" fontId="0" fillId="0" borderId="27" xfId="0" applyFont="1" applyBorder="1" applyAlignment="1" applyProtection="1">
      <alignment wrapText="1"/>
      <protection/>
    </xf>
    <xf numFmtId="0" fontId="0" fillId="0" borderId="43" xfId="0" applyBorder="1" applyAlignment="1" applyProtection="1">
      <alignment horizontal="center" wrapText="1"/>
      <protection/>
    </xf>
    <xf numFmtId="175" fontId="0" fillId="0" borderId="30" xfId="59" applyNumberFormat="1" applyFont="1" applyBorder="1" applyAlignment="1" applyProtection="1">
      <alignment/>
      <protection/>
    </xf>
    <xf numFmtId="175" fontId="0" fillId="0" borderId="31" xfId="59" applyNumberFormat="1" applyFont="1" applyBorder="1" applyAlignment="1" applyProtection="1">
      <alignment/>
      <protection/>
    </xf>
    <xf numFmtId="175" fontId="0" fillId="0" borderId="32" xfId="59" applyNumberFormat="1" applyFont="1" applyBorder="1" applyAlignment="1" applyProtection="1">
      <alignment/>
      <protection/>
    </xf>
    <xf numFmtId="175" fontId="0" fillId="0" borderId="44" xfId="59" applyNumberFormat="1" applyFont="1" applyBorder="1" applyAlignment="1" applyProtection="1">
      <alignment/>
      <protection/>
    </xf>
    <xf numFmtId="175" fontId="0" fillId="0" borderId="45" xfId="59" applyNumberFormat="1" applyFont="1" applyBorder="1" applyAlignment="1" applyProtection="1">
      <alignment/>
      <protection/>
    </xf>
    <xf numFmtId="175" fontId="0" fillId="0" borderId="46" xfId="59" applyNumberFormat="1" applyFont="1" applyBorder="1" applyAlignment="1" applyProtection="1">
      <alignment/>
      <protection/>
    </xf>
    <xf numFmtId="175" fontId="0" fillId="0" borderId="47" xfId="59" applyNumberFormat="1" applyFont="1" applyBorder="1" applyAlignment="1" applyProtection="1">
      <alignment/>
      <protection/>
    </xf>
    <xf numFmtId="175" fontId="0" fillId="0" borderId="48" xfId="59" applyNumberFormat="1" applyFont="1" applyBorder="1" applyAlignment="1" applyProtection="1">
      <alignment/>
      <protection/>
    </xf>
    <xf numFmtId="175" fontId="0" fillId="0" borderId="49" xfId="59" applyNumberFormat="1" applyFont="1" applyBorder="1" applyAlignment="1" applyProtection="1">
      <alignment/>
      <protection/>
    </xf>
    <xf numFmtId="177" fontId="0" fillId="0" borderId="30" xfId="59" applyNumberFormat="1" applyFont="1" applyBorder="1" applyAlignment="1" applyProtection="1">
      <alignment/>
      <protection/>
    </xf>
    <xf numFmtId="177" fontId="0" fillId="0" borderId="31" xfId="59" applyNumberFormat="1" applyFont="1" applyBorder="1" applyAlignment="1" applyProtection="1">
      <alignment/>
      <protection/>
    </xf>
    <xf numFmtId="177" fontId="0" fillId="0" borderId="32" xfId="59" applyNumberFormat="1" applyFont="1" applyBorder="1" applyAlignment="1" applyProtection="1">
      <alignment/>
      <protection/>
    </xf>
    <xf numFmtId="177" fontId="0" fillId="0" borderId="45" xfId="59" applyNumberFormat="1" applyFont="1" applyBorder="1" applyAlignment="1" applyProtection="1">
      <alignment/>
      <protection/>
    </xf>
    <xf numFmtId="177" fontId="0" fillId="0" borderId="44" xfId="59" applyNumberFormat="1" applyFont="1" applyBorder="1" applyAlignment="1" applyProtection="1">
      <alignment/>
      <protection/>
    </xf>
    <xf numFmtId="0" fontId="62" fillId="0" borderId="13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46" xfId="0" applyFont="1" applyFill="1" applyBorder="1" applyAlignment="1">
      <alignment horizontal="right"/>
    </xf>
    <xf numFmtId="0" fontId="14" fillId="0" borderId="4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13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64" fillId="35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175" fontId="62" fillId="0" borderId="50" xfId="0" applyNumberFormat="1" applyFont="1" applyBorder="1" applyAlignment="1">
      <alignment horizontal="center"/>
    </xf>
    <xf numFmtId="175" fontId="62" fillId="0" borderId="13" xfId="0" applyNumberFormat="1" applyFont="1" applyBorder="1" applyAlignment="1">
      <alignment horizontal="center"/>
    </xf>
    <xf numFmtId="175" fontId="62" fillId="0" borderId="15" xfId="0" applyNumberFormat="1" applyFont="1" applyBorder="1" applyAlignment="1">
      <alignment horizontal="center"/>
    </xf>
    <xf numFmtId="175" fontId="62" fillId="0" borderId="17" xfId="0" applyNumberFormat="1" applyFont="1" applyBorder="1" applyAlignment="1">
      <alignment horizontal="center"/>
    </xf>
    <xf numFmtId="175" fontId="62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51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0" fillId="0" borderId="52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72" fontId="62" fillId="0" borderId="46" xfId="0" applyNumberFormat="1" applyFont="1" applyBorder="1" applyAlignment="1">
      <alignment horizontal="center"/>
    </xf>
    <xf numFmtId="172" fontId="62" fillId="0" borderId="14" xfId="0" applyNumberFormat="1" applyFont="1" applyBorder="1" applyAlignment="1">
      <alignment horizontal="center"/>
    </xf>
    <xf numFmtId="172" fontId="62" fillId="0" borderId="47" xfId="0" applyNumberFormat="1" applyFont="1" applyBorder="1" applyAlignment="1">
      <alignment horizontal="center"/>
    </xf>
    <xf numFmtId="172" fontId="62" fillId="0" borderId="16" xfId="0" applyNumberFormat="1" applyFont="1" applyFill="1" applyBorder="1" applyAlignment="1">
      <alignment horizontal="center"/>
    </xf>
    <xf numFmtId="172" fontId="62" fillId="0" borderId="53" xfId="0" applyNumberFormat="1" applyFont="1" applyFill="1" applyBorder="1" applyAlignment="1">
      <alignment horizontal="center"/>
    </xf>
    <xf numFmtId="172" fontId="62" fillId="0" borderId="14" xfId="0" applyNumberFormat="1" applyFont="1" applyFill="1" applyBorder="1" applyAlignment="1">
      <alignment horizontal="center"/>
    </xf>
    <xf numFmtId="172" fontId="62" fillId="0" borderId="48" xfId="0" applyNumberFormat="1" applyFont="1" applyBorder="1" applyAlignment="1">
      <alignment horizontal="center"/>
    </xf>
    <xf numFmtId="172" fontId="62" fillId="0" borderId="16" xfId="0" applyNumberFormat="1" applyFont="1" applyBorder="1" applyAlignment="1">
      <alignment horizontal="center"/>
    </xf>
    <xf numFmtId="172" fontId="62" fillId="0" borderId="53" xfId="0" applyNumberFormat="1" applyFont="1" applyBorder="1" applyAlignment="1">
      <alignment horizontal="center"/>
    </xf>
    <xf numFmtId="172" fontId="62" fillId="0" borderId="18" xfId="0" applyNumberFormat="1" applyFont="1" applyBorder="1" applyAlignment="1">
      <alignment horizontal="center"/>
    </xf>
    <xf numFmtId="172" fontId="62" fillId="0" borderId="47" xfId="0" applyNumberFormat="1" applyFont="1" applyFill="1" applyBorder="1" applyAlignment="1">
      <alignment horizontal="center"/>
    </xf>
    <xf numFmtId="172" fontId="62" fillId="0" borderId="54" xfId="0" applyNumberFormat="1" applyFont="1" applyFill="1" applyBorder="1" applyAlignment="1">
      <alignment horizontal="center"/>
    </xf>
    <xf numFmtId="172" fontId="62" fillId="0" borderId="46" xfId="0" applyNumberFormat="1" applyFont="1" applyFill="1" applyBorder="1" applyAlignment="1">
      <alignment horizontal="center"/>
    </xf>
    <xf numFmtId="172" fontId="62" fillId="0" borderId="48" xfId="0" applyNumberFormat="1" applyFont="1" applyFill="1" applyBorder="1" applyAlignment="1">
      <alignment horizontal="center"/>
    </xf>
    <xf numFmtId="172" fontId="62" fillId="0" borderId="18" xfId="0" applyNumberFormat="1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5" xfId="0" applyFont="1" applyBorder="1" applyAlignment="1" applyProtection="1">
      <alignment wrapText="1"/>
      <protection/>
    </xf>
    <xf numFmtId="175" fontId="7" fillId="0" borderId="43" xfId="0" applyNumberFormat="1" applyFont="1" applyFill="1" applyBorder="1" applyAlignment="1">
      <alignment horizontal="center"/>
    </xf>
    <xf numFmtId="175" fontId="7" fillId="0" borderId="55" xfId="0" applyNumberFormat="1" applyFont="1" applyBorder="1" applyAlignment="1">
      <alignment horizontal="center"/>
    </xf>
    <xf numFmtId="175" fontId="7" fillId="0" borderId="56" xfId="0" applyNumberFormat="1" applyFont="1" applyFill="1" applyBorder="1" applyAlignment="1" quotePrefix="1">
      <alignment horizontal="center"/>
    </xf>
    <xf numFmtId="175" fontId="7" fillId="0" borderId="57" xfId="0" applyNumberFormat="1" applyFont="1" applyBorder="1" applyAlignment="1">
      <alignment horizontal="center"/>
    </xf>
    <xf numFmtId="175" fontId="7" fillId="0" borderId="56" xfId="0" applyNumberFormat="1" applyFont="1" applyBorder="1" applyAlignment="1">
      <alignment horizontal="center"/>
    </xf>
    <xf numFmtId="175" fontId="7" fillId="0" borderId="58" xfId="0" applyNumberFormat="1" applyFont="1" applyBorder="1" applyAlignment="1">
      <alignment horizontal="center"/>
    </xf>
    <xf numFmtId="175" fontId="7" fillId="0" borderId="43" xfId="0" applyNumberFormat="1" applyFont="1" applyBorder="1" applyAlignment="1">
      <alignment horizontal="center"/>
    </xf>
    <xf numFmtId="175" fontId="7" fillId="0" borderId="59" xfId="0" applyNumberFormat="1" applyFont="1" applyBorder="1" applyAlignment="1">
      <alignment horizontal="center"/>
    </xf>
    <xf numFmtId="175" fontId="7" fillId="0" borderId="60" xfId="0" applyNumberFormat="1" applyFont="1" applyBorder="1" applyAlignment="1">
      <alignment horizontal="center" vertical="center"/>
    </xf>
    <xf numFmtId="175" fontId="7" fillId="0" borderId="55" xfId="0" applyNumberFormat="1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175" fontId="7" fillId="0" borderId="57" xfId="0" applyNumberFormat="1" applyFont="1" applyBorder="1" applyAlignment="1">
      <alignment horizontal="center" vertical="center"/>
    </xf>
    <xf numFmtId="175" fontId="7" fillId="0" borderId="20" xfId="0" applyNumberFormat="1" applyFont="1" applyBorder="1" applyAlignment="1">
      <alignment horizontal="center" vertical="center"/>
    </xf>
    <xf numFmtId="175" fontId="7" fillId="0" borderId="58" xfId="0" applyNumberFormat="1" applyFont="1" applyBorder="1" applyAlignment="1">
      <alignment horizontal="center" vertical="center"/>
    </xf>
    <xf numFmtId="175" fontId="7" fillId="0" borderId="60" xfId="0" applyNumberFormat="1" applyFont="1" applyBorder="1" applyAlignment="1">
      <alignment horizontal="center"/>
    </xf>
    <xf numFmtId="175" fontId="7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/>
    </xf>
    <xf numFmtId="172" fontId="6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14" fontId="0" fillId="34" borderId="47" xfId="0" applyNumberFormat="1" applyFont="1" applyFill="1" applyBorder="1" applyAlignment="1" applyProtection="1">
      <alignment horizontal="left" shrinkToFit="1"/>
      <protection locked="0"/>
    </xf>
    <xf numFmtId="0" fontId="0" fillId="34" borderId="47" xfId="0" applyFont="1" applyFill="1" applyBorder="1" applyAlignment="1" applyProtection="1">
      <alignment horizontal="left" shrinkToFit="1"/>
      <protection locked="0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4" borderId="49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/>
    </xf>
    <xf numFmtId="0" fontId="0" fillId="0" borderId="68" xfId="0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60" xfId="0" applyBorder="1" applyAlignment="1" applyProtection="1">
      <alignment horizontal="center" wrapText="1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6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75" fontId="62" fillId="0" borderId="66" xfId="0" applyNumberFormat="1" applyFont="1" applyBorder="1" applyAlignment="1">
      <alignment horizontal="center" vertical="center"/>
    </xf>
    <xf numFmtId="175" fontId="62" fillId="0" borderId="74" xfId="0" applyNumberFormat="1" applyFont="1" applyBorder="1" applyAlignment="1">
      <alignment horizontal="center" vertical="center"/>
    </xf>
    <xf numFmtId="175" fontId="62" fillId="0" borderId="75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0" fontId="0" fillId="34" borderId="49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Interaction Plot - Lot  </a:t>
            </a:r>
          </a:p>
        </c:rich>
      </c:tx>
      <c:layout>
        <c:manualLayout>
          <c:xMode val="factor"/>
          <c:yMode val="factor"/>
          <c:x val="-0.121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3275"/>
          <c:w val="0.73525"/>
          <c:h val="0.5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Analysis!$D$5</c:f>
              <c:strCache>
                <c:ptCount val="1"/>
                <c:pt idx="0">
                  <c:v>Standard Lot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Analysis!$B$36:$B$40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  <c:pt idx="3">
                  <c:v>500</c:v>
                </c:pt>
                <c:pt idx="4">
                  <c:v>650</c:v>
                </c:pt>
              </c:numCache>
            </c:numRef>
          </c:xVal>
          <c:yVal>
            <c:numRef>
              <c:f>Analysis!$C$36:$C$40</c:f>
              <c:numCache>
                <c:ptCount val="5"/>
                <c:pt idx="0">
                  <c:v>0.49575</c:v>
                </c:pt>
                <c:pt idx="1">
                  <c:v>0.39275</c:v>
                </c:pt>
                <c:pt idx="2">
                  <c:v>0.323</c:v>
                </c:pt>
                <c:pt idx="3">
                  <c:v>0.271</c:v>
                </c:pt>
                <c:pt idx="4">
                  <c:v>0.25375000000000003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Analysis!$E$5</c:f>
              <c:strCache>
                <c:ptCount val="1"/>
                <c:pt idx="0">
                  <c:v>Uncorrected Lot 21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Analysis!$B$36:$B$40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  <c:pt idx="3">
                  <c:v>500</c:v>
                </c:pt>
                <c:pt idx="4">
                  <c:v>650</c:v>
                </c:pt>
              </c:numCache>
            </c:numRef>
          </c:xVal>
          <c:yVal>
            <c:numRef>
              <c:f>Analysis!$D$36:$D$40</c:f>
              <c:numCache>
                <c:ptCount val="5"/>
                <c:pt idx="0">
                  <c:v>0.5770800816353556</c:v>
                </c:pt>
                <c:pt idx="1">
                  <c:v>0.4389542775791285</c:v>
                </c:pt>
                <c:pt idx="2">
                  <c:v>0.34471652288249416</c:v>
                </c:pt>
                <c:pt idx="3">
                  <c:v>0.3038860155703123</c:v>
                </c:pt>
                <c:pt idx="4">
                  <c:v>0.27613667536939285</c:v>
                </c:pt>
              </c:numCache>
            </c:numRef>
          </c:yVal>
          <c:smooth val="1"/>
        </c:ser>
        <c:axId val="49054221"/>
        <c:axId val="38834806"/>
      </c:scatterChart>
      <c:valAx>
        <c:axId val="4905422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spin speed</a:t>
                </a:r>
              </a:p>
            </c:rich>
          </c:tx>
          <c:layout>
            <c:manualLayout>
              <c:xMode val="factor"/>
              <c:yMode val="factor"/>
              <c:x val="-0.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4806"/>
        <c:crosses val="autoZero"/>
        <c:crossBetween val="midCat"/>
        <c:dispUnits/>
      </c:valAx>
      <c:valAx>
        <c:axId val="3883480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RMC</a:t>
                </a:r>
              </a:p>
            </c:rich>
          </c:tx>
          <c:layout>
            <c:manualLayout>
              <c:xMode val="factor"/>
              <c:yMode val="factor"/>
              <c:x val="-0.013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64"/>
          <c:w val="0.1375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RMC Least Squares Fit for Lot 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625"/>
          <c:w val="0.939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Analysis!$E$6:$E$25</c:f>
              <c:numCache>
                <c:ptCount val="20"/>
                <c:pt idx="0">
                  <c:v>0.6210811718410049</c:v>
                </c:pt>
                <c:pt idx="1">
                  <c:v>0.6012711183003195</c:v>
                </c:pt>
                <c:pt idx="2">
                  <c:v>0.5510325027905479</c:v>
                </c:pt>
                <c:pt idx="3">
                  <c:v>0.5349355336095503</c:v>
                </c:pt>
                <c:pt idx="4">
                  <c:v>0.48372495601339455</c:v>
                </c:pt>
                <c:pt idx="5">
                  <c:v>0.454346869856405</c:v>
                </c:pt>
                <c:pt idx="6">
                  <c:v>0.4188179900486217</c:v>
                </c:pt>
                <c:pt idx="7">
                  <c:v>0.3989272943980929</c:v>
                </c:pt>
                <c:pt idx="8">
                  <c:v>0.39142592277276417</c:v>
                </c:pt>
                <c:pt idx="9">
                  <c:v>0.3619932080897515</c:v>
                </c:pt>
                <c:pt idx="10">
                  <c:v>0.31163185576177227</c:v>
                </c:pt>
                <c:pt idx="11">
                  <c:v>0.3138151049056888</c:v>
                </c:pt>
                <c:pt idx="12">
                  <c:v>0.33882527385209144</c:v>
                </c:pt>
                <c:pt idx="13">
                  <c:v>0.317063492063492</c:v>
                </c:pt>
                <c:pt idx="14">
                  <c:v>0.28781192651872023</c:v>
                </c:pt>
                <c:pt idx="15">
                  <c:v>0.2718433698469455</c:v>
                </c:pt>
                <c:pt idx="16">
                  <c:v>0.3065916056529882</c:v>
                </c:pt>
                <c:pt idx="17">
                  <c:v>0.288324394119984</c:v>
                </c:pt>
                <c:pt idx="18">
                  <c:v>0.2619132754412849</c:v>
                </c:pt>
                <c:pt idx="19">
                  <c:v>0.24771742626331417</c:v>
                </c:pt>
              </c:numCache>
            </c:numRef>
          </c:xVal>
          <c:yVal>
            <c:numRef>
              <c:f>Analysis!$D$6:$D$25</c:f>
              <c:numCache>
                <c:ptCount val="20"/>
                <c:pt idx="0">
                  <c:v>0.528</c:v>
                </c:pt>
                <c:pt idx="1">
                  <c:v>0.499</c:v>
                </c:pt>
                <c:pt idx="2">
                  <c:v>0.497</c:v>
                </c:pt>
                <c:pt idx="3">
                  <c:v>0.459</c:v>
                </c:pt>
                <c:pt idx="4">
                  <c:v>0.431</c:v>
                </c:pt>
                <c:pt idx="5">
                  <c:v>0.404</c:v>
                </c:pt>
                <c:pt idx="6">
                  <c:v>0.379</c:v>
                </c:pt>
                <c:pt idx="7">
                  <c:v>0.357</c:v>
                </c:pt>
                <c:pt idx="8">
                  <c:v>0.358</c:v>
                </c:pt>
                <c:pt idx="9">
                  <c:v>0.331</c:v>
                </c:pt>
                <c:pt idx="10">
                  <c:v>0.307</c:v>
                </c:pt>
                <c:pt idx="11">
                  <c:v>0.296</c:v>
                </c:pt>
                <c:pt idx="12">
                  <c:v>0.3</c:v>
                </c:pt>
                <c:pt idx="13">
                  <c:v>0.287</c:v>
                </c:pt>
                <c:pt idx="14">
                  <c:v>0.255</c:v>
                </c:pt>
                <c:pt idx="15">
                  <c:v>0.242</c:v>
                </c:pt>
                <c:pt idx="16">
                  <c:v>0.28</c:v>
                </c:pt>
                <c:pt idx="17">
                  <c:v>0.264</c:v>
                </c:pt>
                <c:pt idx="18">
                  <c:v>0.241</c:v>
                </c:pt>
                <c:pt idx="19">
                  <c:v>0.23</c:v>
                </c:pt>
              </c:numCache>
            </c:numRef>
          </c:yVal>
          <c:smooth val="0"/>
        </c:ser>
        <c:axId val="13968935"/>
        <c:axId val="58611552"/>
      </c:scatterChart>
      <c:valAx>
        <c:axId val="13968935"/>
        <c:scaling>
          <c:orientation val="minMax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Measured RMC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1552"/>
        <c:crosses val="autoZero"/>
        <c:crossBetween val="midCat"/>
        <c:dispUnits/>
      </c:valAx>
      <c:valAx>
        <c:axId val="58611552"/>
        <c:scaling>
          <c:orientation val="minMax"/>
          <c:max val="0.6000000000000002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RMC Standard Lot 3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8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</cdr:x>
      <cdr:y>0.06325</cdr:y>
    </cdr:from>
    <cdr:to>
      <cdr:x>0.6395</cdr:x>
      <cdr:y>0.1755</cdr:y>
    </cdr:to>
    <cdr:sp textlink="'Correlation Raw Data'!$B$20">
      <cdr:nvSpPr>
        <cdr:cNvPr id="1" name="Text Box 1025"/>
        <cdr:cNvSpPr txBox="1">
          <a:spLocks noChangeArrowheads="1"/>
        </cdr:cNvSpPr>
      </cdr:nvSpPr>
      <cdr:spPr>
        <a:xfrm>
          <a:off x="5086350" y="352425"/>
          <a:ext cx="5143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ac8c858-313c-49d0-86b3-35f505e5595d}" type="TxLink"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0.60275</cdr:x>
      <cdr:y>0.00825</cdr:y>
    </cdr:from>
    <cdr:to>
      <cdr:x>0.66025</cdr:x>
      <cdr:y>0.06225</cdr:y>
    </cdr:to>
    <cdr:sp textlink="'Correlation Raw Data'!$B$20">
      <cdr:nvSpPr>
        <cdr:cNvPr id="1" name="TextBox 1"/>
        <cdr:cNvSpPr txBox="1">
          <a:spLocks noChangeArrowheads="1"/>
        </cdr:cNvSpPr>
      </cdr:nvSpPr>
      <cdr:spPr>
        <a:xfrm>
          <a:off x="5276850" y="3810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4470e74-d786-498c-b94c-9b1ec7de9ffd}" type="TxLink">
            <a:rPr lang="en-US" cap="none" sz="1800" b="0" i="0" u="none" baseline="0">
              <a:solidFill>
                <a:srgbClr val="000000"/>
              </a:solidFill>
            </a:rPr>
            <a:t>21</a:t>
          </a:fld>
        </a:p>
      </cdr:txBody>
    </cdr:sp>
  </cdr:relSizeAnchor>
  <cdr:relSizeAnchor xmlns:cdr="http://schemas.openxmlformats.org/drawingml/2006/chartDrawing">
    <cdr:from>
      <cdr:x>0.7865</cdr:x>
      <cdr:y>0.0965</cdr:y>
    </cdr:from>
    <cdr:to>
      <cdr:x>0.85875</cdr:x>
      <cdr:y>0.158</cdr:y>
    </cdr:to>
    <cdr:sp>
      <cdr:nvSpPr>
        <cdr:cNvPr id="2" name="TextBox 3"/>
        <cdr:cNvSpPr txBox="1">
          <a:spLocks noChangeArrowheads="1"/>
        </cdr:cNvSpPr>
      </cdr:nvSpPr>
      <cdr:spPr>
        <a:xfrm>
          <a:off x="6886575" y="542925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cdr:txBody>
    </cdr:sp>
  </cdr:relSizeAnchor>
  <cdr:relSizeAnchor xmlns:cdr="http://schemas.openxmlformats.org/drawingml/2006/chartDrawing">
    <cdr:from>
      <cdr:x>0.743</cdr:x>
      <cdr:y>0.04425</cdr:y>
    </cdr:from>
    <cdr:to>
      <cdr:x>0.972</cdr:x>
      <cdr:y>0.12425</cdr:y>
    </cdr:to>
    <cdr:sp textlink="Analysis!$D$53">
      <cdr:nvSpPr>
        <cdr:cNvPr id="3" name="TextBox 4"/>
        <cdr:cNvSpPr txBox="1">
          <a:spLocks noChangeArrowheads="1"/>
        </cdr:cNvSpPr>
      </cdr:nvSpPr>
      <cdr:spPr>
        <a:xfrm>
          <a:off x="6505575" y="247650"/>
          <a:ext cx="2009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e0461ef-afdb-4e9d-adbf-3b3f536b909b}" type="TxLink"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y=0.8039x+0.0352</a:t>
          </a:fld>
        </a:p>
      </cdr:txBody>
    </cdr:sp>
  </cdr:relSizeAnchor>
  <cdr:relSizeAnchor xmlns:cdr="http://schemas.openxmlformats.org/drawingml/2006/chartDrawing">
    <cdr:from>
      <cdr:x>0.8395</cdr:x>
      <cdr:y>0.0965</cdr:y>
    </cdr:from>
    <cdr:to>
      <cdr:x>0.95275</cdr:x>
      <cdr:y>0.158</cdr:y>
    </cdr:to>
    <cdr:sp textlink="Analysis!$C$55">
      <cdr:nvSpPr>
        <cdr:cNvPr id="4" name="TextBox 1"/>
        <cdr:cNvSpPr txBox="1">
          <a:spLocks noChangeArrowheads="1"/>
        </cdr:cNvSpPr>
      </cdr:nvSpPr>
      <cdr:spPr>
        <a:xfrm>
          <a:off x="7353300" y="542925"/>
          <a:ext cx="990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411c3e4-9506-4244-a920-8eb100772af9}" type="TxLink"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98.85%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F21"/>
  <sheetViews>
    <sheetView zoomScalePageLayoutView="0" workbookViewId="0" topLeftCell="A1">
      <selection activeCell="C4" sqref="C4"/>
    </sheetView>
  </sheetViews>
  <sheetFormatPr defaultColWidth="8.8515625" defaultRowHeight="12.75"/>
  <cols>
    <col min="1" max="1" width="8.8515625" style="0" customWidth="1"/>
    <col min="2" max="2" width="4.00390625" style="0" bestFit="1" customWidth="1"/>
    <col min="3" max="3" width="8.8515625" style="0" customWidth="1"/>
    <col min="4" max="4" width="4.00390625" style="0" bestFit="1" customWidth="1"/>
  </cols>
  <sheetData>
    <row r="4" spans="3:6" ht="12.75">
      <c r="C4" s="1"/>
      <c r="D4" s="202" t="s">
        <v>10</v>
      </c>
      <c r="E4" s="202"/>
      <c r="F4" s="202"/>
    </row>
    <row r="5" spans="3:6" ht="12.75">
      <c r="C5" s="1"/>
      <c r="D5" s="1"/>
      <c r="E5" s="202" t="s">
        <v>11</v>
      </c>
      <c r="F5" s="202"/>
    </row>
    <row r="6" spans="3:6" ht="13.5" thickBot="1">
      <c r="C6" s="1"/>
      <c r="D6" s="1"/>
      <c r="E6" s="4">
        <v>19.5</v>
      </c>
      <c r="F6" s="4">
        <v>20</v>
      </c>
    </row>
    <row r="7" spans="3:6" ht="12.75" customHeight="1">
      <c r="C7" s="203" t="s">
        <v>12</v>
      </c>
      <c r="D7" s="3">
        <v>99</v>
      </c>
      <c r="E7" s="5">
        <v>598</v>
      </c>
      <c r="F7" s="6">
        <v>590</v>
      </c>
    </row>
    <row r="8" spans="3:6" ht="12.75">
      <c r="C8" s="204"/>
      <c r="D8" s="3">
        <v>100</v>
      </c>
      <c r="E8" s="7">
        <v>601</v>
      </c>
      <c r="F8" s="8">
        <v>593</v>
      </c>
    </row>
    <row r="9" spans="3:6" ht="13.5" thickBot="1">
      <c r="C9" s="204"/>
      <c r="D9" s="3">
        <v>101</v>
      </c>
      <c r="E9" s="9">
        <v>604</v>
      </c>
      <c r="F9" s="10">
        <v>596</v>
      </c>
    </row>
    <row r="10" spans="3:6" ht="13.5" thickBot="1">
      <c r="C10" s="204"/>
      <c r="D10" s="1"/>
      <c r="E10" s="11"/>
      <c r="F10" s="11"/>
    </row>
    <row r="11" spans="3:6" ht="12.75">
      <c r="C11" s="204"/>
      <c r="D11" s="3">
        <v>199</v>
      </c>
      <c r="E11" s="5">
        <v>848</v>
      </c>
      <c r="F11" s="6">
        <v>837</v>
      </c>
    </row>
    <row r="12" spans="3:6" ht="12.75">
      <c r="C12" s="204"/>
      <c r="D12" s="3">
        <v>200</v>
      </c>
      <c r="E12" s="7">
        <v>850</v>
      </c>
      <c r="F12" s="8">
        <v>839</v>
      </c>
    </row>
    <row r="13" spans="3:6" ht="13.5" thickBot="1">
      <c r="C13" s="204"/>
      <c r="D13" s="3">
        <v>201</v>
      </c>
      <c r="E13" s="9">
        <v>852</v>
      </c>
      <c r="F13" s="10">
        <v>841</v>
      </c>
    </row>
    <row r="14" spans="3:6" ht="13.5" thickBot="1">
      <c r="C14" s="204"/>
      <c r="D14" s="1"/>
      <c r="E14" s="11"/>
      <c r="F14" s="11"/>
    </row>
    <row r="15" spans="3:6" ht="12.75">
      <c r="C15" s="204"/>
      <c r="D15" s="3">
        <v>349</v>
      </c>
      <c r="E15" s="5">
        <v>1123</v>
      </c>
      <c r="F15" s="6">
        <v>1108</v>
      </c>
    </row>
    <row r="16" spans="3:6" ht="12.75">
      <c r="C16" s="204"/>
      <c r="D16" s="3">
        <v>350</v>
      </c>
      <c r="E16" s="7">
        <v>1124</v>
      </c>
      <c r="F16" s="8">
        <v>1110</v>
      </c>
    </row>
    <row r="17" spans="3:6" ht="13.5" thickBot="1">
      <c r="C17" s="204"/>
      <c r="D17" s="3">
        <v>351</v>
      </c>
      <c r="E17" s="9">
        <v>1126</v>
      </c>
      <c r="F17" s="10">
        <v>1112</v>
      </c>
    </row>
    <row r="18" spans="3:6" ht="13.5" thickBot="1">
      <c r="C18" s="204"/>
      <c r="D18" s="1"/>
      <c r="E18" s="11"/>
      <c r="F18" s="11"/>
    </row>
    <row r="19" spans="3:6" ht="12.75">
      <c r="C19" s="204"/>
      <c r="D19" s="3">
        <v>499</v>
      </c>
      <c r="E19" s="5">
        <v>1342</v>
      </c>
      <c r="F19" s="6">
        <v>1325</v>
      </c>
    </row>
    <row r="20" spans="3:6" ht="12.75">
      <c r="C20" s="204"/>
      <c r="D20" s="3">
        <v>500</v>
      </c>
      <c r="E20" s="7">
        <v>1344</v>
      </c>
      <c r="F20" s="8">
        <v>1326</v>
      </c>
    </row>
    <row r="21" spans="3:6" ht="13.5" thickBot="1">
      <c r="C21" s="205"/>
      <c r="D21" s="3">
        <v>501</v>
      </c>
      <c r="E21" s="9">
        <v>1345</v>
      </c>
      <c r="F21" s="10">
        <v>1328</v>
      </c>
    </row>
  </sheetData>
  <sheetProtection/>
  <mergeCells count="3">
    <mergeCell ref="D4:F4"/>
    <mergeCell ref="E5:F5"/>
    <mergeCell ref="C7:C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selection activeCell="H27" sqref="H27"/>
    </sheetView>
  </sheetViews>
  <sheetFormatPr defaultColWidth="11.421875" defaultRowHeight="12.75"/>
  <cols>
    <col min="1" max="1" width="11.140625" style="59" bestFit="1" customWidth="1"/>
    <col min="2" max="2" width="7.421875" style="59" bestFit="1" customWidth="1"/>
    <col min="3" max="3" width="6.8515625" style="59" bestFit="1" customWidth="1"/>
    <col min="4" max="4" width="7.421875" style="59" bestFit="1" customWidth="1"/>
    <col min="5" max="5" width="7.8515625" style="59" bestFit="1" customWidth="1"/>
    <col min="6" max="6" width="8.28125" style="59" bestFit="1" customWidth="1"/>
    <col min="7" max="7" width="8.7109375" style="59" customWidth="1"/>
    <col min="8" max="8" width="8.28125" style="59" bestFit="1" customWidth="1"/>
    <col min="9" max="9" width="7.421875" style="59" bestFit="1" customWidth="1"/>
    <col min="10" max="10" width="8.28125" style="59" bestFit="1" customWidth="1"/>
    <col min="11" max="11" width="7.421875" style="59" bestFit="1" customWidth="1"/>
    <col min="12" max="12" width="7.140625" style="59" bestFit="1" customWidth="1"/>
    <col min="13" max="13" width="7.7109375" style="59" bestFit="1" customWidth="1"/>
    <col min="14" max="14" width="7.140625" style="59" bestFit="1" customWidth="1"/>
    <col min="15" max="15" width="9.28125" style="30" bestFit="1" customWidth="1"/>
    <col min="16" max="16" width="11.421875" style="30" customWidth="1"/>
    <col min="17" max="17" width="10.00390625" style="0" customWidth="1"/>
    <col min="18" max="18" width="11.7109375" style="30" customWidth="1"/>
    <col min="19" max="19" width="8.8515625" style="0" customWidth="1"/>
    <col min="20" max="20" width="10.421875" style="0" customWidth="1"/>
    <col min="21" max="21" width="11.421875" style="0" customWidth="1"/>
    <col min="22" max="23" width="8.8515625" style="0" customWidth="1"/>
    <col min="24" max="16384" width="11.421875" style="59" customWidth="1"/>
  </cols>
  <sheetData>
    <row r="1" spans="1:24" ht="13.5" thickBot="1">
      <c r="A1" s="58"/>
      <c r="B1" s="212" t="s">
        <v>100</v>
      </c>
      <c r="C1" s="213"/>
      <c r="D1" s="214"/>
      <c r="E1" s="214"/>
      <c r="F1" s="215"/>
      <c r="G1" s="215"/>
      <c r="H1" s="212" t="s">
        <v>101</v>
      </c>
      <c r="I1" s="213"/>
      <c r="J1" s="214"/>
      <c r="K1" s="214"/>
      <c r="L1" s="215"/>
      <c r="M1" s="216"/>
      <c r="O1" s="54"/>
      <c r="P1" s="54"/>
      <c r="Q1" s="174"/>
      <c r="R1" s="54"/>
      <c r="S1" s="174"/>
      <c r="T1" s="174"/>
      <c r="U1" s="174"/>
      <c r="V1" s="174"/>
      <c r="W1" s="174"/>
      <c r="X1" s="173"/>
    </row>
    <row r="2" spans="1:24" ht="13.5" customHeight="1" thickBot="1">
      <c r="A2" s="58"/>
      <c r="B2" s="217" t="s">
        <v>91</v>
      </c>
      <c r="C2" s="218"/>
      <c r="D2" s="219"/>
      <c r="E2" s="217" t="s">
        <v>92</v>
      </c>
      <c r="F2" s="218"/>
      <c r="G2" s="219"/>
      <c r="H2" s="217" t="s">
        <v>91</v>
      </c>
      <c r="I2" s="218"/>
      <c r="J2" s="219"/>
      <c r="K2" s="220" t="s">
        <v>92</v>
      </c>
      <c r="L2" s="218"/>
      <c r="M2" s="219"/>
      <c r="O2" s="197"/>
      <c r="P2" s="54"/>
      <c r="Q2" s="174"/>
      <c r="R2" s="54"/>
      <c r="S2" s="174"/>
      <c r="T2" s="174"/>
      <c r="U2" s="174"/>
      <c r="V2" s="174"/>
      <c r="W2" s="173"/>
      <c r="X2" s="173"/>
    </row>
    <row r="3" spans="1:24" ht="13.5" thickBot="1">
      <c r="A3" s="58"/>
      <c r="B3" s="60" t="s">
        <v>93</v>
      </c>
      <c r="C3" s="61" t="s">
        <v>89</v>
      </c>
      <c r="D3" s="62" t="s">
        <v>90</v>
      </c>
      <c r="E3" s="60" t="s">
        <v>93</v>
      </c>
      <c r="F3" s="61" t="s">
        <v>89</v>
      </c>
      <c r="G3" s="62" t="s">
        <v>90</v>
      </c>
      <c r="H3" s="60" t="s">
        <v>93</v>
      </c>
      <c r="I3" s="61" t="s">
        <v>89</v>
      </c>
      <c r="J3" s="62" t="s">
        <v>90</v>
      </c>
      <c r="K3" s="60" t="s">
        <v>93</v>
      </c>
      <c r="L3" s="61" t="s">
        <v>89</v>
      </c>
      <c r="M3" s="62" t="s">
        <v>90</v>
      </c>
      <c r="O3" s="197"/>
      <c r="P3" s="122"/>
      <c r="Q3" s="122"/>
      <c r="R3" s="122"/>
      <c r="S3" s="173"/>
      <c r="T3" s="173"/>
      <c r="U3" s="173"/>
      <c r="V3" s="173"/>
      <c r="W3" s="197"/>
      <c r="X3" s="122"/>
    </row>
    <row r="4" spans="1:24" ht="12.75">
      <c r="A4" s="208" t="s">
        <v>94</v>
      </c>
      <c r="B4" s="127">
        <v>1</v>
      </c>
      <c r="C4" s="145">
        <v>8.4</v>
      </c>
      <c r="D4" s="138">
        <v>13.605</v>
      </c>
      <c r="E4" s="127">
        <v>2</v>
      </c>
      <c r="F4" s="145">
        <v>8.39</v>
      </c>
      <c r="G4" s="138">
        <v>13.035</v>
      </c>
      <c r="H4" s="127">
        <v>2</v>
      </c>
      <c r="I4" s="145">
        <v>8.39</v>
      </c>
      <c r="J4" s="134">
        <v>13.45</v>
      </c>
      <c r="K4" s="93">
        <v>1</v>
      </c>
      <c r="L4" s="133">
        <v>8.4</v>
      </c>
      <c r="M4" s="134">
        <v>12.865</v>
      </c>
      <c r="O4" s="122"/>
      <c r="P4" s="122"/>
      <c r="Q4" s="198"/>
      <c r="R4" s="54"/>
      <c r="S4" s="54"/>
      <c r="T4" s="54"/>
      <c r="U4" s="199"/>
      <c r="V4" s="174"/>
      <c r="W4" s="199"/>
      <c r="X4" s="199"/>
    </row>
    <row r="5" spans="1:24" ht="12.75">
      <c r="A5" s="209"/>
      <c r="B5" s="125">
        <v>2</v>
      </c>
      <c r="C5" s="143">
        <v>8.39</v>
      </c>
      <c r="D5" s="136">
        <v>13.63</v>
      </c>
      <c r="E5" s="125">
        <v>2</v>
      </c>
      <c r="F5" s="143">
        <v>8.39</v>
      </c>
      <c r="G5" s="136">
        <v>12.99</v>
      </c>
      <c r="H5" s="125">
        <v>1</v>
      </c>
      <c r="I5" s="143">
        <v>8.4</v>
      </c>
      <c r="J5" s="136">
        <v>13.445</v>
      </c>
      <c r="K5" s="125">
        <v>2</v>
      </c>
      <c r="L5" s="143">
        <v>8.39</v>
      </c>
      <c r="M5" s="140">
        <v>12.9</v>
      </c>
      <c r="O5" s="122"/>
      <c r="P5" s="122"/>
      <c r="Q5" s="198"/>
      <c r="R5" s="54"/>
      <c r="S5" s="174"/>
      <c r="T5" s="174"/>
      <c r="U5" s="174"/>
      <c r="V5" s="174"/>
      <c r="W5" s="54"/>
      <c r="X5" s="122"/>
    </row>
    <row r="6" spans="1:24" ht="13.5" thickBot="1">
      <c r="A6" s="210"/>
      <c r="B6" s="126">
        <v>1</v>
      </c>
      <c r="C6" s="144">
        <v>8.4</v>
      </c>
      <c r="D6" s="137">
        <v>13.6</v>
      </c>
      <c r="E6" s="126">
        <v>1</v>
      </c>
      <c r="F6" s="144">
        <v>8.4</v>
      </c>
      <c r="G6" s="137">
        <v>13.03</v>
      </c>
      <c r="H6" s="126">
        <v>2</v>
      </c>
      <c r="I6" s="144">
        <v>8.39</v>
      </c>
      <c r="J6" s="137">
        <v>13.425</v>
      </c>
      <c r="K6" s="126">
        <v>1</v>
      </c>
      <c r="L6" s="144">
        <v>8.4</v>
      </c>
      <c r="M6" s="141">
        <v>12.9</v>
      </c>
      <c r="O6" s="122"/>
      <c r="P6" s="122"/>
      <c r="Q6" s="198"/>
      <c r="R6" s="54"/>
      <c r="S6" s="54"/>
      <c r="T6" s="54"/>
      <c r="U6" s="174"/>
      <c r="V6" s="174"/>
      <c r="W6" s="54"/>
      <c r="X6" s="122"/>
    </row>
    <row r="7" spans="1:24" ht="12.75">
      <c r="A7" s="208" t="s">
        <v>95</v>
      </c>
      <c r="B7" s="127">
        <v>1</v>
      </c>
      <c r="C7" s="145">
        <v>8.4</v>
      </c>
      <c r="D7" s="138">
        <v>12.455</v>
      </c>
      <c r="E7" s="127">
        <v>1</v>
      </c>
      <c r="F7" s="145">
        <v>8.4</v>
      </c>
      <c r="G7" s="138">
        <v>11.915</v>
      </c>
      <c r="H7" s="127">
        <v>1</v>
      </c>
      <c r="I7" s="145">
        <v>8.4</v>
      </c>
      <c r="J7" s="138">
        <v>12.24</v>
      </c>
      <c r="K7" s="93">
        <v>2</v>
      </c>
      <c r="L7" s="133">
        <v>8.39</v>
      </c>
      <c r="M7" s="138">
        <v>11.735</v>
      </c>
      <c r="O7" s="122"/>
      <c r="P7" s="122"/>
      <c r="Q7" s="198"/>
      <c r="R7" s="54"/>
      <c r="S7" s="54"/>
      <c r="T7" s="54"/>
      <c r="U7" s="54"/>
      <c r="V7" s="174"/>
      <c r="W7" s="54"/>
      <c r="X7" s="122"/>
    </row>
    <row r="8" spans="1:24" ht="12.75">
      <c r="A8" s="209"/>
      <c r="B8" s="125">
        <v>1</v>
      </c>
      <c r="C8" s="143">
        <v>8.4</v>
      </c>
      <c r="D8" s="136">
        <v>12.445</v>
      </c>
      <c r="E8" s="125">
        <v>2</v>
      </c>
      <c r="F8" s="143">
        <v>8.39</v>
      </c>
      <c r="G8" s="136">
        <v>11.925</v>
      </c>
      <c r="H8" s="125">
        <v>2</v>
      </c>
      <c r="I8" s="143">
        <v>8.39</v>
      </c>
      <c r="J8" s="136">
        <v>12.2</v>
      </c>
      <c r="K8" s="125">
        <v>1</v>
      </c>
      <c r="L8" s="143">
        <v>8.4</v>
      </c>
      <c r="M8" s="136">
        <v>11.76</v>
      </c>
      <c r="O8" s="122"/>
      <c r="P8" s="122"/>
      <c r="Q8" s="198"/>
      <c r="R8" s="54"/>
      <c r="S8" s="54"/>
      <c r="T8" s="54"/>
      <c r="U8" s="54"/>
      <c r="V8" s="54"/>
      <c r="W8" s="54"/>
      <c r="X8" s="122"/>
    </row>
    <row r="9" spans="1:24" ht="13.5" thickBot="1">
      <c r="A9" s="210"/>
      <c r="B9" s="128">
        <v>2</v>
      </c>
      <c r="C9" s="146">
        <v>8.39</v>
      </c>
      <c r="D9" s="137">
        <v>12.475</v>
      </c>
      <c r="E9" s="128">
        <v>1</v>
      </c>
      <c r="F9" s="146">
        <v>8.4</v>
      </c>
      <c r="G9" s="147">
        <v>11.9</v>
      </c>
      <c r="H9" s="126">
        <v>1</v>
      </c>
      <c r="I9" s="144">
        <v>8.4</v>
      </c>
      <c r="J9" s="147">
        <v>12.195</v>
      </c>
      <c r="K9" s="126">
        <v>2</v>
      </c>
      <c r="L9" s="144">
        <v>8.39</v>
      </c>
      <c r="M9" s="137">
        <v>11.73</v>
      </c>
      <c r="O9" s="54"/>
      <c r="P9" s="54"/>
      <c r="Q9" s="174"/>
      <c r="R9" s="54"/>
      <c r="S9" s="174"/>
      <c r="T9" s="174"/>
      <c r="U9" s="173"/>
      <c r="V9" s="174"/>
      <c r="W9" s="54"/>
      <c r="X9" s="122"/>
    </row>
    <row r="10" spans="1:24" ht="12.75">
      <c r="A10" s="208" t="s">
        <v>96</v>
      </c>
      <c r="B10" s="127">
        <v>2</v>
      </c>
      <c r="C10" s="145">
        <v>8.39</v>
      </c>
      <c r="D10" s="138">
        <v>11.69</v>
      </c>
      <c r="E10" s="127">
        <v>1</v>
      </c>
      <c r="F10" s="145">
        <v>8.4</v>
      </c>
      <c r="G10" s="138">
        <v>11.015</v>
      </c>
      <c r="H10" s="127">
        <v>2</v>
      </c>
      <c r="I10" s="145">
        <v>8.39</v>
      </c>
      <c r="J10" s="138">
        <v>11.445</v>
      </c>
      <c r="K10" s="127">
        <v>1</v>
      </c>
      <c r="L10" s="145">
        <v>8.4</v>
      </c>
      <c r="M10" s="138">
        <v>11.04</v>
      </c>
      <c r="O10" s="54"/>
      <c r="P10" s="54"/>
      <c r="Q10" s="122"/>
      <c r="R10" s="54"/>
      <c r="S10" s="122"/>
      <c r="T10" s="122"/>
      <c r="U10" s="200"/>
      <c r="V10" s="122"/>
      <c r="W10" s="194"/>
      <c r="X10" s="173"/>
    </row>
    <row r="11" spans="1:24" ht="12.75">
      <c r="A11" s="209"/>
      <c r="B11" s="125">
        <v>1</v>
      </c>
      <c r="C11" s="143">
        <v>8.4</v>
      </c>
      <c r="D11" s="136">
        <v>11.675</v>
      </c>
      <c r="E11" s="125">
        <v>2</v>
      </c>
      <c r="F11" s="143">
        <v>8.39</v>
      </c>
      <c r="G11" s="136">
        <v>11.01</v>
      </c>
      <c r="H11" s="125">
        <v>1</v>
      </c>
      <c r="I11" s="143">
        <v>8.4</v>
      </c>
      <c r="J11" s="136">
        <v>11.45</v>
      </c>
      <c r="K11" s="125">
        <v>2</v>
      </c>
      <c r="L11" s="143">
        <v>8.39</v>
      </c>
      <c r="M11" s="140">
        <v>11.025</v>
      </c>
      <c r="O11" s="54"/>
      <c r="P11" s="54"/>
      <c r="Q11" s="54"/>
      <c r="R11" s="54"/>
      <c r="S11" s="199"/>
      <c r="T11" s="199"/>
      <c r="U11" s="199"/>
      <c r="V11" s="201"/>
      <c r="W11" s="201"/>
      <c r="X11" s="173"/>
    </row>
    <row r="12" spans="1:24" ht="13.5" thickBot="1">
      <c r="A12" s="210"/>
      <c r="B12" s="126">
        <v>1</v>
      </c>
      <c r="C12" s="144">
        <v>8.4</v>
      </c>
      <c r="D12" s="137">
        <v>11.685</v>
      </c>
      <c r="E12" s="126">
        <v>1</v>
      </c>
      <c r="F12" s="144">
        <v>8.4</v>
      </c>
      <c r="G12" s="137">
        <v>11.015</v>
      </c>
      <c r="H12" s="126">
        <v>2</v>
      </c>
      <c r="I12" s="144">
        <v>8.39</v>
      </c>
      <c r="J12" s="137">
        <v>11.4</v>
      </c>
      <c r="K12" s="128">
        <v>1</v>
      </c>
      <c r="L12" s="146">
        <v>8.4</v>
      </c>
      <c r="M12" s="142">
        <v>11.03</v>
      </c>
      <c r="O12" s="54"/>
      <c r="P12" s="54"/>
      <c r="Q12" s="54"/>
      <c r="R12" s="54"/>
      <c r="S12" s="54"/>
      <c r="T12" s="122"/>
      <c r="U12" s="54"/>
      <c r="V12" s="201"/>
      <c r="W12" s="201"/>
      <c r="X12" s="173"/>
    </row>
    <row r="13" spans="1:24" ht="12.75">
      <c r="A13" s="208" t="s">
        <v>97</v>
      </c>
      <c r="B13" s="127">
        <v>1</v>
      </c>
      <c r="C13" s="145">
        <v>8.4</v>
      </c>
      <c r="D13" s="138">
        <v>11.225</v>
      </c>
      <c r="E13" s="127">
        <v>1</v>
      </c>
      <c r="F13" s="145">
        <v>8.4</v>
      </c>
      <c r="G13" s="138">
        <v>10.815</v>
      </c>
      <c r="H13" s="127">
        <v>1</v>
      </c>
      <c r="I13" s="145">
        <v>8.4</v>
      </c>
      <c r="J13" s="138">
        <v>11.065</v>
      </c>
      <c r="K13" s="127">
        <v>2</v>
      </c>
      <c r="L13" s="145">
        <v>8.39</v>
      </c>
      <c r="M13" s="134">
        <v>10.68</v>
      </c>
      <c r="O13" s="54"/>
      <c r="P13" s="54"/>
      <c r="Q13" s="54"/>
      <c r="R13" s="54"/>
      <c r="S13" s="122"/>
      <c r="T13" s="122"/>
      <c r="U13" s="54"/>
      <c r="V13" s="201"/>
      <c r="W13" s="201"/>
      <c r="X13" s="173"/>
    </row>
    <row r="14" spans="1:24" ht="12.75">
      <c r="A14" s="209"/>
      <c r="B14" s="125">
        <v>2</v>
      </c>
      <c r="C14" s="143">
        <v>8.39</v>
      </c>
      <c r="D14" s="136">
        <v>11.24</v>
      </c>
      <c r="E14" s="125">
        <v>2</v>
      </c>
      <c r="F14" s="143">
        <v>8.39</v>
      </c>
      <c r="G14" s="136">
        <v>10.79</v>
      </c>
      <c r="H14" s="125">
        <v>1</v>
      </c>
      <c r="I14" s="143">
        <v>8.4</v>
      </c>
      <c r="J14" s="136">
        <v>11.045</v>
      </c>
      <c r="K14" s="94">
        <v>1</v>
      </c>
      <c r="L14" s="135">
        <v>8.4</v>
      </c>
      <c r="M14" s="140">
        <v>10.67</v>
      </c>
      <c r="O14" s="54"/>
      <c r="P14" s="54"/>
      <c r="Q14" s="54"/>
      <c r="R14" s="54"/>
      <c r="S14" s="122"/>
      <c r="T14" s="122"/>
      <c r="U14" s="54"/>
      <c r="V14" s="201"/>
      <c r="W14" s="201"/>
      <c r="X14" s="173"/>
    </row>
    <row r="15" spans="1:24" ht="13.5" thickBot="1">
      <c r="A15" s="210"/>
      <c r="B15" s="126">
        <v>1</v>
      </c>
      <c r="C15" s="144">
        <v>8.4</v>
      </c>
      <c r="D15" s="137">
        <v>11.26</v>
      </c>
      <c r="E15" s="128">
        <v>1</v>
      </c>
      <c r="F15" s="146">
        <v>8.4</v>
      </c>
      <c r="G15" s="147">
        <v>10.835</v>
      </c>
      <c r="H15" s="128">
        <v>1</v>
      </c>
      <c r="I15" s="146">
        <v>8.4</v>
      </c>
      <c r="J15" s="141">
        <v>11.08</v>
      </c>
      <c r="K15" s="95">
        <v>2</v>
      </c>
      <c r="L15" s="139">
        <v>8.39</v>
      </c>
      <c r="M15" s="142">
        <v>10.675</v>
      </c>
      <c r="O15" s="54"/>
      <c r="P15" s="54"/>
      <c r="Q15" s="54"/>
      <c r="R15" s="54"/>
      <c r="S15" s="122"/>
      <c r="T15" s="122"/>
      <c r="U15" s="54"/>
      <c r="V15" s="201"/>
      <c r="W15" s="201"/>
      <c r="X15" s="173"/>
    </row>
    <row r="16" spans="1:24" ht="12.75">
      <c r="A16" s="208" t="s">
        <v>98</v>
      </c>
      <c r="B16" s="127">
        <v>1</v>
      </c>
      <c r="C16" s="145">
        <v>8.4</v>
      </c>
      <c r="D16" s="138">
        <v>10.995</v>
      </c>
      <c r="E16" s="127">
        <v>2</v>
      </c>
      <c r="F16" s="145">
        <v>8.39</v>
      </c>
      <c r="G16" s="138">
        <v>10.57</v>
      </c>
      <c r="H16" s="127">
        <v>2</v>
      </c>
      <c r="I16" s="145">
        <v>8.39</v>
      </c>
      <c r="J16" s="134">
        <v>10.835</v>
      </c>
      <c r="K16" s="127">
        <v>1</v>
      </c>
      <c r="L16" s="145">
        <v>8.4</v>
      </c>
      <c r="M16" s="134">
        <v>10.485</v>
      </c>
      <c r="O16" s="54"/>
      <c r="P16" s="54"/>
      <c r="Q16" s="54"/>
      <c r="R16" s="54"/>
      <c r="S16" s="122"/>
      <c r="T16" s="54"/>
      <c r="U16" s="54"/>
      <c r="V16" s="174"/>
      <c r="W16" s="54"/>
      <c r="X16" s="173"/>
    </row>
    <row r="17" spans="1:21" ht="12.75">
      <c r="A17" s="209"/>
      <c r="B17" s="125">
        <v>2</v>
      </c>
      <c r="C17" s="143">
        <v>8.39</v>
      </c>
      <c r="D17" s="136">
        <v>10.945</v>
      </c>
      <c r="E17" s="125">
        <v>1</v>
      </c>
      <c r="F17" s="143">
        <v>8.4</v>
      </c>
      <c r="G17" s="136">
        <v>10.62</v>
      </c>
      <c r="H17" s="94">
        <v>1</v>
      </c>
      <c r="I17" s="135">
        <v>8.4</v>
      </c>
      <c r="J17" s="140">
        <v>10.815</v>
      </c>
      <c r="K17" s="125">
        <v>2</v>
      </c>
      <c r="L17" s="143">
        <v>8.39</v>
      </c>
      <c r="M17" s="140">
        <v>10.47</v>
      </c>
      <c r="S17" s="183"/>
      <c r="T17" s="30"/>
      <c r="U17" s="30"/>
    </row>
    <row r="18" spans="1:13" ht="13.5" thickBot="1">
      <c r="A18" s="210"/>
      <c r="B18" s="128">
        <v>2</v>
      </c>
      <c r="C18" s="146">
        <v>8.39</v>
      </c>
      <c r="D18" s="142">
        <v>10.96</v>
      </c>
      <c r="E18" s="128">
        <v>2</v>
      </c>
      <c r="F18" s="146">
        <v>8.39</v>
      </c>
      <c r="G18" s="147">
        <v>10.585</v>
      </c>
      <c r="H18" s="95">
        <v>2</v>
      </c>
      <c r="I18" s="139">
        <v>8.39</v>
      </c>
      <c r="J18" s="142">
        <v>10.79</v>
      </c>
      <c r="K18" s="128">
        <v>1</v>
      </c>
      <c r="L18" s="146">
        <v>8.4</v>
      </c>
      <c r="M18" s="142">
        <v>10.475</v>
      </c>
    </row>
    <row r="20" spans="1:8" ht="12.75">
      <c r="A20" s="59" t="s">
        <v>14</v>
      </c>
      <c r="B20" s="63">
        <v>21</v>
      </c>
      <c r="C20" s="64"/>
      <c r="D20" s="64"/>
      <c r="H20" s="189"/>
    </row>
    <row r="21" spans="1:17" ht="12.75">
      <c r="A21" s="59" t="s">
        <v>77</v>
      </c>
      <c r="B21" s="211" t="s">
        <v>116</v>
      </c>
      <c r="C21" s="211"/>
      <c r="D21" s="211"/>
      <c r="O21" s="183"/>
      <c r="P21" s="183"/>
      <c r="Q21" s="59"/>
    </row>
    <row r="22" spans="1:17" ht="12.75">
      <c r="A22" s="59" t="s">
        <v>78</v>
      </c>
      <c r="B22" s="206">
        <v>41666</v>
      </c>
      <c r="C22" s="207"/>
      <c r="D22" s="207"/>
      <c r="L22" s="177"/>
      <c r="M22" s="177"/>
      <c r="N22" s="177"/>
      <c r="O22" s="184"/>
      <c r="P22" s="184"/>
      <c r="Q22" s="177"/>
    </row>
    <row r="23" spans="1:17" ht="12.75">
      <c r="A23" s="59" t="s">
        <v>76</v>
      </c>
      <c r="B23" s="63" t="s">
        <v>117</v>
      </c>
      <c r="C23" s="63"/>
      <c r="D23" s="63"/>
      <c r="H23" s="188"/>
      <c r="L23" s="177"/>
      <c r="M23" s="177"/>
      <c r="N23" s="177"/>
      <c r="O23" s="184"/>
      <c r="P23" s="184"/>
      <c r="Q23" s="177"/>
    </row>
    <row r="24" spans="2:17" ht="12.75">
      <c r="B24" s="64"/>
      <c r="C24" s="64"/>
      <c r="D24" s="64"/>
      <c r="L24" s="177"/>
      <c r="M24" s="177"/>
      <c r="N24" s="177"/>
      <c r="O24" s="184"/>
      <c r="P24" s="184"/>
      <c r="Q24" s="177"/>
    </row>
    <row r="25" spans="5:17" ht="12.75">
      <c r="E25" s="177"/>
      <c r="F25" s="177"/>
      <c r="G25" s="182"/>
      <c r="H25" s="188"/>
      <c r="I25" s="177"/>
      <c r="J25" s="177"/>
      <c r="L25" s="177"/>
      <c r="M25" s="177"/>
      <c r="N25" s="177"/>
      <c r="O25" s="184"/>
      <c r="P25" s="184"/>
      <c r="Q25" s="177"/>
    </row>
    <row r="26" spans="4:17" ht="12.75">
      <c r="D26" s="177"/>
      <c r="E26" s="177"/>
      <c r="F26" s="177"/>
      <c r="G26" s="182"/>
      <c r="I26" s="177"/>
      <c r="J26" s="177"/>
      <c r="K26" s="177"/>
      <c r="L26" s="177"/>
      <c r="M26" s="177"/>
      <c r="N26" s="177"/>
      <c r="O26" s="184"/>
      <c r="P26" s="184"/>
      <c r="Q26" s="177"/>
    </row>
    <row r="27" spans="2:16" ht="12.75">
      <c r="B27" s="177"/>
      <c r="C27" s="177"/>
      <c r="D27" s="177"/>
      <c r="E27" s="179"/>
      <c r="F27" s="179"/>
      <c r="G27" s="179"/>
      <c r="J27" s="190"/>
      <c r="K27" s="182"/>
      <c r="L27" s="180"/>
      <c r="M27" s="180"/>
      <c r="N27" s="180"/>
      <c r="O27" s="185"/>
      <c r="P27" s="186"/>
    </row>
    <row r="28" spans="4:16" ht="12.75">
      <c r="D28" s="196"/>
      <c r="E28" s="179"/>
      <c r="F28" s="179"/>
      <c r="G28" s="179"/>
      <c r="J28" s="178"/>
      <c r="L28" s="176"/>
      <c r="M28" s="176"/>
      <c r="N28" s="180"/>
      <c r="O28" s="185"/>
      <c r="P28" s="191"/>
    </row>
    <row r="29" spans="4:16" ht="12.75">
      <c r="D29" s="177"/>
      <c r="E29" s="179"/>
      <c r="F29" s="179"/>
      <c r="G29" s="179"/>
      <c r="J29" s="190"/>
      <c r="K29" s="182"/>
      <c r="L29" s="190"/>
      <c r="M29" s="190"/>
      <c r="N29" s="195"/>
      <c r="O29" s="185"/>
      <c r="P29" s="192"/>
    </row>
    <row r="30" spans="4:16" ht="12.75">
      <c r="D30" s="177"/>
      <c r="E30" s="179"/>
      <c r="F30" s="179"/>
      <c r="G30" s="179"/>
      <c r="J30" s="190"/>
      <c r="K30" s="182"/>
      <c r="L30" s="179"/>
      <c r="M30" s="193"/>
      <c r="N30" s="195"/>
      <c r="O30" s="185"/>
      <c r="P30" s="192"/>
    </row>
    <row r="31" spans="4:16" ht="12.75">
      <c r="D31" s="177"/>
      <c r="E31" s="179"/>
      <c r="F31" s="179"/>
      <c r="G31" s="179"/>
      <c r="J31" s="179"/>
      <c r="K31" s="182"/>
      <c r="L31" s="179"/>
      <c r="M31" s="193"/>
      <c r="N31" s="195"/>
      <c r="O31" s="185"/>
      <c r="P31" s="192"/>
    </row>
    <row r="32" spans="4:14" ht="12.75">
      <c r="D32" s="177"/>
      <c r="E32" s="179"/>
      <c r="F32" s="179"/>
      <c r="G32" s="179"/>
      <c r="H32" s="179"/>
      <c r="I32" s="182"/>
      <c r="J32" s="179"/>
      <c r="K32" s="193"/>
      <c r="L32" s="193"/>
      <c r="M32" s="182"/>
      <c r="N32" s="182"/>
    </row>
    <row r="33" spans="3:14" ht="12.75">
      <c r="C33" s="176"/>
      <c r="D33" s="179"/>
      <c r="E33" s="179"/>
      <c r="F33" s="179"/>
      <c r="G33" s="179"/>
      <c r="H33" s="179"/>
      <c r="I33" s="190"/>
      <c r="J33" s="179"/>
      <c r="K33" s="190"/>
      <c r="L33" s="182"/>
      <c r="M33" s="182"/>
      <c r="N33" s="182"/>
    </row>
    <row r="34" spans="3:15" ht="12.75">
      <c r="C34" s="176"/>
      <c r="D34" s="179"/>
      <c r="E34" s="179"/>
      <c r="F34" s="179"/>
      <c r="G34" s="179"/>
      <c r="H34" s="179"/>
      <c r="I34" s="190"/>
      <c r="J34" s="179"/>
      <c r="K34" s="190"/>
      <c r="L34" s="190"/>
      <c r="M34" s="190"/>
      <c r="N34" s="190"/>
      <c r="O34" s="181"/>
    </row>
    <row r="35" spans="3:15" ht="12.75">
      <c r="C35" s="176"/>
      <c r="D35" s="179"/>
      <c r="E35" s="177"/>
      <c r="F35" s="177"/>
      <c r="G35" s="177"/>
      <c r="H35" s="177"/>
      <c r="I35" s="190"/>
      <c r="J35" s="179"/>
      <c r="K35" s="190"/>
      <c r="L35" s="190"/>
      <c r="M35" s="190"/>
      <c r="N35" s="190"/>
      <c r="O35" s="181"/>
    </row>
    <row r="36" spans="3:15" ht="12.75">
      <c r="C36" s="176"/>
      <c r="D36" s="179"/>
      <c r="E36" s="179"/>
      <c r="F36" s="179"/>
      <c r="G36" s="179"/>
      <c r="H36" s="179"/>
      <c r="I36" s="190"/>
      <c r="J36" s="179"/>
      <c r="K36" s="190"/>
      <c r="L36" s="190"/>
      <c r="M36" s="190"/>
      <c r="N36" s="190"/>
      <c r="O36" s="181"/>
    </row>
    <row r="37" spans="3:15" ht="12.75">
      <c r="C37" s="176"/>
      <c r="D37" s="179"/>
      <c r="E37" s="179"/>
      <c r="F37" s="179"/>
      <c r="G37" s="179"/>
      <c r="H37" s="176"/>
      <c r="I37" s="176"/>
      <c r="J37" s="179"/>
      <c r="K37" s="179"/>
      <c r="L37" s="178"/>
      <c r="M37" s="179"/>
      <c r="N37" s="178"/>
      <c r="O37" s="187"/>
    </row>
    <row r="38" spans="3:15" ht="12.75">
      <c r="C38" s="176"/>
      <c r="D38" s="179"/>
      <c r="E38" s="179"/>
      <c r="F38" s="179"/>
      <c r="G38" s="179"/>
      <c r="H38" s="176"/>
      <c r="I38" s="176"/>
      <c r="J38" s="178"/>
      <c r="K38" s="179"/>
      <c r="L38" s="178"/>
      <c r="M38" s="179"/>
      <c r="N38" s="178"/>
      <c r="O38" s="187"/>
    </row>
    <row r="39" spans="3:15" ht="12.75">
      <c r="C39" s="176"/>
      <c r="D39" s="179"/>
      <c r="E39" s="179"/>
      <c r="F39" s="179"/>
      <c r="G39" s="179"/>
      <c r="H39" s="176"/>
      <c r="I39" s="176"/>
      <c r="J39" s="178"/>
      <c r="K39" s="179"/>
      <c r="L39" s="178"/>
      <c r="M39" s="179"/>
      <c r="N39" s="178"/>
      <c r="O39" s="187"/>
    </row>
    <row r="40" spans="3:15" ht="12.75">
      <c r="C40" s="176"/>
      <c r="D40" s="179"/>
      <c r="E40" s="179"/>
      <c r="F40" s="179"/>
      <c r="G40" s="179"/>
      <c r="H40" s="176"/>
      <c r="I40" s="176"/>
      <c r="J40" s="178"/>
      <c r="K40" s="179"/>
      <c r="L40" s="178"/>
      <c r="M40" s="179"/>
      <c r="N40" s="178"/>
      <c r="O40" s="187"/>
    </row>
    <row r="41" spans="3:15" ht="12.75">
      <c r="C41" s="176"/>
      <c r="D41" s="176"/>
      <c r="E41" s="176"/>
      <c r="F41" s="176"/>
      <c r="G41" s="176"/>
      <c r="H41" s="176"/>
      <c r="I41" s="176"/>
      <c r="J41" s="178"/>
      <c r="K41" s="179"/>
      <c r="L41" s="178"/>
      <c r="M41" s="179"/>
      <c r="N41" s="178"/>
      <c r="O41" s="187"/>
    </row>
    <row r="42" spans="3:15" ht="12.75">
      <c r="C42" s="176"/>
      <c r="D42" s="176"/>
      <c r="E42" s="176"/>
      <c r="F42" s="176"/>
      <c r="G42" s="176"/>
      <c r="H42" s="176"/>
      <c r="I42" s="176"/>
      <c r="O42" s="186"/>
    </row>
  </sheetData>
  <sheetProtection/>
  <mergeCells count="13">
    <mergeCell ref="B1:G1"/>
    <mergeCell ref="H1:M1"/>
    <mergeCell ref="B2:D2"/>
    <mergeCell ref="E2:G2"/>
    <mergeCell ref="H2:J2"/>
    <mergeCell ref="K2:M2"/>
    <mergeCell ref="B22:D22"/>
    <mergeCell ref="A4:A6"/>
    <mergeCell ref="A7:A9"/>
    <mergeCell ref="A10:A12"/>
    <mergeCell ref="A13:A15"/>
    <mergeCell ref="A16:A18"/>
    <mergeCell ref="B21:D2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90" zoomScaleNormal="90" zoomScalePageLayoutView="0" workbookViewId="0" topLeftCell="A8">
      <selection activeCell="O29" sqref="O29:P31"/>
    </sheetView>
  </sheetViews>
  <sheetFormatPr defaultColWidth="11.421875" defaultRowHeight="12.75"/>
  <cols>
    <col min="1" max="4" width="11.421875" style="59" customWidth="1"/>
    <col min="5" max="5" width="9.421875" style="59" customWidth="1"/>
    <col min="6" max="10" width="11.421875" style="59" customWidth="1"/>
    <col min="11" max="11" width="8.8515625" style="0" customWidth="1"/>
    <col min="12" max="12" width="5.7109375" style="59" bestFit="1" customWidth="1"/>
    <col min="13" max="13" width="3.00390625" style="59" bestFit="1" customWidth="1"/>
    <col min="14" max="14" width="4.421875" style="59" bestFit="1" customWidth="1"/>
    <col min="15" max="16" width="11.421875" style="59" customWidth="1"/>
    <col min="17" max="17" width="10.140625" style="59" customWidth="1"/>
    <col min="18" max="18" width="11.421875" style="59" customWidth="1"/>
    <col min="19" max="25" width="8.8515625" style="0" customWidth="1"/>
    <col min="26" max="16384" width="11.421875" style="59" customWidth="1"/>
  </cols>
  <sheetData>
    <row r="1" ht="18">
      <c r="A1" s="37" t="s">
        <v>73</v>
      </c>
    </row>
    <row r="2" ht="12.75">
      <c r="A2" s="15" t="s">
        <v>44</v>
      </c>
    </row>
    <row r="3" ht="12.75">
      <c r="A3" s="15" t="s">
        <v>40</v>
      </c>
    </row>
    <row r="4" ht="13.5" thickBot="1"/>
    <row r="5" spans="1:18" ht="27" customHeight="1" thickBot="1">
      <c r="A5" s="15" t="s">
        <v>3</v>
      </c>
      <c r="F5" s="96" t="str">
        <f>"Lot "&amp;'Correlation Raw Data'!B20</f>
        <v>Lot 21</v>
      </c>
      <c r="G5" s="97"/>
      <c r="L5" s="223" t="s">
        <v>102</v>
      </c>
      <c r="M5" s="224"/>
      <c r="N5" s="224"/>
      <c r="O5" s="77" t="s">
        <v>110</v>
      </c>
      <c r="P5" s="77" t="s">
        <v>111</v>
      </c>
      <c r="Q5" s="149" t="s">
        <v>113</v>
      </c>
      <c r="R5" s="78" t="s">
        <v>9</v>
      </c>
    </row>
    <row r="6" spans="1:18" ht="13.5" thickBot="1">
      <c r="A6" s="58"/>
      <c r="B6" s="235" t="s">
        <v>100</v>
      </c>
      <c r="C6" s="236"/>
      <c r="D6" s="236"/>
      <c r="E6" s="237"/>
      <c r="F6" s="235" t="s">
        <v>101</v>
      </c>
      <c r="G6" s="236"/>
      <c r="H6" s="236"/>
      <c r="I6" s="237"/>
      <c r="L6" s="225" t="s">
        <v>41</v>
      </c>
      <c r="M6" s="228">
        <v>15</v>
      </c>
      <c r="N6" s="68">
        <v>100</v>
      </c>
      <c r="O6" s="71">
        <f>I10</f>
        <v>0.5349355336095503</v>
      </c>
      <c r="P6" s="79">
        <f aca="true" t="shared" si="0" ref="P6:P25">IF(O6="","",O6*$P$30+$P$31)</f>
        <v>0.4652475747347298</v>
      </c>
      <c r="Q6" s="84">
        <f>B29</f>
        <v>0.459</v>
      </c>
      <c r="R6" s="88">
        <f>IF(O6="","",(Q6-P6)^2)</f>
        <v>3.9032190066033565E-05</v>
      </c>
    </row>
    <row r="7" spans="1:18" ht="13.5" thickBot="1">
      <c r="A7" s="58"/>
      <c r="B7" s="238" t="s">
        <v>91</v>
      </c>
      <c r="C7" s="239"/>
      <c r="D7" s="235" t="s">
        <v>92</v>
      </c>
      <c r="E7" s="237"/>
      <c r="F7" s="235" t="s">
        <v>91</v>
      </c>
      <c r="G7" s="237"/>
      <c r="H7" s="235" t="s">
        <v>92</v>
      </c>
      <c r="I7" s="237"/>
      <c r="L7" s="226"/>
      <c r="M7" s="229"/>
      <c r="N7" s="69">
        <v>200</v>
      </c>
      <c r="O7" s="72">
        <f>I13</f>
        <v>0.3989272943980929</v>
      </c>
      <c r="P7" s="80">
        <f t="shared" si="0"/>
        <v>0.3559101117066013</v>
      </c>
      <c r="Q7" s="85">
        <f>B30</f>
        <v>0.357</v>
      </c>
      <c r="R7" s="89">
        <f aca="true" t="shared" si="1" ref="R7:R25">IF(O7="","",(Q7-P7)^2)</f>
        <v>1.1878564920874818E-06</v>
      </c>
    </row>
    <row r="8" spans="1:18" ht="13.5" customHeight="1" thickBot="1">
      <c r="A8" s="58"/>
      <c r="B8" s="231" t="s">
        <v>99</v>
      </c>
      <c r="C8" s="233" t="s">
        <v>104</v>
      </c>
      <c r="D8" s="231" t="s">
        <v>99</v>
      </c>
      <c r="E8" s="233" t="s">
        <v>104</v>
      </c>
      <c r="F8" s="231" t="s">
        <v>99</v>
      </c>
      <c r="G8" s="233" t="s">
        <v>104</v>
      </c>
      <c r="H8" s="231" t="s">
        <v>99</v>
      </c>
      <c r="I8" s="233" t="s">
        <v>104</v>
      </c>
      <c r="L8" s="226"/>
      <c r="M8" s="229"/>
      <c r="N8" s="69">
        <v>350</v>
      </c>
      <c r="O8" s="72">
        <f>I16</f>
        <v>0.3138151049056888</v>
      </c>
      <c r="P8" s="80">
        <f t="shared" si="0"/>
        <v>0.28748814752397217</v>
      </c>
      <c r="Q8" s="85">
        <f>B31</f>
        <v>0.296</v>
      </c>
      <c r="R8" s="89">
        <f t="shared" si="1"/>
        <v>7.245163257366084E-05</v>
      </c>
    </row>
    <row r="9" spans="1:18" ht="13.5" thickBot="1">
      <c r="A9" s="148" t="s">
        <v>109</v>
      </c>
      <c r="B9" s="232"/>
      <c r="C9" s="234"/>
      <c r="D9" s="232"/>
      <c r="E9" s="234"/>
      <c r="F9" s="232"/>
      <c r="G9" s="234"/>
      <c r="H9" s="232"/>
      <c r="I9" s="234"/>
      <c r="L9" s="226"/>
      <c r="M9" s="229"/>
      <c r="N9" s="69">
        <v>500</v>
      </c>
      <c r="O9" s="72">
        <f>I19</f>
        <v>0.2718433698469455</v>
      </c>
      <c r="P9" s="80">
        <f t="shared" si="0"/>
        <v>0.2537469340738302</v>
      </c>
      <c r="Q9" s="85">
        <f>B32</f>
        <v>0.242</v>
      </c>
      <c r="R9" s="89">
        <f t="shared" si="1"/>
        <v>0.00013799046013491313</v>
      </c>
    </row>
    <row r="10" spans="1:18" ht="13.5" thickBot="1">
      <c r="A10" s="65" t="s">
        <v>94</v>
      </c>
      <c r="B10" s="113">
        <f>IF('Correlation Raw Data'!D4="","",('Correlation Raw Data'!D4-'Correlation Raw Data'!C4)/'Correlation Raw Data'!C4)</f>
        <v>0.6196428571428572</v>
      </c>
      <c r="C10" s="240">
        <f>IF(B10="","",AVERAGE(B10:B12))</f>
        <v>0.6210811718410049</v>
      </c>
      <c r="D10" s="114">
        <f>IF('Correlation Raw Data'!G4="","",('Correlation Raw Data'!G4-'Correlation Raw Data'!F4)/'Correlation Raw Data'!F4)</f>
        <v>0.5536352800953516</v>
      </c>
      <c r="E10" s="240">
        <f>IF(D10="","",AVERAGE(D10:D12))</f>
        <v>0.5510325027905479</v>
      </c>
      <c r="F10" s="114">
        <f>IF('Correlation Raw Data'!J4="","",('Correlation Raw Data'!J4-'Correlation Raw Data'!I4)/'Correlation Raw Data'!I4)</f>
        <v>0.6030989272943978</v>
      </c>
      <c r="G10" s="240">
        <f>IF(F10="","",AVERAGE(F10:F12))</f>
        <v>0.6012711183003195</v>
      </c>
      <c r="H10" s="114">
        <f>IF('Correlation Raw Data'!M4="","",('Correlation Raw Data'!M4-'Correlation Raw Data'!L4)/'Correlation Raw Data'!L4)</f>
        <v>0.531547619047619</v>
      </c>
      <c r="I10" s="240">
        <f>IF(H10="","",AVERAGE(H10:H12))</f>
        <v>0.5349355336095503</v>
      </c>
      <c r="L10" s="226"/>
      <c r="M10" s="230"/>
      <c r="N10" s="70">
        <v>650</v>
      </c>
      <c r="O10" s="73">
        <f>I22</f>
        <v>0.24771742626331417</v>
      </c>
      <c r="P10" s="83">
        <f t="shared" si="0"/>
        <v>0.23435201006122824</v>
      </c>
      <c r="Q10" s="86">
        <f>B33</f>
        <v>0.23</v>
      </c>
      <c r="R10" s="91">
        <f t="shared" si="1"/>
        <v>1.893999157303178E-05</v>
      </c>
    </row>
    <row r="11" spans="1:18" ht="12.75">
      <c r="A11" s="66"/>
      <c r="B11" s="115">
        <f>IF('Correlation Raw Data'!D5="","",('Correlation Raw Data'!D5-'Correlation Raw Data'!C5)/'Correlation Raw Data'!C5)</f>
        <v>0.6245530393325387</v>
      </c>
      <c r="C11" s="241"/>
      <c r="D11" s="115">
        <f>IF('Correlation Raw Data'!G5="","",('Correlation Raw Data'!G5-'Correlation Raw Data'!F5)/'Correlation Raw Data'!F5)</f>
        <v>0.5482717520858164</v>
      </c>
      <c r="E11" s="241"/>
      <c r="F11" s="115">
        <f>IF('Correlation Raw Data'!J5="","",('Correlation Raw Data'!J5-'Correlation Raw Data'!I5)/'Correlation Raw Data'!I5)</f>
        <v>0.6005952380952381</v>
      </c>
      <c r="G11" s="241"/>
      <c r="H11" s="115">
        <f>IF('Correlation Raw Data'!M5="","",('Correlation Raw Data'!M5-'Correlation Raw Data'!L5)/'Correlation Raw Data'!L5)</f>
        <v>0.537544696066746</v>
      </c>
      <c r="I11" s="241"/>
      <c r="L11" s="226"/>
      <c r="M11" s="228">
        <v>4</v>
      </c>
      <c r="N11" s="68">
        <v>100</v>
      </c>
      <c r="O11" s="71">
        <f>G10</f>
        <v>0.6012711183003195</v>
      </c>
      <c r="P11" s="79">
        <f t="shared" si="0"/>
        <v>0.5185749656385985</v>
      </c>
      <c r="Q11" s="84">
        <f>C29</f>
        <v>0.499</v>
      </c>
      <c r="R11" s="88">
        <f t="shared" si="1"/>
        <v>0.0003831792797523123</v>
      </c>
    </row>
    <row r="12" spans="1:18" ht="13.5" thickBot="1">
      <c r="A12" s="67"/>
      <c r="B12" s="116">
        <f>IF('Correlation Raw Data'!D6="","",('Correlation Raw Data'!D6-'Correlation Raw Data'!C6)/'Correlation Raw Data'!C6)</f>
        <v>0.619047619047619</v>
      </c>
      <c r="C12" s="117">
        <f>IF(B10="","",STDEV(B10:B12))</f>
        <v>0.0030214193695318726</v>
      </c>
      <c r="D12" s="116">
        <f>IF('Correlation Raw Data'!G6="","",('Correlation Raw Data'!G6-'Correlation Raw Data'!F6)/'Correlation Raw Data'!F6)</f>
        <v>0.551190476190476</v>
      </c>
      <c r="E12" s="117">
        <f>IF(D10="","",STDEV(D10:D12))</f>
        <v>0.0026852513613404624</v>
      </c>
      <c r="F12" s="116">
        <f>IF('Correlation Raw Data'!J6="","",('Correlation Raw Data'!J6-'Correlation Raw Data'!I6)/'Correlation Raw Data'!I6)</f>
        <v>0.6001191895113229</v>
      </c>
      <c r="G12" s="117">
        <f>IF(F10="","",STDEV(F10:F12))</f>
        <v>0.0016007247898020642</v>
      </c>
      <c r="H12" s="116">
        <f>IF('Correlation Raw Data'!M6="","",('Correlation Raw Data'!M6-'Correlation Raw Data'!L6)/'Correlation Raw Data'!L6)</f>
        <v>0.5357142857142857</v>
      </c>
      <c r="I12" s="117">
        <f>IF(H10="","",STDEV(H10:H12))</f>
        <v>0.0030734466521818277</v>
      </c>
      <c r="L12" s="226"/>
      <c r="M12" s="229"/>
      <c r="N12" s="69">
        <v>200</v>
      </c>
      <c r="O12" s="72">
        <f>G13</f>
        <v>0.454346869856405</v>
      </c>
      <c r="P12" s="80">
        <f t="shared" si="0"/>
        <v>0.4004620875121768</v>
      </c>
      <c r="Q12" s="85">
        <f>C30</f>
        <v>0.404</v>
      </c>
      <c r="R12" s="89">
        <f t="shared" si="1"/>
        <v>1.2516824771495363E-05</v>
      </c>
    </row>
    <row r="13" spans="1:18" ht="12.75">
      <c r="A13" s="65" t="s">
        <v>95</v>
      </c>
      <c r="B13" s="114">
        <f>IF('Correlation Raw Data'!D7="","",('Correlation Raw Data'!D7-'Correlation Raw Data'!C7)/'Correlation Raw Data'!C7)</f>
        <v>0.4827380952380952</v>
      </c>
      <c r="C13" s="240">
        <f>IF(B13="","",AVERAGE(B13:B15))</f>
        <v>0.48372495601339455</v>
      </c>
      <c r="D13" s="114">
        <f>IF('Correlation Raw Data'!G7="","",('Correlation Raw Data'!G7-'Correlation Raw Data'!F7)/'Correlation Raw Data'!F7)</f>
        <v>0.4184523809523808</v>
      </c>
      <c r="E13" s="240">
        <f>IF(D13="","",AVERAGE(D13:D15))</f>
        <v>0.4188179900486217</v>
      </c>
      <c r="F13" s="114">
        <f>IF('Correlation Raw Data'!J7="","",('Correlation Raw Data'!J7-'Correlation Raw Data'!I7)/'Correlation Raw Data'!I7)</f>
        <v>0.45714285714285713</v>
      </c>
      <c r="G13" s="240">
        <f>IF(F13="","",AVERAGE(F13:F15))</f>
        <v>0.454346869856405</v>
      </c>
      <c r="H13" s="114">
        <f>IF('Correlation Raw Data'!M7="","",('Correlation Raw Data'!M7-'Correlation Raw Data'!L7)/'Correlation Raw Data'!L7)</f>
        <v>0.3986889153754468</v>
      </c>
      <c r="I13" s="240">
        <f>IF(H13="","",AVERAGE(H13:H15))</f>
        <v>0.3989272943980929</v>
      </c>
      <c r="L13" s="226"/>
      <c r="M13" s="229"/>
      <c r="N13" s="69">
        <v>350</v>
      </c>
      <c r="O13" s="72">
        <f>G16</f>
        <v>0.3619932080897515</v>
      </c>
      <c r="P13" s="80">
        <f t="shared" si="0"/>
        <v>0.32621868036664026</v>
      </c>
      <c r="Q13" s="85">
        <f>C31</f>
        <v>0.331</v>
      </c>
      <c r="R13" s="89">
        <f t="shared" si="1"/>
        <v>2.2861017436351506E-05</v>
      </c>
    </row>
    <row r="14" spans="1:18" ht="12.75">
      <c r="A14" s="66"/>
      <c r="B14" s="115">
        <f>IF('Correlation Raw Data'!D8="","",('Correlation Raw Data'!D8-'Correlation Raw Data'!C8)/'Correlation Raw Data'!C8)</f>
        <v>0.481547619047619</v>
      </c>
      <c r="C14" s="241"/>
      <c r="D14" s="115">
        <f>IF('Correlation Raw Data'!G8="","",('Correlation Raw Data'!G8-'Correlation Raw Data'!F8)/'Correlation Raw Data'!F8)</f>
        <v>0.42133492252681765</v>
      </c>
      <c r="E14" s="241"/>
      <c r="F14" s="115">
        <f>IF('Correlation Raw Data'!J8="","",('Correlation Raw Data'!J8-'Correlation Raw Data'!I8)/'Correlation Raw Data'!I8)</f>
        <v>0.45411203814064344</v>
      </c>
      <c r="G14" s="241"/>
      <c r="H14" s="115">
        <f>IF('Correlation Raw Data'!M8="","",('Correlation Raw Data'!M8-'Correlation Raw Data'!L8)/'Correlation Raw Data'!L8)</f>
        <v>0.3999999999999999</v>
      </c>
      <c r="I14" s="241"/>
      <c r="L14" s="226"/>
      <c r="M14" s="229"/>
      <c r="N14" s="69">
        <v>500</v>
      </c>
      <c r="O14" s="72">
        <f>G19</f>
        <v>0.317063492063492</v>
      </c>
      <c r="P14" s="80">
        <f t="shared" si="0"/>
        <v>0.29009953645766134</v>
      </c>
      <c r="Q14" s="85">
        <f>C32</f>
        <v>0.287</v>
      </c>
      <c r="R14" s="89">
        <f t="shared" si="1"/>
        <v>9.607126252371975E-06</v>
      </c>
    </row>
    <row r="15" spans="1:18" ht="13.5" thickBot="1">
      <c r="A15" s="67"/>
      <c r="B15" s="116">
        <f>IF('Correlation Raw Data'!D9="","",('Correlation Raw Data'!D9-'Correlation Raw Data'!C9)/'Correlation Raw Data'!C9)</f>
        <v>0.48688915375446945</v>
      </c>
      <c r="C15" s="117">
        <f>IF(B13="","",STDEV(B13:B15))</f>
        <v>0.002804178827837182</v>
      </c>
      <c r="D15" s="116">
        <f>IF('Correlation Raw Data'!G9="","",('Correlation Raw Data'!G9-'Correlation Raw Data'!F9)/'Correlation Raw Data'!F9)</f>
        <v>0.41666666666666663</v>
      </c>
      <c r="E15" s="117">
        <f>IF(D13="","",STDEV(D13:D15))</f>
        <v>0.00235550540275312</v>
      </c>
      <c r="F15" s="116">
        <f>IF('Correlation Raw Data'!J9="","",('Correlation Raw Data'!J9-'Correlation Raw Data'!I9)/'Correlation Raw Data'!I9)</f>
        <v>0.45178571428571423</v>
      </c>
      <c r="G15" s="117">
        <f>IF(F13="","",STDEV(F13:F15))</f>
        <v>0.002686280765110918</v>
      </c>
      <c r="H15" s="116">
        <f>IF('Correlation Raw Data'!M9="","",('Correlation Raw Data'!M9-'Correlation Raw Data'!L9)/'Correlation Raw Data'!L9)</f>
        <v>0.3980929678188319</v>
      </c>
      <c r="I15" s="117">
        <f>IF(H13="","",STDEV(H13:H15))</f>
        <v>0.0009756081968858523</v>
      </c>
      <c r="L15" s="227"/>
      <c r="M15" s="230"/>
      <c r="N15" s="70">
        <v>650</v>
      </c>
      <c r="O15" s="73">
        <f>G22</f>
        <v>0.288324394119984</v>
      </c>
      <c r="P15" s="81">
        <f t="shared" si="0"/>
        <v>0.2669960827472234</v>
      </c>
      <c r="Q15" s="86">
        <f>C33</f>
        <v>0.264</v>
      </c>
      <c r="R15" s="90">
        <f t="shared" si="1"/>
        <v>8.976511828209747E-06</v>
      </c>
    </row>
    <row r="16" spans="1:18" ht="12.75">
      <c r="A16" s="65" t="s">
        <v>96</v>
      </c>
      <c r="B16" s="114">
        <f>IF('Correlation Raw Data'!D10="","",('Correlation Raw Data'!D10-'Correlation Raw Data'!C10)/'Correlation Raw Data'!C10)</f>
        <v>0.39332538736591166</v>
      </c>
      <c r="C16" s="240">
        <f>IF(B16="","",AVERAGE(B16:B18))</f>
        <v>0.39142592277276417</v>
      </c>
      <c r="D16" s="114">
        <f>IF('Correlation Raw Data'!G10="","",('Correlation Raw Data'!G10-'Correlation Raw Data'!F10)/'Correlation Raw Data'!F10)</f>
        <v>0.3113095238095238</v>
      </c>
      <c r="E16" s="240">
        <f>IF(D16="","",AVERAGE(D16:D18))</f>
        <v>0.31163185576177227</v>
      </c>
      <c r="F16" s="114">
        <f>IF('Correlation Raw Data'!J10="","",('Correlation Raw Data'!J10-'Correlation Raw Data'!I10)/'Correlation Raw Data'!I10)</f>
        <v>0.36412395709177586</v>
      </c>
      <c r="G16" s="240">
        <f>IF(F16="","",AVERAGE(F16:F18))</f>
        <v>0.3619932080897515</v>
      </c>
      <c r="H16" s="114">
        <f>IF('Correlation Raw Data'!M10="","",('Correlation Raw Data'!M10-'Correlation Raw Data'!L10)/'Correlation Raw Data'!L10)</f>
        <v>0.3142857142857141</v>
      </c>
      <c r="I16" s="240">
        <f>IF(H16="","",AVERAGE(H16:H18))</f>
        <v>0.3138151049056888</v>
      </c>
      <c r="L16" s="225" t="s">
        <v>42</v>
      </c>
      <c r="M16" s="228">
        <v>15</v>
      </c>
      <c r="N16" s="68">
        <v>100</v>
      </c>
      <c r="O16" s="71">
        <f>E10</f>
        <v>0.5510325027905479</v>
      </c>
      <c r="P16" s="79">
        <f t="shared" si="0"/>
        <v>0.4781879802785139</v>
      </c>
      <c r="Q16" s="84">
        <f>D29</f>
        <v>0.497</v>
      </c>
      <c r="R16" s="88">
        <f t="shared" si="1"/>
        <v>0.0003538920860015822</v>
      </c>
    </row>
    <row r="17" spans="1:18" ht="12.75">
      <c r="A17" s="66"/>
      <c r="B17" s="115">
        <f>IF('Correlation Raw Data'!D11="","",('Correlation Raw Data'!D11-'Correlation Raw Data'!C11)/'Correlation Raw Data'!C11)</f>
        <v>0.3898809523809524</v>
      </c>
      <c r="C17" s="241"/>
      <c r="D17" s="115">
        <f>IF('Correlation Raw Data'!G11="","",('Correlation Raw Data'!G11-'Correlation Raw Data'!F11)/'Correlation Raw Data'!F11)</f>
        <v>0.31227651966626924</v>
      </c>
      <c r="E17" s="241"/>
      <c r="F17" s="115">
        <f>IF('Correlation Raw Data'!J11="","",('Correlation Raw Data'!J11-'Correlation Raw Data'!I11)/'Correlation Raw Data'!I11)</f>
        <v>0.36309523809523797</v>
      </c>
      <c r="G17" s="241"/>
      <c r="H17" s="115">
        <f>IF('Correlation Raw Data'!M11="","",('Correlation Raw Data'!M11-'Correlation Raw Data'!L11)/'Correlation Raw Data'!L11)</f>
        <v>0.3140643623361144</v>
      </c>
      <c r="I17" s="241"/>
      <c r="L17" s="226"/>
      <c r="M17" s="229"/>
      <c r="N17" s="69">
        <v>200</v>
      </c>
      <c r="O17" s="72">
        <f>E13</f>
        <v>0.4188179900486217</v>
      </c>
      <c r="P17" s="80">
        <f t="shared" si="0"/>
        <v>0.3719003062190985</v>
      </c>
      <c r="Q17" s="85">
        <f>D30</f>
        <v>0.379</v>
      </c>
      <c r="R17" s="89">
        <f t="shared" si="1"/>
        <v>5.040565178257183E-05</v>
      </c>
    </row>
    <row r="18" spans="1:18" ht="13.5" customHeight="1" thickBot="1">
      <c r="A18" s="67"/>
      <c r="B18" s="116">
        <f>IF('Correlation Raw Data'!D12="","",('Correlation Raw Data'!D12-'Correlation Raw Data'!C12)/'Correlation Raw Data'!C12)</f>
        <v>0.39107142857142857</v>
      </c>
      <c r="C18" s="117">
        <f>IF(B16="","",STDEV(B16:B18))</f>
        <v>0.0017493663697145591</v>
      </c>
      <c r="D18" s="116">
        <f>IF('Correlation Raw Data'!G12="","",('Correlation Raw Data'!G12-'Correlation Raw Data'!F12)/'Correlation Raw Data'!F12)</f>
        <v>0.3113095238095238</v>
      </c>
      <c r="E18" s="117">
        <f>IF(D16="","",STDEV(D16:D18))</f>
        <v>0.0005582953181972227</v>
      </c>
      <c r="F18" s="116">
        <f>IF('Correlation Raw Data'!J12="","",('Correlation Raw Data'!J12-'Correlation Raw Data'!I12)/'Correlation Raw Data'!I12)</f>
        <v>0.3587604290822407</v>
      </c>
      <c r="G18" s="117">
        <f>IF(F16="","",STDEV(F16:F18))</f>
        <v>0.002846526089290488</v>
      </c>
      <c r="H18" s="116">
        <f>IF('Correlation Raw Data'!M12="","",('Correlation Raw Data'!M12-'Correlation Raw Data'!L12)/'Correlation Raw Data'!L12)</f>
        <v>0.313095238095238</v>
      </c>
      <c r="I18" s="117">
        <f>IF(H16="","",STDEV(H16:H18))</f>
        <v>0.0006331708616079927</v>
      </c>
      <c r="L18" s="226"/>
      <c r="M18" s="229"/>
      <c r="N18" s="69">
        <v>350</v>
      </c>
      <c r="O18" s="72">
        <f>E16</f>
        <v>0.31163185576177227</v>
      </c>
      <c r="P18" s="80">
        <f t="shared" si="0"/>
        <v>0.28573302648176063</v>
      </c>
      <c r="Q18" s="85">
        <f>D31</f>
        <v>0.307</v>
      </c>
      <c r="R18" s="89">
        <f t="shared" si="1"/>
        <v>0.00045228416262549435</v>
      </c>
    </row>
    <row r="19" spans="1:18" ht="12.75">
      <c r="A19" s="65" t="s">
        <v>97</v>
      </c>
      <c r="B19" s="114">
        <f>IF('Correlation Raw Data'!D13="","",('Correlation Raw Data'!D13-'Correlation Raw Data'!C13)/'Correlation Raw Data'!C13)</f>
        <v>0.3363095238095237</v>
      </c>
      <c r="C19" s="240">
        <f>IF(B19="","",AVERAGE(B19:B21))</f>
        <v>0.33882527385209144</v>
      </c>
      <c r="D19" s="114">
        <f>IF('Correlation Raw Data'!G13="","",('Correlation Raw Data'!G13-'Correlation Raw Data'!F13)/'Correlation Raw Data'!F13)</f>
        <v>0.28749999999999987</v>
      </c>
      <c r="E19" s="240">
        <f>IF(D19="","",AVERAGE(D19:D21))</f>
        <v>0.28781192651872023</v>
      </c>
      <c r="F19" s="114">
        <f>IF('Correlation Raw Data'!J13="","",('Correlation Raw Data'!J13-'Correlation Raw Data'!I13)/'Correlation Raw Data'!I13)</f>
        <v>0.31726190476190463</v>
      </c>
      <c r="G19" s="240">
        <f>IF(F19="","",AVERAGE(F19:F21))</f>
        <v>0.317063492063492</v>
      </c>
      <c r="H19" s="114">
        <f>IF('Correlation Raw Data'!M13="","",('Correlation Raw Data'!M13-'Correlation Raw Data'!L13)/'Correlation Raw Data'!L13)</f>
        <v>0.2729439809296781</v>
      </c>
      <c r="I19" s="240">
        <f>IF(H19="","",AVERAGE(H19:H21))</f>
        <v>0.2718433698469455</v>
      </c>
      <c r="L19" s="226"/>
      <c r="M19" s="229"/>
      <c r="N19" s="69">
        <v>500</v>
      </c>
      <c r="O19" s="74">
        <f>E19</f>
        <v>0.28781192651872023</v>
      </c>
      <c r="P19" s="80">
        <f t="shared" si="0"/>
        <v>0.2665841083864704</v>
      </c>
      <c r="Q19" s="85">
        <f>D32</f>
        <v>0.255</v>
      </c>
      <c r="R19" s="89">
        <f t="shared" si="1"/>
        <v>0.0001341915671094937</v>
      </c>
    </row>
    <row r="20" spans="1:18" ht="13.5" thickBot="1">
      <c r="A20" s="66"/>
      <c r="B20" s="115">
        <f>IF('Correlation Raw Data'!D14="","",('Correlation Raw Data'!D14-'Correlation Raw Data'!C14)/'Correlation Raw Data'!C14)</f>
        <v>0.33969010727056015</v>
      </c>
      <c r="C20" s="241"/>
      <c r="D20" s="115">
        <f>IF('Correlation Raw Data'!G14="","",('Correlation Raw Data'!G14-'Correlation Raw Data'!F14)/'Correlation Raw Data'!F14)</f>
        <v>0.2860548271752084</v>
      </c>
      <c r="E20" s="241"/>
      <c r="F20" s="115">
        <f>IF('Correlation Raw Data'!J14="","",('Correlation Raw Data'!J14-'Correlation Raw Data'!I14)/'Correlation Raw Data'!I14)</f>
        <v>0.3148809523809523</v>
      </c>
      <c r="G20" s="241"/>
      <c r="H20" s="115">
        <f>IF('Correlation Raw Data'!M14="","",('Correlation Raw Data'!M14-'Correlation Raw Data'!L14)/'Correlation Raw Data'!L14)</f>
        <v>0.27023809523809517</v>
      </c>
      <c r="I20" s="241"/>
      <c r="L20" s="226"/>
      <c r="M20" s="230"/>
      <c r="N20" s="70">
        <v>650</v>
      </c>
      <c r="O20" s="73">
        <f>E22</f>
        <v>0.2619132754412849</v>
      </c>
      <c r="P20" s="81">
        <f t="shared" si="0"/>
        <v>0.24576409909089425</v>
      </c>
      <c r="Q20" s="86">
        <f>D33</f>
        <v>0.241</v>
      </c>
      <c r="R20" s="90">
        <f t="shared" si="1"/>
        <v>2.2696640147859496E-05</v>
      </c>
    </row>
    <row r="21" spans="1:18" ht="13.5" thickBot="1">
      <c r="A21" s="67"/>
      <c r="B21" s="116">
        <f>IF('Correlation Raw Data'!D15="","",('Correlation Raw Data'!D15-'Correlation Raw Data'!C15)/'Correlation Raw Data'!C15)</f>
        <v>0.3404761904761904</v>
      </c>
      <c r="C21" s="117">
        <f>IF(B19="","",STDEV(B19:B21))</f>
        <v>0.0022138722657490837</v>
      </c>
      <c r="D21" s="116">
        <f>IF('Correlation Raw Data'!G15="","",('Correlation Raw Data'!G15-'Correlation Raw Data'!F15)/'Correlation Raw Data'!F15)</f>
        <v>0.2898809523809524</v>
      </c>
      <c r="E21" s="117">
        <f>IF(D19="","",STDEV(D19:D21))</f>
        <v>0.0019320409253735097</v>
      </c>
      <c r="F21" s="116">
        <f>IF('Correlation Raw Data'!J15="","",('Correlation Raw Data'!J15-'Correlation Raw Data'!I15)/'Correlation Raw Data'!I15)</f>
        <v>0.319047619047619</v>
      </c>
      <c r="G21" s="117">
        <f>IF(F19="","",STDEV(F19:F21))</f>
        <v>0.002090407490645401</v>
      </c>
      <c r="H21" s="116">
        <f>IF('Correlation Raw Data'!M15="","",('Correlation Raw Data'!M15-'Correlation Raw Data'!L15)/'Correlation Raw Data'!L15)</f>
        <v>0.2723480333730632</v>
      </c>
      <c r="I21" s="117">
        <f>IF(H19="","",STDEV(H19:H21))</f>
        <v>0.0014217834926329186</v>
      </c>
      <c r="L21" s="226"/>
      <c r="M21" s="228">
        <v>4</v>
      </c>
      <c r="N21" s="75">
        <v>100</v>
      </c>
      <c r="O21" s="76">
        <f>C10</f>
        <v>0.6210811718410049</v>
      </c>
      <c r="P21" s="82">
        <f t="shared" si="0"/>
        <v>0.5345003316983884</v>
      </c>
      <c r="Q21" s="87">
        <f>E29</f>
        <v>0.528</v>
      </c>
      <c r="R21" s="92">
        <f t="shared" si="1"/>
        <v>4.225431218907267E-05</v>
      </c>
    </row>
    <row r="22" spans="1:18" ht="12.75">
      <c r="A22" s="65" t="s">
        <v>98</v>
      </c>
      <c r="B22" s="114">
        <f>IF('Correlation Raw Data'!D16="","",('Correlation Raw Data'!D16-'Correlation Raw Data'!C16)/'Correlation Raw Data'!C16)</f>
        <v>0.3089285714285713</v>
      </c>
      <c r="C22" s="240">
        <f>IF(B22="","",AVERAGE(B22:B24))</f>
        <v>0.3065916056529882</v>
      </c>
      <c r="D22" s="114">
        <f>IF('Correlation Raw Data'!G16="","",('Correlation Raw Data'!G16-'Correlation Raw Data'!F16)/'Correlation Raw Data'!F16)</f>
        <v>0.25983313468414776</v>
      </c>
      <c r="E22" s="240">
        <f>IF(D22="","",AVERAGE(D22:D24))</f>
        <v>0.2619132754412849</v>
      </c>
      <c r="F22" s="114">
        <f>IF('Correlation Raw Data'!J16="","",('Correlation Raw Data'!J16-'Correlation Raw Data'!I16)/'Correlation Raw Data'!I16)</f>
        <v>0.29141835518474374</v>
      </c>
      <c r="G22" s="240">
        <f>IF(F22="","",AVERAGE(F22:F24))</f>
        <v>0.288324394119984</v>
      </c>
      <c r="H22" s="114">
        <f>IF('Correlation Raw Data'!M16="","",('Correlation Raw Data'!M16-'Correlation Raw Data'!L16)/'Correlation Raw Data'!L16)</f>
        <v>0.24821428571428558</v>
      </c>
      <c r="I22" s="240">
        <f>IF(H22="","",AVERAGE(H22:H24))</f>
        <v>0.24771742626331417</v>
      </c>
      <c r="L22" s="226"/>
      <c r="M22" s="229"/>
      <c r="N22" s="69">
        <v>200</v>
      </c>
      <c r="O22" s="72">
        <f>C13</f>
        <v>0.48372495601339455</v>
      </c>
      <c r="P22" s="80">
        <f t="shared" si="0"/>
        <v>0.4240792259123954</v>
      </c>
      <c r="Q22" s="85">
        <f>E30</f>
        <v>0.431</v>
      </c>
      <c r="R22" s="89">
        <f t="shared" si="1"/>
        <v>4.789711397165941E-05</v>
      </c>
    </row>
    <row r="23" spans="1:18" ht="12.75">
      <c r="A23" s="66"/>
      <c r="B23" s="115">
        <f>IF('Correlation Raw Data'!D17="","",('Correlation Raw Data'!D17-'Correlation Raw Data'!C17)/'Correlation Raw Data'!C17)</f>
        <v>0.30452920143027407</v>
      </c>
      <c r="C23" s="241"/>
      <c r="D23" s="115">
        <f>IF('Correlation Raw Data'!G17="","",('Correlation Raw Data'!G17-'Correlation Raw Data'!F17)/'Correlation Raw Data'!F17)</f>
        <v>0.2642857142857141</v>
      </c>
      <c r="E23" s="242"/>
      <c r="F23" s="115">
        <f>IF('Correlation Raw Data'!J17="","",('Correlation Raw Data'!J17-'Correlation Raw Data'!I17)/'Correlation Raw Data'!I17)</f>
        <v>0.28749999999999987</v>
      </c>
      <c r="G23" s="242"/>
      <c r="H23" s="115">
        <f>IF('Correlation Raw Data'!M17="","",('Correlation Raw Data'!M17-'Correlation Raw Data'!L17)/'Correlation Raw Data'!L17)</f>
        <v>0.24791418355184744</v>
      </c>
      <c r="I23" s="242"/>
      <c r="L23" s="226"/>
      <c r="M23" s="229"/>
      <c r="N23" s="69">
        <v>350</v>
      </c>
      <c r="O23" s="72">
        <f>C16</f>
        <v>0.39142592277276417</v>
      </c>
      <c r="P23" s="80">
        <f t="shared" si="0"/>
        <v>0.3498797348154671</v>
      </c>
      <c r="Q23" s="85">
        <f>E31</f>
        <v>0.358</v>
      </c>
      <c r="R23" s="89">
        <f t="shared" si="1"/>
        <v>6.59387066671372E-05</v>
      </c>
    </row>
    <row r="24" spans="1:18" ht="13.5" thickBot="1">
      <c r="A24" s="67"/>
      <c r="B24" s="116">
        <f>IF('Correlation Raw Data'!D18="","",('Correlation Raw Data'!D18-'Correlation Raw Data'!C18)/'Correlation Raw Data'!C18)</f>
        <v>0.30631704410011923</v>
      </c>
      <c r="C24" s="117">
        <f>IF(B22="","",STDEV(B22:B24))</f>
        <v>0.0022124990689748906</v>
      </c>
      <c r="D24" s="116">
        <f>IF('Correlation Raw Data'!G18="","",('Correlation Raw Data'!G18-'Correlation Raw Data'!F18)/'Correlation Raw Data'!F18)</f>
        <v>0.26162097735399287</v>
      </c>
      <c r="E24" s="117">
        <f>IF(D22="","",STDEV(D22:D24))</f>
        <v>0.002240634933662145</v>
      </c>
      <c r="F24" s="116">
        <f>IF('Correlation Raw Data'!J18="","",('Correlation Raw Data'!J18-'Correlation Raw Data'!I18)/'Correlation Raw Data'!I18)</f>
        <v>0.2860548271752084</v>
      </c>
      <c r="G24" s="117">
        <f>IF(F22="","",STDEV(F22:F24))</f>
        <v>0.0027751716029942733</v>
      </c>
      <c r="H24" s="116">
        <f>IF('Correlation Raw Data'!M18="","",('Correlation Raw Data'!M18-'Correlation Raw Data'!L18)/'Correlation Raw Data'!L18)</f>
        <v>0.24702380952380942</v>
      </c>
      <c r="I24" s="117">
        <f>IF(H22="","",STDEV(H22:H24))</f>
        <v>0.0006191473677291104</v>
      </c>
      <c r="L24" s="226"/>
      <c r="M24" s="229"/>
      <c r="N24" s="69">
        <v>500</v>
      </c>
      <c r="O24" s="72">
        <f>C19</f>
        <v>0.33882527385209144</v>
      </c>
      <c r="P24" s="80">
        <f t="shared" si="0"/>
        <v>0.3075939031631804</v>
      </c>
      <c r="Q24" s="85">
        <f>E32</f>
        <v>0.3</v>
      </c>
      <c r="R24" s="89">
        <f t="shared" si="1"/>
        <v>5.7667365251761686E-05</v>
      </c>
    </row>
    <row r="25" spans="12:18" ht="13.5" thickBot="1">
      <c r="L25" s="227"/>
      <c r="M25" s="230"/>
      <c r="N25" s="70">
        <v>650</v>
      </c>
      <c r="O25" s="73">
        <f>C22</f>
        <v>0.3065916056529882</v>
      </c>
      <c r="P25" s="81">
        <f t="shared" si="0"/>
        <v>0.2816811531311697</v>
      </c>
      <c r="Q25" s="86">
        <f>E33</f>
        <v>0.28</v>
      </c>
      <c r="R25" s="90">
        <f t="shared" si="1"/>
        <v>2.8262758504416093E-06</v>
      </c>
    </row>
    <row r="26" spans="1:18" ht="14.25">
      <c r="A26" s="15" t="s">
        <v>13</v>
      </c>
      <c r="B26" s="15"/>
      <c r="C26" s="15"/>
      <c r="D26" s="15"/>
      <c r="E26" s="15"/>
      <c r="G26" s="15" t="s">
        <v>118</v>
      </c>
      <c r="H26" s="15"/>
      <c r="I26" s="15"/>
      <c r="J26" s="15"/>
      <c r="K26" s="15"/>
      <c r="N26" s="15"/>
      <c r="O26" s="15"/>
      <c r="P26" s="27"/>
      <c r="Q26" s="28" t="s">
        <v>43</v>
      </c>
      <c r="R26" s="20">
        <f>SQRT(SUM(R6:R25)/(COUNT(R6:R25)-2))</f>
        <v>0.010373033340985499</v>
      </c>
    </row>
    <row r="27" spans="1:11" ht="13.5" customHeight="1">
      <c r="A27" s="19"/>
      <c r="B27" s="221" t="s">
        <v>4</v>
      </c>
      <c r="C27" s="222"/>
      <c r="D27" s="221" t="s">
        <v>5</v>
      </c>
      <c r="E27" s="222"/>
      <c r="G27" s="19"/>
      <c r="H27" s="221" t="s">
        <v>4</v>
      </c>
      <c r="I27" s="222"/>
      <c r="J27" s="221" t="s">
        <v>5</v>
      </c>
      <c r="K27" s="222"/>
    </row>
    <row r="28" spans="1:15" ht="26.25" thickBot="1">
      <c r="A28" s="17" t="s">
        <v>2</v>
      </c>
      <c r="B28" s="19" t="s">
        <v>0</v>
      </c>
      <c r="C28" s="19" t="s">
        <v>1</v>
      </c>
      <c r="D28" s="19" t="s">
        <v>0</v>
      </c>
      <c r="E28" s="19" t="s">
        <v>1</v>
      </c>
      <c r="G28" s="17" t="s">
        <v>2</v>
      </c>
      <c r="H28" s="19" t="s">
        <v>0</v>
      </c>
      <c r="I28" s="19" t="s">
        <v>1</v>
      </c>
      <c r="J28" s="19" t="s">
        <v>0</v>
      </c>
      <c r="K28" s="19" t="s">
        <v>1</v>
      </c>
      <c r="O28" s="59" t="s">
        <v>112</v>
      </c>
    </row>
    <row r="29" spans="1:16" ht="15">
      <c r="A29" s="17">
        <v>100</v>
      </c>
      <c r="B29" s="18">
        <v>0.459</v>
      </c>
      <c r="C29" s="18">
        <v>0.499</v>
      </c>
      <c r="D29" s="18">
        <v>0.497</v>
      </c>
      <c r="E29" s="18">
        <v>0.528</v>
      </c>
      <c r="G29" s="17">
        <v>100</v>
      </c>
      <c r="H29" s="18">
        <f>I10</f>
        <v>0.5349355336095503</v>
      </c>
      <c r="I29" s="18">
        <f>G10</f>
        <v>0.6012711183003195</v>
      </c>
      <c r="J29" s="18">
        <f>E10</f>
        <v>0.5510325027905479</v>
      </c>
      <c r="K29" s="18">
        <f>C10</f>
        <v>0.6210811718410049</v>
      </c>
      <c r="O29" s="21" t="s">
        <v>6</v>
      </c>
      <c r="P29" s="22"/>
    </row>
    <row r="30" spans="1:16" ht="15">
      <c r="A30" s="17">
        <v>200</v>
      </c>
      <c r="B30" s="18">
        <v>0.357</v>
      </c>
      <c r="C30" s="18">
        <v>0.404</v>
      </c>
      <c r="D30" s="18">
        <v>0.379</v>
      </c>
      <c r="E30" s="18">
        <v>0.431</v>
      </c>
      <c r="G30" s="17">
        <v>200</v>
      </c>
      <c r="H30" s="18">
        <f>I13</f>
        <v>0.3989272943980929</v>
      </c>
      <c r="I30" s="18">
        <f>G13</f>
        <v>0.454346869856405</v>
      </c>
      <c r="J30" s="18">
        <f>E13</f>
        <v>0.4188179900486217</v>
      </c>
      <c r="K30" s="18">
        <f>C13</f>
        <v>0.48372495601339455</v>
      </c>
      <c r="O30" s="23" t="s">
        <v>7</v>
      </c>
      <c r="P30" s="24">
        <f>IF(O6="","",SLOPE(Q6:Q25,O6:O25))</f>
        <v>0.8039032316133232</v>
      </c>
    </row>
    <row r="31" spans="1:16" ht="15.75" thickBot="1">
      <c r="A31" s="17">
        <v>350</v>
      </c>
      <c r="B31" s="18">
        <v>0.296</v>
      </c>
      <c r="C31" s="18">
        <v>0.331</v>
      </c>
      <c r="D31" s="18">
        <v>0.307</v>
      </c>
      <c r="E31" s="18">
        <v>0.358</v>
      </c>
      <c r="G31" s="17">
        <v>350</v>
      </c>
      <c r="H31" s="18">
        <f>I16</f>
        <v>0.3138151049056888</v>
      </c>
      <c r="I31" s="18">
        <f>G16</f>
        <v>0.3619932080897515</v>
      </c>
      <c r="J31" s="18">
        <f>E16</f>
        <v>0.31163185576177227</v>
      </c>
      <c r="K31" s="18">
        <f>C16</f>
        <v>0.39142592277276417</v>
      </c>
      <c r="O31" s="25" t="s">
        <v>8</v>
      </c>
      <c r="P31" s="26">
        <f>IF(O6="","",INTERCEPT(Q6:Q25,O6:O25))</f>
        <v>0.035211170561214866</v>
      </c>
    </row>
    <row r="32" spans="1:11" ht="12.75">
      <c r="A32" s="17">
        <v>500</v>
      </c>
      <c r="B32" s="18">
        <v>0.242</v>
      </c>
      <c r="C32" s="18">
        <v>0.287</v>
      </c>
      <c r="D32" s="18">
        <v>0.255</v>
      </c>
      <c r="E32" s="18">
        <v>0.3</v>
      </c>
      <c r="G32" s="17">
        <v>500</v>
      </c>
      <c r="H32" s="18">
        <f>I19</f>
        <v>0.2718433698469455</v>
      </c>
      <c r="I32" s="18">
        <f>G19</f>
        <v>0.317063492063492</v>
      </c>
      <c r="J32" s="18">
        <f>E19</f>
        <v>0.28781192651872023</v>
      </c>
      <c r="K32" s="18">
        <f>C19</f>
        <v>0.33882527385209144</v>
      </c>
    </row>
    <row r="33" spans="1:11" ht="12.75">
      <c r="A33" s="31">
        <v>650</v>
      </c>
      <c r="B33" s="32">
        <v>0.23</v>
      </c>
      <c r="C33" s="32">
        <v>0.264</v>
      </c>
      <c r="D33" s="32">
        <v>0.241</v>
      </c>
      <c r="E33" s="32">
        <v>0.28</v>
      </c>
      <c r="G33" s="31">
        <v>650</v>
      </c>
      <c r="H33" s="32">
        <f>I22</f>
        <v>0.24771742626331417</v>
      </c>
      <c r="I33" s="32">
        <f>G22</f>
        <v>0.288324394119984</v>
      </c>
      <c r="J33" s="32">
        <f>E22</f>
        <v>0.2619132754412849</v>
      </c>
      <c r="K33" s="32">
        <f>C22</f>
        <v>0.3065916056529882</v>
      </c>
    </row>
    <row r="34" spans="1:11" ht="12.75">
      <c r="A34" s="16" t="s">
        <v>57</v>
      </c>
      <c r="B34" s="16"/>
      <c r="D34" s="16"/>
      <c r="E34" s="16"/>
      <c r="G34" s="16" t="s">
        <v>57</v>
      </c>
      <c r="H34" s="16"/>
      <c r="J34" s="16"/>
      <c r="K34" s="16"/>
    </row>
  </sheetData>
  <sheetProtection/>
  <mergeCells count="45">
    <mergeCell ref="I19:I20"/>
    <mergeCell ref="I8:I9"/>
    <mergeCell ref="H8:H9"/>
    <mergeCell ref="E8:E9"/>
    <mergeCell ref="G13:G14"/>
    <mergeCell ref="I13:I14"/>
    <mergeCell ref="C22:C23"/>
    <mergeCell ref="E22:E23"/>
    <mergeCell ref="G22:G23"/>
    <mergeCell ref="I22:I23"/>
    <mergeCell ref="G16:G17"/>
    <mergeCell ref="E16:E17"/>
    <mergeCell ref="I16:I17"/>
    <mergeCell ref="C19:C20"/>
    <mergeCell ref="E19:E20"/>
    <mergeCell ref="G19:G20"/>
    <mergeCell ref="H7:I7"/>
    <mergeCell ref="C16:C17"/>
    <mergeCell ref="C10:C11"/>
    <mergeCell ref="E10:E11"/>
    <mergeCell ref="G10:G11"/>
    <mergeCell ref="I10:I11"/>
    <mergeCell ref="C13:C14"/>
    <mergeCell ref="E13:E14"/>
    <mergeCell ref="G8:G9"/>
    <mergeCell ref="B8:B9"/>
    <mergeCell ref="C8:C9"/>
    <mergeCell ref="D8:D9"/>
    <mergeCell ref="F8:F9"/>
    <mergeCell ref="H27:I27"/>
    <mergeCell ref="B6:E6"/>
    <mergeCell ref="F6:I6"/>
    <mergeCell ref="B7:C7"/>
    <mergeCell ref="D7:E7"/>
    <mergeCell ref="F7:G7"/>
    <mergeCell ref="J27:K27"/>
    <mergeCell ref="L5:N5"/>
    <mergeCell ref="L6:L15"/>
    <mergeCell ref="M6:M10"/>
    <mergeCell ref="M11:M15"/>
    <mergeCell ref="B27:C27"/>
    <mergeCell ref="D27:E27"/>
    <mergeCell ref="L16:L25"/>
    <mergeCell ref="M16:M20"/>
    <mergeCell ref="M21:M25"/>
  </mergeCells>
  <printOptions/>
  <pageMargins left="0.7" right="0.7" top="0.75" bottom="0.75" header="0.3" footer="0.3"/>
  <pageSetup orientation="portrait" paperSize="9"/>
  <ignoredErrors>
    <ignoredError sqref="D11:H24 D10 F10:H10" formula="1"/>
    <ignoredError sqref="P11:R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="80" zoomScaleNormal="80" zoomScalePageLayoutView="0" workbookViewId="0" topLeftCell="A1">
      <selection activeCell="H1" sqref="H1"/>
    </sheetView>
  </sheetViews>
  <sheetFormatPr defaultColWidth="8.8515625" defaultRowHeight="12.75"/>
  <cols>
    <col min="1" max="1" width="2.8515625" style="0" customWidth="1"/>
    <col min="2" max="2" width="11.28125" style="0" bestFit="1" customWidth="1"/>
    <col min="3" max="3" width="10.140625" style="0" bestFit="1" customWidth="1"/>
    <col min="4" max="4" width="11.28125" style="0" customWidth="1"/>
    <col min="5" max="5" width="16.28125" style="0" customWidth="1"/>
    <col min="6" max="6" width="9.140625" style="0" customWidth="1"/>
    <col min="7" max="7" width="16.140625" style="0" customWidth="1"/>
    <col min="8" max="8" width="12.421875" style="0" bestFit="1" customWidth="1"/>
    <col min="9" max="9" width="7.00390625" style="0" customWidth="1"/>
    <col min="10" max="10" width="16.421875" style="0" bestFit="1" customWidth="1"/>
    <col min="11" max="11" width="12.00390625" style="0" bestFit="1" customWidth="1"/>
    <col min="12" max="12" width="19.421875" style="0" bestFit="1" customWidth="1"/>
    <col min="13" max="13" width="15.421875" style="0" customWidth="1"/>
    <col min="14" max="14" width="6.7109375" style="0" bestFit="1" customWidth="1"/>
    <col min="15" max="15" width="21.140625" style="0" customWidth="1"/>
    <col min="16" max="16" width="12.421875" style="0" bestFit="1" customWidth="1"/>
    <col min="17" max="17" width="6.8515625" style="0" customWidth="1"/>
    <col min="18" max="19" width="8.8515625" style="0" customWidth="1"/>
    <col min="20" max="20" width="12.421875" style="0" bestFit="1" customWidth="1"/>
  </cols>
  <sheetData>
    <row r="1" spans="1:15" ht="18">
      <c r="A1" s="37" t="s">
        <v>73</v>
      </c>
      <c r="J1" s="105" t="str">
        <f>"Final conclusions on the acceptance of energy cloth"&amp;'Correlation Raw Data'!B20</f>
        <v>Final conclusions on the acceptance of energy cloth21</v>
      </c>
      <c r="K1" s="105"/>
      <c r="L1" s="106"/>
      <c r="M1" s="107"/>
      <c r="N1" s="107"/>
      <c r="O1" s="107"/>
    </row>
    <row r="2" spans="1:15" ht="18">
      <c r="A2" s="98" t="str">
        <f>"Statistical Test for Lot x Spin Speed Interaction - - - Lot #"&amp;'Correlation Raw Data'!B20</f>
        <v>Statistical Test for Lot x Spin Speed Interaction - - - Lot #21</v>
      </c>
      <c r="J2" s="108" t="str">
        <f>IF(O9=TRUE,"This lot is acceptable","Do not accept the lot, investigate the reasons")</f>
        <v>This lot is acceptable</v>
      </c>
      <c r="K2" s="107"/>
      <c r="L2" s="107"/>
      <c r="M2" s="107"/>
      <c r="N2" s="107"/>
      <c r="O2" s="107"/>
    </row>
    <row r="3" ht="18">
      <c r="A3" s="98"/>
    </row>
    <row r="4" spans="4:11" ht="15">
      <c r="D4" s="166"/>
      <c r="E4" s="166"/>
      <c r="G4" s="245" t="s">
        <v>79</v>
      </c>
      <c r="H4" s="245"/>
      <c r="K4" s="49" t="s">
        <v>80</v>
      </c>
    </row>
    <row r="5" spans="2:16" ht="32.25" thickBot="1">
      <c r="B5" s="12" t="s">
        <v>15</v>
      </c>
      <c r="C5" s="12" t="s">
        <v>59</v>
      </c>
      <c r="D5" s="172" t="s">
        <v>115</v>
      </c>
      <c r="E5" s="172" t="str">
        <f>"Uncorrected Lot "&amp;'Correlation Raw Data'!B20</f>
        <v>Uncorrected Lot 21</v>
      </c>
      <c r="G5" s="246"/>
      <c r="H5" s="246"/>
      <c r="K5" s="202" t="s">
        <v>84</v>
      </c>
      <c r="L5" s="202"/>
      <c r="M5" s="247" t="s">
        <v>82</v>
      </c>
      <c r="N5" s="243" t="s">
        <v>87</v>
      </c>
      <c r="O5" s="243" t="s">
        <v>88</v>
      </c>
      <c r="P5" s="243"/>
    </row>
    <row r="6" spans="2:16" ht="15">
      <c r="B6" s="38" t="s">
        <v>16</v>
      </c>
      <c r="C6" s="41">
        <v>100</v>
      </c>
      <c r="D6" s="150">
        <v>0.528</v>
      </c>
      <c r="E6" s="151">
        <f>Correction!C10</f>
        <v>0.6210811718410049</v>
      </c>
      <c r="G6" s="1"/>
      <c r="H6" s="36" t="s">
        <v>71</v>
      </c>
      <c r="K6" s="202"/>
      <c r="L6" s="202"/>
      <c r="M6" s="247"/>
      <c r="N6" s="243"/>
      <c r="O6" s="243"/>
      <c r="P6" s="243"/>
    </row>
    <row r="7" spans="2:16" ht="15">
      <c r="B7" s="39" t="s">
        <v>17</v>
      </c>
      <c r="C7" s="42">
        <v>100</v>
      </c>
      <c r="D7" s="152">
        <v>0.499</v>
      </c>
      <c r="E7" s="153">
        <f>Correction!G10</f>
        <v>0.6012711183003195</v>
      </c>
      <c r="G7" s="1" t="s">
        <v>66</v>
      </c>
      <c r="H7" s="36" t="s">
        <v>72</v>
      </c>
      <c r="K7" s="36"/>
      <c r="L7" s="1" t="s">
        <v>75</v>
      </c>
      <c r="M7" s="1" t="s">
        <v>86</v>
      </c>
      <c r="N7" s="57">
        <f>D30</f>
        <v>0.010373033340985433</v>
      </c>
      <c r="O7" s="243" t="str">
        <f>IF(D30&lt;2%,"Acceptance criteria met","Does not meet acceptance criteria")</f>
        <v>Acceptance criteria met</v>
      </c>
      <c r="P7" s="243"/>
    </row>
    <row r="8" spans="2:16" ht="15">
      <c r="B8" s="39" t="s">
        <v>18</v>
      </c>
      <c r="C8" s="42">
        <v>100</v>
      </c>
      <c r="D8" s="154">
        <v>0.497</v>
      </c>
      <c r="E8" s="153">
        <f>Correction!E10</f>
        <v>0.5510325027905479</v>
      </c>
      <c r="G8" s="1" t="s">
        <v>67</v>
      </c>
      <c r="H8" s="44">
        <f>L19</f>
        <v>0.2488275335829899</v>
      </c>
      <c r="K8" s="36" t="s">
        <v>83</v>
      </c>
      <c r="L8" s="1" t="s">
        <v>74</v>
      </c>
      <c r="M8" s="1" t="s">
        <v>85</v>
      </c>
      <c r="N8" s="44">
        <f>MIN(H8:H13)</f>
        <v>0.2488275335829899</v>
      </c>
      <c r="O8" s="244" t="str">
        <f>IF(N8&gt;0.1,"Acceptance criteria met","Does not meet acceptance criteria")</f>
        <v>Acceptance criteria met</v>
      </c>
      <c r="P8" s="244"/>
    </row>
    <row r="9" spans="2:16" ht="15.75" thickBot="1">
      <c r="B9" s="40" t="s">
        <v>19</v>
      </c>
      <c r="C9" s="43">
        <v>100</v>
      </c>
      <c r="D9" s="154">
        <v>0.459</v>
      </c>
      <c r="E9" s="155">
        <f>Correction!I10</f>
        <v>0.5349355336095503</v>
      </c>
      <c r="F9" s="167"/>
      <c r="G9" s="168" t="s">
        <v>68</v>
      </c>
      <c r="H9" s="169">
        <f>L29</f>
        <v>0.3241925454504704</v>
      </c>
      <c r="K9" s="59" t="s">
        <v>114</v>
      </c>
      <c r="O9" s="104" t="b">
        <f>AND(O7="Acceptance criteria met",O8="Acceptance criteria met")</f>
        <v>1</v>
      </c>
      <c r="P9" s="13"/>
    </row>
    <row r="10" spans="2:16" ht="15">
      <c r="B10" s="38" t="s">
        <v>20</v>
      </c>
      <c r="C10" s="41">
        <v>200</v>
      </c>
      <c r="D10" s="156">
        <v>0.431</v>
      </c>
      <c r="E10" s="151">
        <f>Correction!C13</f>
        <v>0.48372495601339455</v>
      </c>
      <c r="F10" s="167"/>
      <c r="G10" s="168" t="s">
        <v>69</v>
      </c>
      <c r="H10" s="169">
        <f>T19</f>
        <v>0.323048742755483</v>
      </c>
      <c r="O10" s="13"/>
      <c r="P10" s="101"/>
    </row>
    <row r="11" spans="2:8" ht="15">
      <c r="B11" s="39" t="s">
        <v>21</v>
      </c>
      <c r="C11" s="42">
        <v>200</v>
      </c>
      <c r="D11" s="154">
        <v>0.404</v>
      </c>
      <c r="E11" s="153">
        <f>Correction!G13</f>
        <v>0.454346869856405</v>
      </c>
      <c r="F11" s="167"/>
      <c r="G11" s="170" t="s">
        <v>108</v>
      </c>
      <c r="H11" s="169">
        <f>L39</f>
        <v>0.7553236888826124</v>
      </c>
    </row>
    <row r="12" spans="2:16" ht="15">
      <c r="B12" s="39" t="s">
        <v>22</v>
      </c>
      <c r="C12" s="42">
        <v>200</v>
      </c>
      <c r="D12" s="154">
        <v>0.379</v>
      </c>
      <c r="E12" s="153">
        <f>Correction!E13</f>
        <v>0.4188179900486217</v>
      </c>
      <c r="F12" s="167"/>
      <c r="G12" s="168" t="s">
        <v>70</v>
      </c>
      <c r="H12" s="169">
        <f>T29</f>
        <v>0.8394715104059525</v>
      </c>
      <c r="N12" s="103"/>
      <c r="O12" s="13"/>
      <c r="P12" s="13"/>
    </row>
    <row r="13" spans="2:16" ht="15.75" thickBot="1">
      <c r="B13" s="40" t="s">
        <v>23</v>
      </c>
      <c r="C13" s="43">
        <v>200</v>
      </c>
      <c r="D13" s="157">
        <v>0.357</v>
      </c>
      <c r="E13" s="155">
        <f>Correction!I13</f>
        <v>0.3989272943980929</v>
      </c>
      <c r="F13" s="167"/>
      <c r="G13" s="171" t="s">
        <v>107</v>
      </c>
      <c r="H13" s="169">
        <f>T39</f>
        <v>0.9121454785179388</v>
      </c>
      <c r="N13" s="13"/>
      <c r="P13" s="13"/>
    </row>
    <row r="14" spans="2:5" ht="15">
      <c r="B14" s="39" t="s">
        <v>24</v>
      </c>
      <c r="C14" s="41">
        <v>350</v>
      </c>
      <c r="D14" s="154">
        <v>0.358</v>
      </c>
      <c r="E14" s="151">
        <f>Correction!C16</f>
        <v>0.39142592277276417</v>
      </c>
    </row>
    <row r="15" spans="2:18" ht="15.75" thickBot="1">
      <c r="B15" s="39" t="s">
        <v>25</v>
      </c>
      <c r="C15" s="42">
        <v>350</v>
      </c>
      <c r="D15" s="154">
        <v>0.331</v>
      </c>
      <c r="E15" s="153">
        <f>Correction!G16</f>
        <v>0.3619932080897515</v>
      </c>
      <c r="G15" t="str">
        <f>"ANOVA calculated from lot "&amp;E5&amp;" data"</f>
        <v>ANOVA calculated from lot Uncorrected Lot 21 data</v>
      </c>
      <c r="J15" t="s">
        <v>56</v>
      </c>
      <c r="O15" t="str">
        <f>G15</f>
        <v>ANOVA calculated from lot Uncorrected Lot 21 data</v>
      </c>
      <c r="Q15" s="30"/>
      <c r="R15" t="s">
        <v>64</v>
      </c>
    </row>
    <row r="16" spans="2:21" ht="15">
      <c r="B16" s="39" t="s">
        <v>26</v>
      </c>
      <c r="C16" s="42">
        <v>350</v>
      </c>
      <c r="D16" s="154">
        <v>0.307</v>
      </c>
      <c r="E16" s="153">
        <f>Correction!E16</f>
        <v>0.31163185576177227</v>
      </c>
      <c r="G16" s="99" t="s">
        <v>36</v>
      </c>
      <c r="H16" s="100" t="s">
        <v>28</v>
      </c>
      <c r="I16" s="100" t="s">
        <v>29</v>
      </c>
      <c r="J16" s="100" t="s">
        <v>30</v>
      </c>
      <c r="K16" s="100" t="s">
        <v>31</v>
      </c>
      <c r="L16" s="100" t="s">
        <v>32</v>
      </c>
      <c r="M16" s="100" t="s">
        <v>33</v>
      </c>
      <c r="O16" s="99" t="s">
        <v>36</v>
      </c>
      <c r="P16" s="100" t="s">
        <v>28</v>
      </c>
      <c r="Q16" s="100" t="s">
        <v>29</v>
      </c>
      <c r="R16" s="100" t="s">
        <v>30</v>
      </c>
      <c r="S16" s="100" t="s">
        <v>31</v>
      </c>
      <c r="T16" s="100" t="s">
        <v>32</v>
      </c>
      <c r="U16" s="100" t="s">
        <v>33</v>
      </c>
    </row>
    <row r="17" spans="2:21" ht="15.75" thickBot="1">
      <c r="B17" s="40" t="s">
        <v>27</v>
      </c>
      <c r="C17" s="43">
        <v>350</v>
      </c>
      <c r="D17" s="157">
        <v>0.296</v>
      </c>
      <c r="E17" s="155">
        <f>Correction!I16</f>
        <v>0.3138151049056888</v>
      </c>
      <c r="G17" s="13" t="s">
        <v>37</v>
      </c>
      <c r="H17" s="13">
        <f>SUMSQ(SUM(D6:E9),SUM(D10:E13),SUM(D14:E17))/COUNT(D6:E9)-SUM(D6:E17)^2/COUNT(D6:E17)</f>
        <v>0.16610042170507633</v>
      </c>
      <c r="I17" s="54">
        <v>2</v>
      </c>
      <c r="J17" s="13">
        <f>H17/I17</f>
        <v>0.08305021085253816</v>
      </c>
      <c r="K17" s="13">
        <f>J17/$J$20</f>
        <v>69.56871650072041</v>
      </c>
      <c r="L17" s="13">
        <f>FDIST(K17,I17,$I$20)</f>
        <v>3.3957495974159637E-09</v>
      </c>
      <c r="M17" s="13">
        <f>FINV(0.1,I17,$I$20)</f>
        <v>2.6239469851339554</v>
      </c>
      <c r="O17" s="13" t="s">
        <v>37</v>
      </c>
      <c r="P17" s="34">
        <f>SUMSQ(SUM(D6:E9),SUM(D10:E13),SUM(D14:E17),SUM(D18:E21),SUM(D22:E25))/COUNT(D6:E9)-SUM(D6:E25)^2/COUNT(D6:E25)</f>
        <v>0.3914301852685593</v>
      </c>
      <c r="Q17" s="33">
        <v>4</v>
      </c>
      <c r="R17" s="13">
        <f>P17/Q17</f>
        <v>0.09785754631713983</v>
      </c>
      <c r="S17" s="13">
        <f>R17/$R$20</f>
        <v>97.96067133770096</v>
      </c>
      <c r="T17" s="13">
        <f>FDIST(S17,Q17,$Q$20)</f>
        <v>8.989082359432282E-17</v>
      </c>
      <c r="U17" s="13">
        <f>FINV(0.1,Q17,$Q$20)</f>
        <v>2.1422348562884994</v>
      </c>
    </row>
    <row r="18" spans="2:21" ht="15.75" thickBot="1">
      <c r="B18" s="39" t="s">
        <v>45</v>
      </c>
      <c r="C18" s="41">
        <v>500</v>
      </c>
      <c r="D18" s="158">
        <v>0.3</v>
      </c>
      <c r="E18" s="159">
        <f>Correction!C19</f>
        <v>0.33882527385209144</v>
      </c>
      <c r="G18" s="13" t="s">
        <v>38</v>
      </c>
      <c r="H18" s="13">
        <f>SUMSQ(SUM(D6:D17),SUM(E6:E17))/COUNT(D6:D17)-SUM(D6:E17)^2/COUNT(D6:E17)</f>
        <v>0.014850550537817142</v>
      </c>
      <c r="I18" s="54">
        <v>1</v>
      </c>
      <c r="J18" s="13">
        <f>H18/I18</f>
        <v>0.014850550537817142</v>
      </c>
      <c r="K18" s="13">
        <f>J18/$J$20</f>
        <v>12.439868961674616</v>
      </c>
      <c r="L18" s="13">
        <f>FDIST(K18,I18,$I$20)</f>
        <v>0.002407808010503543</v>
      </c>
      <c r="M18" s="13">
        <f>FINV(0.1,I18,$I$20)</f>
        <v>3.0069765917954268</v>
      </c>
      <c r="O18" s="13" t="s">
        <v>38</v>
      </c>
      <c r="P18" s="34">
        <f>SUMSQ(SUM(D6:D25),SUM(E6:E25))/COUNT(D6:D25)-SUM(D6:E25)^2/COUNT(D6:E25)</f>
        <v>0.016731956771078416</v>
      </c>
      <c r="Q18" s="33">
        <v>1</v>
      </c>
      <c r="R18" s="13">
        <f>P18/Q18</f>
        <v>0.016731956771078416</v>
      </c>
      <c r="S18" s="13">
        <f>R18/$R$20</f>
        <v>16.74958937531778</v>
      </c>
      <c r="T18" s="13">
        <f>FDIST(S18,Q18,$Q$20)</f>
        <v>0.00029584926743087415</v>
      </c>
      <c r="U18" s="13">
        <f>FINV(0.1,Q18,$Q$20)</f>
        <v>2.8806945171617104</v>
      </c>
    </row>
    <row r="19" spans="2:21" ht="15.75" thickBot="1">
      <c r="B19" s="39" t="s">
        <v>46</v>
      </c>
      <c r="C19" s="42">
        <v>500</v>
      </c>
      <c r="D19" s="160">
        <v>0.287</v>
      </c>
      <c r="E19" s="161">
        <f>Correction!G19</f>
        <v>0.317063492063492</v>
      </c>
      <c r="G19" s="13" t="s">
        <v>34</v>
      </c>
      <c r="H19" s="13">
        <f>SUMSQ(SUM(D6:D9),SUM(E6:E9),SUM(D10:D13),SUM(E10:E13),SUM(D14:D17),SUM(E14:E17))/COUNT(D6:D9)-SUM(D6:E17)^2/COUNT(D6:E17)-H17-H18</f>
        <v>0.0035914990852399242</v>
      </c>
      <c r="I19" s="54">
        <v>2</v>
      </c>
      <c r="J19" s="13">
        <f>H19/I19</f>
        <v>0.0017957495426199621</v>
      </c>
      <c r="K19" s="13">
        <f>J19/$J$20</f>
        <v>1.5042465221267824</v>
      </c>
      <c r="L19" s="130">
        <f>FDIST(K19,I19,$I$20)</f>
        <v>0.2488275335829899</v>
      </c>
      <c r="M19" s="13">
        <f>FINV(0.1,I19,$I$20)</f>
        <v>2.6239469851339554</v>
      </c>
      <c r="O19" s="13" t="s">
        <v>34</v>
      </c>
      <c r="P19" s="34">
        <f>SUMSQ(SUM(D6:D9),SUM(E6:E9),SUM(D10:D13),SUM(E10:E13),SUM(D14:D17),SUM(E14:E17),SUM(D18:D21),SUM(E18:E21),SUM(D22:D25),SUM(E22:E25))/COUNT(D6:D9)-SUM(D6:E25)^2/COUNT(D6:E25)-P17-P18</f>
        <v>0.0048753993603494195</v>
      </c>
      <c r="Q19" s="33">
        <v>4</v>
      </c>
      <c r="R19" s="13">
        <f>P19/Q19</f>
        <v>0.0012188498400873549</v>
      </c>
      <c r="S19" s="13">
        <f>R19/$R$20</f>
        <v>1.2201342981547234</v>
      </c>
      <c r="T19" s="130">
        <f>FDIST(S19,Q19,$Q$20)</f>
        <v>0.323048742755483</v>
      </c>
      <c r="U19" s="13">
        <f>FINV(0.1,Q19,$Q$20)</f>
        <v>2.1422348562884994</v>
      </c>
    </row>
    <row r="20" spans="2:21" ht="15">
      <c r="B20" s="39" t="s">
        <v>47</v>
      </c>
      <c r="C20" s="42">
        <v>500</v>
      </c>
      <c r="D20" s="160">
        <v>0.255</v>
      </c>
      <c r="E20" s="161">
        <f>Correction!E19</f>
        <v>0.28781192651872023</v>
      </c>
      <c r="G20" s="13" t="s">
        <v>39</v>
      </c>
      <c r="H20" s="13">
        <f>H22-H17-H18-H19</f>
        <v>0.021488161210077905</v>
      </c>
      <c r="I20" s="54">
        <v>18</v>
      </c>
      <c r="J20" s="13">
        <f>H20/I20</f>
        <v>0.0011937867338932169</v>
      </c>
      <c r="K20" s="13"/>
      <c r="L20" s="13"/>
      <c r="M20" s="13"/>
      <c r="O20" s="13" t="s">
        <v>39</v>
      </c>
      <c r="P20" s="34">
        <f>P22-P17-P18-P19</f>
        <v>0.029968418442068767</v>
      </c>
      <c r="Q20" s="33">
        <v>30</v>
      </c>
      <c r="R20" s="13">
        <f>P20/Q20</f>
        <v>0.0009989472814022923</v>
      </c>
      <c r="S20" s="13"/>
      <c r="T20" s="13"/>
      <c r="U20" s="13"/>
    </row>
    <row r="21" spans="2:17" ht="15.75" thickBot="1">
      <c r="B21" s="40" t="s">
        <v>48</v>
      </c>
      <c r="C21" s="43">
        <v>500</v>
      </c>
      <c r="D21" s="162">
        <v>0.242</v>
      </c>
      <c r="E21" s="163">
        <f>Correction!I19</f>
        <v>0.2718433698469455</v>
      </c>
      <c r="I21" s="30"/>
      <c r="Q21" s="30"/>
    </row>
    <row r="22" spans="2:21" ht="15.75" thickBot="1">
      <c r="B22" s="39" t="s">
        <v>49</v>
      </c>
      <c r="C22" s="41">
        <v>650</v>
      </c>
      <c r="D22" s="164">
        <v>0.28</v>
      </c>
      <c r="E22" s="151">
        <f>Correction!C22</f>
        <v>0.3065916056529882</v>
      </c>
      <c r="G22" s="14" t="s">
        <v>35</v>
      </c>
      <c r="H22" s="35">
        <f>SUMSQ(D6:E17)-SUM(D6:E17)^2/COUNT(D6:E17)</f>
        <v>0.2060306325382113</v>
      </c>
      <c r="I22" s="55">
        <v>23</v>
      </c>
      <c r="J22" s="14"/>
      <c r="K22" s="14"/>
      <c r="L22" s="14"/>
      <c r="M22" s="14"/>
      <c r="O22" s="14" t="s">
        <v>35</v>
      </c>
      <c r="P22" s="14">
        <f>SUMSQ(D6:E25)-SUM(D6:E25)^2/COUNT(D6:E25)</f>
        <v>0.44300595984205593</v>
      </c>
      <c r="Q22" s="55">
        <v>39</v>
      </c>
      <c r="R22" s="14"/>
      <c r="S22" s="14"/>
      <c r="T22" s="14"/>
      <c r="U22" s="14"/>
    </row>
    <row r="23" spans="2:17" ht="15">
      <c r="B23" s="39" t="s">
        <v>50</v>
      </c>
      <c r="C23" s="42">
        <v>650</v>
      </c>
      <c r="D23" s="129">
        <v>0.264</v>
      </c>
      <c r="E23" s="153">
        <f>Correction!G22</f>
        <v>0.288324394119984</v>
      </c>
      <c r="I23" s="30"/>
      <c r="Q23" s="30"/>
    </row>
    <row r="24" spans="2:17" ht="15">
      <c r="B24" s="39" t="s">
        <v>51</v>
      </c>
      <c r="C24" s="42">
        <v>650</v>
      </c>
      <c r="D24" s="129">
        <v>0.241</v>
      </c>
      <c r="E24" s="153">
        <f>Correction!E22</f>
        <v>0.2619132754412849</v>
      </c>
      <c r="I24" s="30"/>
      <c r="Q24" s="30"/>
    </row>
    <row r="25" spans="2:18" ht="15.75" thickBot="1">
      <c r="B25" s="40" t="s">
        <v>52</v>
      </c>
      <c r="C25" s="43">
        <v>650</v>
      </c>
      <c r="D25" s="165">
        <v>0.23</v>
      </c>
      <c r="E25" s="155">
        <f>Correction!I22</f>
        <v>0.24771742626331417</v>
      </c>
      <c r="G25" t="str">
        <f>G15</f>
        <v>ANOVA calculated from lot Uncorrected Lot 21 data</v>
      </c>
      <c r="I25" s="30"/>
      <c r="J25" t="s">
        <v>58</v>
      </c>
      <c r="K25" s="2"/>
      <c r="L25" s="2"/>
      <c r="M25" s="2"/>
      <c r="O25" t="str">
        <f>G15</f>
        <v>ANOVA calculated from lot Uncorrected Lot 21 data</v>
      </c>
      <c r="Q25" s="30"/>
      <c r="R25" s="13" t="s">
        <v>65</v>
      </c>
    </row>
    <row r="26" spans="7:21" ht="12.75">
      <c r="G26" s="99" t="s">
        <v>36</v>
      </c>
      <c r="H26" s="100" t="s">
        <v>28</v>
      </c>
      <c r="I26" s="100" t="s">
        <v>29</v>
      </c>
      <c r="J26" s="100" t="s">
        <v>30</v>
      </c>
      <c r="K26" s="100" t="s">
        <v>31</v>
      </c>
      <c r="L26" s="100" t="s">
        <v>32</v>
      </c>
      <c r="M26" s="100" t="s">
        <v>33</v>
      </c>
      <c r="O26" s="100" t="s">
        <v>36</v>
      </c>
      <c r="P26" s="100" t="s">
        <v>28</v>
      </c>
      <c r="Q26" s="100" t="s">
        <v>29</v>
      </c>
      <c r="R26" s="100" t="s">
        <v>30</v>
      </c>
      <c r="S26" s="100" t="s">
        <v>31</v>
      </c>
      <c r="T26" s="100" t="s">
        <v>32</v>
      </c>
      <c r="U26" s="100" t="s">
        <v>33</v>
      </c>
    </row>
    <row r="27" spans="7:21" ht="13.5" thickBot="1">
      <c r="G27" s="120" t="s">
        <v>37</v>
      </c>
      <c r="H27" s="58">
        <f>SUMSQ(SUM(D6:E9),SUM(D10:E13),SUM(D14:E17),SUM(D18:E21))/COUNT(D6:E9)-SUM(D6:E21)^2/COUNT(D6:E21)</f>
        <v>0.2858360241380353</v>
      </c>
      <c r="I27" s="121">
        <v>3</v>
      </c>
      <c r="J27" s="13">
        <f>H27/I27</f>
        <v>0.09527867471267844</v>
      </c>
      <c r="K27" s="13">
        <f>J27/$J$30</f>
        <v>86.74293053993013</v>
      </c>
      <c r="L27" s="13">
        <f>FDIST(K27,I27,$I$30)</f>
        <v>5.08330714238324E-13</v>
      </c>
      <c r="M27" s="13">
        <f>FINV(0.1,I27,$I$30)</f>
        <v>2.327389701211984</v>
      </c>
      <c r="O27" s="13" t="s">
        <v>61</v>
      </c>
      <c r="P27" s="13">
        <f>SUMSQ(SUM(D10:E13),SUM(D14:E17),SUM(D18:E21),SUM(D22:E25))/COUNT(D10:E13)-SUM(D10:E25)^2/COUNT(D10:E25)</f>
        <v>0.10679048948357472</v>
      </c>
      <c r="Q27" s="29">
        <v>3</v>
      </c>
      <c r="R27" s="13">
        <f>P27/Q27</f>
        <v>0.035596829827858244</v>
      </c>
      <c r="S27" s="13">
        <f>R27/$R$30</f>
        <v>37.81913422579568</v>
      </c>
      <c r="T27" s="13">
        <f>FDIST(S27,Q27,$Q$30)</f>
        <v>2.9620654123950902E-09</v>
      </c>
      <c r="U27" s="13">
        <f>FINV(0.1,Q27,$Q$30)</f>
        <v>2.327389701211984</v>
      </c>
    </row>
    <row r="28" spans="3:21" ht="13.5" thickBot="1">
      <c r="C28" s="45" t="s">
        <v>53</v>
      </c>
      <c r="D28" s="51">
        <f>SLOPE(D6:D25,E6:E25)</f>
        <v>0.8039032316133234</v>
      </c>
      <c r="G28" s="120" t="s">
        <v>38</v>
      </c>
      <c r="H28" s="58">
        <f>SUMSQ(SUM(D6:D21),SUM(E6:E21))/COUNT(D6:D21)-SUM(D6:E21)^2/COUNT(D6:E21)</f>
        <v>0.016586924745932485</v>
      </c>
      <c r="I28" s="121">
        <v>1</v>
      </c>
      <c r="J28" s="13">
        <f>H28/I28</f>
        <v>0.016586924745932485</v>
      </c>
      <c r="K28" s="13">
        <f>J28/$J$30</f>
        <v>15.100949561339913</v>
      </c>
      <c r="L28" s="13">
        <f>FDIST(K28,I28,$I$30)</f>
        <v>0.0007024834885173991</v>
      </c>
      <c r="M28" s="13">
        <f>FINV(0.1,I28,$I$30)</f>
        <v>2.9271174913552134</v>
      </c>
      <c r="O28" s="13" t="s">
        <v>62</v>
      </c>
      <c r="P28" s="13">
        <f>SUMSQ(SUM(D10:D25),SUM(E10:E25))/COUNT(D10:D25)-SUM(D10:E25)^2/COUNT(D10:E25)</f>
        <v>0.00758831816182548</v>
      </c>
      <c r="Q28" s="29">
        <v>1</v>
      </c>
      <c r="R28" s="13">
        <f>P28/Q28</f>
        <v>0.00758831816182548</v>
      </c>
      <c r="S28" s="13">
        <f>R28/$R$30</f>
        <v>8.06205565208861</v>
      </c>
      <c r="T28" s="13">
        <f>FDIST(S28,Q28,$Q$30)</f>
        <v>0.009059380594244089</v>
      </c>
      <c r="U28" s="13">
        <f>FINV(0.1,Q28,$Q$30)</f>
        <v>2.9271174913552134</v>
      </c>
    </row>
    <row r="29" spans="3:21" ht="13.5" thickBot="1">
      <c r="C29" s="46" t="s">
        <v>54</v>
      </c>
      <c r="D29" s="52">
        <f>INTERCEPT(D6:D25,E6:E25)</f>
        <v>0.035211170561214866</v>
      </c>
      <c r="G29" s="120" t="s">
        <v>34</v>
      </c>
      <c r="H29" s="119">
        <f>SUMSQ(SUM(D6:D9),SUM(E6:E9),SUM(D10:D13),SUM(E10:E13),SUM(D14:D17),SUM(E14:E17),SUM(D18:D21),SUM(E18:E21))/COUNT(D6:D9)-SUM(D6:E21)^2/COUNT(D6:E21)-H28-H27</f>
        <v>0.004018104917306253</v>
      </c>
      <c r="I29" s="122">
        <v>3</v>
      </c>
      <c r="J29" s="13">
        <f>H29/I29</f>
        <v>0.001339368305768751</v>
      </c>
      <c r="K29" s="13">
        <f>J29/$J$30</f>
        <v>1.2193781270051909</v>
      </c>
      <c r="L29" s="130">
        <f>FDIST(K29,I29,$I$30)</f>
        <v>0.3241925454504704</v>
      </c>
      <c r="M29" s="13">
        <f>FINV(0.1,I29,$I$30)</f>
        <v>2.327389701211984</v>
      </c>
      <c r="O29" s="13" t="s">
        <v>34</v>
      </c>
      <c r="P29" s="13">
        <f>SUMSQ(SUM(D10:D13),SUM(E10:E13),SUM(D14:D17),SUM(E14:E17),SUM(D18:D21),SUM(E18:E21),SUM(D22:D25),SUM(E22:E25))/COUNT(D10:D13)-SUM(D10:E25)^2/COUNT(D10:E25)-P27-P28</f>
        <v>0.0007898736119744676</v>
      </c>
      <c r="Q29" s="102">
        <v>3</v>
      </c>
      <c r="R29" s="13">
        <f>P29/Q29</f>
        <v>0.0002632912039914892</v>
      </c>
      <c r="S29" s="13">
        <f>R29/$R$30</f>
        <v>0.27972843178390955</v>
      </c>
      <c r="T29" s="130">
        <f>FDIST(S29,Q29,$Q$30)</f>
        <v>0.8394715104059525</v>
      </c>
      <c r="U29" s="13">
        <f>FINV(0.1,Q29,$Q$30)</f>
        <v>2.327389701211984</v>
      </c>
    </row>
    <row r="30" spans="3:21" ht="12.75">
      <c r="C30" s="47" t="s">
        <v>55</v>
      </c>
      <c r="D30" s="50">
        <f>STEYX(D6:D25,E6:E25)</f>
        <v>0.010373033340985433</v>
      </c>
      <c r="G30" s="120" t="s">
        <v>39</v>
      </c>
      <c r="H30" s="120">
        <f>H32-H27-H28-H29</f>
        <v>0.02636166634987802</v>
      </c>
      <c r="I30" s="122">
        <v>24</v>
      </c>
      <c r="J30" s="13">
        <f>H30/I30</f>
        <v>0.0010984027645782508</v>
      </c>
      <c r="K30" s="13"/>
      <c r="L30" s="13"/>
      <c r="M30" s="13"/>
      <c r="O30" s="13" t="s">
        <v>60</v>
      </c>
      <c r="P30" s="13">
        <f>P32-P27-P28-P29</f>
        <v>0.022589726955882572</v>
      </c>
      <c r="Q30" s="54">
        <f>Q32-Q27-Q28-Q29</f>
        <v>24</v>
      </c>
      <c r="R30" s="13">
        <f>P30/Q30</f>
        <v>0.0009412386231617739</v>
      </c>
      <c r="S30" s="13"/>
      <c r="T30" s="13"/>
      <c r="U30" s="13"/>
    </row>
    <row r="31" spans="3:17" ht="13.5" thickBot="1">
      <c r="C31" s="48" t="s">
        <v>63</v>
      </c>
      <c r="D31" s="53">
        <f>RSQ(D6:D25,E6:E25)</f>
        <v>0.9885067314332485</v>
      </c>
      <c r="G31" s="59"/>
      <c r="H31" s="120"/>
      <c r="I31" s="122"/>
      <c r="O31" s="13"/>
      <c r="P31" s="13"/>
      <c r="Q31" s="54"/>
    </row>
    <row r="32" spans="7:21" ht="13.5" thickBot="1">
      <c r="G32" s="123" t="s">
        <v>35</v>
      </c>
      <c r="H32" s="118">
        <f>SUMSQ(D6:E21)-SUM(D6:E21)^2/COUNT(D6:E21)</f>
        <v>0.3328027201511521</v>
      </c>
      <c r="I32" s="124">
        <v>31</v>
      </c>
      <c r="J32" s="14"/>
      <c r="K32" s="14"/>
      <c r="L32" s="14"/>
      <c r="M32" s="14"/>
      <c r="O32" s="14" t="s">
        <v>35</v>
      </c>
      <c r="P32" s="14">
        <f>SUMSQ(D10:E25)-SUM(D10:E25)^2/COUNT(D10:E25)</f>
        <v>0.13775840821325724</v>
      </c>
      <c r="Q32" s="56">
        <v>31</v>
      </c>
      <c r="R32" s="14"/>
      <c r="S32" s="14"/>
      <c r="T32" s="14"/>
      <c r="U32" s="14"/>
    </row>
    <row r="33" spans="6:9" ht="12.75">
      <c r="F33" s="101"/>
      <c r="I33" s="30"/>
    </row>
    <row r="34" spans="2:9" ht="12.75">
      <c r="B34" t="s">
        <v>103</v>
      </c>
      <c r="F34" s="13"/>
      <c r="I34" s="30"/>
    </row>
    <row r="35" spans="2:18" ht="13.5" thickBot="1">
      <c r="B35" s="1"/>
      <c r="C35" s="109" t="s">
        <v>81</v>
      </c>
      <c r="D35" s="109" t="str">
        <f>"Lot "&amp;'Correlation Raw Data'!B20</f>
        <v>Lot 21</v>
      </c>
      <c r="F35" s="13"/>
      <c r="G35" t="str">
        <f>"ANOVA calculated from lot "&amp;'Correlation Raw Data'!B20&amp;" data"</f>
        <v>ANOVA calculated from lot 21 data</v>
      </c>
      <c r="J35" s="59" t="s">
        <v>105</v>
      </c>
      <c r="O35" t="str">
        <f>"ANOVA calculated from lot "&amp;'Correlation Raw Data'!B29&amp;" data"</f>
        <v>ANOVA calculated from lot  data</v>
      </c>
      <c r="R35" s="59" t="s">
        <v>106</v>
      </c>
    </row>
    <row r="36" spans="2:21" ht="12.75">
      <c r="B36" s="1">
        <v>100</v>
      </c>
      <c r="C36" s="110">
        <f>AVERAGE(D6:D9)</f>
        <v>0.49575</v>
      </c>
      <c r="D36" s="110">
        <f>AVERAGE(E6:E9)</f>
        <v>0.5770800816353556</v>
      </c>
      <c r="E36" s="13"/>
      <c r="F36" s="13"/>
      <c r="G36" s="99" t="s">
        <v>36</v>
      </c>
      <c r="H36" s="100" t="s">
        <v>28</v>
      </c>
      <c r="I36" s="100" t="s">
        <v>29</v>
      </c>
      <c r="J36" s="100" t="s">
        <v>30</v>
      </c>
      <c r="K36" s="100" t="s">
        <v>31</v>
      </c>
      <c r="L36" s="100" t="s">
        <v>32</v>
      </c>
      <c r="M36" s="100" t="s">
        <v>33</v>
      </c>
      <c r="O36" s="99" t="s">
        <v>36</v>
      </c>
      <c r="P36" s="100" t="s">
        <v>28</v>
      </c>
      <c r="Q36" s="100" t="s">
        <v>29</v>
      </c>
      <c r="R36" s="100" t="s">
        <v>30</v>
      </c>
      <c r="S36" s="100" t="s">
        <v>31</v>
      </c>
      <c r="T36" s="100" t="s">
        <v>32</v>
      </c>
      <c r="U36" s="100" t="s">
        <v>33</v>
      </c>
    </row>
    <row r="37" spans="2:21" ht="12.75">
      <c r="B37" s="1">
        <v>200</v>
      </c>
      <c r="C37" s="110">
        <f>AVERAGE(D10:D13)</f>
        <v>0.39275</v>
      </c>
      <c r="D37" s="110">
        <f>AVERAGE(E10:E13)</f>
        <v>0.4389542775791285</v>
      </c>
      <c r="E37" s="13"/>
      <c r="F37" s="13"/>
      <c r="G37" s="13" t="s">
        <v>37</v>
      </c>
      <c r="H37" s="13">
        <f>SUMSQ(SUM(D10:E13),SUM(D14:E17),SUM(D18:E21))/COUNT(D10:E13)-SUM(D10:E21)^2/COUNT(D10:E21)</f>
        <v>0.06764340431967408</v>
      </c>
      <c r="I37" s="54">
        <v>2</v>
      </c>
      <c r="J37" s="13">
        <f>H37/I37</f>
        <v>0.03382170215983704</v>
      </c>
      <c r="K37" s="13">
        <f>J37/$J$40</f>
        <v>32.07034952363987</v>
      </c>
      <c r="L37" s="13">
        <f>FDIST(K37,I37,$I$40)</f>
        <v>1.1652711522736887E-06</v>
      </c>
      <c r="M37" s="13">
        <f>FINV(0.1,I37,$I$40)</f>
        <v>2.6239469851339554</v>
      </c>
      <c r="O37" s="13" t="s">
        <v>37</v>
      </c>
      <c r="P37" s="13">
        <f>SUMSQ(SUM(D14:E17),SUM(D18:E21),SUM(D22:E25))/COUNT(D14:E17)-SUM(D14:E25)^2/COUNT(D14:E25)</f>
        <v>0.019759673714560666</v>
      </c>
      <c r="Q37" s="54">
        <v>2</v>
      </c>
      <c r="R37" s="13">
        <f>P37/Q37</f>
        <v>0.009879836857280333</v>
      </c>
      <c r="S37" s="13">
        <f>R37/$R$40</f>
        <v>11.635503840827608</v>
      </c>
      <c r="T37" s="13">
        <f>FDIST(S37,Q37,$Q$40)</f>
        <v>0.0005710141763395806</v>
      </c>
      <c r="U37" s="13">
        <f>FINV(0.1,Q37,$Q$40)</f>
        <v>2.6239469851339554</v>
      </c>
    </row>
    <row r="38" spans="2:21" ht="13.5" thickBot="1">
      <c r="B38" s="1">
        <v>350</v>
      </c>
      <c r="C38" s="110">
        <f>AVERAGE(D14:D17)</f>
        <v>0.323</v>
      </c>
      <c r="D38" s="110">
        <f>AVERAGE(E14:E17)</f>
        <v>0.34471652288249416</v>
      </c>
      <c r="E38" s="13"/>
      <c r="F38" s="13"/>
      <c r="G38" s="13" t="s">
        <v>38</v>
      </c>
      <c r="H38" s="13">
        <f>SUMSQ(SUM(D10:D21),SUM(E10:E21))/COUNT(D10:D21)-SUM(D10:E21)^2/COUNT(D10:E21)</f>
        <v>0.006774676105664845</v>
      </c>
      <c r="I38" s="54">
        <v>1</v>
      </c>
      <c r="J38" s="13">
        <f>H38/I38</f>
        <v>0.006774676105664845</v>
      </c>
      <c r="K38" s="13">
        <f>J38/$J$40</f>
        <v>6.423870377408876</v>
      </c>
      <c r="L38" s="13">
        <f>FDIST(K38,I38,$I$40)</f>
        <v>0.020759680762587895</v>
      </c>
      <c r="M38" s="13">
        <f>FINV(0.1,I38,$I$40)</f>
        <v>3.0069765917954268</v>
      </c>
      <c r="O38" s="13" t="s">
        <v>38</v>
      </c>
      <c r="P38" s="13">
        <f>SUMSQ(SUM(D14:D25),SUM(E14:E25))/COUNT(D14:D25)-SUM(D14:E25)^2/COUNT(D14:E25)</f>
        <v>0.0039515593633070445</v>
      </c>
      <c r="Q38" s="54">
        <v>1</v>
      </c>
      <c r="R38" s="13">
        <f>P38/Q38</f>
        <v>0.0039515593633070445</v>
      </c>
      <c r="S38" s="13">
        <f>R38/$R$40</f>
        <v>4.6537594510112275</v>
      </c>
      <c r="T38" s="13">
        <f>FDIST(S38,Q38,$Q$40)</f>
        <v>0.04475008424275367</v>
      </c>
      <c r="U38" s="13">
        <f>FINV(0.1,Q38,$Q$40)</f>
        <v>3.0069765917954268</v>
      </c>
    </row>
    <row r="39" spans="2:21" ht="13.5" thickBot="1">
      <c r="B39" s="1">
        <v>500</v>
      </c>
      <c r="C39" s="110">
        <f>AVERAGE(D18:D21)</f>
        <v>0.271</v>
      </c>
      <c r="D39" s="110">
        <f>AVERAGE(E18:E21)</f>
        <v>0.3038860155703123</v>
      </c>
      <c r="E39" s="101"/>
      <c r="F39" s="101"/>
      <c r="G39" s="13" t="s">
        <v>34</v>
      </c>
      <c r="H39" s="13">
        <f>SUMSQ(SUM(D10:D13),SUM(E10:E13),SUM(D14:D17),SUM(E14:E17),SUM(D18:D21),SUM(E18:E21))/COUNT(D10:D13)-SUM(D10:E21)^2/COUNT(D10:E21)-H37-H38</f>
        <v>0.0006011891999464503</v>
      </c>
      <c r="I39" s="54">
        <v>2</v>
      </c>
      <c r="J39" s="13">
        <f>H39/I39</f>
        <v>0.00030059459997322513</v>
      </c>
      <c r="K39" s="13">
        <f>J39/$J$40</f>
        <v>0.28502923479432846</v>
      </c>
      <c r="L39" s="130">
        <f>FDIST(K39,I39,$I$40)</f>
        <v>0.7553236888826124</v>
      </c>
      <c r="M39" s="13">
        <f>FINV(0.1,I39,$I$40)</f>
        <v>2.6239469851339554</v>
      </c>
      <c r="O39" s="13" t="s">
        <v>34</v>
      </c>
      <c r="P39" s="13">
        <f>SUMSQ(SUM(D14:D17),SUM(E14:E17),SUM(D18:D21),SUM(E18:E21),SUM(D22:D25),SUM(E22:E25))/COUNT(D14:D17)-SUM(D14:E25)^2/COUNT(D14:E25)-P37-P38</f>
        <v>0.00015696187727476385</v>
      </c>
      <c r="Q39" s="54">
        <v>2</v>
      </c>
      <c r="R39" s="13">
        <f>P39/Q39</f>
        <v>7.848093863738193E-05</v>
      </c>
      <c r="S39" s="13">
        <f>R39/$R$40</f>
        <v>0.09242716009770068</v>
      </c>
      <c r="T39" s="130">
        <f>FDIST(S39,Q39,$Q$40)</f>
        <v>0.9121454785179388</v>
      </c>
      <c r="U39" s="13">
        <f>FINV(0.1,Q39,$Q$40)</f>
        <v>2.6239469851339554</v>
      </c>
    </row>
    <row r="40" spans="2:21" ht="12.75">
      <c r="B40" s="1">
        <v>650</v>
      </c>
      <c r="C40" s="110">
        <f>AVERAGE(D22:D25)</f>
        <v>0.25375000000000003</v>
      </c>
      <c r="D40" s="110">
        <f>AVERAGE(E22:E25)</f>
        <v>0.27613667536939285</v>
      </c>
      <c r="G40" s="13" t="s">
        <v>39</v>
      </c>
      <c r="H40" s="13">
        <f>H42-H37-H38-H39</f>
        <v>0.018982974863691826</v>
      </c>
      <c r="I40" s="54">
        <v>18</v>
      </c>
      <c r="J40" s="13">
        <f>H40/I40</f>
        <v>0.001054609714649546</v>
      </c>
      <c r="K40" s="13"/>
      <c r="L40" s="13"/>
      <c r="M40" s="13"/>
      <c r="O40" s="13" t="s">
        <v>39</v>
      </c>
      <c r="P40" s="13">
        <f>P42-P37-P38-P39</f>
        <v>0.015284001953317805</v>
      </c>
      <c r="Q40" s="54">
        <v>18</v>
      </c>
      <c r="R40" s="13">
        <f>P40/Q40</f>
        <v>0.0008491112196287669</v>
      </c>
      <c r="S40" s="13"/>
      <c r="T40" s="13"/>
      <c r="U40" s="13"/>
    </row>
    <row r="41" spans="4:17" ht="12.75">
      <c r="D41" s="13"/>
      <c r="I41" s="30"/>
      <c r="Q41" s="30"/>
    </row>
    <row r="42" spans="4:21" ht="13.5" thickBot="1">
      <c r="D42" s="175"/>
      <c r="G42" s="14" t="s">
        <v>35</v>
      </c>
      <c r="H42" s="35">
        <f>SUMSQ(D10:E21)-SUM(D10:E21)^2/COUNT(D10:E21)</f>
        <v>0.0940022444889772</v>
      </c>
      <c r="I42" s="55">
        <v>23</v>
      </c>
      <c r="J42" s="14"/>
      <c r="K42" s="14"/>
      <c r="L42" s="14"/>
      <c r="M42" s="14"/>
      <c r="O42" s="14" t="s">
        <v>35</v>
      </c>
      <c r="P42" s="35">
        <f>SUMSQ(D14:E25)-SUM(D14:E25)^2/COUNT(D14:E25)</f>
        <v>0.03915219690846028</v>
      </c>
      <c r="Q42" s="55">
        <v>23</v>
      </c>
      <c r="R42" s="14"/>
      <c r="S42" s="14"/>
      <c r="T42" s="14"/>
      <c r="U42" s="14"/>
    </row>
    <row r="43" ht="12.75">
      <c r="D43" s="175">
        <v>0.067</v>
      </c>
    </row>
    <row r="44" spans="6:22" ht="12.75">
      <c r="F44" s="2"/>
      <c r="G44" s="2"/>
      <c r="H44" s="2"/>
      <c r="I44" s="2"/>
      <c r="J44" s="58"/>
      <c r="K44" s="2"/>
      <c r="L44" s="2"/>
      <c r="M44" s="2"/>
      <c r="N44" s="2"/>
      <c r="O44" s="2"/>
      <c r="P44" s="2"/>
      <c r="Q44" s="2"/>
      <c r="R44" s="58"/>
      <c r="S44" s="2"/>
      <c r="T44" s="2"/>
      <c r="U44" s="2"/>
      <c r="V44" s="2"/>
    </row>
    <row r="45" spans="6:22" ht="12.75">
      <c r="F45" s="2"/>
      <c r="G45" s="131"/>
      <c r="H45" s="132"/>
      <c r="I45" s="132"/>
      <c r="J45" s="132"/>
      <c r="K45" s="132"/>
      <c r="L45" s="132"/>
      <c r="M45" s="132"/>
      <c r="N45" s="2"/>
      <c r="O45" s="131"/>
      <c r="P45" s="132"/>
      <c r="Q45" s="132"/>
      <c r="R45" s="132"/>
      <c r="S45" s="132"/>
      <c r="T45" s="132"/>
      <c r="U45" s="132"/>
      <c r="V45" s="2"/>
    </row>
    <row r="46" spans="6:22" ht="12.75">
      <c r="F46" s="2"/>
      <c r="G46" s="13"/>
      <c r="H46" s="13"/>
      <c r="I46" s="54"/>
      <c r="J46" s="13"/>
      <c r="K46" s="13"/>
      <c r="L46" s="13"/>
      <c r="M46" s="13"/>
      <c r="N46" s="2"/>
      <c r="O46" s="13"/>
      <c r="P46" s="13"/>
      <c r="Q46" s="54"/>
      <c r="R46" s="13"/>
      <c r="S46" s="13"/>
      <c r="T46" s="13"/>
      <c r="U46" s="13"/>
      <c r="V46" s="2"/>
    </row>
    <row r="47" spans="6:22" ht="12.75">
      <c r="F47" s="2"/>
      <c r="G47" s="13"/>
      <c r="H47" s="13"/>
      <c r="I47" s="54"/>
      <c r="J47" s="13"/>
      <c r="K47" s="13"/>
      <c r="L47" s="13"/>
      <c r="M47" s="13"/>
      <c r="N47" s="2"/>
      <c r="O47" s="13"/>
      <c r="P47" s="13"/>
      <c r="Q47" s="54"/>
      <c r="R47" s="13"/>
      <c r="S47" s="13"/>
      <c r="T47" s="13"/>
      <c r="U47" s="13"/>
      <c r="V47" s="2"/>
    </row>
    <row r="48" spans="6:22" ht="12.75">
      <c r="F48" s="2"/>
      <c r="G48" s="13"/>
      <c r="H48" s="13"/>
      <c r="I48" s="54"/>
      <c r="J48" s="13"/>
      <c r="K48" s="13"/>
      <c r="L48" s="13"/>
      <c r="M48" s="13"/>
      <c r="N48" s="2"/>
      <c r="O48" s="13"/>
      <c r="P48" s="13"/>
      <c r="Q48" s="54"/>
      <c r="R48" s="13"/>
      <c r="S48" s="13"/>
      <c r="T48" s="13"/>
      <c r="U48" s="13"/>
      <c r="V48" s="2"/>
    </row>
    <row r="49" spans="6:22" ht="12.75">
      <c r="F49" s="2"/>
      <c r="G49" s="13"/>
      <c r="H49" s="13"/>
      <c r="I49" s="54"/>
      <c r="J49" s="13"/>
      <c r="K49" s="13"/>
      <c r="L49" s="13"/>
      <c r="M49" s="13"/>
      <c r="N49" s="2"/>
      <c r="O49" s="13"/>
      <c r="P49" s="13"/>
      <c r="Q49" s="54"/>
      <c r="R49" s="13"/>
      <c r="S49" s="13"/>
      <c r="T49" s="13"/>
      <c r="U49" s="13"/>
      <c r="V49" s="2"/>
    </row>
    <row r="50" spans="6:22" ht="12.75">
      <c r="F50" s="2"/>
      <c r="G50" s="2"/>
      <c r="H50" s="2"/>
      <c r="I50" s="29"/>
      <c r="J50" s="2"/>
      <c r="K50" s="2"/>
      <c r="L50" s="2"/>
      <c r="M50" s="2"/>
      <c r="N50" s="2"/>
      <c r="O50" s="2"/>
      <c r="P50" s="2"/>
      <c r="Q50" s="29"/>
      <c r="R50" s="2"/>
      <c r="S50" s="2"/>
      <c r="T50" s="2"/>
      <c r="U50" s="2"/>
      <c r="V50" s="2"/>
    </row>
    <row r="51" spans="6:22" ht="12.75">
      <c r="F51" s="2"/>
      <c r="G51" s="13"/>
      <c r="H51" s="2"/>
      <c r="I51" s="54"/>
      <c r="J51" s="13"/>
      <c r="K51" s="13"/>
      <c r="L51" s="13"/>
      <c r="M51" s="13"/>
      <c r="N51" s="2"/>
      <c r="O51" s="13"/>
      <c r="P51" s="2"/>
      <c r="Q51" s="54"/>
      <c r="R51" s="13"/>
      <c r="S51" s="13"/>
      <c r="T51" s="13"/>
      <c r="U51" s="13"/>
      <c r="V51" s="2"/>
    </row>
    <row r="52" spans="6:22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111"/>
      <c r="B53" s="111">
        <f>ROUND(D28,4)</f>
        <v>0.8039</v>
      </c>
      <c r="C53" t="str">
        <f>"y="&amp;B53</f>
        <v>y=0.8039</v>
      </c>
      <c r="D53" t="str">
        <f>C53&amp;C54</f>
        <v>y=0.8039x+0.0352</v>
      </c>
      <c r="F53" s="2"/>
      <c r="G53" s="2"/>
      <c r="H53" s="2"/>
      <c r="I53" s="2"/>
      <c r="J53" s="58"/>
      <c r="K53" s="2"/>
      <c r="L53" s="2"/>
      <c r="M53" s="2"/>
      <c r="N53" s="2"/>
      <c r="O53" s="2"/>
      <c r="P53" s="2"/>
      <c r="Q53" s="2"/>
      <c r="R53" s="58"/>
      <c r="S53" s="2"/>
      <c r="T53" s="2"/>
      <c r="U53" s="2"/>
      <c r="V53" s="2"/>
    </row>
    <row r="54" spans="1:22" ht="12.75">
      <c r="A54" s="111"/>
      <c r="B54" s="111">
        <f>ROUND(D29,4)</f>
        <v>0.0352</v>
      </c>
      <c r="C54" t="str">
        <f>"x+"&amp;B54</f>
        <v>x+0.0352</v>
      </c>
      <c r="F54" s="2"/>
      <c r="G54" s="131"/>
      <c r="H54" s="132"/>
      <c r="I54" s="132"/>
      <c r="J54" s="132"/>
      <c r="K54" s="132"/>
      <c r="L54" s="132"/>
      <c r="M54" s="132"/>
      <c r="N54" s="2"/>
      <c r="O54" s="131"/>
      <c r="P54" s="132"/>
      <c r="Q54" s="132"/>
      <c r="R54" s="132"/>
      <c r="S54" s="132"/>
      <c r="T54" s="132"/>
      <c r="U54" s="132"/>
      <c r="V54" s="2"/>
    </row>
    <row r="55" spans="2:22" ht="12.75">
      <c r="B55" t="str">
        <f>"R^2="</f>
        <v>R^2=</v>
      </c>
      <c r="C55" s="112">
        <f>ROUND(D31,4)</f>
        <v>0.9885</v>
      </c>
      <c r="D55" t="str">
        <f>B55&amp;C55</f>
        <v>R^2=0.9885</v>
      </c>
      <c r="F55" s="2"/>
      <c r="G55" s="13"/>
      <c r="H55" s="13"/>
      <c r="I55" s="54"/>
      <c r="J55" s="13"/>
      <c r="K55" s="13"/>
      <c r="L55" s="13"/>
      <c r="M55" s="13"/>
      <c r="N55" s="2"/>
      <c r="O55" s="13"/>
      <c r="P55" s="13"/>
      <c r="Q55" s="54"/>
      <c r="R55" s="13"/>
      <c r="S55" s="13"/>
      <c r="T55" s="13"/>
      <c r="U55" s="13"/>
      <c r="V55" s="2"/>
    </row>
    <row r="56" spans="6:22" ht="12.75">
      <c r="F56" s="2"/>
      <c r="G56" s="13"/>
      <c r="H56" s="13"/>
      <c r="I56" s="54"/>
      <c r="J56" s="13"/>
      <c r="K56" s="13"/>
      <c r="L56" s="13"/>
      <c r="M56" s="13"/>
      <c r="N56" s="2"/>
      <c r="O56" s="13"/>
      <c r="P56" s="13"/>
      <c r="Q56" s="54"/>
      <c r="R56" s="13"/>
      <c r="S56" s="13"/>
      <c r="T56" s="13"/>
      <c r="U56" s="13"/>
      <c r="V56" s="2"/>
    </row>
    <row r="57" spans="6:22" ht="12.75">
      <c r="F57" s="2"/>
      <c r="G57" s="13"/>
      <c r="H57" s="13"/>
      <c r="I57" s="54"/>
      <c r="J57" s="13"/>
      <c r="K57" s="13"/>
      <c r="L57" s="13"/>
      <c r="M57" s="13"/>
      <c r="N57" s="2"/>
      <c r="O57" s="13"/>
      <c r="P57" s="13"/>
      <c r="Q57" s="54"/>
      <c r="R57" s="13"/>
      <c r="S57" s="13"/>
      <c r="T57" s="13"/>
      <c r="U57" s="13"/>
      <c r="V57" s="2"/>
    </row>
    <row r="58" spans="6:22" ht="12.75">
      <c r="F58" s="2"/>
      <c r="G58" s="13"/>
      <c r="H58" s="13"/>
      <c r="I58" s="54"/>
      <c r="J58" s="13"/>
      <c r="K58" s="13"/>
      <c r="L58" s="13"/>
      <c r="M58" s="13"/>
      <c r="N58" s="2"/>
      <c r="O58" s="13"/>
      <c r="P58" s="13"/>
      <c r="Q58" s="54"/>
      <c r="R58" s="13"/>
      <c r="S58" s="13"/>
      <c r="T58" s="13"/>
      <c r="U58" s="13"/>
      <c r="V58" s="2"/>
    </row>
    <row r="59" spans="6:22" ht="12.75">
      <c r="F59" s="2"/>
      <c r="G59" s="2"/>
      <c r="H59" s="2"/>
      <c r="I59" s="29"/>
      <c r="J59" s="2"/>
      <c r="K59" s="2"/>
      <c r="L59" s="2"/>
      <c r="M59" s="2"/>
      <c r="N59" s="2"/>
      <c r="O59" s="2"/>
      <c r="P59" s="2"/>
      <c r="Q59" s="29"/>
      <c r="R59" s="2"/>
      <c r="S59" s="2"/>
      <c r="T59" s="2"/>
      <c r="U59" s="2"/>
      <c r="V59" s="2"/>
    </row>
    <row r="60" spans="6:22" ht="12.75">
      <c r="F60" s="2"/>
      <c r="G60" s="13"/>
      <c r="H60" s="2"/>
      <c r="I60" s="54"/>
      <c r="J60" s="13"/>
      <c r="K60" s="13"/>
      <c r="L60" s="13"/>
      <c r="M60" s="13"/>
      <c r="N60" s="2"/>
      <c r="O60" s="13"/>
      <c r="P60" s="2"/>
      <c r="Q60" s="54"/>
      <c r="R60" s="13"/>
      <c r="S60" s="13"/>
      <c r="T60" s="13"/>
      <c r="U60" s="13"/>
      <c r="V60" s="2"/>
    </row>
    <row r="61" spans="6:22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6:22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6:22" ht="12.7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6:22" ht="12.7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6:22" ht="12.7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sheetProtection/>
  <mergeCells count="8">
    <mergeCell ref="O7:P7"/>
    <mergeCell ref="O8:P8"/>
    <mergeCell ref="G4:H5"/>
    <mergeCell ref="K5:K6"/>
    <mergeCell ref="L5:L6"/>
    <mergeCell ref="M5:M6"/>
    <mergeCell ref="N5:N6"/>
    <mergeCell ref="O5:P6"/>
  </mergeCells>
  <conditionalFormatting sqref="P13 J2 O10">
    <cfRule type="cellIs" priority="2" dxfId="0" operator="equal" stopIfTrue="1">
      <formula>"""Accept the lot"""</formula>
    </cfRule>
  </conditionalFormatting>
  <printOptions/>
  <pageMargins left="0.7" right="0.7" top="0.75" bottom="0.75" header="0.3" footer="0.3"/>
  <pageSetup orientation="portrait" paperSize="9"/>
  <ignoredErrors>
    <ignoredError sqref="P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Whirlpool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Curry, Kisha (CONTR)</dc:creator>
  <cp:keywords/>
  <dc:description/>
  <cp:lastModifiedBy>DOEUSER</cp:lastModifiedBy>
  <cp:lastPrinted>2010-01-19T20:20:38Z</cp:lastPrinted>
  <dcterms:created xsi:type="dcterms:W3CDTF">2003-09-16T13:33:14Z</dcterms:created>
  <dcterms:modified xsi:type="dcterms:W3CDTF">2016-02-01T21:43:20Z</dcterms:modified>
  <cp:category/>
  <cp:version/>
  <cp:contentType/>
  <cp:contentStatus/>
</cp:coreProperties>
</file>