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10560" windowHeight="10260" tabRatio="935" firstSheet="1" activeTab="2"/>
  </bookViews>
  <sheets>
    <sheet name="g's vs RPM" sheetId="8" state="hidden" r:id="rId1"/>
    <sheet name="Correlation Raw Data" sheetId="12" r:id="rId2"/>
    <sheet name="Correction" sheetId="14" r:id="rId3"/>
    <sheet name="Analysis" sheetId="15" r:id="rId4"/>
    <sheet name="Interaction Plot" sheetId="16" r:id="rId5"/>
    <sheet name="Least Squares Plot" sheetId="17" r:id="rId6"/>
    <sheet name="Quality Check Raw Data" sheetId="13" r:id="rId7"/>
    <sheet name="X-Bar Chart" sheetId="23" r:id="rId8"/>
    <sheet name="Range Chart" sheetId="24" r:id="rId9"/>
    <sheet name="Individual RMC Chart" sheetId="25" r:id="rId10"/>
    <sheet name="Moving Range Chart" sheetId="26" r:id="rId11"/>
    <sheet name="Cloth Runs" sheetId="20" r:id="rId12"/>
    <sheet name="Extra Data" sheetId="22" r:id="rId13"/>
  </sheets>
  <definedNames>
    <definedName name="edit">#REF!,#REF!,#REF!,#REF!,#REF!,#REF!</definedName>
  </definedNames>
  <calcPr calcId="125725"/>
</workbook>
</file>

<file path=xl/calcChain.xml><?xml version="1.0" encoding="utf-8"?>
<calcChain xmlns="http://schemas.openxmlformats.org/spreadsheetml/2006/main">
  <c r="J4" i="13"/>
  <c r="J3"/>
  <c r="J2"/>
  <c r="AD5"/>
  <c r="AA5"/>
  <c r="X5"/>
  <c r="AO12"/>
  <c r="AO11"/>
  <c r="AO10"/>
  <c r="AK9"/>
  <c r="AK8"/>
  <c r="AK7"/>
  <c r="AG6"/>
  <c r="AG5"/>
  <c r="AG4"/>
  <c r="AJ58"/>
  <c r="AJ59"/>
  <c r="AJ60"/>
  <c r="AJ61"/>
  <c r="AJ62"/>
  <c r="AJ63"/>
  <c r="AJ64"/>
  <c r="AJ65"/>
  <c r="AN66"/>
  <c r="AN67"/>
  <c r="AN68"/>
  <c r="AN69"/>
  <c r="AN70"/>
  <c r="AN71"/>
  <c r="AN72"/>
  <c r="AN73"/>
  <c r="AR74"/>
  <c r="AR75"/>
  <c r="AR76"/>
  <c r="AR77"/>
  <c r="AR78"/>
  <c r="AR79"/>
  <c r="AR80"/>
  <c r="AR81"/>
  <c r="J28"/>
  <c r="AC43"/>
  <c r="J27"/>
  <c r="AC42"/>
  <c r="J26"/>
  <c r="AC41"/>
  <c r="J25"/>
  <c r="AC40"/>
  <c r="J24"/>
  <c r="AC39"/>
  <c r="J23"/>
  <c r="AC38"/>
  <c r="J22"/>
  <c r="L21"/>
  <c r="J21"/>
  <c r="AC36"/>
  <c r="J20"/>
  <c r="AO46"/>
  <c r="J13"/>
  <c r="AK39"/>
  <c r="J12"/>
  <c r="AK38"/>
  <c r="J11"/>
  <c r="J19"/>
  <c r="AK45"/>
  <c r="J18"/>
  <c r="Z42"/>
  <c r="J17"/>
  <c r="J16"/>
  <c r="AK42"/>
  <c r="J15"/>
  <c r="J14"/>
  <c r="AK40"/>
  <c r="J10"/>
  <c r="L9"/>
  <c r="J9"/>
  <c r="J8"/>
  <c r="J7"/>
  <c r="W68"/>
  <c r="J6"/>
  <c r="J5"/>
  <c r="W66"/>
  <c r="L3"/>
  <c r="AG29"/>
  <c r="L27"/>
  <c r="K27"/>
  <c r="K24"/>
  <c r="K18"/>
  <c r="L15"/>
  <c r="K15"/>
  <c r="K12"/>
  <c r="E117" i="20"/>
  <c r="E116"/>
  <c r="E114"/>
  <c r="E111"/>
  <c r="E109"/>
  <c r="E120"/>
  <c r="E118"/>
  <c r="E115"/>
  <c r="E110"/>
  <c r="E104"/>
  <c r="E122"/>
  <c r="E121"/>
  <c r="E119"/>
  <c r="E113"/>
  <c r="E112"/>
  <c r="E108"/>
  <c r="E107"/>
  <c r="E105"/>
  <c r="E103"/>
  <c r="E101"/>
  <c r="E94"/>
  <c r="E92"/>
  <c r="E91"/>
  <c r="E86"/>
  <c r="E77"/>
  <c r="E73"/>
  <c r="E72"/>
  <c r="E68"/>
  <c r="E99"/>
  <c r="E98"/>
  <c r="E97"/>
  <c r="E95"/>
  <c r="E90"/>
  <c r="E88"/>
  <c r="E83"/>
  <c r="E82"/>
  <c r="E81"/>
  <c r="E80"/>
  <c r="E79"/>
  <c r="E78"/>
  <c r="E76"/>
  <c r="E69"/>
  <c r="E102"/>
  <c r="E100"/>
  <c r="E96"/>
  <c r="E93"/>
  <c r="E89"/>
  <c r="E87"/>
  <c r="E85"/>
  <c r="E75"/>
  <c r="E74"/>
  <c r="E70"/>
  <c r="E67"/>
  <c r="E66"/>
  <c r="E64"/>
  <c r="E58"/>
  <c r="E55"/>
  <c r="E54"/>
  <c r="E52"/>
  <c r="E51"/>
  <c r="E46"/>
  <c r="E43"/>
  <c r="E41"/>
  <c r="E34"/>
  <c r="E62"/>
  <c r="E61"/>
  <c r="E57"/>
  <c r="E53"/>
  <c r="E50"/>
  <c r="E48"/>
  <c r="E45"/>
  <c r="E44"/>
  <c r="E40"/>
  <c r="E38"/>
  <c r="E65"/>
  <c r="E63"/>
  <c r="E60"/>
  <c r="E59"/>
  <c r="E56"/>
  <c r="E47"/>
  <c r="E39"/>
  <c r="E36"/>
  <c r="E33"/>
  <c r="B33"/>
  <c r="E17"/>
  <c r="E32"/>
  <c r="E27"/>
  <c r="E25"/>
  <c r="E9"/>
  <c r="E7"/>
  <c r="B119"/>
  <c r="B112"/>
  <c r="B111"/>
  <c r="B102"/>
  <c r="B117"/>
  <c r="B116"/>
  <c r="B114"/>
  <c r="B121"/>
  <c r="B118"/>
  <c r="B115"/>
  <c r="B108"/>
  <c r="B107"/>
  <c r="B106"/>
  <c r="B105"/>
  <c r="B104"/>
  <c r="B103"/>
  <c r="B77"/>
  <c r="B100"/>
  <c r="B97"/>
  <c r="B90"/>
  <c r="B86"/>
  <c r="B85"/>
  <c r="B82"/>
  <c r="B81"/>
  <c r="B79"/>
  <c r="B74"/>
  <c r="B70"/>
  <c r="B68"/>
  <c r="B98"/>
  <c r="B96"/>
  <c r="B95"/>
  <c r="B94"/>
  <c r="B92"/>
  <c r="B91"/>
  <c r="B75"/>
  <c r="B72"/>
  <c r="B71"/>
  <c r="B69"/>
  <c r="B99"/>
  <c r="B93"/>
  <c r="B89"/>
  <c r="B88"/>
  <c r="B87"/>
  <c r="B83"/>
  <c r="B80"/>
  <c r="B78"/>
  <c r="B76"/>
  <c r="B73"/>
  <c r="B66"/>
  <c r="B62"/>
  <c r="B54"/>
  <c r="B52"/>
  <c r="B50"/>
  <c r="B47"/>
  <c r="B46"/>
  <c r="B44"/>
  <c r="B43"/>
  <c r="B42"/>
  <c r="B37"/>
  <c r="B36"/>
  <c r="B67"/>
  <c r="B65"/>
  <c r="B64"/>
  <c r="B63"/>
  <c r="B60"/>
  <c r="B58"/>
  <c r="B53"/>
  <c r="B51"/>
  <c r="B49"/>
  <c r="B48"/>
  <c r="B40"/>
  <c r="B39"/>
  <c r="B35"/>
  <c r="B61"/>
  <c r="B59"/>
  <c r="B57"/>
  <c r="B56"/>
  <c r="B55"/>
  <c r="B45"/>
  <c r="B41"/>
  <c r="B38"/>
  <c r="B34"/>
  <c r="K11"/>
  <c r="K7"/>
  <c r="K5"/>
  <c r="B14"/>
  <c r="B5"/>
  <c r="B27"/>
  <c r="B21"/>
  <c r="B16"/>
  <c r="B13"/>
  <c r="B23"/>
  <c r="H120"/>
  <c r="H113"/>
  <c r="H109"/>
  <c r="H108"/>
  <c r="H102"/>
  <c r="H121"/>
  <c r="H118"/>
  <c r="H117"/>
  <c r="H116"/>
  <c r="H115"/>
  <c r="H114"/>
  <c r="H111"/>
  <c r="H110"/>
  <c r="H106"/>
  <c r="H101"/>
  <c r="H99"/>
  <c r="H122"/>
  <c r="H119"/>
  <c r="H112"/>
  <c r="H107"/>
  <c r="H105"/>
  <c r="H104"/>
  <c r="H95"/>
  <c r="H93"/>
  <c r="H92"/>
  <c r="H91"/>
  <c r="H88"/>
  <c r="H82"/>
  <c r="H81"/>
  <c r="H79"/>
  <c r="H78"/>
  <c r="H76"/>
  <c r="H75"/>
  <c r="H73"/>
  <c r="H68"/>
  <c r="H67"/>
  <c r="H66"/>
  <c r="H98"/>
  <c r="H89"/>
  <c r="H87"/>
  <c r="H85"/>
  <c r="H83"/>
  <c r="H80"/>
  <c r="H77"/>
  <c r="H74"/>
  <c r="H72"/>
  <c r="H65"/>
  <c r="H97"/>
  <c r="H96"/>
  <c r="H94"/>
  <c r="H86"/>
  <c r="H84"/>
  <c r="H71"/>
  <c r="H70"/>
  <c r="H64"/>
  <c r="H63"/>
  <c r="H62"/>
  <c r="H57"/>
  <c r="H54"/>
  <c r="H53"/>
  <c r="H44"/>
  <c r="H41"/>
  <c r="H34"/>
  <c r="H33"/>
  <c r="H60"/>
  <c r="H56"/>
  <c r="H52"/>
  <c r="H51"/>
  <c r="H48"/>
  <c r="H45"/>
  <c r="H42"/>
  <c r="H40"/>
  <c r="H38"/>
  <c r="H61"/>
  <c r="H58"/>
  <c r="H55"/>
  <c r="H50"/>
  <c r="H47"/>
  <c r="H46"/>
  <c r="H37"/>
  <c r="H36"/>
  <c r="H35"/>
  <c r="H29"/>
  <c r="H26"/>
  <c r="H19"/>
  <c r="H18"/>
  <c r="H31"/>
  <c r="H28"/>
  <c r="H24"/>
  <c r="H21"/>
  <c r="H3"/>
  <c r="E5" i="15"/>
  <c r="G15" s="1"/>
  <c r="U38"/>
  <c r="U39"/>
  <c r="U37"/>
  <c r="U18"/>
  <c r="U19"/>
  <c r="U17"/>
  <c r="M38"/>
  <c r="M39"/>
  <c r="M37"/>
  <c r="M28"/>
  <c r="M29"/>
  <c r="M27"/>
  <c r="M18"/>
  <c r="M19"/>
  <c r="M17"/>
  <c r="N11" i="20"/>
  <c r="E24"/>
  <c r="N10"/>
  <c r="E15"/>
  <c r="O35" i="15"/>
  <c r="G35"/>
  <c r="L8" i="12"/>
  <c r="K4" i="20"/>
  <c r="K17"/>
  <c r="K31"/>
  <c r="K32"/>
  <c r="H32"/>
  <c r="E20"/>
  <c r="B28"/>
  <c r="B18"/>
  <c r="I8" i="12"/>
  <c r="L18"/>
  <c r="L17"/>
  <c r="L16"/>
  <c r="C16"/>
  <c r="C18"/>
  <c r="I18"/>
  <c r="I17"/>
  <c r="I16"/>
  <c r="F18"/>
  <c r="F16"/>
  <c r="O22" i="13"/>
  <c r="J1" i="15"/>
  <c r="A2"/>
  <c r="Q30"/>
  <c r="U28"/>
  <c r="D35"/>
  <c r="C36"/>
  <c r="C37"/>
  <c r="C38"/>
  <c r="C39"/>
  <c r="C40"/>
  <c r="B55"/>
  <c r="F5" i="14"/>
  <c r="Q6"/>
  <c r="Q7"/>
  <c r="Q8"/>
  <c r="Q9"/>
  <c r="B10"/>
  <c r="D10"/>
  <c r="F10"/>
  <c r="H10"/>
  <c r="Q10"/>
  <c r="B11"/>
  <c r="D11"/>
  <c r="F11"/>
  <c r="H11"/>
  <c r="I10" s="1"/>
  <c r="Q11"/>
  <c r="B12"/>
  <c r="D12"/>
  <c r="F12"/>
  <c r="H12"/>
  <c r="Q12"/>
  <c r="B13"/>
  <c r="D13"/>
  <c r="F13"/>
  <c r="H13"/>
  <c r="Q13"/>
  <c r="B14"/>
  <c r="D14"/>
  <c r="E15"/>
  <c r="F14"/>
  <c r="H14"/>
  <c r="I13" s="1"/>
  <c r="Q14"/>
  <c r="B15"/>
  <c r="D15"/>
  <c r="F15"/>
  <c r="H15"/>
  <c r="Q15"/>
  <c r="B16"/>
  <c r="D16"/>
  <c r="F16"/>
  <c r="H16"/>
  <c r="Q16"/>
  <c r="B17"/>
  <c r="D17"/>
  <c r="E18"/>
  <c r="F17"/>
  <c r="H17"/>
  <c r="Q17"/>
  <c r="B18"/>
  <c r="D18"/>
  <c r="F18"/>
  <c r="H18"/>
  <c r="I16"/>
  <c r="E17" i="15" s="1"/>
  <c r="Q18" i="14"/>
  <c r="B19"/>
  <c r="D19"/>
  <c r="F19"/>
  <c r="H19"/>
  <c r="Q19"/>
  <c r="B20"/>
  <c r="C21"/>
  <c r="D20"/>
  <c r="F20"/>
  <c r="H20"/>
  <c r="Q20"/>
  <c r="B21"/>
  <c r="D21"/>
  <c r="E19" s="1"/>
  <c r="F21"/>
  <c r="H21"/>
  <c r="Q21"/>
  <c r="B22"/>
  <c r="D22"/>
  <c r="F22"/>
  <c r="H22"/>
  <c r="Q22"/>
  <c r="B23"/>
  <c r="D23"/>
  <c r="F23"/>
  <c r="H23"/>
  <c r="I22" s="1"/>
  <c r="Q23"/>
  <c r="B24"/>
  <c r="C24" s="1"/>
  <c r="D24"/>
  <c r="F24"/>
  <c r="H24"/>
  <c r="Q24"/>
  <c r="Q25"/>
  <c r="I12"/>
  <c r="P17" i="13"/>
  <c r="O14"/>
  <c r="O27"/>
  <c r="P26"/>
  <c r="O23"/>
  <c r="O24"/>
  <c r="P22"/>
  <c r="AD3"/>
  <c r="P18"/>
  <c r="O17"/>
  <c r="P14"/>
  <c r="O13"/>
  <c r="O15"/>
  <c r="B3" i="20"/>
  <c r="E11"/>
  <c r="U29" i="15"/>
  <c r="U27"/>
  <c r="E21" i="14"/>
  <c r="E10"/>
  <c r="J29" s="1"/>
  <c r="E22"/>
  <c r="J33" s="1"/>
  <c r="P27" i="13"/>
  <c r="P28"/>
  <c r="AD16"/>
  <c r="P23"/>
  <c r="P24"/>
  <c r="O26"/>
  <c r="P13"/>
  <c r="AA3"/>
  <c r="P15"/>
  <c r="O18"/>
  <c r="O19"/>
  <c r="L18"/>
  <c r="K21"/>
  <c r="K6"/>
  <c r="L6"/>
  <c r="S8"/>
  <c r="W67"/>
  <c r="W69"/>
  <c r="AG64"/>
  <c r="W65"/>
  <c r="AG60"/>
  <c r="Z63"/>
  <c r="O8"/>
  <c r="O10"/>
  <c r="AG16"/>
  <c r="AG18"/>
  <c r="AK20"/>
  <c r="AO24"/>
  <c r="AG36"/>
  <c r="AG34"/>
  <c r="AG32"/>
  <c r="AG30"/>
  <c r="AK37"/>
  <c r="AK44"/>
  <c r="AK41"/>
  <c r="AO54"/>
  <c r="AO50"/>
  <c r="AO48"/>
  <c r="W35"/>
  <c r="W42"/>
  <c r="W40"/>
  <c r="W38"/>
  <c r="W36"/>
  <c r="Z43"/>
  <c r="Z40"/>
  <c r="Z38"/>
  <c r="Z36"/>
  <c r="W64"/>
  <c r="AG59"/>
  <c r="Z70"/>
  <c r="Z66"/>
  <c r="Z64"/>
  <c r="AC67"/>
  <c r="AO78"/>
  <c r="AC65"/>
  <c r="S4"/>
  <c r="S9"/>
  <c r="AG61"/>
  <c r="AG63"/>
  <c r="O4"/>
  <c r="AG17"/>
  <c r="AK19"/>
  <c r="AO23"/>
  <c r="AG28"/>
  <c r="AG35"/>
  <c r="AG33"/>
  <c r="AG31"/>
  <c r="AO53"/>
  <c r="AO51"/>
  <c r="AO49"/>
  <c r="AO47"/>
  <c r="W41"/>
  <c r="W39"/>
  <c r="W37"/>
  <c r="Z35"/>
  <c r="Z39"/>
  <c r="Z37"/>
  <c r="AC37"/>
  <c r="W63"/>
  <c r="Z67"/>
  <c r="AK70"/>
  <c r="Z65"/>
  <c r="AK68"/>
  <c r="AC70"/>
  <c r="AO81"/>
  <c r="AC66"/>
  <c r="AO77"/>
  <c r="AC64"/>
  <c r="AO75"/>
  <c r="AK43"/>
  <c r="Z41"/>
  <c r="Z69"/>
  <c r="AK72"/>
  <c r="AK21"/>
  <c r="Z68"/>
  <c r="AK71"/>
  <c r="AO22"/>
  <c r="AC35"/>
  <c r="AC63"/>
  <c r="AK66"/>
  <c r="AK73"/>
  <c r="AG62"/>
  <c r="AK69"/>
  <c r="AO76"/>
  <c r="AK67"/>
  <c r="O5"/>
  <c r="O6"/>
  <c r="O9"/>
  <c r="P19"/>
  <c r="O28"/>
  <c r="K3"/>
  <c r="S10"/>
  <c r="AO74"/>
  <c r="AG58"/>
  <c r="L24"/>
  <c r="AL7"/>
  <c r="AL9"/>
  <c r="AL8"/>
  <c r="AA28"/>
  <c r="AA36"/>
  <c r="L12"/>
  <c r="W70"/>
  <c r="AG65"/>
  <c r="W43"/>
  <c r="K9"/>
  <c r="T9"/>
  <c r="AA6"/>
  <c r="AA16"/>
  <c r="AL19"/>
  <c r="AA7"/>
  <c r="AA58"/>
  <c r="AM8"/>
  <c r="AM7"/>
  <c r="AM9"/>
  <c r="AL72"/>
  <c r="AL68"/>
  <c r="AL71"/>
  <c r="AL73"/>
  <c r="AL67"/>
  <c r="AL66"/>
  <c r="AL70"/>
  <c r="AA59"/>
  <c r="AL69"/>
  <c r="AN8"/>
  <c r="AL43"/>
  <c r="AL39"/>
  <c r="AA38"/>
  <c r="AA43"/>
  <c r="X58"/>
  <c r="H7" i="20"/>
  <c r="H10"/>
  <c r="H16"/>
  <c r="H6"/>
  <c r="H11"/>
  <c r="H14"/>
  <c r="H17"/>
  <c r="B6"/>
  <c r="B15"/>
  <c r="B24"/>
  <c r="B10"/>
  <c r="B12"/>
  <c r="B26"/>
  <c r="B29"/>
  <c r="B31"/>
  <c r="B7"/>
  <c r="B19"/>
  <c r="B22"/>
  <c r="E4"/>
  <c r="E14"/>
  <c r="E26"/>
  <c r="E30"/>
  <c r="E5"/>
  <c r="E19"/>
  <c r="E6"/>
  <c r="E13"/>
  <c r="E21"/>
  <c r="E23"/>
  <c r="E28"/>
  <c r="H5"/>
  <c r="H8"/>
  <c r="H13"/>
  <c r="H20"/>
  <c r="H23"/>
  <c r="H25"/>
  <c r="H30"/>
  <c r="H4"/>
  <c r="H9"/>
  <c r="H12"/>
  <c r="H15"/>
  <c r="H22"/>
  <c r="H27"/>
  <c r="B4"/>
  <c r="B9"/>
  <c r="B25"/>
  <c r="B11"/>
  <c r="B30"/>
  <c r="B8"/>
  <c r="B17"/>
  <c r="B20"/>
  <c r="B32"/>
  <c r="E3"/>
  <c r="E12"/>
  <c r="E16"/>
  <c r="E29"/>
  <c r="E31"/>
  <c r="E10"/>
  <c r="E8"/>
  <c r="E18"/>
  <c r="E22"/>
  <c r="AH59" i="13"/>
  <c r="AH61"/>
  <c r="AH64"/>
  <c r="AH63"/>
  <c r="AH60"/>
  <c r="AH58"/>
  <c r="X59"/>
  <c r="AH62"/>
  <c r="AH65"/>
  <c r="T8"/>
  <c r="AD6"/>
  <c r="AP10"/>
  <c r="AP12"/>
  <c r="AD7"/>
  <c r="AP11"/>
  <c r="AD28"/>
  <c r="AP23"/>
  <c r="AP24"/>
  <c r="AP22"/>
  <c r="AD20"/>
  <c r="AD19"/>
  <c r="AD41"/>
  <c r="T4"/>
  <c r="AC68"/>
  <c r="AO79"/>
  <c r="S5"/>
  <c r="S6"/>
  <c r="AC69"/>
  <c r="AO80"/>
  <c r="AO52"/>
  <c r="AD58"/>
  <c r="T10"/>
  <c r="AA42"/>
  <c r="AL37"/>
  <c r="AL41"/>
  <c r="AL45"/>
  <c r="AA19"/>
  <c r="AA40"/>
  <c r="AA39"/>
  <c r="AA35"/>
  <c r="AL38"/>
  <c r="AL42"/>
  <c r="AA41"/>
  <c r="AA37"/>
  <c r="AL40"/>
  <c r="AL44"/>
  <c r="P8"/>
  <c r="P4"/>
  <c r="X3"/>
  <c r="P5"/>
  <c r="P9"/>
  <c r="T5"/>
  <c r="T6"/>
  <c r="S15"/>
  <c r="AP78"/>
  <c r="AD59"/>
  <c r="AQ75"/>
  <c r="AN7"/>
  <c r="AN9"/>
  <c r="AL20"/>
  <c r="AA20"/>
  <c r="AL21"/>
  <c r="AP74"/>
  <c r="AP79"/>
  <c r="AP75"/>
  <c r="AP81"/>
  <c r="AM20"/>
  <c r="AM21"/>
  <c r="AM19"/>
  <c r="AM66"/>
  <c r="AM72"/>
  <c r="AM69"/>
  <c r="AM68"/>
  <c r="AM71"/>
  <c r="AM73"/>
  <c r="AM67"/>
  <c r="AM70"/>
  <c r="AI58"/>
  <c r="AI65"/>
  <c r="AI60"/>
  <c r="AI62"/>
  <c r="AI63"/>
  <c r="AI61"/>
  <c r="AI59"/>
  <c r="AI64"/>
  <c r="AQ22"/>
  <c r="AQ23"/>
  <c r="AQ24"/>
  <c r="AQ11"/>
  <c r="AQ10"/>
  <c r="AQ12"/>
  <c r="AR23"/>
  <c r="AR22"/>
  <c r="AR24"/>
  <c r="AD38"/>
  <c r="AD42"/>
  <c r="AD43"/>
  <c r="AP46"/>
  <c r="AP48"/>
  <c r="AP50"/>
  <c r="AP52"/>
  <c r="AP54"/>
  <c r="AD35"/>
  <c r="AD36"/>
  <c r="AD37"/>
  <c r="AD40"/>
  <c r="AP47"/>
  <c r="AP49"/>
  <c r="AP51"/>
  <c r="AP53"/>
  <c r="AD39"/>
  <c r="AR11"/>
  <c r="AR10"/>
  <c r="AR12"/>
  <c r="AP80"/>
  <c r="AP76"/>
  <c r="AP77"/>
  <c r="AQ80"/>
  <c r="AA31"/>
  <c r="AA29"/>
  <c r="P6"/>
  <c r="P10"/>
  <c r="X28"/>
  <c r="AH5"/>
  <c r="AH4"/>
  <c r="X7"/>
  <c r="AH6"/>
  <c r="AQ76"/>
  <c r="AQ78"/>
  <c r="AQ81"/>
  <c r="AQ77"/>
  <c r="AQ74"/>
  <c r="AQ79"/>
  <c r="AN21"/>
  <c r="AN19"/>
  <c r="AN20"/>
  <c r="AD31"/>
  <c r="AD29"/>
  <c r="AD32"/>
  <c r="AQ49"/>
  <c r="AQ47"/>
  <c r="AQ46"/>
  <c r="AQ54"/>
  <c r="AQ50"/>
  <c r="AQ51"/>
  <c r="AD33"/>
  <c r="AR47"/>
  <c r="AA33"/>
  <c r="AA32"/>
  <c r="AJ4"/>
  <c r="AJ6"/>
  <c r="AJ5"/>
  <c r="X6"/>
  <c r="X16"/>
  <c r="X36"/>
  <c r="AH34"/>
  <c r="AH31"/>
  <c r="X35"/>
  <c r="X40"/>
  <c r="X37"/>
  <c r="AH28"/>
  <c r="AH36"/>
  <c r="X39"/>
  <c r="AH33"/>
  <c r="X38"/>
  <c r="X43"/>
  <c r="AH32"/>
  <c r="X42"/>
  <c r="X41"/>
  <c r="AH30"/>
  <c r="AH29"/>
  <c r="AH35"/>
  <c r="AR52"/>
  <c r="AQ52"/>
  <c r="AQ48"/>
  <c r="AQ53"/>
  <c r="AR48"/>
  <c r="AR53"/>
  <c r="AR49"/>
  <c r="AR54"/>
  <c r="AR50"/>
  <c r="AR46"/>
  <c r="AR51"/>
  <c r="AM38"/>
  <c r="AM37"/>
  <c r="AM41"/>
  <c r="AM45"/>
  <c r="AM44"/>
  <c r="AM42"/>
  <c r="AM39"/>
  <c r="AM43"/>
  <c r="AM40"/>
  <c r="AN40"/>
  <c r="AN39"/>
  <c r="AN44"/>
  <c r="AN43"/>
  <c r="AN38"/>
  <c r="AN45"/>
  <c r="AN37"/>
  <c r="AN42"/>
  <c r="AN41"/>
  <c r="X20"/>
  <c r="AH17"/>
  <c r="AH16"/>
  <c r="X19"/>
  <c r="AH18"/>
  <c r="X31"/>
  <c r="X29"/>
  <c r="AI5"/>
  <c r="AI4"/>
  <c r="AI6"/>
  <c r="X33"/>
  <c r="X32"/>
  <c r="AI17"/>
  <c r="AI16"/>
  <c r="AI18"/>
  <c r="AJ16"/>
  <c r="AJ17"/>
  <c r="AJ18"/>
  <c r="AI28"/>
  <c r="AI35"/>
  <c r="AI31"/>
  <c r="AI32"/>
  <c r="AI30"/>
  <c r="AI33"/>
  <c r="AI29"/>
  <c r="AI34"/>
  <c r="AI36"/>
  <c r="AJ28"/>
  <c r="AJ35"/>
  <c r="AJ32"/>
  <c r="AJ30"/>
  <c r="AJ33"/>
  <c r="AJ29"/>
  <c r="AJ34"/>
  <c r="AJ31"/>
  <c r="AJ36"/>
  <c r="C18" i="14"/>
  <c r="H31"/>
  <c r="O8"/>
  <c r="O20"/>
  <c r="C10"/>
  <c r="E6" i="15" s="1"/>
  <c r="E16" i="14"/>
  <c r="C19"/>
  <c r="K32" s="1"/>
  <c r="G15"/>
  <c r="G22"/>
  <c r="E23" i="15" s="1"/>
  <c r="E13" i="14"/>
  <c r="J30" s="1"/>
  <c r="I19"/>
  <c r="E21" i="15" s="1"/>
  <c r="E12"/>
  <c r="O17" i="14"/>
  <c r="J31"/>
  <c r="E16" i="15"/>
  <c r="O18" i="14"/>
  <c r="O24"/>
  <c r="O21"/>
  <c r="O15" l="1"/>
  <c r="G24"/>
  <c r="G19"/>
  <c r="O14" s="1"/>
  <c r="I18"/>
  <c r="C15"/>
  <c r="G12"/>
  <c r="O9"/>
  <c r="C22"/>
  <c r="E22" i="15" s="1"/>
  <c r="E24" i="14"/>
  <c r="I21"/>
  <c r="G16"/>
  <c r="O13" s="1"/>
  <c r="C16"/>
  <c r="K31" s="1"/>
  <c r="G13"/>
  <c r="I30" s="1"/>
  <c r="C12"/>
  <c r="O10"/>
  <c r="H33"/>
  <c r="E25" i="15"/>
  <c r="O19" i="14"/>
  <c r="J32"/>
  <c r="E20" i="15"/>
  <c r="E19"/>
  <c r="I32" i="14"/>
  <c r="E13" i="15"/>
  <c r="H30" i="14"/>
  <c r="O7"/>
  <c r="O6"/>
  <c r="E9" i="15"/>
  <c r="H29" i="14"/>
  <c r="O25"/>
  <c r="E15" i="15"/>
  <c r="I31" i="14"/>
  <c r="O23"/>
  <c r="E14" i="15"/>
  <c r="O12" i="14"/>
  <c r="E11" i="15"/>
  <c r="O15"/>
  <c r="O25"/>
  <c r="G25"/>
  <c r="I24" i="14"/>
  <c r="I15"/>
  <c r="C13"/>
  <c r="K29"/>
  <c r="E18" i="15"/>
  <c r="I33" i="14"/>
  <c r="H32"/>
  <c r="G18"/>
  <c r="G10"/>
  <c r="E24" i="15"/>
  <c r="G21" i="14"/>
  <c r="E12"/>
  <c r="E8" i="15"/>
  <c r="O16" i="14"/>
  <c r="K33" l="1"/>
  <c r="I29"/>
  <c r="E7" i="15"/>
  <c r="O11" i="14"/>
  <c r="F18" i="15"/>
  <c r="D39"/>
  <c r="K30" i="14"/>
  <c r="E10" i="15"/>
  <c r="O22" i="14"/>
  <c r="P42" i="15"/>
  <c r="D38"/>
  <c r="P37"/>
  <c r="P38"/>
  <c r="R38" s="1"/>
  <c r="F14"/>
  <c r="D40"/>
  <c r="F22"/>
  <c r="P31" i="14"/>
  <c r="P30"/>
  <c r="F6" i="15"/>
  <c r="P17"/>
  <c r="P22"/>
  <c r="D28"/>
  <c r="B53" s="1"/>
  <c r="C53" s="1"/>
  <c r="H27"/>
  <c r="J27" s="1"/>
  <c r="H32"/>
  <c r="D29"/>
  <c r="B54" s="1"/>
  <c r="C54" s="1"/>
  <c r="H18"/>
  <c r="J18" s="1"/>
  <c r="H17"/>
  <c r="D30"/>
  <c r="D36"/>
  <c r="H28"/>
  <c r="P18"/>
  <c r="R18" s="1"/>
  <c r="D31"/>
  <c r="C55" s="1"/>
  <c r="D55" s="1"/>
  <c r="H22"/>
  <c r="P39" l="1"/>
  <c r="R39" s="1"/>
  <c r="R37"/>
  <c r="F10"/>
  <c r="H38"/>
  <c r="J38" s="1"/>
  <c r="H37"/>
  <c r="D37"/>
  <c r="P32"/>
  <c r="P28"/>
  <c r="R28" s="1"/>
  <c r="P27"/>
  <c r="H42"/>
  <c r="P16" i="14"/>
  <c r="R16" s="1"/>
  <c r="P40" i="15"/>
  <c r="R40" s="1"/>
  <c r="S38" s="1"/>
  <c r="T38" s="1"/>
  <c r="D53"/>
  <c r="J28"/>
  <c r="H29"/>
  <c r="J29" s="1"/>
  <c r="O7"/>
  <c r="N7"/>
  <c r="P19"/>
  <c r="R19" s="1"/>
  <c r="R17"/>
  <c r="H19"/>
  <c r="J19" s="1"/>
  <c r="J17"/>
  <c r="P12" i="14"/>
  <c r="R12" s="1"/>
  <c r="P11"/>
  <c r="R11" s="1"/>
  <c r="P21"/>
  <c r="R21" s="1"/>
  <c r="P24"/>
  <c r="R24" s="1"/>
  <c r="P18"/>
  <c r="R18" s="1"/>
  <c r="P7"/>
  <c r="R7" s="1"/>
  <c r="P17"/>
  <c r="R17" s="1"/>
  <c r="P9"/>
  <c r="R9" s="1"/>
  <c r="P19"/>
  <c r="R19" s="1"/>
  <c r="P13"/>
  <c r="R13" s="1"/>
  <c r="P6"/>
  <c r="R6" s="1"/>
  <c r="P14"/>
  <c r="R14" s="1"/>
  <c r="P10"/>
  <c r="R10" s="1"/>
  <c r="P23"/>
  <c r="R23" s="1"/>
  <c r="P22"/>
  <c r="R22" s="1"/>
  <c r="P25"/>
  <c r="R25" s="1"/>
  <c r="P8"/>
  <c r="R8" s="1"/>
  <c r="P20"/>
  <c r="R20" s="1"/>
  <c r="P15"/>
  <c r="R15" s="1"/>
  <c r="P20" i="15"/>
  <c r="R20" s="1"/>
  <c r="S18" s="1"/>
  <c r="T18" s="1"/>
  <c r="P29" l="1"/>
  <c r="R29" s="1"/>
  <c r="R27"/>
  <c r="H39"/>
  <c r="J39" s="1"/>
  <c r="J37"/>
  <c r="P30"/>
  <c r="R30" s="1"/>
  <c r="S28" s="1"/>
  <c r="T28" s="1"/>
  <c r="S39"/>
  <c r="T39" s="1"/>
  <c r="H13" s="1"/>
  <c r="H20"/>
  <c r="J20" s="1"/>
  <c r="K18" s="1"/>
  <c r="L18" s="1"/>
  <c r="S37"/>
  <c r="T37" s="1"/>
  <c r="S17"/>
  <c r="T17" s="1"/>
  <c r="K17"/>
  <c r="L17" s="1"/>
  <c r="H30"/>
  <c r="J30" s="1"/>
  <c r="K27" s="1"/>
  <c r="L27" s="1"/>
  <c r="R26" i="14"/>
  <c r="K19" i="15"/>
  <c r="L19" s="1"/>
  <c r="H8" s="1"/>
  <c r="S19"/>
  <c r="T19" s="1"/>
  <c r="H10" s="1"/>
  <c r="K28"/>
  <c r="L28" s="1"/>
  <c r="S29" l="1"/>
  <c r="T29" s="1"/>
  <c r="H12" s="1"/>
  <c r="H40"/>
  <c r="J40" s="1"/>
  <c r="K38" s="1"/>
  <c r="L38" s="1"/>
  <c r="S27"/>
  <c r="T27" s="1"/>
  <c r="K29"/>
  <c r="L29" s="1"/>
  <c r="H9" s="1"/>
  <c r="K39" l="1"/>
  <c r="L39" s="1"/>
  <c r="H11" s="1"/>
  <c r="N8" s="1"/>
  <c r="O8" s="1"/>
  <c r="O9" s="1"/>
  <c r="J2" s="1"/>
  <c r="K37"/>
  <c r="L37" s="1"/>
</calcChain>
</file>

<file path=xl/sharedStrings.xml><?xml version="1.0" encoding="utf-8"?>
<sst xmlns="http://schemas.openxmlformats.org/spreadsheetml/2006/main" count="937" uniqueCount="614">
  <si>
    <t>15 minute spin</t>
  </si>
  <si>
    <t>4 minute spin</t>
  </si>
  <si>
    <t>"g" force</t>
  </si>
  <si>
    <t>Table 2.6.5  Matrix of Extractor RMC test conditions</t>
  </si>
  <si>
    <t>warm soak</t>
  </si>
  <si>
    <t>cold soak</t>
  </si>
  <si>
    <t>best fit</t>
  </si>
  <si>
    <t>A=</t>
  </si>
  <si>
    <t>B=</t>
  </si>
  <si>
    <r>
      <t>Δ</t>
    </r>
    <r>
      <rPr>
        <vertAlign val="superscript"/>
        <sz val="10"/>
        <rFont val="Arial"/>
        <family val="2"/>
      </rPr>
      <t>2</t>
    </r>
  </si>
  <si>
    <t>RPM for g's</t>
  </si>
  <si>
    <t>basket diameter</t>
  </si>
  <si>
    <t>g force</t>
  </si>
  <si>
    <t>Table 2.6.6.1 - Standard RMC Values (lot #3)</t>
  </si>
  <si>
    <t>Lot number</t>
  </si>
  <si>
    <t>Test</t>
  </si>
  <si>
    <t>C - 4-100</t>
  </si>
  <si>
    <t>W- 4-100</t>
  </si>
  <si>
    <t>C-15-100</t>
  </si>
  <si>
    <t>W-15-100</t>
  </si>
  <si>
    <t>C - 4-200</t>
  </si>
  <si>
    <t>W- 4-200</t>
  </si>
  <si>
    <t>C-15-200</t>
  </si>
  <si>
    <t>W-15-200</t>
  </si>
  <si>
    <t>C - 4-350</t>
  </si>
  <si>
    <t>W - 4-350</t>
  </si>
  <si>
    <t>C-15-350</t>
  </si>
  <si>
    <t>W-15-350</t>
  </si>
  <si>
    <t>SS</t>
  </si>
  <si>
    <t>df</t>
  </si>
  <si>
    <t>MS</t>
  </si>
  <si>
    <t>F</t>
  </si>
  <si>
    <t>P-value</t>
  </si>
  <si>
    <t>F crit</t>
  </si>
  <si>
    <t>Interaction</t>
  </si>
  <si>
    <t>Total</t>
  </si>
  <si>
    <t>Source of Variation</t>
  </si>
  <si>
    <t>speed</t>
  </si>
  <si>
    <t>lot</t>
  </si>
  <si>
    <t>Within (error)</t>
  </si>
  <si>
    <t>Test with 8.4 +/- 0.1 lb preconditioned test cloth.</t>
  </si>
  <si>
    <t>100 F</t>
  </si>
  <si>
    <t>60 F</t>
  </si>
  <si>
    <r>
      <t>RMS error=√( sum (Δ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 / ( n-2 )) =</t>
    </r>
  </si>
  <si>
    <t>Spreadsheet calculates least squares fit to standard RMC table, and RMS error of corrected data to standard.</t>
  </si>
  <si>
    <t>C - 4-500</t>
  </si>
  <si>
    <t>W - 4-500</t>
  </si>
  <si>
    <t>C-15-500</t>
  </si>
  <si>
    <t>W-15-500</t>
  </si>
  <si>
    <t>C - 4-650</t>
  </si>
  <si>
    <t>W - 4-650</t>
  </si>
  <si>
    <t>C-15-650</t>
  </si>
  <si>
    <t>W-15-650</t>
  </si>
  <si>
    <t>Slope</t>
  </si>
  <si>
    <t>Intercept</t>
  </si>
  <si>
    <t>RMS Error</t>
  </si>
  <si>
    <t>100 to 350 g</t>
  </si>
  <si>
    <t>This is with 100 through 650 G data</t>
  </si>
  <si>
    <t>100 to 500 g</t>
  </si>
  <si>
    <t>Speed</t>
  </si>
  <si>
    <t>Within</t>
  </si>
  <si>
    <t xml:space="preserve">Speed </t>
  </si>
  <si>
    <t>Lot</t>
  </si>
  <si>
    <t>R square</t>
  </si>
  <si>
    <t>100 through 650 G</t>
  </si>
  <si>
    <t>200 thorugh 650 G</t>
  </si>
  <si>
    <t>Speed Ranges</t>
  </si>
  <si>
    <t>100 through 350</t>
  </si>
  <si>
    <t>100 through 500</t>
  </si>
  <si>
    <t>100 through 650</t>
  </si>
  <si>
    <t>200 through 650</t>
  </si>
  <si>
    <t>lot*speed</t>
  </si>
  <si>
    <t>P values</t>
  </si>
  <si>
    <t>Note: Please do not alter any cells in this worksheet.</t>
  </si>
  <si>
    <t xml:space="preserve">Speed*Lot interaction </t>
  </si>
  <si>
    <t xml:space="preserve">RMS Error </t>
  </si>
  <si>
    <t>Location</t>
  </si>
  <si>
    <t>Tested by:</t>
  </si>
  <si>
    <t>Date:</t>
  </si>
  <si>
    <t>Note - - If  P-value &gt; 0.10; interaction is NOT significant.</t>
  </si>
  <si>
    <t>Criteria for approving lot based on correction coefficient data with 100 through 650 G spin speeds</t>
  </si>
  <si>
    <t>Lot 3</t>
  </si>
  <si>
    <t>Accpetance criteria</t>
  </si>
  <si>
    <t>2.6.6.2</t>
  </si>
  <si>
    <t>J1  reference</t>
  </si>
  <si>
    <t>P value &gt; 0.10</t>
  </si>
  <si>
    <t>RMS Error &lt; 2%</t>
  </si>
  <si>
    <t>Data</t>
  </si>
  <si>
    <t>Result</t>
  </si>
  <si>
    <t>Dry Wt</t>
  </si>
  <si>
    <t>Wet Wt</t>
  </si>
  <si>
    <t>Beginning - 1</t>
  </si>
  <si>
    <t>Beginning - 2</t>
  </si>
  <si>
    <t>Beginning - 3</t>
  </si>
  <si>
    <t>Middle - 4</t>
  </si>
  <si>
    <t>Middle - 5</t>
  </si>
  <si>
    <t>Middle - 6</t>
  </si>
  <si>
    <t>End - 7</t>
  </si>
  <si>
    <t>End - 8</t>
  </si>
  <si>
    <t>End - 9</t>
  </si>
  <si>
    <t>4 min</t>
  </si>
  <si>
    <t>15 min</t>
  </si>
  <si>
    <t>Batch #</t>
  </si>
  <si>
    <t>100 G</t>
  </si>
  <si>
    <t>200 G</t>
  </si>
  <si>
    <t>350 G</t>
  </si>
  <si>
    <t>500 G</t>
  </si>
  <si>
    <t>650 G</t>
  </si>
  <si>
    <t>ATEC</t>
  </si>
  <si>
    <t>% RMC</t>
  </si>
  <si>
    <r>
      <t>60</t>
    </r>
    <r>
      <rPr>
        <sz val="10"/>
        <color indexed="8"/>
        <rFont val="Arial"/>
        <family val="2"/>
      </rPr>
      <t>⁰F - Cold Bath</t>
    </r>
  </si>
  <si>
    <r>
      <t>100</t>
    </r>
    <r>
      <rPr>
        <sz val="10"/>
        <color indexed="8"/>
        <rFont val="Arial"/>
        <family val="2"/>
      </rPr>
      <t>⁰F - Warm Bath</t>
    </r>
  </si>
  <si>
    <t>Condition Point</t>
  </si>
  <si>
    <t>RMC averages by speed</t>
  </si>
  <si>
    <t>Rebecca Fedorko</t>
  </si>
  <si>
    <t>Individual data points</t>
  </si>
  <si>
    <t>Load averages</t>
  </si>
  <si>
    <t>RMC Average</t>
  </si>
  <si>
    <t>Stdev</t>
  </si>
  <si>
    <t>CV%</t>
  </si>
  <si>
    <t>Max</t>
  </si>
  <si>
    <t>Min</t>
  </si>
  <si>
    <t>Range</t>
  </si>
  <si>
    <t>Ave RMC STDV</t>
  </si>
  <si>
    <t>Load %RMC</t>
  </si>
  <si>
    <t>Load Ave</t>
  </si>
  <si>
    <t>Beginning 1</t>
  </si>
  <si>
    <t>Beginning 2</t>
  </si>
  <si>
    <t>Beginning 3</t>
  </si>
  <si>
    <t>Middle 4</t>
  </si>
  <si>
    <t>Middle 5</t>
  </si>
  <si>
    <t>Middle 6</t>
  </si>
  <si>
    <t>End 7</t>
  </si>
  <si>
    <t>End 8</t>
  </si>
  <si>
    <t>End 9</t>
  </si>
  <si>
    <t>STDEV</t>
  </si>
  <si>
    <t>Beginning</t>
  </si>
  <si>
    <t>Middle</t>
  </si>
  <si>
    <t>End</t>
  </si>
  <si>
    <t>Cloth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</si>
  <si>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</si>
  <si>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</si>
  <si>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</si>
  <si>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</si>
  <si>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</si>
  <si>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</si>
  <si>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</si>
  <si>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</si>
  <si>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</si>
  <si>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</si>
  <si>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</si>
  <si>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</si>
  <si>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</si>
  <si>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</si>
  <si>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</si>
  <si>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</si>
  <si>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</si>
  <si>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</si>
  <si>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</si>
  <si>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</si>
  <si>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</si>
  <si>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</si>
  <si>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</si>
  <si>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</si>
  <si>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</si>
  <si>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</si>
  <si>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</si>
  <si>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</si>
  <si>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</si>
  <si>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</si>
  <si>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</si>
  <si>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</si>
  <si>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</si>
  <si>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</si>
  <si>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</si>
  <si>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</si>
  <si>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</si>
  <si>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</si>
  <si>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</si>
  <si>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</si>
  <si>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</si>
  <si>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</si>
  <si>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</si>
  <si>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</si>
  <si>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</si>
  <si>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</si>
  <si>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</si>
  <si>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</si>
  <si>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</si>
  <si>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</si>
  <si>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</si>
  <si>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</si>
  <si>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</si>
  <si>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</si>
  <si>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</si>
  <si>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</si>
  <si>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</si>
  <si>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</si>
  <si>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</si>
  <si>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</si>
  <si>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</si>
  <si>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</si>
  <si>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</si>
  <si>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</si>
  <si>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</si>
  <si>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</si>
  <si>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</si>
  <si>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</si>
  <si>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</si>
  <si>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</si>
  <si>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</si>
  <si>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</si>
  <si>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</si>
  <si>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</si>
  <si>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</si>
  <si>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</si>
  <si>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</si>
  <si>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</si>
  <si>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</si>
  <si>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</si>
  <si>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</si>
  <si>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</si>
  <si>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</si>
  <si>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</si>
  <si>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</si>
  <si>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</si>
  <si>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</si>
  <si>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</si>
  <si>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</si>
  <si>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</si>
  <si>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</si>
  <si>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</si>
  <si>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</si>
  <si>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</si>
  <si>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</si>
  <si>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</si>
  <si>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</si>
  <si>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</si>
  <si>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</si>
  <si>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</si>
  <si>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</si>
  <si>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</si>
  <si>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</si>
  <si>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</si>
  <si>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</si>
  <si>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</si>
  <si>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</si>
  <si>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</si>
  <si>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</si>
  <si>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</si>
  <si>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</si>
  <si>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</si>
  <si>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</si>
  <si>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</si>
  <si>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</si>
  <si>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</si>
  <si>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</si>
  <si>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</si>
  <si>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</si>
  <si>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</si>
  <si>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</si>
  <si>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</si>
  <si>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</si>
  <si>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</si>
  <si>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</si>
  <si>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</si>
  <si>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</si>
  <si>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</si>
  <si>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A-129</t>
  </si>
  <si>
    <t>A-X</t>
  </si>
  <si>
    <t>B-1</t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</si>
  <si>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</si>
  <si>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</si>
  <si>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</si>
  <si>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</si>
  <si>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</si>
  <si>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</si>
  <si>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</si>
  <si>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</si>
  <si>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</si>
  <si>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</si>
  <si>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</si>
  <si>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</si>
  <si>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</si>
  <si>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</si>
  <si>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</si>
  <si>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</si>
  <si>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</si>
  <si>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</si>
  <si>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</si>
  <si>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</si>
  <si>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</si>
  <si>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</si>
  <si>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</si>
  <si>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</si>
  <si>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</si>
  <si>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</si>
  <si>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</si>
  <si>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</si>
  <si>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</si>
  <si>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</si>
  <si>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</si>
  <si>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</si>
  <si>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</si>
  <si>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</si>
  <si>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</si>
  <si>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</si>
  <si>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</si>
  <si>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</si>
  <si>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</si>
  <si>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</si>
  <si>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</si>
  <si>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</si>
  <si>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</si>
  <si>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</si>
  <si>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</si>
  <si>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</si>
  <si>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</si>
  <si>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</si>
  <si>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</si>
  <si>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</si>
  <si>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</si>
  <si>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</si>
  <si>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</si>
  <si>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</si>
  <si>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</si>
  <si>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</si>
  <si>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</si>
  <si>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</si>
  <si>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</si>
  <si>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</si>
  <si>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</si>
  <si>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</si>
  <si>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</si>
  <si>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</si>
  <si>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</si>
  <si>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</si>
  <si>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</si>
  <si>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</si>
  <si>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</si>
  <si>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</si>
  <si>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</si>
  <si>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</si>
  <si>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</si>
  <si>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</si>
  <si>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</si>
  <si>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</si>
  <si>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</si>
  <si>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</si>
  <si>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</si>
  <si>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</si>
  <si>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</si>
  <si>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</si>
  <si>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</si>
  <si>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</si>
  <si>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</si>
  <si>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</si>
  <si>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</si>
  <si>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</si>
  <si>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</si>
  <si>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</si>
  <si>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</si>
  <si>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</si>
  <si>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</si>
  <si>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</si>
  <si>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</si>
  <si>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</si>
  <si>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</si>
  <si>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</si>
  <si>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</si>
  <si>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</si>
  <si>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</si>
  <si>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</si>
  <si>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</si>
  <si>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</si>
  <si>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</si>
  <si>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</si>
  <si>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</si>
  <si>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</si>
  <si>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</si>
  <si>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</si>
  <si>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</si>
  <si>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</si>
  <si>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</si>
  <si>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</si>
  <si>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</si>
  <si>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</si>
  <si>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</si>
  <si>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</si>
  <si>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</si>
  <si>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</si>
  <si>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</si>
  <si>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</si>
  <si>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</si>
  <si>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</si>
  <si>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</si>
  <si>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</si>
  <si>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</si>
  <si>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</si>
  <si>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</si>
  <si>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Runs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</si>
  <si>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</si>
  <si>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</si>
  <si>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</si>
  <si>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</si>
  <si>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</si>
  <si>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</si>
  <si>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</si>
  <si>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</si>
  <si>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</si>
  <si>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</si>
  <si>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</si>
  <si>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</si>
  <si>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</si>
  <si>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</si>
  <si>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</si>
  <si>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</si>
  <si>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</si>
  <si>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</si>
  <si>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</si>
  <si>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</si>
  <si>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</si>
  <si>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</si>
  <si>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</si>
  <si>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</si>
  <si>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</si>
  <si>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</si>
  <si>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</si>
  <si>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</si>
  <si>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</si>
  <si>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</si>
  <si>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</si>
  <si>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</si>
  <si>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</si>
  <si>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</si>
  <si>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</si>
  <si>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</si>
  <si>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</si>
  <si>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</si>
  <si>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</si>
  <si>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</si>
  <si>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</si>
  <si>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</si>
  <si>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</si>
  <si>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</si>
  <si>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</si>
  <si>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</si>
  <si>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</si>
  <si>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</si>
  <si>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</si>
  <si>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</si>
  <si>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</si>
  <si>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</si>
  <si>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</si>
  <si>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</si>
  <si>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</si>
  <si>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</si>
  <si>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</si>
  <si>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</si>
  <si>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</si>
  <si>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</si>
  <si>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</si>
  <si>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</si>
  <si>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</si>
  <si>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</si>
  <si>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</si>
  <si>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</si>
  <si>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</si>
  <si>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</si>
  <si>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</si>
  <si>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</si>
  <si>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</si>
  <si>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</si>
  <si>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C-73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</si>
  <si>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</si>
  <si>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</si>
  <si>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</si>
  <si>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</si>
  <si>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</si>
  <si>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</si>
  <si>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</si>
  <si>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</si>
  <si>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</si>
  <si>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</si>
  <si>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</si>
  <si>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</si>
  <si>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</si>
  <si>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</si>
  <si>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</si>
  <si>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</si>
  <si>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</si>
  <si>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</si>
  <si>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</si>
  <si>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</si>
  <si>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</si>
  <si>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</si>
  <si>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</si>
  <si>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</si>
  <si>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</si>
  <si>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</si>
  <si>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</si>
  <si>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</si>
  <si>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</si>
  <si>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</si>
  <si>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</si>
  <si>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</si>
  <si>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</si>
  <si>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</si>
  <si>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</si>
  <si>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</si>
  <si>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</si>
  <si>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</si>
  <si>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</si>
  <si>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</si>
  <si>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</si>
  <si>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</si>
  <si>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</si>
  <si>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</si>
  <si>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</si>
  <si>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</si>
  <si>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</si>
  <si>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</si>
  <si>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</si>
  <si>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</si>
  <si>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</si>
  <si>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</si>
  <si>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</si>
  <si>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</si>
  <si>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</si>
  <si>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</si>
  <si>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</si>
  <si>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XXX</t>
  </si>
  <si>
    <t>Updated:</t>
  </si>
  <si>
    <t>A-1 to A-120</t>
  </si>
  <si>
    <t>B-1 to B-120</t>
  </si>
  <si>
    <t>C-1 to C120</t>
  </si>
  <si>
    <t>pre-conditoned</t>
  </si>
  <si>
    <t>Extractor Runs: Preconditioning not included</t>
  </si>
  <si>
    <t>X-Bar Chart</t>
  </si>
  <si>
    <t>UCL</t>
  </si>
  <si>
    <t>LCL</t>
  </si>
  <si>
    <t>X-Bar</t>
  </si>
  <si>
    <t>A2</t>
  </si>
  <si>
    <t>R-Bar</t>
  </si>
  <si>
    <t>X-Bar Chart: Middle</t>
  </si>
  <si>
    <t xml:space="preserve">X-Bar Chart: Beginnning </t>
  </si>
  <si>
    <t>X-Bar Chart: End</t>
  </si>
  <si>
    <t>Pt</t>
  </si>
  <si>
    <t>Temp 1</t>
  </si>
  <si>
    <t xml:space="preserve">Temp 2 </t>
  </si>
  <si>
    <t>Max time</t>
  </si>
  <si>
    <t>X</t>
  </si>
  <si>
    <t>Range Chart: Beginning</t>
  </si>
  <si>
    <t>Range Chart: Middle</t>
  </si>
  <si>
    <t>Range Chart: End</t>
  </si>
  <si>
    <t>D3</t>
  </si>
  <si>
    <t>D4</t>
  </si>
  <si>
    <t>Range Chart</t>
  </si>
  <si>
    <t>S</t>
  </si>
  <si>
    <t>IM Chart: Beginning</t>
  </si>
  <si>
    <t>IM Chart: Middle</t>
  </si>
  <si>
    <t>IM Chart: End</t>
  </si>
  <si>
    <t>(X-Xbar)^2</t>
  </si>
  <si>
    <t>n</t>
  </si>
  <si>
    <t>Individual Measurements of %RMC Chart</t>
  </si>
  <si>
    <t>MR</t>
  </si>
  <si>
    <t>Ranges</t>
  </si>
  <si>
    <t>%RMC - Beginning</t>
  </si>
  <si>
    <t>%RMC - Middle</t>
  </si>
  <si>
    <t>%RMC - End</t>
  </si>
  <si>
    <t>Range - Beginning</t>
  </si>
  <si>
    <t>Range - Middle</t>
  </si>
  <si>
    <t>Range - End</t>
  </si>
  <si>
    <t>Moving Range of %RMC Chart</t>
  </si>
  <si>
    <t>Batch 1</t>
  </si>
  <si>
    <t>Batch 2</t>
  </si>
  <si>
    <t>wash</t>
  </si>
  <si>
    <t>dry</t>
  </si>
  <si>
    <t>200 to 500 g</t>
  </si>
  <si>
    <t>350 to 650 g</t>
  </si>
  <si>
    <t>350 through 650</t>
  </si>
  <si>
    <t>A-(1,2,4,5,6,7,8,9,10,13,15), B-(1,2,3,4,6,8,9,10,11,12,13,14),C-(2,3,4,5,6,7,8,9,10,11,12,13,14,15)</t>
  </si>
  <si>
    <t>Cloths Used</t>
  </si>
  <si>
    <t>A-(16,17,18,20,22,23,24,26,27,28,29,30), B-(16,17,18,19,20,21,22,24,26,27,28,29)</t>
  </si>
  <si>
    <t>C-(17,18,19,20,21,23,25,26,27,28,29,30)+stuffers A-2, B-2, C-(3,4)</t>
  </si>
  <si>
    <t>5/4/2010 - 5/7/2010</t>
  </si>
  <si>
    <t>200 through 500</t>
  </si>
  <si>
    <t>C-(1,3,5,6,8,11,14,15,18,19,21,22,23,26,28,29,31,39,42,51,52,55,60,61,62,68,69,82,84,92,94,95,100,106,107,111,118)</t>
  </si>
  <si>
    <t>"g" force"</t>
  </si>
  <si>
    <t>Ave RMC measured</t>
  </si>
  <si>
    <t>Ave RMC corrected</t>
  </si>
  <si>
    <t>Coeffiecents of the Least Squares Fit</t>
  </si>
  <si>
    <t>Lot 3 RMC standard</t>
  </si>
  <si>
    <t>*interaction is reported as the smallest p-value found.</t>
  </si>
  <si>
    <t>Standard Lot 3</t>
  </si>
  <si>
    <t>C-(9,16,17,20,25,27,32,36,38,40,43,46,49,50,54,58,63,70,72,75,78,81,83,85,87,96,97,99,104,108,109,112,113,114,115,116,119)</t>
  </si>
  <si>
    <t>C-(2,4,7,10,12,13,24,33,34,35,44,45,48,53,56,59,64,65,66,71,73,74,76,77,79,80,86,89,90,91,93,102,103,105,110,117,120)</t>
  </si>
  <si>
    <t>Table 2.6.5 - Ave RMC Values (lot #18)</t>
  </si>
  <si>
    <t>B-(1,2,10,12,14,24,27,28,29,31,34,37,45,54,57,58,61,63,68,72,73,83,85,87,91,94,98,100,101,103,105,106,110,111,117,119,120)</t>
  </si>
  <si>
    <t>B-(3,5,7,8,17,23,25,30,36,38,42,43,46,48,51,55,59,60,67,74,76,77,78,79,80,81,86,88,93,95,96,97,102,108,113,116,118)</t>
  </si>
  <si>
    <t>B-(4,6,11,13,15,16,19,20,21,22,26,32,39,41,44,49,50,52,53,56,62,64,65,66,70,71,75,84,89,90,92,99,107,109,112,114,115)</t>
  </si>
  <si>
    <t>A-(8,9,10,11,14,19,24,25,27,28,29,33,37,38,46,47,49,51,56,58,61,62,63,65,67,69,70,73,89,90,92,93,94,96,112,114,115)</t>
  </si>
  <si>
    <t>A-(3,5,6,12,15,17,18,20,30,34,35,40,41,42,44,45,48,50,52,60,64,66,68,72,77,79,80,83,84,88,95,98,100,109,110,117)+stuffersA-(3,5,9)</t>
  </si>
  <si>
    <t xml:space="preserve">Middle 4 </t>
  </si>
  <si>
    <t>A-(2,4,7,13,21,22,23,31,32,36,39,43,53,54,55,57,59,71,74,75,76,78,81,85,86,87,91,97,101,102,103,104,105,106,113,116,119)</t>
  </si>
  <si>
    <r>
      <t>350 G - 15 min - 60</t>
    </r>
    <r>
      <rPr>
        <sz val="11"/>
        <color indexed="8"/>
        <rFont val="Calibri"/>
        <family val="2"/>
      </rPr>
      <t>⁰F cold soak</t>
    </r>
  </si>
  <si>
    <t>extractions</t>
  </si>
  <si>
    <t>Stuffers (all)</t>
  </si>
  <si>
    <t xml:space="preserve">Acceptability criteria </t>
  </si>
  <si>
    <r>
      <t xml:space="preserve">Is CV </t>
    </r>
    <r>
      <rPr>
        <b/>
        <sz val="11"/>
        <color indexed="8"/>
        <rFont val="Calibri"/>
        <family val="2"/>
      </rPr>
      <t>≤</t>
    </r>
    <r>
      <rPr>
        <b/>
        <sz val="11"/>
        <color indexed="8"/>
        <rFont val="Arial"/>
        <family val="2"/>
      </rPr>
      <t xml:space="preserve"> 1%?</t>
    </r>
  </si>
  <si>
    <t>Roll Comparison Temperatures and Times</t>
  </si>
  <si>
    <t>Lot Correlation Temperatures and Times</t>
  </si>
  <si>
    <t>A</t>
  </si>
  <si>
    <t>B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</si>
</sst>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000"/>
    <numFmt numFmtId="167" formatCode="0.0%"/>
    <numFmt numFmtId="168" formatCode="0.00000"/>
    <numFmt numFmtId="169" formatCode="0.000%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9" fontId="2" fillId="0" borderId="0" applyFont="0" applyFill="0" applyBorder="0" applyAlignment="0" applyProtection="0"/>
  </cellStyleXfs>
  <cellXfs count="36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 applyAlignment="1">
      <alignment horizontal="center"/>
    </xf>
    <xf numFmtId="0" fontId="0" fillId="0" borderId="0" xfId="0" applyFill="1" applyBorder="1" applyAlignment="1"/>
    <xf numFmtId="0" fontId="0" fillId="0" borderId="11" xfId="0" applyFill="1" applyBorder="1" applyAlignment="1"/>
    <xf numFmtId="0" fontId="0" fillId="0" borderId="0" xfId="0" applyProtection="1"/>
    <xf numFmtId="0" fontId="0" fillId="0" borderId="0" xfId="0" applyBorder="1" applyProtection="1"/>
    <xf numFmtId="0" fontId="0" fillId="0" borderId="1" xfId="0" applyBorder="1" applyProtection="1"/>
    <xf numFmtId="167" fontId="0" fillId="0" borderId="1" xfId="2" applyNumberFormat="1" applyFont="1" applyBorder="1" applyProtection="1"/>
    <xf numFmtId="0" fontId="0" fillId="0" borderId="1" xfId="0" applyBorder="1" applyAlignment="1" applyProtection="1">
      <alignment wrapText="1"/>
    </xf>
    <xf numFmtId="169" fontId="0" fillId="0" borderId="0" xfId="2" applyNumberFormat="1" applyFont="1" applyProtection="1"/>
    <xf numFmtId="0" fontId="7" fillId="2" borderId="12" xfId="0" applyFont="1" applyFill="1" applyBorder="1" applyAlignment="1" applyProtection="1">
      <alignment horizontal="center"/>
    </xf>
    <xf numFmtId="0" fontId="7" fillId="2" borderId="13" xfId="0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right"/>
    </xf>
    <xf numFmtId="166" fontId="7" fillId="2" borderId="15" xfId="0" applyNumberFormat="1" applyFont="1" applyFill="1" applyBorder="1" applyAlignment="1" applyProtection="1">
      <alignment horizontal="left"/>
    </xf>
    <xf numFmtId="0" fontId="7" fillId="2" borderId="16" xfId="0" applyFont="1" applyFill="1" applyBorder="1" applyAlignment="1" applyProtection="1">
      <alignment horizontal="right"/>
    </xf>
    <xf numFmtId="166" fontId="7" fillId="2" borderId="17" xfId="0" applyNumberFormat="1" applyFont="1" applyFill="1" applyBorder="1" applyAlignment="1" applyProtection="1">
      <alignment horizontal="left"/>
    </xf>
    <xf numFmtId="2" fontId="0" fillId="0" borderId="0" xfId="0" applyNumberFormat="1" applyProtection="1"/>
    <xf numFmtId="2" fontId="0" fillId="0" borderId="0" xfId="0" applyNumberFormat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Protection="1"/>
    <xf numFmtId="10" fontId="0" fillId="0" borderId="1" xfId="0" applyNumberFormat="1" applyBorder="1" applyProtection="1"/>
    <xf numFmtId="1" fontId="0" fillId="0" borderId="0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0" fillId="0" borderId="11" xfId="0" applyBorder="1"/>
    <xf numFmtId="0" fontId="0" fillId="0" borderId="1" xfId="0" applyBorder="1" applyAlignment="1">
      <alignment horizontal="center"/>
    </xf>
    <xf numFmtId="0" fontId="11" fillId="0" borderId="0" xfId="0" applyFont="1" applyProtection="1"/>
    <xf numFmtId="0" fontId="10" fillId="0" borderId="18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0" xfId="0" applyFont="1"/>
    <xf numFmtId="166" fontId="0" fillId="0" borderId="5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/>
    <xf numFmtId="0" fontId="5" fillId="0" borderId="0" xfId="0" applyFont="1"/>
    <xf numFmtId="0" fontId="5" fillId="0" borderId="30" xfId="0" applyFont="1" applyBorder="1"/>
    <xf numFmtId="0" fontId="5" fillId="0" borderId="26" xfId="0" applyFont="1" applyBorder="1"/>
    <xf numFmtId="0" fontId="5" fillId="0" borderId="25" xfId="0" applyFont="1" applyBorder="1"/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31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32" xfId="0" applyBorder="1" applyProtection="1"/>
    <xf numFmtId="0" fontId="0" fillId="0" borderId="2" xfId="0" applyBorder="1" applyProtection="1"/>
    <xf numFmtId="0" fontId="0" fillId="0" borderId="33" xfId="0" applyBorder="1" applyProtection="1"/>
    <xf numFmtId="167" fontId="0" fillId="0" borderId="34" xfId="0" applyNumberFormat="1" applyBorder="1" applyProtection="1"/>
    <xf numFmtId="167" fontId="0" fillId="0" borderId="35" xfId="0" applyNumberFormat="1" applyBorder="1" applyProtection="1"/>
    <xf numFmtId="167" fontId="0" fillId="0" borderId="36" xfId="0" applyNumberFormat="1" applyBorder="1" applyProtection="1"/>
    <xf numFmtId="167" fontId="5" fillId="0" borderId="35" xfId="0" applyNumberFormat="1" applyFont="1" applyBorder="1" applyProtection="1"/>
    <xf numFmtId="0" fontId="0" fillId="0" borderId="37" xfId="0" applyBorder="1" applyProtection="1"/>
    <xf numFmtId="167" fontId="0" fillId="0" borderId="38" xfId="0" applyNumberFormat="1" applyBorder="1" applyProtection="1"/>
    <xf numFmtId="0" fontId="5" fillId="0" borderId="18" xfId="0" applyFont="1" applyBorder="1" applyAlignment="1" applyProtection="1">
      <alignment wrapText="1"/>
    </xf>
    <xf numFmtId="0" fontId="0" fillId="0" borderId="39" xfId="0" applyBorder="1" applyAlignment="1" applyProtection="1">
      <alignment horizontal="center" wrapText="1"/>
    </xf>
    <xf numFmtId="167" fontId="0" fillId="0" borderId="21" xfId="2" applyNumberFormat="1" applyFont="1" applyBorder="1" applyProtection="1"/>
    <xf numFmtId="167" fontId="0" fillId="0" borderId="22" xfId="2" applyNumberFormat="1" applyFont="1" applyBorder="1" applyProtection="1"/>
    <xf numFmtId="167" fontId="0" fillId="0" borderId="23" xfId="2" applyNumberFormat="1" applyFont="1" applyBorder="1" applyProtection="1"/>
    <xf numFmtId="167" fontId="0" fillId="0" borderId="40" xfId="2" applyNumberFormat="1" applyFont="1" applyBorder="1" applyProtection="1"/>
    <xf numFmtId="167" fontId="0" fillId="0" borderId="41" xfId="2" applyNumberFormat="1" applyFont="1" applyBorder="1" applyProtection="1"/>
    <xf numFmtId="167" fontId="0" fillId="0" borderId="42" xfId="2" applyNumberFormat="1" applyFont="1" applyBorder="1" applyProtection="1"/>
    <xf numFmtId="167" fontId="0" fillId="0" borderId="43" xfId="2" applyNumberFormat="1" applyFont="1" applyBorder="1" applyProtection="1"/>
    <xf numFmtId="167" fontId="0" fillId="0" borderId="44" xfId="2" applyNumberFormat="1" applyFont="1" applyBorder="1" applyProtection="1"/>
    <xf numFmtId="167" fontId="0" fillId="0" borderId="45" xfId="2" applyNumberFormat="1" applyFont="1" applyBorder="1" applyProtection="1"/>
    <xf numFmtId="169" fontId="0" fillId="0" borderId="21" xfId="2" applyNumberFormat="1" applyFont="1" applyBorder="1" applyProtection="1"/>
    <xf numFmtId="169" fontId="0" fillId="0" borderId="22" xfId="2" applyNumberFormat="1" applyFont="1" applyBorder="1" applyProtection="1"/>
    <xf numFmtId="169" fontId="0" fillId="0" borderId="23" xfId="2" applyNumberFormat="1" applyFont="1" applyBorder="1" applyProtection="1"/>
    <xf numFmtId="169" fontId="0" fillId="0" borderId="41" xfId="2" applyNumberFormat="1" applyFont="1" applyBorder="1" applyProtection="1"/>
    <xf numFmtId="169" fontId="0" fillId="0" borderId="40" xfId="2" applyNumberFormat="1" applyFont="1" applyBorder="1" applyProtection="1"/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5" fillId="0" borderId="0" xfId="0" applyFont="1"/>
    <xf numFmtId="0" fontId="16" fillId="0" borderId="42" xfId="0" applyFont="1" applyFill="1" applyBorder="1" applyAlignment="1">
      <alignment horizontal="right"/>
    </xf>
    <xf numFmtId="0" fontId="16" fillId="0" borderId="4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22" fillId="0" borderId="0" xfId="0" applyFont="1"/>
    <xf numFmtId="0" fontId="15" fillId="5" borderId="0" xfId="0" applyFont="1" applyFill="1"/>
    <xf numFmtId="0" fontId="15" fillId="5" borderId="0" xfId="0" applyFont="1" applyFill="1" applyBorder="1" applyAlignment="1"/>
    <xf numFmtId="0" fontId="0" fillId="5" borderId="0" xfId="0" applyFill="1"/>
    <xf numFmtId="0" fontId="23" fillId="5" borderId="0" xfId="0" applyFont="1" applyFill="1" applyBorder="1" applyAlignment="1"/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166" fontId="0" fillId="0" borderId="0" xfId="0" applyNumberFormat="1"/>
    <xf numFmtId="10" fontId="0" fillId="0" borderId="0" xfId="0" applyNumberFormat="1"/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0" fillId="4" borderId="7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0" fontId="0" fillId="0" borderId="47" xfId="0" applyNumberFormat="1" applyBorder="1" applyAlignment="1">
      <alignment horizontal="center"/>
    </xf>
    <xf numFmtId="167" fontId="21" fillId="0" borderId="48" xfId="0" applyNumberFormat="1" applyFont="1" applyBorder="1" applyAlignment="1">
      <alignment horizontal="center"/>
    </xf>
    <xf numFmtId="167" fontId="21" fillId="0" borderId="4" xfId="0" applyNumberFormat="1" applyFont="1" applyBorder="1" applyAlignment="1">
      <alignment horizontal="center"/>
    </xf>
    <xf numFmtId="167" fontId="21" fillId="0" borderId="6" xfId="0" applyNumberFormat="1" applyFont="1" applyBorder="1" applyAlignment="1">
      <alignment horizontal="center"/>
    </xf>
    <xf numFmtId="167" fontId="21" fillId="0" borderId="8" xfId="0" applyNumberFormat="1" applyFont="1" applyBorder="1" applyAlignment="1">
      <alignment horizontal="center"/>
    </xf>
    <xf numFmtId="167" fontId="21" fillId="0" borderId="9" xfId="0" applyNumberFormat="1" applyFont="1" applyBorder="1" applyAlignment="1">
      <alignment horizontal="center" vertical="center"/>
    </xf>
    <xf numFmtId="0" fontId="0" fillId="0" borderId="21" xfId="0" applyFont="1" applyFill="1" applyBorder="1"/>
    <xf numFmtId="0" fontId="0" fillId="0" borderId="22" xfId="0" applyBorder="1"/>
    <xf numFmtId="0" fontId="0" fillId="0" borderId="23" xfId="0" applyBorder="1"/>
    <xf numFmtId="0" fontId="5" fillId="0" borderId="21" xfId="0" applyFont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49" xfId="0" applyFont="1" applyBorder="1"/>
    <xf numFmtId="0" fontId="5" fillId="0" borderId="27" xfId="0" applyFont="1" applyBorder="1"/>
    <xf numFmtId="0" fontId="0" fillId="0" borderId="45" xfId="0" applyBorder="1"/>
    <xf numFmtId="0" fontId="0" fillId="0" borderId="50" xfId="0" applyBorder="1"/>
    <xf numFmtId="165" fontId="21" fillId="0" borderId="4" xfId="0" applyNumberFormat="1" applyFont="1" applyBorder="1" applyAlignment="1">
      <alignment horizontal="center"/>
    </xf>
    <xf numFmtId="165" fontId="21" fillId="0" borderId="42" xfId="0" applyNumberFormat="1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1" fillId="0" borderId="43" xfId="0" applyNumberFormat="1" applyFont="1" applyBorder="1" applyAlignment="1">
      <alignment horizontal="center"/>
    </xf>
    <xf numFmtId="165" fontId="21" fillId="0" borderId="46" xfId="0" applyNumberFormat="1" applyFont="1" applyBorder="1" applyAlignment="1">
      <alignment horizontal="center"/>
    </xf>
    <xf numFmtId="165" fontId="21" fillId="0" borderId="50" xfId="0" applyNumberFormat="1" applyFont="1" applyBorder="1" applyAlignment="1">
      <alignment horizontal="center"/>
    </xf>
    <xf numFmtId="165" fontId="21" fillId="0" borderId="8" xfId="0" applyNumberFormat="1" applyFont="1" applyBorder="1" applyAlignment="1">
      <alignment horizontal="center"/>
    </xf>
    <xf numFmtId="165" fontId="21" fillId="0" borderId="44" xfId="0" applyNumberFormat="1" applyFont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1" fontId="21" fillId="0" borderId="51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center"/>
    </xf>
    <xf numFmtId="0" fontId="13" fillId="0" borderId="0" xfId="1" applyBorder="1" applyAlignment="1">
      <alignment horizontal="center"/>
    </xf>
    <xf numFmtId="10" fontId="5" fillId="0" borderId="0" xfId="0" applyNumberFormat="1" applyFont="1"/>
    <xf numFmtId="15" fontId="5" fillId="0" borderId="0" xfId="0" applyNumberFormat="1" applyFont="1"/>
    <xf numFmtId="0" fontId="5" fillId="0" borderId="11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1" xfId="0" applyFont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5" fillId="0" borderId="34" xfId="0" applyFont="1" applyBorder="1"/>
    <xf numFmtId="0" fontId="0" fillId="0" borderId="42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5" fillId="0" borderId="1" xfId="0" applyFont="1" applyBorder="1"/>
    <xf numFmtId="0" fontId="5" fillId="0" borderId="10" xfId="0" applyFont="1" applyBorder="1"/>
    <xf numFmtId="0" fontId="5" fillId="0" borderId="3" xfId="0" applyFont="1" applyBorder="1"/>
    <xf numFmtId="0" fontId="5" fillId="0" borderId="55" xfId="0" applyFont="1" applyBorder="1"/>
    <xf numFmtId="0" fontId="5" fillId="0" borderId="56" xfId="0" applyFont="1" applyBorder="1"/>
    <xf numFmtId="0" fontId="0" fillId="0" borderId="56" xfId="0" applyBorder="1"/>
    <xf numFmtId="0" fontId="0" fillId="0" borderId="57" xfId="0" applyBorder="1"/>
    <xf numFmtId="167" fontId="10" fillId="0" borderId="0" xfId="0" applyNumberFormat="1" applyFont="1" applyBorder="1" applyAlignment="1">
      <alignment horizontal="center"/>
    </xf>
    <xf numFmtId="0" fontId="0" fillId="0" borderId="58" xfId="0" applyFill="1" applyBorder="1" applyAlignment="1"/>
    <xf numFmtId="166" fontId="0" fillId="0" borderId="4" xfId="0" applyNumberFormat="1" applyFill="1" applyBorder="1" applyAlignment="1">
      <alignment horizontal="center"/>
    </xf>
    <xf numFmtId="166" fontId="0" fillId="0" borderId="57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166" fontId="13" fillId="0" borderId="4" xfId="1" applyNumberFormat="1" applyBorder="1" applyAlignment="1">
      <alignment horizontal="center"/>
    </xf>
    <xf numFmtId="166" fontId="13" fillId="0" borderId="32" xfId="1" applyNumberFormat="1" applyBorder="1" applyAlignment="1">
      <alignment horizontal="center"/>
    </xf>
    <xf numFmtId="166" fontId="13" fillId="0" borderId="37" xfId="1" applyNumberFormat="1" applyBorder="1" applyAlignment="1">
      <alignment horizontal="center"/>
    </xf>
    <xf numFmtId="166" fontId="13" fillId="0" borderId="6" xfId="1" applyNumberFormat="1" applyBorder="1" applyAlignment="1">
      <alignment horizontal="center"/>
    </xf>
    <xf numFmtId="166" fontId="13" fillId="0" borderId="7" xfId="1" applyNumberFormat="1" applyBorder="1" applyAlignment="1">
      <alignment horizontal="center"/>
    </xf>
    <xf numFmtId="166" fontId="13" fillId="0" borderId="2" xfId="1" applyNumberFormat="1" applyBorder="1" applyAlignment="1">
      <alignment horizontal="center"/>
    </xf>
    <xf numFmtId="166" fontId="13" fillId="0" borderId="8" xfId="1" applyNumberFormat="1" applyBorder="1" applyAlignment="1">
      <alignment horizontal="center"/>
    </xf>
    <xf numFmtId="166" fontId="13" fillId="0" borderId="33" xfId="1" applyNumberFormat="1" applyBorder="1" applyAlignment="1">
      <alignment horizontal="center"/>
    </xf>
    <xf numFmtId="166" fontId="13" fillId="0" borderId="9" xfId="1" applyNumberFormat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164" fontId="21" fillId="0" borderId="42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0" borderId="7" xfId="0" applyNumberFormat="1" applyFont="1" applyFill="1" applyBorder="1" applyAlignment="1">
      <alignment horizontal="center"/>
    </xf>
    <xf numFmtId="164" fontId="21" fillId="0" borderId="50" xfId="0" applyNumberFormat="1" applyFont="1" applyBorder="1" applyAlignment="1">
      <alignment horizontal="center"/>
    </xf>
    <xf numFmtId="164" fontId="21" fillId="0" borderId="5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44" xfId="0" applyNumberFormat="1" applyFont="1" applyBorder="1" applyAlignment="1">
      <alignment horizontal="center"/>
    </xf>
    <xf numFmtId="164" fontId="21" fillId="0" borderId="7" xfId="0" applyNumberFormat="1" applyFont="1" applyBorder="1" applyAlignment="1">
      <alignment horizontal="center"/>
    </xf>
    <xf numFmtId="164" fontId="21" fillId="0" borderId="51" xfId="0" applyNumberFormat="1" applyFont="1" applyBorder="1" applyAlignment="1">
      <alignment horizontal="center"/>
    </xf>
    <xf numFmtId="164" fontId="21" fillId="0" borderId="9" xfId="0" applyNumberFormat="1" applyFont="1" applyBorder="1" applyAlignment="1">
      <alignment horizontal="center"/>
    </xf>
    <xf numFmtId="164" fontId="21" fillId="0" borderId="43" xfId="0" applyNumberFormat="1" applyFont="1" applyFill="1" applyBorder="1" applyAlignment="1">
      <alignment horizontal="center"/>
    </xf>
    <xf numFmtId="164" fontId="21" fillId="0" borderId="50" xfId="0" applyNumberFormat="1" applyFont="1" applyFill="1" applyBorder="1" applyAlignment="1">
      <alignment horizontal="center"/>
    </xf>
    <xf numFmtId="164" fontId="21" fillId="0" borderId="42" xfId="0" applyNumberFormat="1" applyFont="1" applyFill="1" applyBorder="1" applyAlignment="1">
      <alignment horizontal="center"/>
    </xf>
    <xf numFmtId="164" fontId="21" fillId="0" borderId="44" xfId="0" applyNumberFormat="1" applyFont="1" applyFill="1" applyBorder="1" applyAlignment="1">
      <alignment horizontal="center"/>
    </xf>
    <xf numFmtId="164" fontId="21" fillId="0" borderId="9" xfId="0" applyNumberFormat="1" applyFont="1" applyFill="1" applyBorder="1" applyAlignment="1">
      <alignment horizontal="center"/>
    </xf>
    <xf numFmtId="0" fontId="5" fillId="0" borderId="58" xfId="0" applyFont="1" applyBorder="1"/>
    <xf numFmtId="0" fontId="5" fillId="0" borderId="27" xfId="0" applyFont="1" applyBorder="1" applyAlignment="1" applyProtection="1">
      <alignment wrapText="1"/>
    </xf>
    <xf numFmtId="167" fontId="10" fillId="0" borderId="39" xfId="0" applyNumberFormat="1" applyFont="1" applyFill="1" applyBorder="1" applyAlignment="1">
      <alignment horizontal="center"/>
    </xf>
    <xf numFmtId="167" fontId="10" fillId="0" borderId="27" xfId="0" applyNumberFormat="1" applyFont="1" applyBorder="1" applyAlignment="1">
      <alignment horizontal="center"/>
    </xf>
    <xf numFmtId="167" fontId="10" fillId="0" borderId="53" xfId="0" quotePrefix="1" applyNumberFormat="1" applyFont="1" applyFill="1" applyBorder="1" applyAlignment="1">
      <alignment horizontal="center"/>
    </xf>
    <xf numFmtId="167" fontId="10" fillId="0" borderId="28" xfId="0" applyNumberFormat="1" applyFont="1" applyBorder="1" applyAlignment="1">
      <alignment horizontal="center"/>
    </xf>
    <xf numFmtId="167" fontId="10" fillId="0" borderId="53" xfId="0" applyNumberFormat="1" applyFont="1" applyBorder="1" applyAlignment="1">
      <alignment horizontal="center"/>
    </xf>
    <xf numFmtId="167" fontId="10" fillId="0" borderId="29" xfId="0" applyNumberFormat="1" applyFont="1" applyBorder="1" applyAlignment="1">
      <alignment horizontal="center"/>
    </xf>
    <xf numFmtId="167" fontId="10" fillId="0" borderId="39" xfId="0" applyNumberFormat="1" applyFont="1" applyBorder="1" applyAlignment="1">
      <alignment horizontal="center"/>
    </xf>
    <xf numFmtId="167" fontId="10" fillId="0" borderId="54" xfId="0" applyNumberFormat="1" applyFont="1" applyBorder="1" applyAlignment="1">
      <alignment horizontal="center"/>
    </xf>
    <xf numFmtId="167" fontId="10" fillId="0" borderId="59" xfId="0" applyNumberFormat="1" applyFont="1" applyBorder="1" applyAlignment="1">
      <alignment horizontal="center" vertical="center"/>
    </xf>
    <xf numFmtId="167" fontId="10" fillId="0" borderId="27" xfId="0" applyNumberFormat="1" applyFont="1" applyBorder="1" applyAlignment="1">
      <alignment horizontal="center" vertical="center"/>
    </xf>
    <xf numFmtId="167" fontId="10" fillId="0" borderId="0" xfId="0" applyNumberFormat="1" applyFont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/>
    </xf>
    <xf numFmtId="167" fontId="10" fillId="0" borderId="29" xfId="0" applyNumberFormat="1" applyFont="1" applyBorder="1" applyAlignment="1">
      <alignment horizontal="center" vertical="center"/>
    </xf>
    <xf numFmtId="167" fontId="10" fillId="0" borderId="59" xfId="0" applyNumberFormat="1" applyFont="1" applyBorder="1" applyAlignment="1">
      <alignment horizontal="center"/>
    </xf>
    <xf numFmtId="167" fontId="10" fillId="0" borderId="11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Fill="1"/>
    <xf numFmtId="0" fontId="9" fillId="0" borderId="0" xfId="0" applyFont="1" applyAlignment="1">
      <alignment horizontal="center" wrapText="1"/>
    </xf>
    <xf numFmtId="0" fontId="5" fillId="0" borderId="18" xfId="0" applyFont="1" applyBorder="1"/>
    <xf numFmtId="0" fontId="0" fillId="0" borderId="59" xfId="0" applyBorder="1"/>
    <xf numFmtId="0" fontId="0" fillId="0" borderId="39" xfId="0" applyBorder="1"/>
    <xf numFmtId="0" fontId="5" fillId="0" borderId="20" xfId="0" applyFont="1" applyBorder="1"/>
    <xf numFmtId="0" fontId="5" fillId="0" borderId="59" xfId="0" applyFont="1" applyBorder="1"/>
    <xf numFmtId="0" fontId="0" fillId="0" borderId="60" xfId="0" applyBorder="1"/>
    <xf numFmtId="165" fontId="21" fillId="0" borderId="1" xfId="0" applyNumberFormat="1" applyFont="1" applyBorder="1" applyAlignment="1">
      <alignment horizont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165" fontId="21" fillId="0" borderId="3" xfId="0" applyNumberFormat="1" applyFont="1" applyBorder="1" applyAlignment="1">
      <alignment horizontal="center"/>
    </xf>
    <xf numFmtId="0" fontId="5" fillId="0" borderId="40" xfId="0" applyFont="1" applyBorder="1" applyAlignment="1">
      <alignment vertical="center"/>
    </xf>
    <xf numFmtId="165" fontId="21" fillId="0" borderId="55" xfId="0" applyNumberFormat="1" applyFont="1" applyBorder="1" applyAlignment="1">
      <alignment horizontal="center"/>
    </xf>
    <xf numFmtId="165" fontId="21" fillId="0" borderId="57" xfId="0" applyNumberFormat="1" applyFont="1" applyBorder="1" applyAlignment="1">
      <alignment horizontal="center"/>
    </xf>
    <xf numFmtId="165" fontId="21" fillId="0" borderId="47" xfId="0" applyNumberFormat="1" applyFont="1" applyBorder="1" applyAlignment="1">
      <alignment horizontal="center"/>
    </xf>
    <xf numFmtId="165" fontId="21" fillId="0" borderId="48" xfId="0" applyNumberFormat="1" applyFont="1" applyBorder="1" applyAlignment="1">
      <alignment horizontal="center"/>
    </xf>
    <xf numFmtId="1" fontId="21" fillId="0" borderId="61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21" fillId="0" borderId="62" xfId="0" applyNumberFormat="1" applyFont="1" applyBorder="1" applyAlignment="1">
      <alignment horizontal="center"/>
    </xf>
    <xf numFmtId="1" fontId="21" fillId="0" borderId="32" xfId="0" applyNumberFormat="1" applyFont="1" applyBorder="1" applyAlignment="1">
      <alignment horizontal="center"/>
    </xf>
    <xf numFmtId="1" fontId="21" fillId="0" borderId="33" xfId="0" applyNumberFormat="1" applyFont="1" applyBorder="1" applyAlignment="1">
      <alignment horizontal="center"/>
    </xf>
    <xf numFmtId="1" fontId="21" fillId="0" borderId="37" xfId="0" applyNumberFormat="1" applyFont="1" applyBorder="1" applyAlignment="1">
      <alignment horizontal="center"/>
    </xf>
    <xf numFmtId="0" fontId="5" fillId="0" borderId="63" xfId="0" applyFont="1" applyBorder="1"/>
    <xf numFmtId="0" fontId="5" fillId="0" borderId="64" xfId="0" applyFont="1" applyBorder="1"/>
    <xf numFmtId="165" fontId="21" fillId="0" borderId="0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65" xfId="0" applyNumberFormat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66" xfId="0" applyNumberFormat="1" applyBorder="1" applyAlignment="1">
      <alignment horizontal="center"/>
    </xf>
    <xf numFmtId="10" fontId="0" fillId="0" borderId="67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68" xfId="0" applyNumberFormat="1" applyBorder="1" applyAlignment="1">
      <alignment horizontal="center"/>
    </xf>
    <xf numFmtId="10" fontId="0" fillId="0" borderId="69" xfId="0" applyNumberForma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10" fontId="5" fillId="0" borderId="22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13" fillId="0" borderId="0" xfId="1" applyNumberFormat="1" applyBorder="1" applyAlignment="1">
      <alignment horizontal="center"/>
    </xf>
    <xf numFmtId="0" fontId="5" fillId="0" borderId="0" xfId="0" applyNumberFormat="1" applyFont="1"/>
    <xf numFmtId="0" fontId="0" fillId="0" borderId="0" xfId="0" applyNumberFormat="1"/>
    <xf numFmtId="0" fontId="24" fillId="0" borderId="0" xfId="0" applyFont="1" applyAlignment="1">
      <alignment horizontal="left" readingOrder="1"/>
    </xf>
    <xf numFmtId="0" fontId="25" fillId="0" borderId="0" xfId="0" applyFont="1" applyAlignment="1">
      <alignment horizontal="left" readingOrder="1"/>
    </xf>
    <xf numFmtId="0" fontId="26" fillId="5" borderId="0" xfId="0" applyFont="1" applyFill="1" applyAlignment="1">
      <alignment horizontal="left" readingOrder="1"/>
    </xf>
    <xf numFmtId="0" fontId="27" fillId="5" borderId="0" xfId="0" applyFont="1" applyFill="1" applyAlignment="1">
      <alignment horizontal="left" readingOrder="1"/>
    </xf>
    <xf numFmtId="0" fontId="0" fillId="0" borderId="22" xfId="0" applyBorder="1" applyAlignment="1">
      <alignment vertical="center"/>
    </xf>
    <xf numFmtId="0" fontId="28" fillId="5" borderId="0" xfId="0" applyFont="1" applyFill="1"/>
    <xf numFmtId="0" fontId="5" fillId="0" borderId="35" xfId="0" applyFont="1" applyBorder="1"/>
    <xf numFmtId="0" fontId="5" fillId="0" borderId="43" xfId="0" applyFont="1" applyFill="1" applyBorder="1"/>
    <xf numFmtId="0" fontId="0" fillId="0" borderId="43" xfId="0" applyBorder="1"/>
    <xf numFmtId="0" fontId="0" fillId="0" borderId="70" xfId="0" applyBorder="1"/>
    <xf numFmtId="164" fontId="21" fillId="5" borderId="7" xfId="0" applyNumberFormat="1" applyFont="1" applyFill="1" applyBorder="1" applyAlignment="1">
      <alignment horizontal="center"/>
    </xf>
    <xf numFmtId="167" fontId="0" fillId="0" borderId="0" xfId="0" applyNumberFormat="1"/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5" fillId="6" borderId="1" xfId="0" applyFont="1" applyFill="1" applyBorder="1"/>
    <xf numFmtId="0" fontId="0" fillId="6" borderId="1" xfId="0" applyFont="1" applyFill="1" applyBorder="1"/>
    <xf numFmtId="0" fontId="0" fillId="6" borderId="1" xfId="0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0" fontId="3" fillId="6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55" xfId="0" applyFont="1" applyBorder="1" applyAlignment="1">
      <alignment horizontal="center" vertical="center" textRotation="90"/>
    </xf>
    <xf numFmtId="0" fontId="5" fillId="0" borderId="3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14" fontId="5" fillId="3" borderId="43" xfId="0" applyNumberFormat="1" applyFont="1" applyFill="1" applyBorder="1" applyAlignment="1" applyProtection="1">
      <alignment horizontal="left" shrinkToFit="1"/>
      <protection locked="0"/>
    </xf>
    <xf numFmtId="0" fontId="5" fillId="3" borderId="43" xfId="0" applyFont="1" applyFill="1" applyBorder="1" applyAlignment="1" applyProtection="1">
      <alignment horizontal="left" shrinkToFit="1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45" xfId="0" applyFont="1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center" wrapText="1"/>
    </xf>
    <xf numFmtId="0" fontId="5" fillId="0" borderId="6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21" fillId="0" borderId="31" xfId="0" applyNumberFormat="1" applyFont="1" applyBorder="1" applyAlignment="1">
      <alignment horizontal="center" vertical="center"/>
    </xf>
    <xf numFmtId="167" fontId="21" fillId="0" borderId="67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72" xfId="0" applyBorder="1" applyAlignment="1" applyProtection="1">
      <alignment horizontal="center" wrapText="1"/>
    </xf>
    <xf numFmtId="167" fontId="21" fillId="0" borderId="61" xfId="0" applyNumberFormat="1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wrapText="1"/>
    </xf>
    <xf numFmtId="0" fontId="0" fillId="0" borderId="59" xfId="0" applyBorder="1" applyAlignment="1" applyProtection="1">
      <alignment horizontal="center" wrapText="1"/>
    </xf>
    <xf numFmtId="0" fontId="0" fillId="6" borderId="1" xfId="0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5" fillId="3" borderId="45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3" borderId="45" xfId="0" applyFill="1" applyBorder="1" applyAlignment="1" applyProtection="1">
      <alignment horizontal="left"/>
      <protection locked="0"/>
    </xf>
    <xf numFmtId="14" fontId="0" fillId="3" borderId="43" xfId="0" applyNumberFormat="1" applyFill="1" applyBorder="1" applyAlignment="1" applyProtection="1">
      <alignment horizontal="left" shrinkToFit="1"/>
      <protection locked="0"/>
    </xf>
    <xf numFmtId="0" fontId="0" fillId="3" borderId="43" xfId="0" applyFill="1" applyBorder="1" applyAlignment="1" applyProtection="1">
      <alignment horizontal="left" shrinkToFit="1"/>
      <protection locked="0"/>
    </xf>
    <xf numFmtId="0" fontId="5" fillId="0" borderId="46" xfId="0" applyFont="1" applyBorder="1" applyAlignment="1">
      <alignment horizontal="left" vertical="top"/>
    </xf>
    <xf numFmtId="0" fontId="5" fillId="0" borderId="68" xfId="0" applyFont="1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0" fillId="0" borderId="56" xfId="0" applyBorder="1" applyAlignment="1">
      <alignment horizontal="right" vertical="top"/>
    </xf>
  </cellXfs>
  <cellStyles count="3">
    <cellStyle name="Normal" xfId="0" builtinId="0"/>
    <cellStyle name="Normal_Sheet1" xfId="1"/>
    <cellStyle name="Percent" xfId="2" builtinId="5"/>
  </cellStyles>
  <dxfs count="1">
    <dxf>
      <fill>
        <patternFill>
          <bgColor indexed="5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styles" Target="styles.xml"/><Relationship Id="rId10" Type="http://schemas.openxmlformats.org/officeDocument/2006/relationships/chartsheet" Target="chart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800"/>
              <a:t>Interaction Plot - Lot  </a:t>
            </a:r>
          </a:p>
        </c:rich>
      </c:tx>
      <c:layout>
        <c:manualLayout>
          <c:xMode val="edge"/>
          <c:yMode val="edge"/>
          <c:x val="0.17685103033565125"/>
          <c:y val="6.85637366433583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273792093704246"/>
          <c:y val="0.22112282488534216"/>
          <c:w val="0.67935578330893165"/>
          <c:h val="0.55115689187839023"/>
        </c:manualLayout>
      </c:layout>
      <c:scatterChart>
        <c:scatterStyle val="smoothMarker"/>
        <c:ser>
          <c:idx val="0"/>
          <c:order val="0"/>
          <c:tx>
            <c:strRef>
              <c:f>Analysis!$D$5</c:f>
              <c:strCache>
                <c:ptCount val="1"/>
                <c:pt idx="0">
                  <c:v>Standard Lot 3</c:v>
                </c:pt>
              </c:strCache>
            </c:strRef>
          </c:tx>
          <c:xVal>
            <c:numRef>
              <c:f>Analysis!$B$36:$B$40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350</c:v>
                </c:pt>
                <c:pt idx="3">
                  <c:v>500</c:v>
                </c:pt>
                <c:pt idx="4">
                  <c:v>650</c:v>
                </c:pt>
              </c:numCache>
            </c:numRef>
          </c:xVal>
          <c:yVal>
            <c:numRef>
              <c:f>Analysis!$C$36:$C$40</c:f>
              <c:numCache>
                <c:formatCode>0.000</c:formatCode>
                <c:ptCount val="5"/>
                <c:pt idx="0">
                  <c:v>0.49575000000000002</c:v>
                </c:pt>
                <c:pt idx="1">
                  <c:v>0.39274999999999999</c:v>
                </c:pt>
                <c:pt idx="2">
                  <c:v>0.32300000000000001</c:v>
                </c:pt>
                <c:pt idx="3">
                  <c:v>0.27100000000000002</c:v>
                </c:pt>
                <c:pt idx="4">
                  <c:v>0.25375000000000003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Analysis!$E$5</c:f>
              <c:strCache>
                <c:ptCount val="1"/>
                <c:pt idx="0">
                  <c:v>Uncorrected Lot 18</c:v>
                </c:pt>
              </c:strCache>
            </c:strRef>
          </c:tx>
          <c:xVal>
            <c:numRef>
              <c:f>Analysis!$B$36:$B$40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350</c:v>
                </c:pt>
                <c:pt idx="3">
                  <c:v>500</c:v>
                </c:pt>
                <c:pt idx="4">
                  <c:v>650</c:v>
                </c:pt>
              </c:numCache>
            </c:numRef>
          </c:xVal>
          <c:yVal>
            <c:numRef>
              <c:f>Analysis!$D$36:$D$40</c:f>
              <c:numCache>
                <c:formatCode>0.000</c:formatCode>
                <c:ptCount val="5"/>
                <c:pt idx="0">
                  <c:v>0.6101909809688939</c:v>
                </c:pt>
                <c:pt idx="1">
                  <c:v>0.46205904541862963</c:v>
                </c:pt>
                <c:pt idx="2">
                  <c:v>0.37077993641899493</c:v>
                </c:pt>
                <c:pt idx="3">
                  <c:v>0.32792986592818513</c:v>
                </c:pt>
                <c:pt idx="4">
                  <c:v>0.29569536326870133</c:v>
                </c:pt>
              </c:numCache>
            </c:numRef>
          </c:yVal>
          <c:smooth val="1"/>
        </c:ser>
        <c:axId val="150600704"/>
        <c:axId val="150746240"/>
      </c:scatterChart>
      <c:valAx>
        <c:axId val="150600704"/>
        <c:scaling>
          <c:orientation val="minMax"/>
          <c:min val="5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spin speed</a:t>
                </a:r>
              </a:p>
            </c:rich>
          </c:tx>
          <c:layout>
            <c:manualLayout>
              <c:xMode val="edge"/>
              <c:yMode val="edge"/>
              <c:x val="0.39549181490130725"/>
              <c:y val="0.8745902374911157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46240"/>
        <c:crosses val="autoZero"/>
        <c:crossBetween val="midCat"/>
      </c:valAx>
      <c:valAx>
        <c:axId val="150746240"/>
        <c:scaling>
          <c:orientation val="minMax"/>
          <c:min val="0.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RMC</a:t>
                </a:r>
              </a:p>
            </c:rich>
          </c:tx>
          <c:layout>
            <c:manualLayout>
              <c:xMode val="edge"/>
              <c:yMode val="edge"/>
              <c:x val="3.2786926992450088E-2"/>
              <c:y val="0.44224554381534376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60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26657059267807"/>
          <c:y val="0.42574402102914138"/>
          <c:w val="0.13053295019489713"/>
          <c:h val="0.142373164020155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RMC Least Squares Fit for Lot 	</a:t>
            </a:r>
          </a:p>
        </c:rich>
      </c:tx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</c:trendline>
          <c:xVal>
            <c:numRef>
              <c:f>Analysis!$E$6:$E$25</c:f>
              <c:numCache>
                <c:formatCode>0.0%</c:formatCode>
                <c:ptCount val="20"/>
                <c:pt idx="0">
                  <c:v>0.66906273697781316</c:v>
                </c:pt>
                <c:pt idx="1">
                  <c:v>0.62554871103387055</c:v>
                </c:pt>
                <c:pt idx="2">
                  <c:v>0.58904093202566066</c:v>
                </c:pt>
                <c:pt idx="3">
                  <c:v>0.55711154383823114</c:v>
                </c:pt>
                <c:pt idx="4">
                  <c:v>0.51229859977728742</c:v>
                </c:pt>
                <c:pt idx="5">
                  <c:v>0.47637803139287821</c:v>
                </c:pt>
                <c:pt idx="6">
                  <c:v>0.43964310663388906</c:v>
                </c:pt>
                <c:pt idx="7">
                  <c:v>0.41991644387046384</c:v>
                </c:pt>
                <c:pt idx="8">
                  <c:v>0.41817451144186507</c:v>
                </c:pt>
                <c:pt idx="9">
                  <c:v>0.38316264520147919</c:v>
                </c:pt>
                <c:pt idx="10">
                  <c:v>0.34828327342162285</c:v>
                </c:pt>
                <c:pt idx="11">
                  <c:v>0.3334993156110127</c:v>
                </c:pt>
                <c:pt idx="12">
                  <c:v>0.3683498316179723</c:v>
                </c:pt>
                <c:pt idx="13">
                  <c:v>0.34505058628450619</c:v>
                </c:pt>
                <c:pt idx="14">
                  <c:v>0.31017341116551722</c:v>
                </c:pt>
                <c:pt idx="15">
                  <c:v>0.28814563464474491</c:v>
                </c:pt>
                <c:pt idx="16">
                  <c:v>0.33585185297568126</c:v>
                </c:pt>
                <c:pt idx="17">
                  <c:v>0.30698016975537473</c:v>
                </c:pt>
                <c:pt idx="18">
                  <c:v>0.27633143077206518</c:v>
                </c:pt>
                <c:pt idx="19">
                  <c:v>0.26361799957168414</c:v>
                </c:pt>
              </c:numCache>
            </c:numRef>
          </c:xVal>
          <c:yVal>
            <c:numRef>
              <c:f>Analysis!$D$6:$D$25</c:f>
              <c:numCache>
                <c:formatCode>0.0%</c:formatCode>
                <c:ptCount val="20"/>
                <c:pt idx="0">
                  <c:v>0.52800000000000002</c:v>
                </c:pt>
                <c:pt idx="1">
                  <c:v>0.499</c:v>
                </c:pt>
                <c:pt idx="2">
                  <c:v>0.497</c:v>
                </c:pt>
                <c:pt idx="3">
                  <c:v>0.45900000000000002</c:v>
                </c:pt>
                <c:pt idx="4">
                  <c:v>0.43099999999999999</c:v>
                </c:pt>
                <c:pt idx="5">
                  <c:v>0.40400000000000003</c:v>
                </c:pt>
                <c:pt idx="6">
                  <c:v>0.379</c:v>
                </c:pt>
                <c:pt idx="7">
                  <c:v>0.35699999999999998</c:v>
                </c:pt>
                <c:pt idx="8">
                  <c:v>0.35799999999999998</c:v>
                </c:pt>
                <c:pt idx="9">
                  <c:v>0.33100000000000002</c:v>
                </c:pt>
                <c:pt idx="10">
                  <c:v>0.307</c:v>
                </c:pt>
                <c:pt idx="11">
                  <c:v>0.29599999999999999</c:v>
                </c:pt>
                <c:pt idx="12">
                  <c:v>0.3</c:v>
                </c:pt>
                <c:pt idx="13">
                  <c:v>0.28699999999999998</c:v>
                </c:pt>
                <c:pt idx="14">
                  <c:v>0.255</c:v>
                </c:pt>
                <c:pt idx="15">
                  <c:v>0.24199999999999999</c:v>
                </c:pt>
                <c:pt idx="16">
                  <c:v>0.28000000000000003</c:v>
                </c:pt>
                <c:pt idx="17">
                  <c:v>0.26400000000000001</c:v>
                </c:pt>
                <c:pt idx="18">
                  <c:v>0.24099999999999999</c:v>
                </c:pt>
                <c:pt idx="19">
                  <c:v>0.23</c:v>
                </c:pt>
              </c:numCache>
            </c:numRef>
          </c:yVal>
        </c:ser>
        <c:axId val="149373312"/>
        <c:axId val="149375232"/>
      </c:scatterChart>
      <c:valAx>
        <c:axId val="149373312"/>
        <c:scaling>
          <c:orientation val="minMax"/>
          <c:min val="0.25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Measured RMC</a:t>
                </a:r>
              </a:p>
            </c:rich>
          </c:tx>
        </c:title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9375232"/>
        <c:crosses val="autoZero"/>
        <c:crossBetween val="midCat"/>
      </c:valAx>
      <c:valAx>
        <c:axId val="149375232"/>
        <c:scaling>
          <c:orientation val="minMax"/>
          <c:max val="0.60000000000000042"/>
          <c:min val="0.2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RMC Standard Lot 3</a:t>
                </a:r>
              </a:p>
            </c:rich>
          </c:tx>
        </c:title>
        <c:numFmt formatCode="0.0%" sourceLinked="1"/>
        <c:tickLblPos val="nextTo"/>
        <c:crossAx val="149373312"/>
        <c:crosses val="autoZero"/>
        <c:crossBetween val="midCat"/>
      </c:valAx>
    </c:plotArea>
    <c:plotVisOnly val="1"/>
    <c:dispBlanksAs val="gap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'Quality Check Raw Data'!$AF$2</c:f>
          <c:strCache>
            <c:ptCount val="1"/>
            <c:pt idx="0">
              <c:v>X-Bar Chart</c:v>
            </c:pt>
          </c:strCache>
        </c:strRef>
      </c:tx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'Quality Check Raw Data'!$AG$3</c:f>
              <c:strCache>
                <c:ptCount val="1"/>
                <c:pt idx="0">
                  <c:v>%RMC - Beginning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val>
            <c:numRef>
              <c:f>'Quality Check Raw Data'!$AG$4:$AG$12</c:f>
              <c:numCache>
                <c:formatCode>0.00%</c:formatCode>
                <c:ptCount val="9"/>
                <c:pt idx="0">
                  <c:v>0.35488715892112926</c:v>
                </c:pt>
                <c:pt idx="1">
                  <c:v>0.35211986925639566</c:v>
                </c:pt>
                <c:pt idx="2">
                  <c:v>0.34985858200654668</c:v>
                </c:pt>
              </c:numCache>
            </c:numRef>
          </c:val>
        </c:ser>
        <c:ser>
          <c:idx val="1"/>
          <c:order val="1"/>
          <c:tx>
            <c:strRef>
              <c:f>'Quality Check Raw Data'!$AH$3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Data'!$AH$4:$AH$12</c:f>
              <c:numCache>
                <c:formatCode>0.00%</c:formatCode>
                <c:ptCount val="9"/>
                <c:pt idx="0">
                  <c:v>0.3522885367280239</c:v>
                </c:pt>
                <c:pt idx="1">
                  <c:v>0.3522885367280239</c:v>
                </c:pt>
                <c:pt idx="2">
                  <c:v>0.3522885367280239</c:v>
                </c:pt>
              </c:numCache>
            </c:numRef>
          </c:val>
        </c:ser>
        <c:ser>
          <c:idx val="2"/>
          <c:order val="2"/>
          <c:tx>
            <c:strRef>
              <c:f>'Quality Check Raw Data'!$AI$3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Data'!$AI$4:$AI$12</c:f>
              <c:numCache>
                <c:formatCode>0.00%</c:formatCode>
                <c:ptCount val="9"/>
                <c:pt idx="0">
                  <c:v>0.35805731288401721</c:v>
                </c:pt>
                <c:pt idx="1">
                  <c:v>0.35805731288401721</c:v>
                </c:pt>
                <c:pt idx="2">
                  <c:v>0.35805731288401721</c:v>
                </c:pt>
              </c:numCache>
            </c:numRef>
          </c:val>
        </c:ser>
        <c:ser>
          <c:idx val="3"/>
          <c:order val="3"/>
          <c:tx>
            <c:strRef>
              <c:f>'Quality Check Raw Data'!$AJ$3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Data'!$AJ$4:$AJ$12</c:f>
              <c:numCache>
                <c:formatCode>0.00%</c:formatCode>
                <c:ptCount val="9"/>
                <c:pt idx="0">
                  <c:v>0.3465197605720306</c:v>
                </c:pt>
                <c:pt idx="1">
                  <c:v>0.3465197605720306</c:v>
                </c:pt>
                <c:pt idx="2">
                  <c:v>0.3465197605720306</c:v>
                </c:pt>
              </c:numCache>
            </c:numRef>
          </c:val>
        </c:ser>
        <c:ser>
          <c:idx val="4"/>
          <c:order val="4"/>
          <c:tx>
            <c:strRef>
              <c:f>'Quality Check Raw Data'!$AK$3</c:f>
              <c:strCache>
                <c:ptCount val="1"/>
                <c:pt idx="0">
                  <c:v>%RMC - Middle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val>
            <c:numRef>
              <c:f>'Quality Check Raw Data'!$AK$4:$AK$12</c:f>
              <c:numCache>
                <c:formatCode>0.00%</c:formatCode>
                <c:ptCount val="9"/>
                <c:pt idx="3">
                  <c:v>0.34990366088631991</c:v>
                </c:pt>
                <c:pt idx="4">
                  <c:v>0.35598865662731066</c:v>
                </c:pt>
                <c:pt idx="5">
                  <c:v>0.35582889548674917</c:v>
                </c:pt>
              </c:numCache>
            </c:numRef>
          </c:val>
        </c:ser>
        <c:ser>
          <c:idx val="5"/>
          <c:order val="5"/>
          <c:tx>
            <c:strRef>
              <c:f>'Quality Check Raw Data'!$AL$3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accent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Data'!$AL$4:$AL$12</c:f>
              <c:numCache>
                <c:formatCode>0.00%</c:formatCode>
                <c:ptCount val="9"/>
                <c:pt idx="3">
                  <c:v>0.35390707100012658</c:v>
                </c:pt>
                <c:pt idx="4">
                  <c:v>0.35390707100012658</c:v>
                </c:pt>
                <c:pt idx="5">
                  <c:v>0.35390707100012658</c:v>
                </c:pt>
              </c:numCache>
            </c:numRef>
          </c:val>
        </c:ser>
        <c:ser>
          <c:idx val="6"/>
          <c:order val="6"/>
          <c:tx>
            <c:strRef>
              <c:f>'Quality Check Raw Data'!$AM$3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Data'!$AM$4:$AM$12</c:f>
              <c:numCache>
                <c:formatCode>0.00%</c:formatCode>
                <c:ptCount val="9"/>
                <c:pt idx="3">
                  <c:v>0.35771760641101791</c:v>
                </c:pt>
                <c:pt idx="4">
                  <c:v>0.35771760641101791</c:v>
                </c:pt>
                <c:pt idx="5">
                  <c:v>0.35771760641101791</c:v>
                </c:pt>
              </c:numCache>
            </c:numRef>
          </c:val>
        </c:ser>
        <c:ser>
          <c:idx val="7"/>
          <c:order val="7"/>
          <c:tx>
            <c:strRef>
              <c:f>'Quality Check Raw Data'!$AN$3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Data'!$AN$4:$AN$12</c:f>
              <c:numCache>
                <c:formatCode>0.00%</c:formatCode>
                <c:ptCount val="9"/>
                <c:pt idx="3">
                  <c:v>0.35009653558923526</c:v>
                </c:pt>
                <c:pt idx="4">
                  <c:v>0.35009653558923526</c:v>
                </c:pt>
                <c:pt idx="5">
                  <c:v>0.35009653558923526</c:v>
                </c:pt>
              </c:numCache>
            </c:numRef>
          </c:val>
        </c:ser>
        <c:ser>
          <c:idx val="8"/>
          <c:order val="8"/>
          <c:tx>
            <c:strRef>
              <c:f>'Quality Check Raw Data'!$AO$3</c:f>
              <c:strCache>
                <c:ptCount val="1"/>
                <c:pt idx="0">
                  <c:v>%RMC - End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'Quality Check Raw Data'!$AO$4:$AO$12</c:f>
              <c:numCache>
                <c:formatCode>0.00%</c:formatCode>
                <c:ptCount val="9"/>
                <c:pt idx="6">
                  <c:v>0.3552875330101295</c:v>
                </c:pt>
                <c:pt idx="7">
                  <c:v>0.35163460403635066</c:v>
                </c:pt>
                <c:pt idx="8">
                  <c:v>0.35084821744567413</c:v>
                </c:pt>
              </c:numCache>
            </c:numRef>
          </c:val>
        </c:ser>
        <c:ser>
          <c:idx val="9"/>
          <c:order val="9"/>
          <c:tx>
            <c:strRef>
              <c:f>'Quality Check Raw Data'!$AP$3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Data'!$AP$4:$AP$12</c:f>
              <c:numCache>
                <c:formatCode>0.00%</c:formatCode>
                <c:ptCount val="9"/>
                <c:pt idx="6">
                  <c:v>0.35259011816405145</c:v>
                </c:pt>
                <c:pt idx="7">
                  <c:v>0.35259011816405145</c:v>
                </c:pt>
                <c:pt idx="8">
                  <c:v>0.35259011816405145</c:v>
                </c:pt>
              </c:numCache>
            </c:numRef>
          </c:val>
        </c:ser>
        <c:ser>
          <c:idx val="10"/>
          <c:order val="10"/>
          <c:tx>
            <c:strRef>
              <c:f>'Quality Check Raw Data'!$AQ$3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Data'!$AQ$4:$AQ$12</c:f>
              <c:numCache>
                <c:formatCode>0.00%</c:formatCode>
                <c:ptCount val="9"/>
                <c:pt idx="6">
                  <c:v>0.3544336162657884</c:v>
                </c:pt>
                <c:pt idx="7">
                  <c:v>0.3544336162657884</c:v>
                </c:pt>
                <c:pt idx="8">
                  <c:v>0.3544336162657884</c:v>
                </c:pt>
              </c:numCache>
            </c:numRef>
          </c:val>
        </c:ser>
        <c:ser>
          <c:idx val="11"/>
          <c:order val="11"/>
          <c:tx>
            <c:strRef>
              <c:f>'Quality Check Raw Data'!$AR$3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Data'!$AR$4:$AR$12</c:f>
              <c:numCache>
                <c:formatCode>0.00%</c:formatCode>
                <c:ptCount val="9"/>
                <c:pt idx="6">
                  <c:v>0.3507466200623145</c:v>
                </c:pt>
                <c:pt idx="7">
                  <c:v>0.3507466200623145</c:v>
                </c:pt>
                <c:pt idx="8">
                  <c:v>0.3507466200623145</c:v>
                </c:pt>
              </c:numCache>
            </c:numRef>
          </c:val>
        </c:ser>
        <c:marker val="1"/>
        <c:axId val="149642624"/>
        <c:axId val="149648512"/>
      </c:lineChart>
      <c:catAx>
        <c:axId val="1496426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9648512"/>
        <c:crosses val="autoZero"/>
        <c:auto val="1"/>
        <c:lblAlgn val="ctr"/>
        <c:lblOffset val="100"/>
      </c:catAx>
      <c:valAx>
        <c:axId val="149648512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9642624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'Quality Check Raw Data'!$AF$14</c:f>
          <c:strCache>
            <c:ptCount val="1"/>
            <c:pt idx="0">
              <c:v>Range Chart</c:v>
            </c:pt>
          </c:strCache>
        </c:strRef>
      </c:tx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'Quality Check Raw Data'!$AG$15</c:f>
              <c:strCache>
                <c:ptCount val="1"/>
                <c:pt idx="0">
                  <c:v>Range - Beginning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val>
            <c:numRef>
              <c:f>'Quality Check Raw Data'!$AG$16:$AG$24</c:f>
              <c:numCache>
                <c:formatCode>0.00%</c:formatCode>
                <c:ptCount val="9"/>
                <c:pt idx="0">
                  <c:v>5.496579381929656E-3</c:v>
                </c:pt>
                <c:pt idx="1">
                  <c:v>6.0578917593815951E-3</c:v>
                </c:pt>
                <c:pt idx="2">
                  <c:v>5.3627609877013871E-3</c:v>
                </c:pt>
              </c:numCache>
            </c:numRef>
          </c:val>
        </c:ser>
        <c:ser>
          <c:idx val="1"/>
          <c:order val="1"/>
          <c:tx>
            <c:strRef>
              <c:f>'Quality Check Raw Data'!$AH$15</c:f>
              <c:strCache>
                <c:ptCount val="1"/>
                <c:pt idx="0">
                  <c:v>R-Bar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Data'!$AH$16:$AH$24</c:f>
              <c:numCache>
                <c:formatCode>0.00%</c:formatCode>
                <c:ptCount val="9"/>
                <c:pt idx="0">
                  <c:v>5.6390773763375463E-3</c:v>
                </c:pt>
                <c:pt idx="1">
                  <c:v>5.6390773763375463E-3</c:v>
                </c:pt>
                <c:pt idx="2">
                  <c:v>5.6390773763375463E-3</c:v>
                </c:pt>
              </c:numCache>
            </c:numRef>
          </c:val>
        </c:ser>
        <c:ser>
          <c:idx val="2"/>
          <c:order val="2"/>
          <c:tx>
            <c:strRef>
              <c:f>'Quality Check Raw Data'!$AI$15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Data'!$AI$16:$AI$24</c:f>
              <c:numCache>
                <c:formatCode>0.00%</c:formatCode>
                <c:ptCount val="9"/>
                <c:pt idx="0">
                  <c:v>1.4514985166692843E-2</c:v>
                </c:pt>
                <c:pt idx="1">
                  <c:v>1.4514985166692843E-2</c:v>
                </c:pt>
                <c:pt idx="2">
                  <c:v>1.4514985166692843E-2</c:v>
                </c:pt>
              </c:numCache>
            </c:numRef>
          </c:val>
        </c:ser>
        <c:ser>
          <c:idx val="3"/>
          <c:order val="3"/>
          <c:tx>
            <c:strRef>
              <c:f>'Quality Check Raw Data'!$AJ$15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Data'!$AJ$16:$AJ$24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'Quality Check Raw Data'!$AK$15</c:f>
              <c:strCache>
                <c:ptCount val="1"/>
                <c:pt idx="0">
                  <c:v>Range - Middle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val>
            <c:numRef>
              <c:f>'Quality Check Raw Data'!$AK$16:$AK$24</c:f>
              <c:numCache>
                <c:formatCode>0.00%</c:formatCode>
                <c:ptCount val="9"/>
                <c:pt idx="3">
                  <c:v>3.9636663914120462E-3</c:v>
                </c:pt>
                <c:pt idx="4">
                  <c:v>3.4407183088632776E-3</c:v>
                </c:pt>
                <c:pt idx="5">
                  <c:v>3.7702059474998828E-3</c:v>
                </c:pt>
              </c:numCache>
            </c:numRef>
          </c:val>
        </c:ser>
        <c:ser>
          <c:idx val="5"/>
          <c:order val="5"/>
          <c:tx>
            <c:strRef>
              <c:f>'Quality Check Raw Data'!$AL$15</c:f>
              <c:strCache>
                <c:ptCount val="1"/>
                <c:pt idx="0">
                  <c:v>R-Bar</c:v>
                </c:pt>
              </c:strCache>
            </c:strRef>
          </c:tx>
          <c:spPr>
            <a:ln w="22225">
              <a:solidFill>
                <a:schemeClr val="accent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Data'!$AL$16:$AL$24</c:f>
              <c:numCache>
                <c:formatCode>0.00%</c:formatCode>
                <c:ptCount val="9"/>
                <c:pt idx="3">
                  <c:v>3.7248635492584023E-3</c:v>
                </c:pt>
                <c:pt idx="4">
                  <c:v>3.7248635492584023E-3</c:v>
                </c:pt>
                <c:pt idx="5">
                  <c:v>3.7248635492584023E-3</c:v>
                </c:pt>
              </c:numCache>
            </c:numRef>
          </c:val>
        </c:ser>
        <c:ser>
          <c:idx val="6"/>
          <c:order val="6"/>
          <c:tx>
            <c:strRef>
              <c:f>'Quality Check Raw Data'!$AM$15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Data'!$AM$16:$AM$24</c:f>
              <c:numCache>
                <c:formatCode>0.00%</c:formatCode>
                <c:ptCount val="9"/>
                <c:pt idx="3">
                  <c:v>9.5877987757911273E-3</c:v>
                </c:pt>
                <c:pt idx="4">
                  <c:v>9.5877987757911273E-3</c:v>
                </c:pt>
                <c:pt idx="5">
                  <c:v>9.5877987757911273E-3</c:v>
                </c:pt>
              </c:numCache>
            </c:numRef>
          </c:val>
        </c:ser>
        <c:ser>
          <c:idx val="7"/>
          <c:order val="7"/>
          <c:tx>
            <c:strRef>
              <c:f>'Quality Check Raw Data'!$AN$15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Data'!$AN$16:$AN$24</c:f>
              <c:numCache>
                <c:formatCode>0.00%</c:formatCode>
                <c:ptCount val="9"/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'Quality Check Raw Data'!$AO$15</c:f>
              <c:strCache>
                <c:ptCount val="1"/>
                <c:pt idx="0">
                  <c:v>Range - End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'Quality Check Raw Data'!$AO$16:$AO$24</c:f>
              <c:numCache>
                <c:formatCode>0.00%</c:formatCode>
                <c:ptCount val="9"/>
                <c:pt idx="6">
                  <c:v>1.016909069409877E-3</c:v>
                </c:pt>
                <c:pt idx="7">
                  <c:v>1.6287029387466179E-3</c:v>
                </c:pt>
                <c:pt idx="8">
                  <c:v>2.7605407828609207E-3</c:v>
                </c:pt>
              </c:numCache>
            </c:numRef>
          </c:val>
        </c:ser>
        <c:ser>
          <c:idx val="9"/>
          <c:order val="9"/>
          <c:tx>
            <c:strRef>
              <c:f>'Quality Check Raw Data'!$AP$15</c:f>
              <c:strCache>
                <c:ptCount val="1"/>
                <c:pt idx="0">
                  <c:v>R-Bar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Data'!$AP$16:$AP$24</c:f>
              <c:numCache>
                <c:formatCode>0.00%</c:formatCode>
                <c:ptCount val="9"/>
                <c:pt idx="6">
                  <c:v>1.8020509303391385E-3</c:v>
                </c:pt>
                <c:pt idx="7">
                  <c:v>1.8020509303391385E-3</c:v>
                </c:pt>
                <c:pt idx="8">
                  <c:v>1.8020509303391385E-3</c:v>
                </c:pt>
              </c:numCache>
            </c:numRef>
          </c:val>
        </c:ser>
        <c:ser>
          <c:idx val="10"/>
          <c:order val="10"/>
          <c:tx>
            <c:strRef>
              <c:f>'Quality Check Raw Data'!$AQ$15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Data'!$AQ$16:$AQ$24</c:f>
              <c:numCache>
                <c:formatCode>0.00%</c:formatCode>
                <c:ptCount val="9"/>
                <c:pt idx="6">
                  <c:v>4.6384790946929428E-3</c:v>
                </c:pt>
                <c:pt idx="7">
                  <c:v>4.6384790946929428E-3</c:v>
                </c:pt>
                <c:pt idx="8">
                  <c:v>4.6384790946929428E-3</c:v>
                </c:pt>
              </c:numCache>
            </c:numRef>
          </c:val>
        </c:ser>
        <c:ser>
          <c:idx val="11"/>
          <c:order val="11"/>
          <c:tx>
            <c:strRef>
              <c:f>'Quality Check Raw Data'!$AR$15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Data'!$AR$16:$AR$24</c:f>
              <c:numCache>
                <c:formatCode>0.00%</c:formatCode>
                <c:ptCount val="9"/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149690624"/>
        <c:axId val="149700608"/>
      </c:lineChart>
      <c:catAx>
        <c:axId val="1496906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9700608"/>
        <c:crosses val="autoZero"/>
        <c:auto val="1"/>
        <c:lblAlgn val="ctr"/>
        <c:lblOffset val="100"/>
      </c:catAx>
      <c:valAx>
        <c:axId val="149700608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9690624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'Quality Check Raw Data'!$AF$26</c:f>
          <c:strCache>
            <c:ptCount val="1"/>
            <c:pt idx="0">
              <c:v>Individual Measurements of %RMC Chart</c:v>
            </c:pt>
          </c:strCache>
        </c:strRef>
      </c:tx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'Quality Check Raw Data'!$AG$27</c:f>
              <c:strCache>
                <c:ptCount val="1"/>
                <c:pt idx="0">
                  <c:v>%RMC - Beginning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val>
            <c:numRef>
              <c:f>'Quality Check Raw Data'!$AG$28:$AG$54</c:f>
              <c:numCache>
                <c:formatCode>0.00%</c:formatCode>
                <c:ptCount val="27"/>
                <c:pt idx="0">
                  <c:v>0.35220570889360708</c:v>
                </c:pt>
                <c:pt idx="1">
                  <c:v>0.35475347959424391</c:v>
                </c:pt>
                <c:pt idx="2">
                  <c:v>0.35770228827553674</c:v>
                </c:pt>
                <c:pt idx="3">
                  <c:v>0.34867056383179323</c:v>
                </c:pt>
                <c:pt idx="4">
                  <c:v>0.35296058834621907</c:v>
                </c:pt>
                <c:pt idx="5">
                  <c:v>0.35472845559117483</c:v>
                </c:pt>
                <c:pt idx="6">
                  <c:v>0.34714939460387079</c:v>
                </c:pt>
                <c:pt idx="7">
                  <c:v>0.35251215559157217</c:v>
                </c:pt>
                <c:pt idx="8">
                  <c:v>0.34991419582419697</c:v>
                </c:pt>
              </c:numCache>
            </c:numRef>
          </c:val>
        </c:ser>
        <c:ser>
          <c:idx val="1"/>
          <c:order val="1"/>
          <c:tx>
            <c:strRef>
              <c:f>'Quality Check Raw Data'!$AH$27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Data'!$AH$28:$AH$54</c:f>
              <c:numCache>
                <c:formatCode>0.00%</c:formatCode>
                <c:ptCount val="27"/>
                <c:pt idx="0">
                  <c:v>0.3522885367280239</c:v>
                </c:pt>
                <c:pt idx="1">
                  <c:v>0.3522885367280239</c:v>
                </c:pt>
                <c:pt idx="2">
                  <c:v>0.3522885367280239</c:v>
                </c:pt>
                <c:pt idx="3">
                  <c:v>0.3522885367280239</c:v>
                </c:pt>
                <c:pt idx="4">
                  <c:v>0.3522885367280239</c:v>
                </c:pt>
                <c:pt idx="5">
                  <c:v>0.3522885367280239</c:v>
                </c:pt>
                <c:pt idx="6">
                  <c:v>0.3522885367280239</c:v>
                </c:pt>
                <c:pt idx="7">
                  <c:v>0.3522885367280239</c:v>
                </c:pt>
                <c:pt idx="8">
                  <c:v>0.3522885367280239</c:v>
                </c:pt>
              </c:numCache>
            </c:numRef>
          </c:val>
        </c:ser>
        <c:ser>
          <c:idx val="2"/>
          <c:order val="2"/>
          <c:tx>
            <c:strRef>
              <c:f>'Quality Check Raw Data'!$AI$27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Data'!$AI$28:$AI$54</c:f>
              <c:numCache>
                <c:formatCode>0.00%</c:formatCode>
                <c:ptCount val="27"/>
                <c:pt idx="0">
                  <c:v>0.36218082786373695</c:v>
                </c:pt>
                <c:pt idx="1">
                  <c:v>0.36218082786373695</c:v>
                </c:pt>
                <c:pt idx="2">
                  <c:v>0.36218082786373695</c:v>
                </c:pt>
                <c:pt idx="3">
                  <c:v>0.36218082786373695</c:v>
                </c:pt>
                <c:pt idx="4">
                  <c:v>0.36218082786373695</c:v>
                </c:pt>
                <c:pt idx="5">
                  <c:v>0.36218082786373695</c:v>
                </c:pt>
                <c:pt idx="6">
                  <c:v>0.36218082786373695</c:v>
                </c:pt>
                <c:pt idx="7">
                  <c:v>0.36218082786373695</c:v>
                </c:pt>
                <c:pt idx="8">
                  <c:v>0.36218082786373695</c:v>
                </c:pt>
              </c:numCache>
            </c:numRef>
          </c:val>
        </c:ser>
        <c:ser>
          <c:idx val="3"/>
          <c:order val="3"/>
          <c:tx>
            <c:strRef>
              <c:f>'Quality Check Raw Data'!$AJ$27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Data'!$AJ$28:$AJ$54</c:f>
              <c:numCache>
                <c:formatCode>0.00%</c:formatCode>
                <c:ptCount val="27"/>
                <c:pt idx="0">
                  <c:v>0.34239624559231085</c:v>
                </c:pt>
                <c:pt idx="1">
                  <c:v>0.34239624559231085</c:v>
                </c:pt>
                <c:pt idx="2">
                  <c:v>0.34239624559231085</c:v>
                </c:pt>
                <c:pt idx="3">
                  <c:v>0.34239624559231085</c:v>
                </c:pt>
                <c:pt idx="4">
                  <c:v>0.34239624559231085</c:v>
                </c:pt>
                <c:pt idx="5">
                  <c:v>0.34239624559231085</c:v>
                </c:pt>
                <c:pt idx="6">
                  <c:v>0.34239624559231085</c:v>
                </c:pt>
                <c:pt idx="7">
                  <c:v>0.34239624559231085</c:v>
                </c:pt>
                <c:pt idx="8">
                  <c:v>0.34239624559231085</c:v>
                </c:pt>
              </c:numCache>
            </c:numRef>
          </c:val>
        </c:ser>
        <c:ser>
          <c:idx val="4"/>
          <c:order val="4"/>
          <c:tx>
            <c:strRef>
              <c:f>'Quality Check Raw Data'!$AK$27</c:f>
              <c:strCache>
                <c:ptCount val="1"/>
                <c:pt idx="0">
                  <c:v>%RMC - Middle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val>
            <c:numRef>
              <c:f>'Quality Check Raw Data'!$AK$28:$AK$54</c:f>
              <c:numCache>
                <c:formatCode>General</c:formatCode>
                <c:ptCount val="27"/>
                <c:pt idx="9" formatCode="0.00%">
                  <c:v>0.34840155715465376</c:v>
                </c:pt>
                <c:pt idx="10" formatCode="0.00%">
                  <c:v>0.35236522354606581</c:v>
                </c:pt>
                <c:pt idx="11" formatCode="0.00%">
                  <c:v>0.34894420195823994</c:v>
                </c:pt>
                <c:pt idx="12" formatCode="0.00%">
                  <c:v>0.35766973817547676</c:v>
                </c:pt>
                <c:pt idx="13" formatCode="0.00%">
                  <c:v>0.35422901986661348</c:v>
                </c:pt>
                <c:pt idx="14" formatCode="0.00%">
                  <c:v>0.35606721183984175</c:v>
                </c:pt>
                <c:pt idx="15" formatCode="0.00%">
                  <c:v>0.35769828926905123</c:v>
                </c:pt>
                <c:pt idx="16" formatCode="0.00%">
                  <c:v>0.35586031386964495</c:v>
                </c:pt>
                <c:pt idx="17" formatCode="0.00%">
                  <c:v>0.35392808332155135</c:v>
                </c:pt>
              </c:numCache>
            </c:numRef>
          </c:val>
        </c:ser>
        <c:ser>
          <c:idx val="5"/>
          <c:order val="5"/>
          <c:tx>
            <c:strRef>
              <c:f>'Quality Check Raw Data'!$AL$27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accent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Data'!$AL$28:$AL$54</c:f>
              <c:numCache>
                <c:formatCode>General</c:formatCode>
                <c:ptCount val="27"/>
                <c:pt idx="9" formatCode="0.00%">
                  <c:v>0.35390707100012658</c:v>
                </c:pt>
                <c:pt idx="10" formatCode="0.00%">
                  <c:v>0.35390707100012658</c:v>
                </c:pt>
                <c:pt idx="11" formatCode="0.00%">
                  <c:v>0.35390707100012658</c:v>
                </c:pt>
                <c:pt idx="12" formatCode="0.00%">
                  <c:v>0.35390707100012658</c:v>
                </c:pt>
                <c:pt idx="13" formatCode="0.00%">
                  <c:v>0.35390707100012658</c:v>
                </c:pt>
                <c:pt idx="14" formatCode="0.00%">
                  <c:v>0.35390707100012658</c:v>
                </c:pt>
                <c:pt idx="15" formatCode="0.00%">
                  <c:v>0.35390707100012658</c:v>
                </c:pt>
                <c:pt idx="16" formatCode="0.00%">
                  <c:v>0.35390707100012658</c:v>
                </c:pt>
                <c:pt idx="17" formatCode="0.00%">
                  <c:v>0.35390707100012658</c:v>
                </c:pt>
              </c:numCache>
            </c:numRef>
          </c:val>
        </c:ser>
        <c:ser>
          <c:idx val="6"/>
          <c:order val="6"/>
          <c:tx>
            <c:strRef>
              <c:f>'Quality Check Raw Data'!$AM$27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Data'!$AM$28:$AM$54</c:f>
              <c:numCache>
                <c:formatCode>General</c:formatCode>
                <c:ptCount val="27"/>
                <c:pt idx="9" formatCode="0.00%">
                  <c:v>0.3642142926155264</c:v>
                </c:pt>
                <c:pt idx="10" formatCode="0.00%">
                  <c:v>0.3642142926155264</c:v>
                </c:pt>
                <c:pt idx="11" formatCode="0.00%">
                  <c:v>0.3642142926155264</c:v>
                </c:pt>
                <c:pt idx="12" formatCode="0.00%">
                  <c:v>0.3642142926155264</c:v>
                </c:pt>
                <c:pt idx="13" formatCode="0.00%">
                  <c:v>0.3642142926155264</c:v>
                </c:pt>
                <c:pt idx="14" formatCode="0.00%">
                  <c:v>0.3642142926155264</c:v>
                </c:pt>
                <c:pt idx="15" formatCode="0.00%">
                  <c:v>0.3642142926155264</c:v>
                </c:pt>
                <c:pt idx="16" formatCode="0.00%">
                  <c:v>0.3642142926155264</c:v>
                </c:pt>
                <c:pt idx="17" formatCode="0.00%">
                  <c:v>0.3642142926155264</c:v>
                </c:pt>
              </c:numCache>
            </c:numRef>
          </c:val>
        </c:ser>
        <c:ser>
          <c:idx val="7"/>
          <c:order val="7"/>
          <c:tx>
            <c:strRef>
              <c:f>'Quality Check Raw Data'!$AN$27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Data'!$AN$28:$AN$54</c:f>
              <c:numCache>
                <c:formatCode>General</c:formatCode>
                <c:ptCount val="27"/>
                <c:pt idx="9" formatCode="0.00%">
                  <c:v>0.34359984938472676</c:v>
                </c:pt>
                <c:pt idx="10" formatCode="0.00%">
                  <c:v>0.34359984938472676</c:v>
                </c:pt>
                <c:pt idx="11" formatCode="0.00%">
                  <c:v>0.34359984938472676</c:v>
                </c:pt>
                <c:pt idx="12" formatCode="0.00%">
                  <c:v>0.34359984938472676</c:v>
                </c:pt>
                <c:pt idx="13" formatCode="0.00%">
                  <c:v>0.34359984938472676</c:v>
                </c:pt>
                <c:pt idx="14" formatCode="0.00%">
                  <c:v>0.34359984938472676</c:v>
                </c:pt>
                <c:pt idx="15" formatCode="0.00%">
                  <c:v>0.34359984938472676</c:v>
                </c:pt>
                <c:pt idx="16" formatCode="0.00%">
                  <c:v>0.34359984938472676</c:v>
                </c:pt>
                <c:pt idx="17" formatCode="0.00%">
                  <c:v>0.34359984938472676</c:v>
                </c:pt>
              </c:numCache>
            </c:numRef>
          </c:val>
        </c:ser>
        <c:ser>
          <c:idx val="8"/>
          <c:order val="8"/>
          <c:tx>
            <c:strRef>
              <c:f>'Quality Check Raw Data'!$AO$27</c:f>
              <c:strCache>
                <c:ptCount val="1"/>
                <c:pt idx="0">
                  <c:v>%RMC - End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'Quality Check Raw Data'!$AO$28:$AO$54</c:f>
              <c:numCache>
                <c:formatCode>General</c:formatCode>
                <c:ptCount val="27"/>
                <c:pt idx="18" formatCode="0.00%">
                  <c:v>0.35478301998344552</c:v>
                </c:pt>
                <c:pt idx="19" formatCode="0.00%">
                  <c:v>0.35527964999408768</c:v>
                </c:pt>
                <c:pt idx="20" formatCode="0.00%">
                  <c:v>0.3557999290528554</c:v>
                </c:pt>
                <c:pt idx="21" formatCode="0.00%">
                  <c:v>0.35080845037176894</c:v>
                </c:pt>
                <c:pt idx="22" formatCode="0.00%">
                  <c:v>0.35243715331051556</c:v>
                </c:pt>
                <c:pt idx="23" formatCode="0.00%">
                  <c:v>0.35165820842676732</c:v>
                </c:pt>
                <c:pt idx="24" formatCode="0.00%">
                  <c:v>0.34907864002076322</c:v>
                </c:pt>
                <c:pt idx="25" formatCode="0.00%">
                  <c:v>0.35183918080362414</c:v>
                </c:pt>
                <c:pt idx="26" formatCode="0.00%">
                  <c:v>0.35162683151263491</c:v>
                </c:pt>
              </c:numCache>
            </c:numRef>
          </c:val>
        </c:ser>
        <c:ser>
          <c:idx val="9"/>
          <c:order val="9"/>
          <c:tx>
            <c:strRef>
              <c:f>'Quality Check Raw Data'!$AP$27</c:f>
              <c:strCache>
                <c:ptCount val="1"/>
                <c:pt idx="0">
                  <c:v>X-Bar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Data'!$AP$28:$AP$54</c:f>
              <c:numCache>
                <c:formatCode>General</c:formatCode>
                <c:ptCount val="27"/>
                <c:pt idx="18" formatCode="0.00%">
                  <c:v>0.35259011816405145</c:v>
                </c:pt>
                <c:pt idx="19" formatCode="0.00%">
                  <c:v>0.35259011816405145</c:v>
                </c:pt>
                <c:pt idx="20" formatCode="0.00%">
                  <c:v>0.35259011816405145</c:v>
                </c:pt>
                <c:pt idx="21" formatCode="0.00%">
                  <c:v>0.35259011816405145</c:v>
                </c:pt>
                <c:pt idx="22" formatCode="0.00%">
                  <c:v>0.35259011816405145</c:v>
                </c:pt>
                <c:pt idx="23" formatCode="0.00%">
                  <c:v>0.35259011816405145</c:v>
                </c:pt>
                <c:pt idx="24" formatCode="0.00%">
                  <c:v>0.35259011816405145</c:v>
                </c:pt>
                <c:pt idx="25" formatCode="0.00%">
                  <c:v>0.35259011816405145</c:v>
                </c:pt>
                <c:pt idx="26" formatCode="0.00%">
                  <c:v>0.35259011816405145</c:v>
                </c:pt>
              </c:numCache>
            </c:numRef>
          </c:val>
        </c:ser>
        <c:ser>
          <c:idx val="10"/>
          <c:order val="10"/>
          <c:tx>
            <c:strRef>
              <c:f>'Quality Check Raw Data'!$AQ$27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Data'!$AQ$28:$AQ$54</c:f>
              <c:numCache>
                <c:formatCode>General</c:formatCode>
                <c:ptCount val="27"/>
                <c:pt idx="18" formatCode="0.00%">
                  <c:v>0.35931789715207579</c:v>
                </c:pt>
                <c:pt idx="19" formatCode="0.00%">
                  <c:v>0.35931789715207579</c:v>
                </c:pt>
                <c:pt idx="20" formatCode="0.00%">
                  <c:v>0.35931789715207579</c:v>
                </c:pt>
                <c:pt idx="21" formatCode="0.00%">
                  <c:v>0.35931789715207579</c:v>
                </c:pt>
                <c:pt idx="22" formatCode="0.00%">
                  <c:v>0.35931789715207579</c:v>
                </c:pt>
                <c:pt idx="23" formatCode="0.00%">
                  <c:v>0.35931789715207579</c:v>
                </c:pt>
                <c:pt idx="24" formatCode="0.00%">
                  <c:v>0.35931789715207579</c:v>
                </c:pt>
                <c:pt idx="25" formatCode="0.00%">
                  <c:v>0.35931789715207579</c:v>
                </c:pt>
                <c:pt idx="26" formatCode="0.00%">
                  <c:v>0.35931789715207579</c:v>
                </c:pt>
              </c:numCache>
            </c:numRef>
          </c:val>
        </c:ser>
        <c:ser>
          <c:idx val="11"/>
          <c:order val="11"/>
          <c:tx>
            <c:strRef>
              <c:f>'Quality Check Raw Data'!$AR$27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Data'!$AR$28:$AR$54</c:f>
              <c:numCache>
                <c:formatCode>General</c:formatCode>
                <c:ptCount val="27"/>
                <c:pt idx="18" formatCode="0.00%">
                  <c:v>0.3458623391760271</c:v>
                </c:pt>
                <c:pt idx="19" formatCode="0.00%">
                  <c:v>0.3458623391760271</c:v>
                </c:pt>
                <c:pt idx="20" formatCode="0.00%">
                  <c:v>0.3458623391760271</c:v>
                </c:pt>
                <c:pt idx="21" formatCode="0.00%">
                  <c:v>0.3458623391760271</c:v>
                </c:pt>
                <c:pt idx="22" formatCode="0.00%">
                  <c:v>0.3458623391760271</c:v>
                </c:pt>
                <c:pt idx="23" formatCode="0.00%">
                  <c:v>0.3458623391760271</c:v>
                </c:pt>
                <c:pt idx="24" formatCode="0.00%">
                  <c:v>0.3458623391760271</c:v>
                </c:pt>
                <c:pt idx="25" formatCode="0.00%">
                  <c:v>0.3458623391760271</c:v>
                </c:pt>
                <c:pt idx="26" formatCode="0.00%">
                  <c:v>0.3458623391760271</c:v>
                </c:pt>
              </c:numCache>
            </c:numRef>
          </c:val>
        </c:ser>
        <c:marker val="1"/>
        <c:axId val="150061824"/>
        <c:axId val="150063360"/>
      </c:lineChart>
      <c:catAx>
        <c:axId val="1500618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63360"/>
        <c:crosses val="autoZero"/>
        <c:auto val="1"/>
        <c:lblAlgn val="ctr"/>
        <c:lblOffset val="100"/>
      </c:catAx>
      <c:valAx>
        <c:axId val="150063360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61824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'Quality Check Raw Data'!$AF$56</c:f>
          <c:strCache>
            <c:ptCount val="1"/>
            <c:pt idx="0">
              <c:v>Moving Range of %RMC Chart</c:v>
            </c:pt>
          </c:strCache>
        </c:strRef>
      </c:tx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'Quality Check Raw Data'!$AG$57</c:f>
              <c:strCache>
                <c:ptCount val="1"/>
                <c:pt idx="0">
                  <c:v>Range - Beginning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val>
            <c:numRef>
              <c:f>'Quality Check Raw Data'!$AG$58:$AG$81</c:f>
              <c:numCache>
                <c:formatCode>0.00%</c:formatCode>
                <c:ptCount val="24"/>
                <c:pt idx="0">
                  <c:v>2.5477707006368311E-3</c:v>
                </c:pt>
                <c:pt idx="1">
                  <c:v>2.9488086812928249E-3</c:v>
                </c:pt>
                <c:pt idx="2">
                  <c:v>9.0317244437435051E-3</c:v>
                </c:pt>
                <c:pt idx="3">
                  <c:v>4.2900245144258387E-3</c:v>
                </c:pt>
                <c:pt idx="4">
                  <c:v>1.7678672449557564E-3</c:v>
                </c:pt>
                <c:pt idx="5">
                  <c:v>7.5790609873040427E-3</c:v>
                </c:pt>
                <c:pt idx="6">
                  <c:v>5.3627609877013871E-3</c:v>
                </c:pt>
                <c:pt idx="7">
                  <c:v>2.597959767375202E-3</c:v>
                </c:pt>
              </c:numCache>
            </c:numRef>
          </c:val>
        </c:ser>
        <c:ser>
          <c:idx val="1"/>
          <c:order val="1"/>
          <c:tx>
            <c:strRef>
              <c:f>'Quality Check Raw Data'!$AH$57</c:f>
              <c:strCache>
                <c:ptCount val="1"/>
                <c:pt idx="0">
                  <c:v>MR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Data'!$AH$58:$AH$81</c:f>
              <c:numCache>
                <c:formatCode>0.00%</c:formatCode>
                <c:ptCount val="24"/>
                <c:pt idx="0">
                  <c:v>4.5157471659294235E-3</c:v>
                </c:pt>
                <c:pt idx="1">
                  <c:v>4.5157471659294235E-3</c:v>
                </c:pt>
                <c:pt idx="2">
                  <c:v>4.5157471659294235E-3</c:v>
                </c:pt>
                <c:pt idx="3">
                  <c:v>4.5157471659294235E-3</c:v>
                </c:pt>
                <c:pt idx="4">
                  <c:v>4.5157471659294235E-3</c:v>
                </c:pt>
                <c:pt idx="5">
                  <c:v>4.5157471659294235E-3</c:v>
                </c:pt>
                <c:pt idx="6">
                  <c:v>4.5157471659294235E-3</c:v>
                </c:pt>
                <c:pt idx="7">
                  <c:v>4.5157471659294235E-3</c:v>
                </c:pt>
              </c:numCache>
            </c:numRef>
          </c:val>
        </c:ser>
        <c:ser>
          <c:idx val="2"/>
          <c:order val="2"/>
          <c:tx>
            <c:strRef>
              <c:f>'Quality Check Raw Data'!$AI$57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Data'!$AI$58:$AI$81</c:f>
              <c:numCache>
                <c:formatCode>0.00%</c:formatCode>
                <c:ptCount val="24"/>
                <c:pt idx="0">
                  <c:v>1.6563760604629125E-2</c:v>
                </c:pt>
                <c:pt idx="1">
                  <c:v>1.6563760604629125E-2</c:v>
                </c:pt>
                <c:pt idx="2">
                  <c:v>1.6563760604629125E-2</c:v>
                </c:pt>
                <c:pt idx="3">
                  <c:v>1.6563760604629125E-2</c:v>
                </c:pt>
                <c:pt idx="4">
                  <c:v>1.6563760604629125E-2</c:v>
                </c:pt>
                <c:pt idx="5">
                  <c:v>1.6563760604629125E-2</c:v>
                </c:pt>
                <c:pt idx="6">
                  <c:v>1.6563760604629125E-2</c:v>
                </c:pt>
                <c:pt idx="7">
                  <c:v>1.6563760604629125E-2</c:v>
                </c:pt>
              </c:numCache>
            </c:numRef>
          </c:val>
        </c:ser>
        <c:ser>
          <c:idx val="3"/>
          <c:order val="3"/>
          <c:tx>
            <c:strRef>
              <c:f>'Quality Check Raw Data'!$AJ$57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Data'!$AJ$58:$AJ$81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'Quality Check Raw Data'!$AK$57</c:f>
              <c:strCache>
                <c:ptCount val="1"/>
                <c:pt idx="0">
                  <c:v>Range - Middle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val>
            <c:numRef>
              <c:f>'Quality Check Raw Data'!$AK$58:$AK$81</c:f>
              <c:numCache>
                <c:formatCode>General</c:formatCode>
                <c:ptCount val="24"/>
                <c:pt idx="8">
                  <c:v>0</c:v>
                </c:pt>
                <c:pt idx="9">
                  <c:v>3.4210215878258676E-3</c:v>
                </c:pt>
                <c:pt idx="10">
                  <c:v>8.7255362172368178E-3</c:v>
                </c:pt>
                <c:pt idx="11">
                  <c:v>3.4407183088632776E-3</c:v>
                </c:pt>
                <c:pt idx="12">
                  <c:v>1.8381919732282648E-3</c:v>
                </c:pt>
                <c:pt idx="13">
                  <c:v>1.6310774292094821E-3</c:v>
                </c:pt>
                <c:pt idx="14">
                  <c:v>1.8379753994062775E-3</c:v>
                </c:pt>
                <c:pt idx="15">
                  <c:v>1.9322305480936053E-3</c:v>
                </c:pt>
              </c:numCache>
            </c:numRef>
          </c:val>
        </c:ser>
        <c:ser>
          <c:idx val="5"/>
          <c:order val="5"/>
          <c:tx>
            <c:strRef>
              <c:f>'Quality Check Raw Data'!$AL$57</c:f>
              <c:strCache>
                <c:ptCount val="1"/>
                <c:pt idx="0">
                  <c:v>MR</c:v>
                </c:pt>
              </c:strCache>
            </c:strRef>
          </c:tx>
          <c:spPr>
            <a:ln w="22225">
              <a:solidFill>
                <a:schemeClr val="accent2">
                  <a:lumMod val="60000"/>
                  <a:lumOff val="40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Data'!$AL$58:$AL$81</c:f>
              <c:numCache>
                <c:formatCode>General</c:formatCode>
                <c:ptCount val="24"/>
                <c:pt idx="8" formatCode="0.00%">
                  <c:v>3.3488022319094549E-3</c:v>
                </c:pt>
                <c:pt idx="9" formatCode="0.00%">
                  <c:v>3.3488022319094549E-3</c:v>
                </c:pt>
                <c:pt idx="10" formatCode="0.00%">
                  <c:v>3.3488022319094549E-3</c:v>
                </c:pt>
                <c:pt idx="11" formatCode="0.00%">
                  <c:v>3.3488022319094549E-3</c:v>
                </c:pt>
                <c:pt idx="12" formatCode="0.00%">
                  <c:v>3.3488022319094549E-3</c:v>
                </c:pt>
                <c:pt idx="13" formatCode="0.00%">
                  <c:v>3.3488022319094549E-3</c:v>
                </c:pt>
                <c:pt idx="14" formatCode="0.00%">
                  <c:v>3.3488022319094549E-3</c:v>
                </c:pt>
                <c:pt idx="15" formatCode="0.00%">
                  <c:v>3.3488022319094549E-3</c:v>
                </c:pt>
              </c:numCache>
            </c:numRef>
          </c:val>
        </c:ser>
        <c:ser>
          <c:idx val="6"/>
          <c:order val="6"/>
          <c:tx>
            <c:strRef>
              <c:f>'Quality Check Raw Data'!$AM$57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Data'!$AM$58:$AM$81</c:f>
              <c:numCache>
                <c:formatCode>General</c:formatCode>
                <c:ptCount val="24"/>
                <c:pt idx="8" formatCode="0.00%">
                  <c:v>1.2283406586643881E-2</c:v>
                </c:pt>
                <c:pt idx="9" formatCode="0.00%">
                  <c:v>1.2283406586643881E-2</c:v>
                </c:pt>
                <c:pt idx="10" formatCode="0.00%">
                  <c:v>1.2283406586643881E-2</c:v>
                </c:pt>
                <c:pt idx="11" formatCode="0.00%">
                  <c:v>1.2283406586643881E-2</c:v>
                </c:pt>
                <c:pt idx="12" formatCode="0.00%">
                  <c:v>1.2283406586643881E-2</c:v>
                </c:pt>
                <c:pt idx="13" formatCode="0.00%">
                  <c:v>1.2283406586643881E-2</c:v>
                </c:pt>
                <c:pt idx="14" formatCode="0.00%">
                  <c:v>1.2283406586643881E-2</c:v>
                </c:pt>
                <c:pt idx="15" formatCode="0.00%">
                  <c:v>1.2283406586643881E-2</c:v>
                </c:pt>
              </c:numCache>
            </c:numRef>
          </c:val>
        </c:ser>
        <c:ser>
          <c:idx val="7"/>
          <c:order val="7"/>
          <c:tx>
            <c:strRef>
              <c:f>'Quality Check Raw Data'!$AN$57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Data'!$AN$58:$AN$81</c:f>
              <c:numCache>
                <c:formatCode>General</c:formatCode>
                <c:ptCount val="24"/>
                <c:pt idx="8" formatCode="0.00%">
                  <c:v>0</c:v>
                </c:pt>
                <c:pt idx="9" formatCode="0.00%">
                  <c:v>0</c:v>
                </c:pt>
                <c:pt idx="10" formatCode="0.00%">
                  <c:v>0</c:v>
                </c:pt>
                <c:pt idx="11" formatCode="0.00%">
                  <c:v>0</c:v>
                </c:pt>
                <c:pt idx="12" formatCode="0.00%">
                  <c:v>0</c:v>
                </c:pt>
                <c:pt idx="13" formatCode="0.00%">
                  <c:v>0</c:v>
                </c:pt>
                <c:pt idx="14" formatCode="0.00%">
                  <c:v>0</c:v>
                </c:pt>
                <c:pt idx="15" formatCode="0.00%">
                  <c:v>0</c:v>
                </c:pt>
              </c:numCache>
            </c:numRef>
          </c:val>
        </c:ser>
        <c:ser>
          <c:idx val="8"/>
          <c:order val="8"/>
          <c:tx>
            <c:strRef>
              <c:f>'Quality Check Raw Data'!$AO$57</c:f>
              <c:strCache>
                <c:ptCount val="1"/>
                <c:pt idx="0">
                  <c:v>Range - End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val>
            <c:numRef>
              <c:f>'Quality Check Raw Data'!$AO$58:$AO$81</c:f>
              <c:numCache>
                <c:formatCode>General</c:formatCode>
                <c:ptCount val="24"/>
                <c:pt idx="16">
                  <c:v>0</c:v>
                </c:pt>
                <c:pt idx="17">
                  <c:v>5.2027905876772529E-4</c:v>
                </c:pt>
                <c:pt idx="18">
                  <c:v>4.9914786810864586E-3</c:v>
                </c:pt>
                <c:pt idx="19">
                  <c:v>1.6287029387466179E-3</c:v>
                </c:pt>
                <c:pt idx="20">
                  <c:v>7.7894488374824489E-4</c:v>
                </c:pt>
                <c:pt idx="21">
                  <c:v>2.5795684060040958E-3</c:v>
                </c:pt>
                <c:pt idx="22">
                  <c:v>2.7605407828609207E-3</c:v>
                </c:pt>
                <c:pt idx="23">
                  <c:v>2.1234929098923327E-4</c:v>
                </c:pt>
              </c:numCache>
            </c:numRef>
          </c:val>
        </c:ser>
        <c:ser>
          <c:idx val="9"/>
          <c:order val="9"/>
          <c:tx>
            <c:strRef>
              <c:f>'Quality Check Raw Data'!$AP$57</c:f>
              <c:strCache>
                <c:ptCount val="1"/>
                <c:pt idx="0">
                  <c:v>MR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none"/>
          </c:marker>
          <c:val>
            <c:numRef>
              <c:f>'Quality Check Raw Data'!$AP$58:$AP$81</c:f>
              <c:numCache>
                <c:formatCode>General</c:formatCode>
                <c:ptCount val="24"/>
                <c:pt idx="16" formatCode="0.00%">
                  <c:v>1.746061756605681E-3</c:v>
                </c:pt>
                <c:pt idx="17" formatCode="0.00%">
                  <c:v>1.746061756605681E-3</c:v>
                </c:pt>
                <c:pt idx="18" formatCode="0.00%">
                  <c:v>1.746061756605681E-3</c:v>
                </c:pt>
                <c:pt idx="19" formatCode="0.00%">
                  <c:v>1.746061756605681E-3</c:v>
                </c:pt>
                <c:pt idx="20" formatCode="0.00%">
                  <c:v>1.746061756605681E-3</c:v>
                </c:pt>
                <c:pt idx="21" formatCode="0.00%">
                  <c:v>1.746061756605681E-3</c:v>
                </c:pt>
                <c:pt idx="22" formatCode="0.00%">
                  <c:v>1.746061756605681E-3</c:v>
                </c:pt>
                <c:pt idx="23" formatCode="0.00%">
                  <c:v>1.746061756605681E-3</c:v>
                </c:pt>
              </c:numCache>
            </c:numRef>
          </c:val>
        </c:ser>
        <c:ser>
          <c:idx val="10"/>
          <c:order val="10"/>
          <c:tx>
            <c:strRef>
              <c:f>'Quality Check Raw Data'!$AQ$57</c:f>
              <c:strCache>
                <c:ptCount val="1"/>
                <c:pt idx="0">
                  <c:v>UCL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Data'!$AQ$58:$AQ$81</c:f>
              <c:numCache>
                <c:formatCode>General</c:formatCode>
                <c:ptCount val="24"/>
                <c:pt idx="16" formatCode="0.00%">
                  <c:v>6.4045545232296382E-3</c:v>
                </c:pt>
                <c:pt idx="17" formatCode="0.00%">
                  <c:v>6.4045545232296382E-3</c:v>
                </c:pt>
                <c:pt idx="18" formatCode="0.00%">
                  <c:v>6.4045545232296382E-3</c:v>
                </c:pt>
                <c:pt idx="19" formatCode="0.00%">
                  <c:v>6.4045545232296382E-3</c:v>
                </c:pt>
                <c:pt idx="20" formatCode="0.00%">
                  <c:v>6.4045545232296382E-3</c:v>
                </c:pt>
                <c:pt idx="21" formatCode="0.00%">
                  <c:v>6.4045545232296382E-3</c:v>
                </c:pt>
                <c:pt idx="22" formatCode="0.00%">
                  <c:v>6.4045545232296382E-3</c:v>
                </c:pt>
                <c:pt idx="23" formatCode="0.00%">
                  <c:v>6.4045545232296382E-3</c:v>
                </c:pt>
              </c:numCache>
            </c:numRef>
          </c:val>
        </c:ser>
        <c:ser>
          <c:idx val="11"/>
          <c:order val="11"/>
          <c:tx>
            <c:strRef>
              <c:f>'Quality Check Raw Data'!$AR$57</c:f>
              <c:strCache>
                <c:ptCount val="1"/>
                <c:pt idx="0">
                  <c:v>LCL</c:v>
                </c:pt>
              </c:strCache>
            </c:strRef>
          </c:tx>
          <c:spPr>
            <a:ln w="22225">
              <a:solidFill>
                <a:schemeClr val="accent3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'Quality Check Raw Data'!$AR$58:$AR$81</c:f>
              <c:numCache>
                <c:formatCode>General</c:formatCode>
                <c:ptCount val="24"/>
                <c:pt idx="16" formatCode="0.00%">
                  <c:v>0</c:v>
                </c:pt>
                <c:pt idx="17" formatCode="0.00%">
                  <c:v>0</c:v>
                </c:pt>
                <c:pt idx="18" formatCode="0.00%">
                  <c:v>0</c:v>
                </c:pt>
                <c:pt idx="19" formatCode="0.00%">
                  <c:v>0</c:v>
                </c:pt>
                <c:pt idx="20" formatCode="0.00%">
                  <c:v>0</c:v>
                </c:pt>
                <c:pt idx="21" formatCode="0.00%">
                  <c:v>0</c:v>
                </c:pt>
                <c:pt idx="22" formatCode="0.00%">
                  <c:v>0</c:v>
                </c:pt>
                <c:pt idx="23" formatCode="0.00%">
                  <c:v>0</c:v>
                </c:pt>
              </c:numCache>
            </c:numRef>
          </c:val>
        </c:ser>
        <c:marker val="1"/>
        <c:axId val="150200320"/>
        <c:axId val="150201856"/>
      </c:lineChart>
      <c:catAx>
        <c:axId val="15020032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201856"/>
        <c:crosses val="autoZero"/>
        <c:auto val="1"/>
        <c:lblAlgn val="ctr"/>
        <c:lblOffset val="100"/>
      </c:catAx>
      <c:valAx>
        <c:axId val="150201856"/>
        <c:scaling>
          <c:orientation val="minMax"/>
        </c:scaling>
        <c:axPos val="l"/>
        <c:majorGridlines/>
        <c:numFmt formatCode="0.0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200320"/>
        <c:crosses val="autoZero"/>
        <c:crossBetween val="midCat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0.58027</cdr:x>
      <cdr:y>0.05518</cdr:y>
    </cdr:from>
    <cdr:to>
      <cdr:x>0.6386</cdr:x>
      <cdr:y>0.15242</cdr:y>
    </cdr:to>
    <cdr:sp macro="" textlink="'Correlation Raw Data'!$B$20">
      <cdr:nvSpPr>
        <cdr:cNvPr id="1740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5953" y="347548"/>
          <a:ext cx="504216" cy="612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F6A89AD-3D9D-4FBD-8CBD-D2C8519E5CBD}" type="TxLink">
            <a:rPr lang="en-US" sz="28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18</a:t>
          </a:fld>
          <a:endParaRPr lang="en-US" sz="28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0.60067</cdr:x>
      <cdr:y>0.00762</cdr:y>
    </cdr:from>
    <cdr:to>
      <cdr:x>0.65851</cdr:x>
      <cdr:y>0.0564</cdr:y>
    </cdr:to>
    <cdr:sp macro="" textlink="'Correlation Raw Data'!$B$20">
      <cdr:nvSpPr>
        <cdr:cNvPr id="2" name="TextBox 1"/>
        <cdr:cNvSpPr txBox="1"/>
      </cdr:nvSpPr>
      <cdr:spPr>
        <a:xfrm xmlns:a="http://schemas.openxmlformats.org/drawingml/2006/main">
          <a:off x="5194976" y="48047"/>
          <a:ext cx="500241" cy="307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1A2040DC-BEFB-40A8-B286-0F5FC61FB307}" type="TxLink">
            <a:rPr lang="en-US" sz="1800">
              <a:latin typeface="+mn-lt"/>
              <a:cs typeface="Arial" pitchFamily="34" charset="0"/>
            </a:rPr>
            <a:pPr/>
            <a:t>18</a:t>
          </a:fld>
          <a:endParaRPr lang="en-US" sz="1800"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0.78643</cdr:x>
      <cdr:y>0.08689</cdr:y>
    </cdr:from>
    <cdr:to>
      <cdr:x>0.85873</cdr:x>
      <cdr:y>0.14939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802197" y="548409"/>
          <a:ext cx="625379" cy="394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/>
            <a:t>R</a:t>
          </a:r>
          <a:r>
            <a:rPr lang="en-US" sz="1800" baseline="30000"/>
            <a:t>2</a:t>
          </a:r>
          <a:r>
            <a:rPr lang="en-US" sz="1800"/>
            <a:t>=</a:t>
          </a:r>
        </a:p>
      </cdr:txBody>
    </cdr:sp>
  </cdr:relSizeAnchor>
  <cdr:relSizeAnchor xmlns:cdr="http://schemas.openxmlformats.org/drawingml/2006/chartDrawing">
    <cdr:from>
      <cdr:x>0.74194</cdr:x>
      <cdr:y>0.03963</cdr:y>
    </cdr:from>
    <cdr:to>
      <cdr:x>0.9733</cdr:x>
      <cdr:y>0.11433</cdr:y>
    </cdr:to>
    <cdr:sp macro="" textlink="Analysis!$D$53">
      <cdr:nvSpPr>
        <cdr:cNvPr id="5" name="TextBox 4"/>
        <cdr:cNvSpPr txBox="1"/>
      </cdr:nvSpPr>
      <cdr:spPr>
        <a:xfrm xmlns:a="http://schemas.openxmlformats.org/drawingml/2006/main">
          <a:off x="6417349" y="250151"/>
          <a:ext cx="2001212" cy="471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1886EEF-A1E8-4D5B-BCB5-11A1263E02C7}" type="TxLink">
            <a:rPr lang="en-US" sz="1800"/>
            <a:pPr/>
            <a:t>y=0.7725x+0.0279</a:t>
          </a:fld>
          <a:endParaRPr lang="en-US" sz="1800"/>
        </a:p>
      </cdr:txBody>
    </cdr:sp>
  </cdr:relSizeAnchor>
  <cdr:relSizeAnchor xmlns:cdr="http://schemas.openxmlformats.org/drawingml/2006/chartDrawing">
    <cdr:from>
      <cdr:x>0.83982</cdr:x>
      <cdr:y>0.08689</cdr:y>
    </cdr:from>
    <cdr:to>
      <cdr:x>0.95439</cdr:x>
      <cdr:y>0.14939</cdr:y>
    </cdr:to>
    <cdr:sp macro="" textlink="Analysis!$C$55">
      <cdr:nvSpPr>
        <cdr:cNvPr id="6" name="TextBox 1"/>
        <cdr:cNvSpPr txBox="1"/>
      </cdr:nvSpPr>
      <cdr:spPr>
        <a:xfrm xmlns:a="http://schemas.openxmlformats.org/drawingml/2006/main">
          <a:off x="7264015" y="548409"/>
          <a:ext cx="990985" cy="394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E6B95C01-1C87-45B0-BDC6-59B2260D748E}" type="TxLink">
            <a:rPr lang="en-US" sz="1800"/>
            <a:pPr/>
            <a:t>98.99%</a:t>
          </a:fld>
          <a:endParaRPr lang="en-US" sz="1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C4:F21"/>
  <sheetViews>
    <sheetView workbookViewId="0">
      <selection activeCell="C4" sqref="C4"/>
    </sheetView>
  </sheetViews>
  <sheetFormatPr defaultRowHeight="12.75"/>
  <cols>
    <col min="2" max="2" width="4" bestFit="1" customWidth="1"/>
    <col min="4" max="4" width="4" bestFit="1" customWidth="1"/>
  </cols>
  <sheetData>
    <row r="4" spans="3:6">
      <c r="C4" s="1"/>
      <c r="D4" s="302" t="s">
        <v>10</v>
      </c>
      <c r="E4" s="302"/>
      <c r="F4" s="302"/>
    </row>
    <row r="5" spans="3:6">
      <c r="C5" s="1"/>
      <c r="D5" s="1"/>
      <c r="E5" s="302" t="s">
        <v>11</v>
      </c>
      <c r="F5" s="302"/>
    </row>
    <row r="6" spans="3:6" ht="13.5" thickBot="1">
      <c r="C6" s="1"/>
      <c r="D6" s="1"/>
      <c r="E6" s="4">
        <v>19.5</v>
      </c>
      <c r="F6" s="4">
        <v>20</v>
      </c>
    </row>
    <row r="7" spans="3:6" ht="12.75" customHeight="1">
      <c r="C7" s="303" t="s">
        <v>12</v>
      </c>
      <c r="D7" s="3">
        <v>99</v>
      </c>
      <c r="E7" s="5">
        <v>598</v>
      </c>
      <c r="F7" s="6">
        <v>590</v>
      </c>
    </row>
    <row r="8" spans="3:6">
      <c r="C8" s="304"/>
      <c r="D8" s="3">
        <v>100</v>
      </c>
      <c r="E8" s="7">
        <v>601</v>
      </c>
      <c r="F8" s="8">
        <v>593</v>
      </c>
    </row>
    <row r="9" spans="3:6" ht="13.5" thickBot="1">
      <c r="C9" s="304"/>
      <c r="D9" s="3">
        <v>101</v>
      </c>
      <c r="E9" s="9">
        <v>604</v>
      </c>
      <c r="F9" s="10">
        <v>596</v>
      </c>
    </row>
    <row r="10" spans="3:6" ht="13.5" thickBot="1">
      <c r="C10" s="304"/>
      <c r="D10" s="1"/>
      <c r="E10" s="11"/>
      <c r="F10" s="11"/>
    </row>
    <row r="11" spans="3:6">
      <c r="C11" s="304"/>
      <c r="D11" s="3">
        <v>199</v>
      </c>
      <c r="E11" s="5">
        <v>848</v>
      </c>
      <c r="F11" s="6">
        <v>837</v>
      </c>
    </row>
    <row r="12" spans="3:6">
      <c r="C12" s="304"/>
      <c r="D12" s="3">
        <v>200</v>
      </c>
      <c r="E12" s="7">
        <v>850</v>
      </c>
      <c r="F12" s="8">
        <v>839</v>
      </c>
    </row>
    <row r="13" spans="3:6" ht="13.5" thickBot="1">
      <c r="C13" s="304"/>
      <c r="D13" s="3">
        <v>201</v>
      </c>
      <c r="E13" s="9">
        <v>852</v>
      </c>
      <c r="F13" s="10">
        <v>841</v>
      </c>
    </row>
    <row r="14" spans="3:6" ht="13.5" thickBot="1">
      <c r="C14" s="304"/>
      <c r="D14" s="1"/>
      <c r="E14" s="11"/>
      <c r="F14" s="11"/>
    </row>
    <row r="15" spans="3:6">
      <c r="C15" s="304"/>
      <c r="D15" s="3">
        <v>349</v>
      </c>
      <c r="E15" s="5">
        <v>1123</v>
      </c>
      <c r="F15" s="6">
        <v>1108</v>
      </c>
    </row>
    <row r="16" spans="3:6">
      <c r="C16" s="304"/>
      <c r="D16" s="3">
        <v>350</v>
      </c>
      <c r="E16" s="7">
        <v>1124</v>
      </c>
      <c r="F16" s="8">
        <v>1110</v>
      </c>
    </row>
    <row r="17" spans="3:6" ht="13.5" thickBot="1">
      <c r="C17" s="304"/>
      <c r="D17" s="3">
        <v>351</v>
      </c>
      <c r="E17" s="9">
        <v>1126</v>
      </c>
      <c r="F17" s="10">
        <v>1112</v>
      </c>
    </row>
    <row r="18" spans="3:6" ht="13.5" thickBot="1">
      <c r="C18" s="304"/>
      <c r="D18" s="1"/>
      <c r="E18" s="11"/>
      <c r="F18" s="11"/>
    </row>
    <row r="19" spans="3:6">
      <c r="C19" s="304"/>
      <c r="D19" s="3">
        <v>499</v>
      </c>
      <c r="E19" s="5">
        <v>1342</v>
      </c>
      <c r="F19" s="6">
        <v>1325</v>
      </c>
    </row>
    <row r="20" spans="3:6">
      <c r="C20" s="304"/>
      <c r="D20" s="3">
        <v>500</v>
      </c>
      <c r="E20" s="7">
        <v>1344</v>
      </c>
      <c r="F20" s="8">
        <v>1326</v>
      </c>
    </row>
    <row r="21" spans="3:6" ht="13.5" thickBot="1">
      <c r="C21" s="305"/>
      <c r="D21" s="3">
        <v>501</v>
      </c>
      <c r="E21" s="9">
        <v>1345</v>
      </c>
      <c r="F21" s="10">
        <v>1328</v>
      </c>
    </row>
  </sheetData>
  <mergeCells count="3">
    <mergeCell ref="D4:F4"/>
    <mergeCell ref="E5:F5"/>
    <mergeCell ref="C7:C21"/>
  </mergeCells>
  <phoneticPr fontId="8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M43" sqref="M43"/>
    </sheetView>
  </sheetViews>
  <sheetFormatPr defaultRowHeight="12.75"/>
  <cols>
    <col min="1" max="1" width="10.28515625" style="64" bestFit="1" customWidth="1"/>
    <col min="2" max="2" width="7.42578125" style="64" bestFit="1" customWidth="1"/>
    <col min="3" max="3" width="6.85546875" style="64" bestFit="1" customWidth="1"/>
    <col min="4" max="5" width="7.42578125" style="64" bestFit="1" customWidth="1"/>
    <col min="6" max="6" width="6.85546875" style="64" bestFit="1" customWidth="1"/>
    <col min="7" max="7" width="14.42578125" style="64" customWidth="1"/>
    <col min="8" max="8" width="7.42578125" style="64" bestFit="1" customWidth="1"/>
    <col min="9" max="9" width="6.85546875" style="64" bestFit="1" customWidth="1"/>
    <col min="10" max="10" width="7.5703125" style="64" bestFit="1" customWidth="1"/>
    <col min="11" max="11" width="7.42578125" style="64" bestFit="1" customWidth="1"/>
    <col min="12" max="12" width="6.85546875" style="64" bestFit="1" customWidth="1"/>
    <col min="13" max="13" width="7.5703125" style="64" bestFit="1" customWidth="1"/>
    <col min="14" max="16384" width="9.140625" style="64"/>
  </cols>
  <sheetData>
    <row r="1" spans="1:13" ht="13.5" thickBot="1">
      <c r="A1" s="63"/>
      <c r="B1" s="306" t="s">
        <v>110</v>
      </c>
      <c r="C1" s="307"/>
      <c r="D1" s="308"/>
      <c r="E1" s="308"/>
      <c r="F1" s="309"/>
      <c r="G1" s="309"/>
      <c r="H1" s="306" t="s">
        <v>111</v>
      </c>
      <c r="I1" s="307"/>
      <c r="J1" s="308"/>
      <c r="K1" s="308"/>
      <c r="L1" s="309"/>
      <c r="M1" s="310"/>
    </row>
    <row r="2" spans="1:13" ht="13.5" customHeight="1" thickBot="1">
      <c r="A2" s="63"/>
      <c r="B2" s="311" t="s">
        <v>100</v>
      </c>
      <c r="C2" s="312"/>
      <c r="D2" s="313"/>
      <c r="E2" s="311" t="s">
        <v>101</v>
      </c>
      <c r="F2" s="312"/>
      <c r="G2" s="313"/>
      <c r="H2" s="311" t="s">
        <v>100</v>
      </c>
      <c r="I2" s="312"/>
      <c r="J2" s="313"/>
      <c r="K2" s="314" t="s">
        <v>101</v>
      </c>
      <c r="L2" s="312"/>
      <c r="M2" s="313"/>
    </row>
    <row r="3" spans="1:13" ht="13.5" thickBot="1">
      <c r="A3" s="63"/>
      <c r="B3" s="65" t="s">
        <v>102</v>
      </c>
      <c r="C3" s="66" t="s">
        <v>89</v>
      </c>
      <c r="D3" s="67" t="s">
        <v>90</v>
      </c>
      <c r="E3" s="65" t="s">
        <v>102</v>
      </c>
      <c r="F3" s="66" t="s">
        <v>89</v>
      </c>
      <c r="G3" s="67" t="s">
        <v>90</v>
      </c>
      <c r="H3" s="65" t="s">
        <v>102</v>
      </c>
      <c r="I3" s="66" t="s">
        <v>89</v>
      </c>
      <c r="J3" s="67" t="s">
        <v>90</v>
      </c>
      <c r="K3" s="65" t="s">
        <v>102</v>
      </c>
      <c r="L3" s="66" t="s">
        <v>89</v>
      </c>
      <c r="M3" s="67" t="s">
        <v>90</v>
      </c>
    </row>
    <row r="4" spans="1:13">
      <c r="A4" s="317" t="s">
        <v>103</v>
      </c>
      <c r="B4" s="99">
        <v>1</v>
      </c>
      <c r="C4" s="202">
        <v>8.4443999999999999</v>
      </c>
      <c r="D4" s="203">
        <v>14.082800000000001</v>
      </c>
      <c r="E4" s="99">
        <v>1</v>
      </c>
      <c r="F4" s="202">
        <v>8.4443999999999999</v>
      </c>
      <c r="G4" s="203">
        <v>13.4596</v>
      </c>
      <c r="H4" s="99">
        <v>2</v>
      </c>
      <c r="I4" s="202">
        <v>8.4108000000000001</v>
      </c>
      <c r="J4" s="203">
        <v>13.699400000000001</v>
      </c>
      <c r="K4" s="99">
        <v>2</v>
      </c>
      <c r="L4" s="202">
        <v>8.4108000000000001</v>
      </c>
      <c r="M4" s="203">
        <v>13.1046</v>
      </c>
    </row>
    <row r="5" spans="1:13">
      <c r="A5" s="318"/>
      <c r="B5" s="100">
        <v>2</v>
      </c>
      <c r="C5" s="204">
        <v>8.4108000000000001</v>
      </c>
      <c r="D5" s="205">
        <v>13.993</v>
      </c>
      <c r="E5" s="164">
        <v>2</v>
      </c>
      <c r="F5" s="213">
        <v>8.4108000000000001</v>
      </c>
      <c r="G5" s="291">
        <v>13.29</v>
      </c>
      <c r="H5" s="164">
        <v>1</v>
      </c>
      <c r="I5" s="213">
        <v>8.4443999999999999</v>
      </c>
      <c r="J5" s="205">
        <v>13.6982</v>
      </c>
      <c r="K5" s="164">
        <v>1</v>
      </c>
      <c r="L5" s="213">
        <v>8.4443999999999999</v>
      </c>
      <c r="M5" s="210">
        <v>13.1287</v>
      </c>
    </row>
    <row r="6" spans="1:13" ht="13.5" thickBot="1">
      <c r="A6" s="319"/>
      <c r="B6" s="101">
        <v>1</v>
      </c>
      <c r="C6" s="206">
        <v>8.4443999999999999</v>
      </c>
      <c r="D6" s="207">
        <v>14.151</v>
      </c>
      <c r="E6" s="165">
        <v>1</v>
      </c>
      <c r="F6" s="214">
        <v>8.4443999999999999</v>
      </c>
      <c r="G6" s="207">
        <v>13.4528</v>
      </c>
      <c r="H6" s="165">
        <v>2</v>
      </c>
      <c r="I6" s="214">
        <v>8.4108000000000001</v>
      </c>
      <c r="J6" s="207">
        <v>13.673400000000001</v>
      </c>
      <c r="K6" s="165">
        <v>2</v>
      </c>
      <c r="L6" s="214">
        <v>8.4108000000000001</v>
      </c>
      <c r="M6" s="211">
        <v>13.108599999999999</v>
      </c>
    </row>
    <row r="7" spans="1:13">
      <c r="A7" s="317" t="s">
        <v>104</v>
      </c>
      <c r="B7" s="99">
        <v>2</v>
      </c>
      <c r="C7" s="202">
        <v>8.3979999999999997</v>
      </c>
      <c r="D7" s="208">
        <v>12.676</v>
      </c>
      <c r="E7" s="166">
        <v>2</v>
      </c>
      <c r="F7" s="215">
        <v>8.3979999999999997</v>
      </c>
      <c r="G7" s="208">
        <v>12.0974</v>
      </c>
      <c r="H7" s="166">
        <v>1</v>
      </c>
      <c r="I7" s="215">
        <v>8.4418000000000006</v>
      </c>
      <c r="J7" s="208">
        <v>12.446</v>
      </c>
      <c r="K7" s="166">
        <v>1</v>
      </c>
      <c r="L7" s="215">
        <v>8.4418000000000006</v>
      </c>
      <c r="M7" s="208">
        <v>11.953799999999999</v>
      </c>
    </row>
    <row r="8" spans="1:13">
      <c r="A8" s="318"/>
      <c r="B8" s="100">
        <v>1</v>
      </c>
      <c r="C8" s="204">
        <v>8.4418000000000006</v>
      </c>
      <c r="D8" s="205">
        <v>12.787800000000001</v>
      </c>
      <c r="E8" s="164">
        <v>1</v>
      </c>
      <c r="F8" s="213">
        <v>8.4418000000000006</v>
      </c>
      <c r="G8" s="205">
        <v>12.148400000000001</v>
      </c>
      <c r="H8" s="164">
        <v>2</v>
      </c>
      <c r="I8" s="213">
        <f>8.398</f>
        <v>8.3979999999999997</v>
      </c>
      <c r="J8" s="205">
        <v>12.398400000000001</v>
      </c>
      <c r="K8" s="164">
        <v>2</v>
      </c>
      <c r="L8" s="213">
        <f>8.398</f>
        <v>8.3979999999999997</v>
      </c>
      <c r="M8" s="205">
        <v>11.993399999999999</v>
      </c>
    </row>
    <row r="9" spans="1:13" ht="13.5" thickBot="1">
      <c r="A9" s="319"/>
      <c r="B9" s="102">
        <v>2</v>
      </c>
      <c r="C9" s="209">
        <v>8.3979999999999997</v>
      </c>
      <c r="D9" s="207">
        <v>12.7034</v>
      </c>
      <c r="E9" s="167">
        <v>2</v>
      </c>
      <c r="F9" s="216">
        <v>8.3979999999999997</v>
      </c>
      <c r="G9" s="217">
        <v>12.0876</v>
      </c>
      <c r="H9" s="167">
        <v>1</v>
      </c>
      <c r="I9" s="216">
        <v>8.4418000000000006</v>
      </c>
      <c r="J9" s="217">
        <v>12.4808</v>
      </c>
      <c r="K9" s="167">
        <v>1</v>
      </c>
      <c r="L9" s="216">
        <v>8.4418000000000006</v>
      </c>
      <c r="M9" s="207">
        <v>11.950200000000001</v>
      </c>
    </row>
    <row r="10" spans="1:13">
      <c r="A10" s="317" t="s">
        <v>105</v>
      </c>
      <c r="B10" s="99">
        <v>1</v>
      </c>
      <c r="C10" s="202">
        <v>8.4404000000000003</v>
      </c>
      <c r="D10" s="208">
        <v>11.941599999999999</v>
      </c>
      <c r="E10" s="166">
        <v>1</v>
      </c>
      <c r="F10" s="215">
        <v>8.4404000000000003</v>
      </c>
      <c r="G10" s="208">
        <v>11.4162</v>
      </c>
      <c r="H10" s="166">
        <v>2</v>
      </c>
      <c r="I10" s="215">
        <v>8.4168000000000003</v>
      </c>
      <c r="J10" s="208">
        <v>11.6524</v>
      </c>
      <c r="K10" s="166">
        <v>2</v>
      </c>
      <c r="L10" s="215">
        <v>8.4168000000000003</v>
      </c>
      <c r="M10" s="203">
        <v>11.2628</v>
      </c>
    </row>
    <row r="11" spans="1:13">
      <c r="A11" s="318"/>
      <c r="B11" s="100">
        <v>2</v>
      </c>
      <c r="C11" s="204">
        <v>8.4168000000000003</v>
      </c>
      <c r="D11" s="205">
        <v>11.9406</v>
      </c>
      <c r="E11" s="164">
        <v>2</v>
      </c>
      <c r="F11" s="213">
        <v>8.4168000000000003</v>
      </c>
      <c r="G11" s="205">
        <v>11.323600000000001</v>
      </c>
      <c r="H11" s="164">
        <v>1</v>
      </c>
      <c r="I11" s="213">
        <v>8.4404000000000003</v>
      </c>
      <c r="J11" s="205">
        <v>11.6556</v>
      </c>
      <c r="K11" s="164">
        <v>1</v>
      </c>
      <c r="L11" s="213">
        <v>8.4404000000000003</v>
      </c>
      <c r="M11" s="210">
        <v>11.2332</v>
      </c>
    </row>
    <row r="12" spans="1:13" ht="13.5" thickBot="1">
      <c r="A12" s="319"/>
      <c r="B12" s="101">
        <v>1</v>
      </c>
      <c r="C12" s="206">
        <v>8.4404000000000003</v>
      </c>
      <c r="D12" s="207">
        <v>11.994199999999999</v>
      </c>
      <c r="E12" s="165">
        <v>1</v>
      </c>
      <c r="F12" s="214">
        <v>8.4404000000000003</v>
      </c>
      <c r="G12" s="207">
        <v>11.368600000000001</v>
      </c>
      <c r="H12" s="165">
        <v>2</v>
      </c>
      <c r="I12" s="214">
        <v>8.4168000000000003</v>
      </c>
      <c r="J12" s="207">
        <v>11.65</v>
      </c>
      <c r="K12" s="165">
        <v>2</v>
      </c>
      <c r="L12" s="214">
        <v>8.4168000000000003</v>
      </c>
      <c r="M12" s="211">
        <v>11.206799999999999</v>
      </c>
    </row>
    <row r="13" spans="1:13">
      <c r="A13" s="317" t="s">
        <v>106</v>
      </c>
      <c r="B13" s="99">
        <v>1</v>
      </c>
      <c r="C13" s="202">
        <v>8.4443999999999999</v>
      </c>
      <c r="D13" s="208">
        <v>11.5562</v>
      </c>
      <c r="E13" s="166">
        <v>2</v>
      </c>
      <c r="F13" s="215">
        <v>8.4168000000000003</v>
      </c>
      <c r="G13" s="208">
        <v>11.0052</v>
      </c>
      <c r="H13" s="166">
        <v>1</v>
      </c>
      <c r="I13" s="215">
        <v>8.4404000000000003</v>
      </c>
      <c r="J13" s="208">
        <v>11.3454</v>
      </c>
      <c r="K13" s="166">
        <v>2</v>
      </c>
      <c r="L13" s="215">
        <v>8.4108000000000001</v>
      </c>
      <c r="M13" s="203">
        <v>10.8306</v>
      </c>
    </row>
    <row r="14" spans="1:13">
      <c r="A14" s="318"/>
      <c r="B14" s="100">
        <v>2</v>
      </c>
      <c r="C14" s="204">
        <v>8.4108000000000001</v>
      </c>
      <c r="D14" s="210">
        <v>11.534800000000001</v>
      </c>
      <c r="E14" s="100">
        <v>1</v>
      </c>
      <c r="F14" s="204">
        <v>8.4404000000000003</v>
      </c>
      <c r="G14" s="210">
        <v>11.086</v>
      </c>
      <c r="H14" s="100">
        <v>2</v>
      </c>
      <c r="I14" s="204">
        <v>8.4168000000000003</v>
      </c>
      <c r="J14" s="210">
        <v>11.303800000000001</v>
      </c>
      <c r="K14" s="100">
        <v>1</v>
      </c>
      <c r="L14" s="204">
        <v>8.4443999999999999</v>
      </c>
      <c r="M14" s="210">
        <v>10.855600000000001</v>
      </c>
    </row>
    <row r="15" spans="1:13" ht="13.5" thickBot="1">
      <c r="A15" s="319"/>
      <c r="B15" s="101">
        <v>1</v>
      </c>
      <c r="C15" s="206">
        <v>8.4443999999999999</v>
      </c>
      <c r="D15" s="211">
        <v>11.5276</v>
      </c>
      <c r="E15" s="102">
        <v>2</v>
      </c>
      <c r="F15" s="209">
        <v>8.4168000000000003</v>
      </c>
      <c r="G15" s="212">
        <v>11.0222</v>
      </c>
      <c r="H15" s="101">
        <v>1</v>
      </c>
      <c r="I15" s="206">
        <v>8.4404000000000003</v>
      </c>
      <c r="J15" s="211">
        <v>11.3774</v>
      </c>
      <c r="K15" s="102">
        <v>2</v>
      </c>
      <c r="L15" s="209">
        <v>8.4108000000000001</v>
      </c>
      <c r="M15" s="212">
        <v>10.86</v>
      </c>
    </row>
    <row r="16" spans="1:13">
      <c r="A16" s="317" t="s">
        <v>107</v>
      </c>
      <c r="B16" s="99">
        <v>2</v>
      </c>
      <c r="C16" s="202">
        <f>3814.8*0.00220462262</f>
        <v>8.4101943707760007</v>
      </c>
      <c r="D16" s="203">
        <v>11.2372</v>
      </c>
      <c r="E16" s="99">
        <v>2</v>
      </c>
      <c r="F16" s="202">
        <f>3814.8*0.00220462262</f>
        <v>8.4101943707760007</v>
      </c>
      <c r="G16" s="203">
        <v>10.710599999999999</v>
      </c>
      <c r="H16" s="99">
        <v>1</v>
      </c>
      <c r="I16" s="202">
        <f>F17</f>
        <v>8.4443999999999999</v>
      </c>
      <c r="J16" s="203">
        <v>11.027799999999999</v>
      </c>
      <c r="K16" s="99">
        <v>1</v>
      </c>
      <c r="L16" s="202">
        <f>I17</f>
        <v>8.4101943707760007</v>
      </c>
      <c r="M16" s="203">
        <v>10.652200000000001</v>
      </c>
    </row>
    <row r="17" spans="1:13">
      <c r="A17" s="318"/>
      <c r="B17" s="100">
        <v>1</v>
      </c>
      <c r="C17" s="204">
        <v>8.4443999999999999</v>
      </c>
      <c r="D17" s="210">
        <v>11.2768</v>
      </c>
      <c r="E17" s="100">
        <v>1</v>
      </c>
      <c r="F17" s="204">
        <v>8.4443999999999999</v>
      </c>
      <c r="G17" s="210">
        <v>10.766999999999999</v>
      </c>
      <c r="H17" s="100">
        <v>2</v>
      </c>
      <c r="I17" s="204">
        <f>F16</f>
        <v>8.4101943707760007</v>
      </c>
      <c r="J17" s="210">
        <v>11.012600000000001</v>
      </c>
      <c r="K17" s="100">
        <v>2</v>
      </c>
      <c r="L17" s="204">
        <f>I16</f>
        <v>8.4443999999999999</v>
      </c>
      <c r="M17" s="210">
        <v>10.610799999999999</v>
      </c>
    </row>
    <row r="18" spans="1:13" ht="13.5" thickBot="1">
      <c r="A18" s="319"/>
      <c r="B18" s="102">
        <v>2</v>
      </c>
      <c r="C18" s="209">
        <f>C16</f>
        <v>8.4101943707760007</v>
      </c>
      <c r="D18" s="212">
        <v>11.236000000000001</v>
      </c>
      <c r="E18" s="102">
        <v>2</v>
      </c>
      <c r="F18" s="209">
        <f>F16</f>
        <v>8.4101943707760007</v>
      </c>
      <c r="G18" s="212">
        <v>10.768599999999999</v>
      </c>
      <c r="H18" s="102">
        <v>1</v>
      </c>
      <c r="I18" s="209">
        <f>F17</f>
        <v>8.4443999999999999</v>
      </c>
      <c r="J18" s="212">
        <v>11.024800000000001</v>
      </c>
      <c r="K18" s="102">
        <v>1</v>
      </c>
      <c r="L18" s="209">
        <f>I17</f>
        <v>8.4101943707760007</v>
      </c>
      <c r="M18" s="212">
        <v>10.661799999999999</v>
      </c>
    </row>
    <row r="20" spans="1:13">
      <c r="A20" s="64" t="s">
        <v>14</v>
      </c>
      <c r="B20" s="68">
        <v>18</v>
      </c>
      <c r="C20" s="69"/>
      <c r="D20" s="69"/>
    </row>
    <row r="21" spans="1:13">
      <c r="A21" s="64" t="s">
        <v>77</v>
      </c>
      <c r="B21" s="320" t="s">
        <v>114</v>
      </c>
      <c r="C21" s="320"/>
      <c r="D21" s="320"/>
    </row>
    <row r="22" spans="1:13">
      <c r="A22" s="64" t="s">
        <v>78</v>
      </c>
      <c r="B22" s="315" t="s">
        <v>585</v>
      </c>
      <c r="C22" s="316"/>
      <c r="D22" s="316"/>
    </row>
    <row r="23" spans="1:13">
      <c r="A23" s="64" t="s">
        <v>76</v>
      </c>
      <c r="B23" s="68" t="s">
        <v>108</v>
      </c>
      <c r="C23" s="68"/>
      <c r="D23" s="68"/>
    </row>
    <row r="24" spans="1:13">
      <c r="B24" s="69"/>
      <c r="C24" s="69"/>
      <c r="D24" s="69"/>
    </row>
  </sheetData>
  <mergeCells count="13">
    <mergeCell ref="B22:D22"/>
    <mergeCell ref="A4:A6"/>
    <mergeCell ref="A7:A9"/>
    <mergeCell ref="A10:A12"/>
    <mergeCell ref="A13:A15"/>
    <mergeCell ref="A16:A18"/>
    <mergeCell ref="B21:D21"/>
    <mergeCell ref="B1:G1"/>
    <mergeCell ref="H1:M1"/>
    <mergeCell ref="B2:D2"/>
    <mergeCell ref="E2:G2"/>
    <mergeCell ref="H2:J2"/>
    <mergeCell ref="K2:M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4"/>
  <sheetViews>
    <sheetView tabSelected="1" topLeftCell="A13" workbookViewId="0">
      <selection activeCell="O33" sqref="O33"/>
    </sheetView>
  </sheetViews>
  <sheetFormatPr defaultRowHeight="12.75"/>
  <cols>
    <col min="1" max="4" width="9.140625" style="64"/>
    <col min="5" max="5" width="9.42578125" style="64" customWidth="1"/>
    <col min="6" max="10" width="9.140625" style="64"/>
    <col min="12" max="12" width="5.7109375" style="64" bestFit="1" customWidth="1"/>
    <col min="13" max="13" width="3" style="64" bestFit="1" customWidth="1"/>
    <col min="14" max="14" width="4" style="64" bestFit="1" customWidth="1"/>
    <col min="15" max="16" width="9.140625" style="64"/>
    <col min="17" max="17" width="10.140625" style="64" customWidth="1"/>
    <col min="18" max="18" width="9.140625" style="64"/>
    <col min="26" max="16384" width="9.140625" style="64"/>
  </cols>
  <sheetData>
    <row r="1" spans="1:18" ht="18">
      <c r="A1" s="37" t="s">
        <v>73</v>
      </c>
    </row>
    <row r="2" spans="1:18">
      <c r="A2" s="15" t="s">
        <v>44</v>
      </c>
    </row>
    <row r="3" spans="1:18">
      <c r="A3" s="15" t="s">
        <v>40</v>
      </c>
    </row>
    <row r="4" spans="1:18" ht="13.5" thickBot="1"/>
    <row r="5" spans="1:18" ht="27" customHeight="1" thickBot="1">
      <c r="A5" s="15" t="s">
        <v>3</v>
      </c>
      <c r="F5" s="103" t="str">
        <f>"Lot "&amp;'Correlation Raw Data'!B20</f>
        <v>Lot 18</v>
      </c>
      <c r="G5" s="104"/>
      <c r="L5" s="341" t="s">
        <v>112</v>
      </c>
      <c r="M5" s="342"/>
      <c r="N5" s="342"/>
      <c r="O5" s="83" t="s">
        <v>589</v>
      </c>
      <c r="P5" s="83" t="s">
        <v>590</v>
      </c>
      <c r="Q5" s="219" t="s">
        <v>592</v>
      </c>
      <c r="R5" s="84" t="s">
        <v>9</v>
      </c>
    </row>
    <row r="6" spans="1:18" ht="13.5" thickBot="1">
      <c r="A6" s="63"/>
      <c r="B6" s="327" t="s">
        <v>110</v>
      </c>
      <c r="C6" s="328"/>
      <c r="D6" s="328"/>
      <c r="E6" s="329"/>
      <c r="F6" s="327" t="s">
        <v>111</v>
      </c>
      <c r="G6" s="328"/>
      <c r="H6" s="328"/>
      <c r="I6" s="329"/>
      <c r="L6" s="335" t="s">
        <v>41</v>
      </c>
      <c r="M6" s="338">
        <v>15</v>
      </c>
      <c r="N6" s="74">
        <v>100</v>
      </c>
      <c r="O6" s="77">
        <f>I10</f>
        <v>0.55711154383823114</v>
      </c>
      <c r="P6" s="85">
        <f t="shared" ref="P6:P25" si="0">IF(O6="","",O6*$P$30+$P$31)</f>
        <v>0.4583214794229914</v>
      </c>
      <c r="Q6" s="90">
        <f>B29</f>
        <v>0.45900000000000002</v>
      </c>
      <c r="R6" s="94">
        <f>IF(O6="","",(Q6-P6)^2)</f>
        <v>4.6039017342411517E-7</v>
      </c>
    </row>
    <row r="7" spans="1:18" ht="13.5" thickBot="1">
      <c r="A7" s="63"/>
      <c r="B7" s="330" t="s">
        <v>100</v>
      </c>
      <c r="C7" s="331"/>
      <c r="D7" s="327" t="s">
        <v>101</v>
      </c>
      <c r="E7" s="329"/>
      <c r="F7" s="327" t="s">
        <v>100</v>
      </c>
      <c r="G7" s="329"/>
      <c r="H7" s="327" t="s">
        <v>101</v>
      </c>
      <c r="I7" s="329"/>
      <c r="L7" s="336"/>
      <c r="M7" s="339"/>
      <c r="N7" s="75">
        <v>200</v>
      </c>
      <c r="O7" s="78">
        <f>I13</f>
        <v>0.41991644387046384</v>
      </c>
      <c r="P7" s="86">
        <f t="shared" si="0"/>
        <v>0.35233727331221359</v>
      </c>
      <c r="Q7" s="91">
        <f>B30</f>
        <v>0.35699999999999998</v>
      </c>
      <c r="R7" s="95">
        <f t="shared" ref="R7:R25" si="1">IF(O7="","",(Q7-P7)^2)</f>
        <v>2.1741020164995434E-5</v>
      </c>
    </row>
    <row r="8" spans="1:18" ht="13.5" customHeight="1" thickBot="1">
      <c r="A8" s="63"/>
      <c r="B8" s="323" t="s">
        <v>109</v>
      </c>
      <c r="C8" s="321" t="s">
        <v>123</v>
      </c>
      <c r="D8" s="323" t="s">
        <v>109</v>
      </c>
      <c r="E8" s="321" t="s">
        <v>123</v>
      </c>
      <c r="F8" s="323" t="s">
        <v>109</v>
      </c>
      <c r="G8" s="321" t="s">
        <v>123</v>
      </c>
      <c r="H8" s="323" t="s">
        <v>109</v>
      </c>
      <c r="I8" s="321" t="s">
        <v>123</v>
      </c>
      <c r="L8" s="336"/>
      <c r="M8" s="339"/>
      <c r="N8" s="75">
        <v>350</v>
      </c>
      <c r="O8" s="78">
        <f>I16</f>
        <v>0.3334993156110127</v>
      </c>
      <c r="P8" s="86">
        <f t="shared" si="0"/>
        <v>0.28557941727287273</v>
      </c>
      <c r="Q8" s="91">
        <f>B31</f>
        <v>0.29599999999999999</v>
      </c>
      <c r="R8" s="95">
        <f t="shared" si="1"/>
        <v>1.0858854437290298E-4</v>
      </c>
    </row>
    <row r="9" spans="1:18" ht="13.5" thickBot="1">
      <c r="A9" s="218" t="s">
        <v>588</v>
      </c>
      <c r="B9" s="324"/>
      <c r="C9" s="322"/>
      <c r="D9" s="324"/>
      <c r="E9" s="322"/>
      <c r="F9" s="324"/>
      <c r="G9" s="322"/>
      <c r="H9" s="324"/>
      <c r="I9" s="322"/>
      <c r="L9" s="336"/>
      <c r="M9" s="339"/>
      <c r="N9" s="75">
        <v>500</v>
      </c>
      <c r="O9" s="78">
        <f>I19</f>
        <v>0.28814563464474491</v>
      </c>
      <c r="P9" s="86">
        <f t="shared" si="0"/>
        <v>0.25054337099614199</v>
      </c>
      <c r="Q9" s="91">
        <f>B32</f>
        <v>0.24199999999999999</v>
      </c>
      <c r="R9" s="95">
        <f t="shared" si="1"/>
        <v>7.2989187977720292E-5</v>
      </c>
    </row>
    <row r="10" spans="1:18" ht="13.5" thickBot="1">
      <c r="A10" s="71" t="s">
        <v>103</v>
      </c>
      <c r="B10" s="128">
        <f>IF('Correlation Raw Data'!D4="","",('Correlation Raw Data'!D4-'Correlation Raw Data'!C4)/'Correlation Raw Data'!C4)</f>
        <v>0.66770877741461809</v>
      </c>
      <c r="C10" s="325">
        <f>IF(B10="","",AVERAGE(B10:B12))</f>
        <v>0.66906273697781316</v>
      </c>
      <c r="D10" s="129">
        <f>IF('Correlation Raw Data'!G4="","",('Correlation Raw Data'!G4-'Correlation Raw Data'!F4)/'Correlation Raw Data'!F4)</f>
        <v>0.59390838899152099</v>
      </c>
      <c r="E10" s="325">
        <f>IF(D10="","",AVERAGE(D10:D12))</f>
        <v>0.58904093202566066</v>
      </c>
      <c r="F10" s="129">
        <f>IF('Correlation Raw Data'!J4="","",('Correlation Raw Data'!J4-'Correlation Raw Data'!I4)/'Correlation Raw Data'!I4)</f>
        <v>0.62878679792647552</v>
      </c>
      <c r="G10" s="325">
        <f>IF(F10="","",AVERAGE(F10:F12))</f>
        <v>0.62554871103387055</v>
      </c>
      <c r="H10" s="129">
        <f>IF('Correlation Raw Data'!M4="","",('Correlation Raw Data'!M4-'Correlation Raw Data'!L4)/'Correlation Raw Data'!L4)</f>
        <v>0.55806819803110286</v>
      </c>
      <c r="I10" s="325">
        <f>IF(H10="","",AVERAGE(H10:H12))</f>
        <v>0.55711154383823114</v>
      </c>
      <c r="L10" s="336"/>
      <c r="M10" s="340"/>
      <c r="N10" s="76">
        <v>650</v>
      </c>
      <c r="O10" s="79">
        <f>I22</f>
        <v>0.26361799957168414</v>
      </c>
      <c r="P10" s="89">
        <f t="shared" si="0"/>
        <v>0.23159559566302915</v>
      </c>
      <c r="Q10" s="92">
        <f>B33</f>
        <v>0.23</v>
      </c>
      <c r="R10" s="97">
        <f t="shared" si="1"/>
        <v>2.5459255198773906E-6</v>
      </c>
    </row>
    <row r="11" spans="1:18">
      <c r="A11" s="72"/>
      <c r="B11" s="130">
        <f>IF('Correlation Raw Data'!D5="","",('Correlation Raw Data'!D5-'Correlation Raw Data'!C5)/'Correlation Raw Data'!C5)</f>
        <v>0.66369429780758071</v>
      </c>
      <c r="C11" s="326"/>
      <c r="D11" s="130">
        <f>IF('Correlation Raw Data'!G5="","",('Correlation Raw Data'!G5-'Correlation Raw Data'!F5)/'Correlation Raw Data'!F5)</f>
        <v>0.58011128549008406</v>
      </c>
      <c r="E11" s="326"/>
      <c r="F11" s="130">
        <f>IF('Correlation Raw Data'!J5="","",('Correlation Raw Data'!J5-'Correlation Raw Data'!I5)/'Correlation Raw Data'!I5)</f>
        <v>0.62216380086210976</v>
      </c>
      <c r="G11" s="326"/>
      <c r="H11" s="130">
        <f>IF('Correlation Raw Data'!M5="","",('Correlation Raw Data'!M5-'Correlation Raw Data'!L5)/'Correlation Raw Data'!L5)</f>
        <v>0.55472265643503393</v>
      </c>
      <c r="I11" s="326"/>
      <c r="L11" s="336"/>
      <c r="M11" s="338">
        <v>4</v>
      </c>
      <c r="N11" s="74">
        <v>100</v>
      </c>
      <c r="O11" s="77">
        <f>G10</f>
        <v>0.62554871103387055</v>
      </c>
      <c r="P11" s="85">
        <f t="shared" si="0"/>
        <v>0.51118968561551936</v>
      </c>
      <c r="Q11" s="90">
        <f>C29</f>
        <v>0.499</v>
      </c>
      <c r="R11" s="94">
        <f t="shared" si="1"/>
        <v>1.4858843540519967E-4</v>
      </c>
    </row>
    <row r="12" spans="1:18" ht="13.5" thickBot="1">
      <c r="A12" s="73"/>
      <c r="B12" s="131">
        <f>IF('Correlation Raw Data'!D6="","",('Correlation Raw Data'!D6-'Correlation Raw Data'!C6)/'Correlation Raw Data'!C6)</f>
        <v>0.67578513571124055</v>
      </c>
      <c r="C12" s="132">
        <f>IF(B10="","",STDEV(B10:B12))</f>
        <v>6.1580837260644472E-3</v>
      </c>
      <c r="D12" s="131">
        <f>IF('Correlation Raw Data'!G6="","",('Correlation Raw Data'!G6-'Correlation Raw Data'!F6)/'Correlation Raw Data'!F6)</f>
        <v>0.59310312159537681</v>
      </c>
      <c r="E12" s="132">
        <f>IF(D10="","",STDEV(D10:D12))</f>
        <v>7.7437751989952583E-3</v>
      </c>
      <c r="F12" s="131">
        <f>IF('Correlation Raw Data'!J6="","",('Correlation Raw Data'!J6-'Correlation Raw Data'!I6)/'Correlation Raw Data'!I6)</f>
        <v>0.62569553431302616</v>
      </c>
      <c r="G12" s="132">
        <f>IF(F10="","",STDEV(F10:F12))</f>
        <v>3.313938794716322E-3</v>
      </c>
      <c r="H12" s="131">
        <f>IF('Correlation Raw Data'!M6="","",('Correlation Raw Data'!M6-'Correlation Raw Data'!L6)/'Correlation Raw Data'!L6)</f>
        <v>0.55854377704855651</v>
      </c>
      <c r="I12" s="132">
        <f>IF(H10="","",STDEV(H10:H12))</f>
        <v>2.0824579513944869E-3</v>
      </c>
      <c r="L12" s="336"/>
      <c r="M12" s="339"/>
      <c r="N12" s="75">
        <v>200</v>
      </c>
      <c r="O12" s="78">
        <f>G13</f>
        <v>0.47637803139287821</v>
      </c>
      <c r="P12" s="86">
        <f t="shared" si="0"/>
        <v>0.39595425767042447</v>
      </c>
      <c r="Q12" s="91">
        <f>C30</f>
        <v>0.40400000000000003</v>
      </c>
      <c r="R12" s="95">
        <f t="shared" si="1"/>
        <v>6.4733969633923899E-5</v>
      </c>
    </row>
    <row r="13" spans="1:18">
      <c r="A13" s="71" t="s">
        <v>104</v>
      </c>
      <c r="B13" s="129">
        <f>IF('Correlation Raw Data'!D7="","",('Correlation Raw Data'!D7-'Correlation Raw Data'!C7)/'Correlation Raw Data'!C7)</f>
        <v>0.50940700166706365</v>
      </c>
      <c r="C13" s="325">
        <f>IF(B13="","",AVERAGE(B13:B15))</f>
        <v>0.51229859977728742</v>
      </c>
      <c r="D13" s="129">
        <f>IF('Correlation Raw Data'!G7="","",('Correlation Raw Data'!G7-'Correlation Raw Data'!F7)/'Correlation Raw Data'!F7)</f>
        <v>0.44050964515360808</v>
      </c>
      <c r="E13" s="325">
        <f>IF(D13="","",AVERAGE(D13:D15))</f>
        <v>0.43964310663388906</v>
      </c>
      <c r="F13" s="129">
        <f>IF('Correlation Raw Data'!J7="","",('Correlation Raw Data'!J7-'Correlation Raw Data'!I7)/'Correlation Raw Data'!I7)</f>
        <v>0.4743301191688975</v>
      </c>
      <c r="G13" s="325">
        <f>IF(F13="","",AVERAGE(F13:F15))</f>
        <v>0.47637803139287821</v>
      </c>
      <c r="H13" s="129">
        <f>IF('Correlation Raw Data'!M7="","",('Correlation Raw Data'!M7-'Correlation Raw Data'!L7)/'Correlation Raw Data'!L7)</f>
        <v>0.41602501836101285</v>
      </c>
      <c r="I13" s="325">
        <f>IF(H13="","",AVERAGE(H13:H15))</f>
        <v>0.41991644387046384</v>
      </c>
      <c r="L13" s="336"/>
      <c r="M13" s="339"/>
      <c r="N13" s="75">
        <v>350</v>
      </c>
      <c r="O13" s="78">
        <f>G16</f>
        <v>0.38316264520147919</v>
      </c>
      <c r="P13" s="86">
        <f t="shared" si="0"/>
        <v>0.32394469825375399</v>
      </c>
      <c r="Q13" s="91">
        <f>C31</f>
        <v>0.33100000000000002</v>
      </c>
      <c r="R13" s="95">
        <f t="shared" si="1"/>
        <v>4.9777282730582186E-5</v>
      </c>
    </row>
    <row r="14" spans="1:18">
      <c r="A14" s="72"/>
      <c r="B14" s="130">
        <f>IF('Correlation Raw Data'!D8="","",('Correlation Raw Data'!D8-'Correlation Raw Data'!C8)/'Correlation Raw Data'!C8)</f>
        <v>0.51481911440688</v>
      </c>
      <c r="C14" s="326"/>
      <c r="D14" s="130">
        <f>IF('Correlation Raw Data'!G8="","",('Correlation Raw Data'!G8-'Correlation Raw Data'!F8)/'Correlation Raw Data'!F8)</f>
        <v>0.43907697410504865</v>
      </c>
      <c r="E14" s="326"/>
      <c r="F14" s="130">
        <f>IF('Correlation Raw Data'!J8="","",('Correlation Raw Data'!J8-'Correlation Raw Data'!I8)/'Correlation Raw Data'!I8)</f>
        <v>0.47635151226482508</v>
      </c>
      <c r="G14" s="326"/>
      <c r="H14" s="130">
        <f>IF('Correlation Raw Data'!M8="","",('Correlation Raw Data'!M8-'Correlation Raw Data'!L8)/'Correlation Raw Data'!L8)</f>
        <v>0.42812574422481542</v>
      </c>
      <c r="I14" s="326"/>
      <c r="L14" s="336"/>
      <c r="M14" s="339"/>
      <c r="N14" s="75">
        <v>500</v>
      </c>
      <c r="O14" s="78">
        <f>G19</f>
        <v>0.34505058628450619</v>
      </c>
      <c r="P14" s="86">
        <f t="shared" si="0"/>
        <v>0.29450285733879739</v>
      </c>
      <c r="Q14" s="91">
        <f>C32</f>
        <v>0.28699999999999998</v>
      </c>
      <c r="R14" s="95">
        <f t="shared" si="1"/>
        <v>5.6292868246346133E-5</v>
      </c>
    </row>
    <row r="15" spans="1:18" ht="13.5" thickBot="1">
      <c r="A15" s="73"/>
      <c r="B15" s="131">
        <f>IF('Correlation Raw Data'!D9="","",('Correlation Raw Data'!D9-'Correlation Raw Data'!C9)/'Correlation Raw Data'!C9)</f>
        <v>0.51266968325791862</v>
      </c>
      <c r="C15" s="132">
        <f>IF(B13="","",STDEV(B13:B15))</f>
        <v>2.7250721622222437E-3</v>
      </c>
      <c r="D15" s="131">
        <f>IF('Correlation Raw Data'!G9="","",('Correlation Raw Data'!G9-'Correlation Raw Data'!F9)/'Correlation Raw Data'!F9)</f>
        <v>0.43934270064301029</v>
      </c>
      <c r="E15" s="132">
        <f>IF(D13="","",STDEV(D13:D15))</f>
        <v>7.6211508505078288E-4</v>
      </c>
      <c r="F15" s="131">
        <f>IF('Correlation Raw Data'!J9="","",('Correlation Raw Data'!J9-'Correlation Raw Data'!I9)/'Correlation Raw Data'!I9)</f>
        <v>0.47845246274491215</v>
      </c>
      <c r="G15" s="132">
        <f>IF(F13="","",STDEV(F13:F15))</f>
        <v>2.0612997326424523E-3</v>
      </c>
      <c r="H15" s="131">
        <f>IF('Correlation Raw Data'!M9="","",('Correlation Raw Data'!M9-'Correlation Raw Data'!L9)/'Correlation Raw Data'!L9)</f>
        <v>0.41559856902556325</v>
      </c>
      <c r="I15" s="132">
        <f>IF(H13="","",STDEV(H13:H15))</f>
        <v>7.112659417538145E-3</v>
      </c>
      <c r="L15" s="337"/>
      <c r="M15" s="340"/>
      <c r="N15" s="76">
        <v>650</v>
      </c>
      <c r="O15" s="79">
        <f>G22</f>
        <v>0.30698016975537473</v>
      </c>
      <c r="P15" s="87">
        <f t="shared" si="0"/>
        <v>0.26509318546936045</v>
      </c>
      <c r="Q15" s="92">
        <f>C33</f>
        <v>0.26400000000000001</v>
      </c>
      <c r="R15" s="96">
        <f t="shared" si="1"/>
        <v>1.1950544704207967E-6</v>
      </c>
    </row>
    <row r="16" spans="1:18">
      <c r="A16" s="71" t="s">
        <v>105</v>
      </c>
      <c r="B16" s="129">
        <f>IF('Correlation Raw Data'!D10="","",('Correlation Raw Data'!D10-'Correlation Raw Data'!C10)/'Correlation Raw Data'!C10)</f>
        <v>0.41481446376948944</v>
      </c>
      <c r="C16" s="325">
        <f>IF(B16="","",AVERAGE(B16:B18))</f>
        <v>0.41817451144186507</v>
      </c>
      <c r="D16" s="129">
        <f>IF('Correlation Raw Data'!G10="","",('Correlation Raw Data'!G10-'Correlation Raw Data'!F10)/'Correlation Raw Data'!F10)</f>
        <v>0.35256622908866869</v>
      </c>
      <c r="E16" s="325">
        <f>IF(D16="","",AVERAGE(D16:D18))</f>
        <v>0.34828327342162285</v>
      </c>
      <c r="F16" s="129">
        <f>IF('Correlation Raw Data'!J10="","",('Correlation Raw Data'!J10-'Correlation Raw Data'!I10)/'Correlation Raw Data'!I10)</f>
        <v>0.38442163292462689</v>
      </c>
      <c r="G16" s="325">
        <f>IF(F16="","",AVERAGE(F16:F18))</f>
        <v>0.38316264520147919</v>
      </c>
      <c r="H16" s="129">
        <f>IF('Correlation Raw Data'!M10="","",('Correlation Raw Data'!M10-'Correlation Raw Data'!L10)/'Correlation Raw Data'!L10)</f>
        <v>0.33813325729493393</v>
      </c>
      <c r="I16" s="325">
        <f>IF(H16="","",AVERAGE(H16:H18))</f>
        <v>0.3334993156110127</v>
      </c>
      <c r="L16" s="335" t="s">
        <v>42</v>
      </c>
      <c r="M16" s="338">
        <v>15</v>
      </c>
      <c r="N16" s="74">
        <v>100</v>
      </c>
      <c r="O16" s="77">
        <f>E10</f>
        <v>0.58904093202566066</v>
      </c>
      <c r="P16" s="85">
        <f t="shared" si="0"/>
        <v>0.4829871625227713</v>
      </c>
      <c r="Q16" s="90">
        <f>D29</f>
        <v>0.497</v>
      </c>
      <c r="R16" s="94">
        <f t="shared" si="1"/>
        <v>1.9635961416322522E-4</v>
      </c>
    </row>
    <row r="17" spans="1:18">
      <c r="A17" s="72"/>
      <c r="B17" s="130">
        <f>IF('Correlation Raw Data'!D11="","",('Correlation Raw Data'!D11-'Correlation Raw Data'!C11)/'Correlation Raw Data'!C11)</f>
        <v>0.41866267465069856</v>
      </c>
      <c r="C17" s="326"/>
      <c r="D17" s="130">
        <f>IF('Correlation Raw Data'!G11="","",('Correlation Raw Data'!G11-'Correlation Raw Data'!F11)/'Correlation Raw Data'!F11)</f>
        <v>0.3453569052371448</v>
      </c>
      <c r="E17" s="326"/>
      <c r="F17" s="130">
        <f>IF('Correlation Raw Data'!J11="","",('Correlation Raw Data'!J11-'Correlation Raw Data'!I11)/'Correlation Raw Data'!I11)</f>
        <v>0.38092981375290264</v>
      </c>
      <c r="G17" s="326"/>
      <c r="H17" s="130">
        <f>IF('Correlation Raw Data'!M11="","",('Correlation Raw Data'!M11-'Correlation Raw Data'!L11)/'Correlation Raw Data'!L11)</f>
        <v>0.33088479218994354</v>
      </c>
      <c r="I17" s="326"/>
      <c r="L17" s="336"/>
      <c r="M17" s="339"/>
      <c r="N17" s="75">
        <v>200</v>
      </c>
      <c r="O17" s="78">
        <f>E13</f>
        <v>0.43964310663388906</v>
      </c>
      <c r="P17" s="86">
        <f t="shared" si="0"/>
        <v>0.36757626284382122</v>
      </c>
      <c r="Q17" s="91">
        <f>D30</f>
        <v>0.379</v>
      </c>
      <c r="R17" s="95">
        <f t="shared" si="1"/>
        <v>1.3050177061345967E-4</v>
      </c>
    </row>
    <row r="18" spans="1:18" ht="13.5" customHeight="1" thickBot="1">
      <c r="A18" s="73"/>
      <c r="B18" s="131">
        <f>IF('Correlation Raw Data'!D12="","",('Correlation Raw Data'!D12-'Correlation Raw Data'!C12)/'Correlation Raw Data'!C12)</f>
        <v>0.42104639590540721</v>
      </c>
      <c r="C18" s="132">
        <f>IF(B16="","",STDEV(B16:B18))</f>
        <v>3.1445145929881011E-3</v>
      </c>
      <c r="D18" s="131">
        <f>IF('Correlation Raw Data'!G12="","",('Correlation Raw Data'!G12-'Correlation Raw Data'!F12)/'Correlation Raw Data'!F12)</f>
        <v>0.34692668593905507</v>
      </c>
      <c r="E18" s="132">
        <f>IF(D16="","",STDEV(D16:D18))</f>
        <v>3.7912840565476674E-3</v>
      </c>
      <c r="F18" s="131">
        <f>IF('Correlation Raw Data'!J12="","",('Correlation Raw Data'!J12-'Correlation Raw Data'!I12)/'Correlation Raw Data'!I12)</f>
        <v>0.3841364889269081</v>
      </c>
      <c r="G18" s="132">
        <f>IF(F16="","",STDEV(F16:F18))</f>
        <v>1.9389375913559425E-3</v>
      </c>
      <c r="H18" s="131">
        <f>IF('Correlation Raw Data'!M12="","",('Correlation Raw Data'!M12-'Correlation Raw Data'!L12)/'Correlation Raw Data'!L12)</f>
        <v>0.33147989734816069</v>
      </c>
      <c r="I18" s="132">
        <f>IF(H16="","",STDEV(H16:H18))</f>
        <v>4.0241271332825783E-3</v>
      </c>
      <c r="L18" s="336"/>
      <c r="M18" s="339"/>
      <c r="N18" s="75">
        <v>350</v>
      </c>
      <c r="O18" s="78">
        <f>E16</f>
        <v>0.34828327342162285</v>
      </c>
      <c r="P18" s="86">
        <f t="shared" si="0"/>
        <v>0.29700013151194443</v>
      </c>
      <c r="Q18" s="91">
        <f>D31</f>
        <v>0.307</v>
      </c>
      <c r="R18" s="95">
        <f t="shared" si="1"/>
        <v>9.9997369778406651E-5</v>
      </c>
    </row>
    <row r="19" spans="1:18">
      <c r="A19" s="71" t="s">
        <v>106</v>
      </c>
      <c r="B19" s="129">
        <f>IF('Correlation Raw Data'!D13="","",('Correlation Raw Data'!D13-'Correlation Raw Data'!C13)/'Correlation Raw Data'!C13)</f>
        <v>0.36850457107668994</v>
      </c>
      <c r="C19" s="325">
        <f>IF(B19="","",AVERAGE(B19:B21))</f>
        <v>0.3683498316179723</v>
      </c>
      <c r="D19" s="129">
        <f>IF('Correlation Raw Data'!G13="","",('Correlation Raw Data'!G13-'Correlation Raw Data'!F13)/'Correlation Raw Data'!F13)</f>
        <v>0.3075278015397776</v>
      </c>
      <c r="E19" s="325">
        <f>IF(D19="","",AVERAGE(D19:D21))</f>
        <v>0.31017341116551722</v>
      </c>
      <c r="F19" s="129">
        <f>IF('Correlation Raw Data'!J13="","",('Correlation Raw Data'!J13-'Correlation Raw Data'!I13)/'Correlation Raw Data'!I13)</f>
        <v>0.34417800104260454</v>
      </c>
      <c r="G19" s="325">
        <f>IF(F19="","",AVERAGE(F19:F21))</f>
        <v>0.34505058628450619</v>
      </c>
      <c r="H19" s="129">
        <f>IF('Correlation Raw Data'!M13="","",('Correlation Raw Data'!M13-'Correlation Raw Data'!L13)/'Correlation Raw Data'!L13)</f>
        <v>0.28770152660864606</v>
      </c>
      <c r="I19" s="325">
        <f>IF(H19="","",AVERAGE(H19:H21))</f>
        <v>0.28814563464474491</v>
      </c>
      <c r="L19" s="336"/>
      <c r="M19" s="339"/>
      <c r="N19" s="75">
        <v>500</v>
      </c>
      <c r="O19" s="80">
        <f>E19</f>
        <v>0.31017341116551722</v>
      </c>
      <c r="P19" s="86">
        <f t="shared" si="0"/>
        <v>0.26755998753338117</v>
      </c>
      <c r="Q19" s="91">
        <f>D32</f>
        <v>0.255</v>
      </c>
      <c r="R19" s="95">
        <f t="shared" si="1"/>
        <v>1.5775328683869034E-4</v>
      </c>
    </row>
    <row r="20" spans="1:18" ht="13.5" thickBot="1">
      <c r="A20" s="72"/>
      <c r="B20" s="130">
        <f>IF('Correlation Raw Data'!D14="","",('Correlation Raw Data'!D14-'Correlation Raw Data'!C14)/'Correlation Raw Data'!C14)</f>
        <v>0.37142721263137879</v>
      </c>
      <c r="C20" s="326"/>
      <c r="D20" s="130">
        <f>IF('Correlation Raw Data'!G14="","",('Correlation Raw Data'!G14-'Correlation Raw Data'!F14)/'Correlation Raw Data'!F14)</f>
        <v>0.31344486043315478</v>
      </c>
      <c r="E20" s="326"/>
      <c r="F20" s="130">
        <f>IF('Correlation Raw Data'!J14="","",('Correlation Raw Data'!J14-'Correlation Raw Data'!I14)/'Correlation Raw Data'!I14)</f>
        <v>0.34300446725596428</v>
      </c>
      <c r="G20" s="326"/>
      <c r="H20" s="130">
        <f>IF('Correlation Raw Data'!M14="","",('Correlation Raw Data'!M14-'Correlation Raw Data'!L14)/'Correlation Raw Data'!L14)</f>
        <v>0.28553834493865771</v>
      </c>
      <c r="I20" s="326"/>
      <c r="L20" s="336"/>
      <c r="M20" s="340"/>
      <c r="N20" s="76">
        <v>650</v>
      </c>
      <c r="O20" s="79">
        <f>E22</f>
        <v>0.27633143077206518</v>
      </c>
      <c r="P20" s="87">
        <f t="shared" si="0"/>
        <v>0.24141681313386407</v>
      </c>
      <c r="Q20" s="92">
        <f>D33</f>
        <v>0.24099999999999999</v>
      </c>
      <c r="R20" s="96">
        <f t="shared" si="1"/>
        <v>1.7373318856159098E-7</v>
      </c>
    </row>
    <row r="21" spans="1:18" ht="13.5" thickBot="1">
      <c r="A21" s="73"/>
      <c r="B21" s="131">
        <f>IF('Correlation Raw Data'!D15="","",('Correlation Raw Data'!D15-'Correlation Raw Data'!C15)/'Correlation Raw Data'!C15)</f>
        <v>0.36511771114584812</v>
      </c>
      <c r="C21" s="132">
        <f>IF(B19="","",STDEV(B19:B21))</f>
        <v>3.1575956793170332E-3</v>
      </c>
      <c r="D21" s="131">
        <f>IF('Correlation Raw Data'!G15="","",('Correlation Raw Data'!G15-'Correlation Raw Data'!F15)/'Correlation Raw Data'!F15)</f>
        <v>0.30954757152361934</v>
      </c>
      <c r="E21" s="132">
        <f>IF(D19="","",STDEV(D19:D21))</f>
        <v>3.0077654379874219E-3</v>
      </c>
      <c r="F21" s="131">
        <f>IF('Correlation Raw Data'!J15="","",('Correlation Raw Data'!J15-'Correlation Raw Data'!I15)/'Correlation Raw Data'!I15)</f>
        <v>0.34796929055494991</v>
      </c>
      <c r="G21" s="132">
        <f>IF(F19="","",STDEV(F19:F21))</f>
        <v>2.594883687340553E-3</v>
      </c>
      <c r="H21" s="131">
        <f>IF('Correlation Raw Data'!M15="","",('Correlation Raw Data'!M15-'Correlation Raw Data'!L15)/'Correlation Raw Data'!L15)</f>
        <v>0.29119703238693101</v>
      </c>
      <c r="I21" s="132">
        <f>IF(H19="","",STDEV(H19:H21))</f>
        <v>2.8553651027683215E-3</v>
      </c>
      <c r="L21" s="336"/>
      <c r="M21" s="338">
        <v>4</v>
      </c>
      <c r="N21" s="81">
        <v>100</v>
      </c>
      <c r="O21" s="82">
        <f>C10</f>
        <v>0.66906273697781316</v>
      </c>
      <c r="P21" s="88">
        <f t="shared" si="0"/>
        <v>0.54480458509397045</v>
      </c>
      <c r="Q21" s="93">
        <f>E29</f>
        <v>0.52800000000000002</v>
      </c>
      <c r="R21" s="98">
        <f t="shared" si="1"/>
        <v>2.8239408018049299E-4</v>
      </c>
    </row>
    <row r="22" spans="1:18">
      <c r="A22" s="71" t="s">
        <v>107</v>
      </c>
      <c r="B22" s="129">
        <f>IF('Correlation Raw Data'!D16="","",('Correlation Raw Data'!D16-'Correlation Raw Data'!C16)/'Correlation Raw Data'!C16)</f>
        <v>0.33614034403858301</v>
      </c>
      <c r="C22" s="325">
        <f>IF(B22="","",AVERAGE(B22:B24))</f>
        <v>0.33585185297568126</v>
      </c>
      <c r="D22" s="129">
        <f>IF('Correlation Raw Data'!G16="","",('Correlation Raw Data'!G16-'Correlation Raw Data'!F16)/'Correlation Raw Data'!F16)</f>
        <v>0.27352585776346838</v>
      </c>
      <c r="E22" s="325">
        <f>IF(D22="","",AVERAGE(D22:D24))</f>
        <v>0.27633143077206518</v>
      </c>
      <c r="F22" s="129">
        <f>IF('Correlation Raw Data'!J16="","",('Correlation Raw Data'!J16-'Correlation Raw Data'!I16)/'Correlation Raw Data'!I16)</f>
        <v>0.30593055752925008</v>
      </c>
      <c r="G22" s="325">
        <f>IF(F22="","",AVERAGE(F22:F24))</f>
        <v>0.30698016975537473</v>
      </c>
      <c r="H22" s="129">
        <f>IF('Correlation Raw Data'!M16="","",('Correlation Raw Data'!M16-'Correlation Raw Data'!L16)/'Correlation Raw Data'!L16)</f>
        <v>0.26658190410135935</v>
      </c>
      <c r="I22" s="325">
        <f>IF(H22="","",AVERAGE(H22:H24))</f>
        <v>0.26361799957168414</v>
      </c>
      <c r="L22" s="336"/>
      <c r="M22" s="339"/>
      <c r="N22" s="75">
        <v>200</v>
      </c>
      <c r="O22" s="78">
        <f>C13</f>
        <v>0.51229859977728742</v>
      </c>
      <c r="P22" s="86">
        <f t="shared" si="0"/>
        <v>0.42370315631304317</v>
      </c>
      <c r="Q22" s="91">
        <f>E30</f>
        <v>0.43099999999999999</v>
      </c>
      <c r="R22" s="95">
        <f t="shared" si="1"/>
        <v>5.324392779188163E-5</v>
      </c>
    </row>
    <row r="23" spans="1:18">
      <c r="A23" s="72"/>
      <c r="B23" s="130">
        <f>IF('Correlation Raw Data'!D17="","",('Correlation Raw Data'!D17-'Correlation Raw Data'!C17)/'Correlation Raw Data'!C17)</f>
        <v>0.33541755482923591</v>
      </c>
      <c r="C23" s="326"/>
      <c r="D23" s="130">
        <f>IF('Correlation Raw Data'!G17="","",('Correlation Raw Data'!G17-'Correlation Raw Data'!F17)/'Correlation Raw Data'!F17)</f>
        <v>0.27504618445360235</v>
      </c>
      <c r="E23" s="334"/>
      <c r="F23" s="130">
        <f>IF('Correlation Raw Data'!J17="","",('Correlation Raw Data'!J17-'Correlation Raw Data'!I17)/'Correlation Raw Data'!I17)</f>
        <v>0.30943465923533447</v>
      </c>
      <c r="G23" s="334"/>
      <c r="H23" s="130">
        <f>IF('Correlation Raw Data'!M17="","",('Correlation Raw Data'!M17-'Correlation Raw Data'!L17)/'Correlation Raw Data'!L17)</f>
        <v>0.25654871867746665</v>
      </c>
      <c r="I23" s="334"/>
      <c r="L23" s="336"/>
      <c r="M23" s="339"/>
      <c r="N23" s="75">
        <v>350</v>
      </c>
      <c r="O23" s="78">
        <f>C16</f>
        <v>0.41817451144186507</v>
      </c>
      <c r="P23" s="86">
        <f t="shared" si="0"/>
        <v>0.35099161792374101</v>
      </c>
      <c r="Q23" s="91">
        <f>E31</f>
        <v>0.35799999999999998</v>
      </c>
      <c r="R23" s="95">
        <f t="shared" si="1"/>
        <v>4.9117419326828114E-5</v>
      </c>
    </row>
    <row r="24" spans="1:18" ht="13.5" thickBot="1">
      <c r="A24" s="73"/>
      <c r="B24" s="131">
        <f>IF('Correlation Raw Data'!D18="","",('Correlation Raw Data'!D18-'Correlation Raw Data'!C18)/'Correlation Raw Data'!C18)</f>
        <v>0.33599766005922471</v>
      </c>
      <c r="C24" s="132">
        <f>IF(B22="","",STDEV(B22:B24))</f>
        <v>3.8281959131651936E-4</v>
      </c>
      <c r="D24" s="131">
        <f>IF('Correlation Raw Data'!G18="","",('Correlation Raw Data'!G18-'Correlation Raw Data'!F18)/'Correlation Raw Data'!F18)</f>
        <v>0.28042225009912475</v>
      </c>
      <c r="E24" s="132">
        <f>IF(D22="","",STDEV(D22:D24))</f>
        <v>3.6233893506172673E-3</v>
      </c>
      <c r="F24" s="131">
        <f>IF('Correlation Raw Data'!J18="","",('Correlation Raw Data'!J18-'Correlation Raw Data'!I18)/'Correlation Raw Data'!I18)</f>
        <v>0.30557529250153959</v>
      </c>
      <c r="G24" s="132">
        <f>IF(F22="","",STDEV(F22:F24))</f>
        <v>2.1330593675290403E-3</v>
      </c>
      <c r="H24" s="131">
        <f>IF('Correlation Raw Data'!M18="","",('Correlation Raw Data'!M18-'Correlation Raw Data'!L18)/'Correlation Raw Data'!L18)</f>
        <v>0.26772337593622647</v>
      </c>
      <c r="I24" s="132">
        <f>IF(H22="","",STDEV(H22:H24))</f>
        <v>6.148722530612374E-3</v>
      </c>
      <c r="L24" s="336"/>
      <c r="M24" s="339"/>
      <c r="N24" s="75">
        <v>500</v>
      </c>
      <c r="O24" s="78">
        <f>C19</f>
        <v>0.3683498316179723</v>
      </c>
      <c r="P24" s="86">
        <f t="shared" si="0"/>
        <v>0.31250169272160483</v>
      </c>
      <c r="Q24" s="91">
        <f>E32</f>
        <v>0.3</v>
      </c>
      <c r="R24" s="95">
        <f t="shared" si="1"/>
        <v>1.5629232090542744E-4</v>
      </c>
    </row>
    <row r="25" spans="1:18" ht="13.5" thickBot="1">
      <c r="L25" s="337"/>
      <c r="M25" s="340"/>
      <c r="N25" s="76">
        <v>650</v>
      </c>
      <c r="O25" s="79">
        <f>C22</f>
        <v>0.33585185297568126</v>
      </c>
      <c r="P25" s="87">
        <f t="shared" si="0"/>
        <v>0.28739676938675224</v>
      </c>
      <c r="Q25" s="92">
        <f>E33</f>
        <v>0.28000000000000003</v>
      </c>
      <c r="R25" s="96">
        <f t="shared" si="1"/>
        <v>5.471219736079468E-5</v>
      </c>
    </row>
    <row r="26" spans="1:18" ht="14.25">
      <c r="A26" s="15" t="s">
        <v>13</v>
      </c>
      <c r="B26" s="15"/>
      <c r="C26" s="15"/>
      <c r="D26" s="15"/>
      <c r="E26" s="15"/>
      <c r="G26" s="15" t="s">
        <v>597</v>
      </c>
      <c r="H26" s="15"/>
      <c r="I26" s="15"/>
      <c r="J26" s="15"/>
      <c r="K26" s="15"/>
      <c r="N26" s="15"/>
      <c r="O26" s="15"/>
      <c r="P26" s="27"/>
      <c r="Q26" s="28" t="s">
        <v>43</v>
      </c>
      <c r="R26" s="20">
        <f>SQRT(SUM(R6:R25)/(COUNT(R6:R25)-2))</f>
        <v>9.7395482408441907E-3</v>
      </c>
    </row>
    <row r="27" spans="1:18" ht="13.5" customHeight="1">
      <c r="A27" s="19"/>
      <c r="B27" s="332" t="s">
        <v>4</v>
      </c>
      <c r="C27" s="333"/>
      <c r="D27" s="332" t="s">
        <v>5</v>
      </c>
      <c r="E27" s="333"/>
      <c r="G27" s="19"/>
      <c r="H27" s="332" t="s">
        <v>4</v>
      </c>
      <c r="I27" s="333"/>
      <c r="J27" s="332" t="s">
        <v>5</v>
      </c>
      <c r="K27" s="333"/>
    </row>
    <row r="28" spans="1:18" ht="26.25" thickBot="1">
      <c r="A28" s="17" t="s">
        <v>2</v>
      </c>
      <c r="B28" s="19" t="s">
        <v>0</v>
      </c>
      <c r="C28" s="19" t="s">
        <v>1</v>
      </c>
      <c r="D28" s="19" t="s">
        <v>0</v>
      </c>
      <c r="E28" s="19" t="s">
        <v>1</v>
      </c>
      <c r="G28" s="17" t="s">
        <v>2</v>
      </c>
      <c r="H28" s="19" t="s">
        <v>0</v>
      </c>
      <c r="I28" s="19" t="s">
        <v>1</v>
      </c>
      <c r="J28" s="19" t="s">
        <v>0</v>
      </c>
      <c r="K28" s="19" t="s">
        <v>1</v>
      </c>
      <c r="O28" s="64" t="s">
        <v>591</v>
      </c>
    </row>
    <row r="29" spans="1:18" ht="15">
      <c r="A29" s="17">
        <v>100</v>
      </c>
      <c r="B29" s="18">
        <v>0.45900000000000002</v>
      </c>
      <c r="C29" s="18">
        <v>0.499</v>
      </c>
      <c r="D29" s="18">
        <v>0.497</v>
      </c>
      <c r="E29" s="18">
        <v>0.52800000000000002</v>
      </c>
      <c r="G29" s="17">
        <v>100</v>
      </c>
      <c r="H29" s="18">
        <f>I10</f>
        <v>0.55711154383823114</v>
      </c>
      <c r="I29" s="18">
        <f>G10</f>
        <v>0.62554871103387055</v>
      </c>
      <c r="J29" s="18">
        <f>E10</f>
        <v>0.58904093202566066</v>
      </c>
      <c r="K29" s="18">
        <f>C10</f>
        <v>0.66906273697781316</v>
      </c>
      <c r="O29" s="21" t="s">
        <v>6</v>
      </c>
      <c r="P29" s="22"/>
    </row>
    <row r="30" spans="1:18" ht="15">
      <c r="A30" s="17">
        <v>200</v>
      </c>
      <c r="B30" s="18">
        <v>0.35699999999999998</v>
      </c>
      <c r="C30" s="18">
        <v>0.40400000000000003</v>
      </c>
      <c r="D30" s="18">
        <v>0.379</v>
      </c>
      <c r="E30" s="18">
        <v>0.43099999999999999</v>
      </c>
      <c r="G30" s="17">
        <v>200</v>
      </c>
      <c r="H30" s="18">
        <f>I13</f>
        <v>0.41991644387046384</v>
      </c>
      <c r="I30" s="18">
        <f>G13</f>
        <v>0.47637803139287821</v>
      </c>
      <c r="J30" s="18">
        <f>E13</f>
        <v>0.43964310663388906</v>
      </c>
      <c r="K30" s="18">
        <f>C13</f>
        <v>0.51229859977728742</v>
      </c>
      <c r="O30" s="23" t="s">
        <v>7</v>
      </c>
      <c r="P30" s="24">
        <f>IF(O6="","",SLOPE(Q6:Q25,O6:O25))</f>
        <v>0.77250722610120781</v>
      </c>
    </row>
    <row r="31" spans="1:18" ht="15.75" thickBot="1">
      <c r="A31" s="17">
        <v>350</v>
      </c>
      <c r="B31" s="18">
        <v>0.29599999999999999</v>
      </c>
      <c r="C31" s="18">
        <v>0.33100000000000002</v>
      </c>
      <c r="D31" s="18">
        <v>0.307</v>
      </c>
      <c r="E31" s="18">
        <v>0.35799999999999998</v>
      </c>
      <c r="G31" s="17">
        <v>350</v>
      </c>
      <c r="H31" s="18">
        <f>I16</f>
        <v>0.3334993156110127</v>
      </c>
      <c r="I31" s="18">
        <f>G16</f>
        <v>0.38316264520147919</v>
      </c>
      <c r="J31" s="18">
        <f>E16</f>
        <v>0.34828327342162285</v>
      </c>
      <c r="K31" s="18">
        <f>C16</f>
        <v>0.41817451144186507</v>
      </c>
      <c r="O31" s="25" t="s">
        <v>8</v>
      </c>
      <c r="P31" s="26">
        <f>IF(O6="","",INTERCEPT(Q6:Q25,O6:O25))</f>
        <v>2.7948786063558051E-2</v>
      </c>
    </row>
    <row r="32" spans="1:18">
      <c r="A32" s="17">
        <v>500</v>
      </c>
      <c r="B32" s="18">
        <v>0.24199999999999999</v>
      </c>
      <c r="C32" s="18">
        <v>0.28699999999999998</v>
      </c>
      <c r="D32" s="18">
        <v>0.255</v>
      </c>
      <c r="E32" s="18">
        <v>0.3</v>
      </c>
      <c r="G32" s="17">
        <v>500</v>
      </c>
      <c r="H32" s="18">
        <f>I19</f>
        <v>0.28814563464474491</v>
      </c>
      <c r="I32" s="18">
        <f>G19</f>
        <v>0.34505058628450619</v>
      </c>
      <c r="J32" s="18">
        <f>E19</f>
        <v>0.31017341116551722</v>
      </c>
      <c r="K32" s="18">
        <f>C19</f>
        <v>0.3683498316179723</v>
      </c>
    </row>
    <row r="33" spans="1:11">
      <c r="A33" s="31">
        <v>650</v>
      </c>
      <c r="B33" s="32">
        <v>0.23</v>
      </c>
      <c r="C33" s="32">
        <v>0.26400000000000001</v>
      </c>
      <c r="D33" s="32">
        <v>0.24099999999999999</v>
      </c>
      <c r="E33" s="32">
        <v>0.28000000000000003</v>
      </c>
      <c r="G33" s="31">
        <v>650</v>
      </c>
      <c r="H33" s="32">
        <f>I22</f>
        <v>0.26361799957168414</v>
      </c>
      <c r="I33" s="32">
        <f>G22</f>
        <v>0.30698016975537473</v>
      </c>
      <c r="J33" s="32">
        <f>E22</f>
        <v>0.27633143077206518</v>
      </c>
      <c r="K33" s="32">
        <f>C22</f>
        <v>0.33585185297568126</v>
      </c>
    </row>
    <row r="34" spans="1:11">
      <c r="A34" s="16" t="s">
        <v>57</v>
      </c>
      <c r="B34" s="16"/>
      <c r="D34" s="16"/>
      <c r="E34" s="16"/>
      <c r="G34" s="16" t="s">
        <v>57</v>
      </c>
      <c r="H34" s="16"/>
      <c r="J34" s="16"/>
      <c r="K34" s="16"/>
    </row>
  </sheetData>
  <mergeCells count="45">
    <mergeCell ref="L5:N5"/>
    <mergeCell ref="L6:L15"/>
    <mergeCell ref="M6:M10"/>
    <mergeCell ref="M11:M15"/>
    <mergeCell ref="B27:C27"/>
    <mergeCell ref="D27:E27"/>
    <mergeCell ref="L16:L25"/>
    <mergeCell ref="M16:M20"/>
    <mergeCell ref="M21:M25"/>
    <mergeCell ref="I22:I23"/>
    <mergeCell ref="G16:G17"/>
    <mergeCell ref="E16:E17"/>
    <mergeCell ref="I16:I17"/>
    <mergeCell ref="C19:C20"/>
    <mergeCell ref="E19:E20"/>
    <mergeCell ref="G19:G20"/>
    <mergeCell ref="I19:I20"/>
    <mergeCell ref="J27:K27"/>
    <mergeCell ref="B8:B9"/>
    <mergeCell ref="C8:C9"/>
    <mergeCell ref="D8:D9"/>
    <mergeCell ref="F8:F9"/>
    <mergeCell ref="H27:I27"/>
    <mergeCell ref="C16:C17"/>
    <mergeCell ref="C10:C11"/>
    <mergeCell ref="E10:E11"/>
    <mergeCell ref="G10:G11"/>
    <mergeCell ref="I10:I11"/>
    <mergeCell ref="C13:C14"/>
    <mergeCell ref="E13:E14"/>
    <mergeCell ref="G8:G9"/>
    <mergeCell ref="C22:C23"/>
    <mergeCell ref="E22:E23"/>
    <mergeCell ref="G22:G23"/>
    <mergeCell ref="B6:E6"/>
    <mergeCell ref="F6:I6"/>
    <mergeCell ref="B7:C7"/>
    <mergeCell ref="D7:E7"/>
    <mergeCell ref="F7:G7"/>
    <mergeCell ref="H7:I7"/>
    <mergeCell ref="I8:I9"/>
    <mergeCell ref="H8:H9"/>
    <mergeCell ref="E8:E9"/>
    <mergeCell ref="G13:G14"/>
    <mergeCell ref="I13:I14"/>
  </mergeCells>
  <pageMargins left="0.7" right="0.7" top="0.75" bottom="0.75" header="0.3" footer="0.3"/>
  <ignoredErrors>
    <ignoredError sqref="D11:H24 D10 F10:H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V65"/>
  <sheetViews>
    <sheetView topLeftCell="A4" workbookViewId="0">
      <selection activeCell="E28" sqref="E28"/>
    </sheetView>
  </sheetViews>
  <sheetFormatPr defaultRowHeight="12.75"/>
  <cols>
    <col min="1" max="1" width="7.42578125" customWidth="1"/>
    <col min="2" max="2" width="11.28515625" bestFit="1" customWidth="1"/>
    <col min="3" max="3" width="10.140625" bestFit="1" customWidth="1"/>
    <col min="4" max="4" width="11.28515625" customWidth="1"/>
    <col min="5" max="5" width="16.28515625" customWidth="1"/>
    <col min="7" max="7" width="16.140625" customWidth="1"/>
    <col min="8" max="8" width="12.5703125" bestFit="1" customWidth="1"/>
    <col min="9" max="9" width="7" customWidth="1"/>
    <col min="10" max="10" width="16.42578125" bestFit="1" customWidth="1"/>
    <col min="11" max="11" width="12" bestFit="1" customWidth="1"/>
    <col min="12" max="12" width="19.5703125" bestFit="1" customWidth="1"/>
    <col min="13" max="13" width="15.42578125" customWidth="1"/>
    <col min="14" max="14" width="6.28515625" bestFit="1" customWidth="1"/>
    <col min="15" max="15" width="21.140625" customWidth="1"/>
    <col min="16" max="16" width="12.42578125" bestFit="1" customWidth="1"/>
    <col min="17" max="17" width="6.85546875" customWidth="1"/>
    <col min="20" max="20" width="12.42578125" bestFit="1" customWidth="1"/>
  </cols>
  <sheetData>
    <row r="1" spans="1:21" ht="18">
      <c r="A1" s="37" t="s">
        <v>73</v>
      </c>
      <c r="J1" s="112" t="str">
        <f>"Final conclusions on the acceptance of energy cloth" &amp;'Correlation Raw Data'!B20</f>
        <v>Final conclusions on the acceptance of energy cloth18</v>
      </c>
      <c r="K1" s="112"/>
      <c r="L1" s="113"/>
      <c r="M1" s="114"/>
      <c r="N1" s="114"/>
      <c r="O1" s="114"/>
    </row>
    <row r="2" spans="1:21" ht="18">
      <c r="A2" s="105" t="str">
        <f>"Statistical Test for Lot x Spin Speed Interaction - - - Lot #" &amp;'Correlation Raw Data'!B20</f>
        <v>Statistical Test for Lot x Spin Speed Interaction - - - Lot #18</v>
      </c>
      <c r="J2" s="115" t="str">
        <f>IF(O9=TRUE,"This lot is acceptable","Do not accept the lot, investigate the reasons")</f>
        <v>This lot is acceptable</v>
      </c>
      <c r="K2" s="114"/>
      <c r="L2" s="114"/>
      <c r="M2" s="114"/>
      <c r="N2" s="114"/>
      <c r="O2" s="114"/>
    </row>
    <row r="3" spans="1:21" ht="18">
      <c r="A3" s="105"/>
    </row>
    <row r="4" spans="1:21" ht="15">
      <c r="D4" s="236"/>
      <c r="E4" s="236"/>
      <c r="G4" s="345" t="s">
        <v>79</v>
      </c>
      <c r="H4" s="345"/>
      <c r="K4" s="47" t="s">
        <v>80</v>
      </c>
    </row>
    <row r="5" spans="1:21" ht="32.25" thickBot="1">
      <c r="B5" s="12" t="s">
        <v>15</v>
      </c>
      <c r="C5" s="12" t="s">
        <v>59</v>
      </c>
      <c r="D5" s="238" t="s">
        <v>594</v>
      </c>
      <c r="E5" s="238" t="str">
        <f>"Uncorrected Lot "&amp;'Correlation Raw Data'!B20</f>
        <v>Uncorrected Lot 18</v>
      </c>
      <c r="G5" s="346"/>
      <c r="H5" s="346"/>
      <c r="K5" s="302" t="s">
        <v>84</v>
      </c>
      <c r="L5" s="302"/>
      <c r="M5" s="347" t="s">
        <v>82</v>
      </c>
      <c r="N5" s="348" t="s">
        <v>87</v>
      </c>
      <c r="O5" s="348" t="s">
        <v>88</v>
      </c>
      <c r="P5" s="348"/>
    </row>
    <row r="6" spans="1:21" ht="15">
      <c r="B6" s="38" t="s">
        <v>16</v>
      </c>
      <c r="C6" s="41">
        <v>100</v>
      </c>
      <c r="D6" s="220">
        <v>0.52800000000000002</v>
      </c>
      <c r="E6" s="221">
        <f>Correction!C10</f>
        <v>0.66906273697781316</v>
      </c>
      <c r="F6" s="292">
        <f>AVERAGE(E6:E9)</f>
        <v>0.6101909809688939</v>
      </c>
      <c r="G6" s="1"/>
      <c r="H6" s="36" t="s">
        <v>71</v>
      </c>
      <c r="K6" s="302"/>
      <c r="L6" s="302"/>
      <c r="M6" s="347"/>
      <c r="N6" s="348"/>
      <c r="O6" s="348"/>
      <c r="P6" s="348"/>
    </row>
    <row r="7" spans="1:21" ht="15">
      <c r="B7" s="39" t="s">
        <v>17</v>
      </c>
      <c r="C7" s="42">
        <v>100</v>
      </c>
      <c r="D7" s="222">
        <v>0.499</v>
      </c>
      <c r="E7" s="223">
        <f>Correction!G10</f>
        <v>0.62554871103387055</v>
      </c>
      <c r="G7" s="1" t="s">
        <v>66</v>
      </c>
      <c r="H7" s="36" t="s">
        <v>72</v>
      </c>
      <c r="K7" s="297"/>
      <c r="L7" s="293" t="s">
        <v>75</v>
      </c>
      <c r="M7" s="293" t="s">
        <v>86</v>
      </c>
      <c r="N7" s="298">
        <f>D30</f>
        <v>9.7395482408443122E-3</v>
      </c>
      <c r="O7" s="343" t="str">
        <f>IF(D30&lt;2%,"Acceptance criteria met", "Does not meet acceptance criteria")</f>
        <v>Acceptance criteria met</v>
      </c>
      <c r="P7" s="343"/>
    </row>
    <row r="8" spans="1:21" ht="15">
      <c r="B8" s="39" t="s">
        <v>18</v>
      </c>
      <c r="C8" s="42">
        <v>100</v>
      </c>
      <c r="D8" s="224">
        <v>0.497</v>
      </c>
      <c r="E8" s="223">
        <f>Correction!E10</f>
        <v>0.58904093202566066</v>
      </c>
      <c r="G8" s="293" t="s">
        <v>67</v>
      </c>
      <c r="H8" s="294">
        <f>L19</f>
        <v>0.20448991656198912</v>
      </c>
      <c r="K8" s="297" t="s">
        <v>83</v>
      </c>
      <c r="L8" s="293" t="s">
        <v>74</v>
      </c>
      <c r="M8" s="293" t="s">
        <v>85</v>
      </c>
      <c r="N8" s="294">
        <f>MIN(H8:H13)</f>
        <v>0.20448991656198912</v>
      </c>
      <c r="O8" s="344" t="str">
        <f>IF(N8&gt;0.1,"Acceptance criteria met", "Does not meet acceptance criteria")</f>
        <v>Acceptance criteria met</v>
      </c>
      <c r="P8" s="344"/>
    </row>
    <row r="9" spans="1:21" ht="15.75" thickBot="1">
      <c r="B9" s="40" t="s">
        <v>19</v>
      </c>
      <c r="C9" s="43">
        <v>100</v>
      </c>
      <c r="D9" s="224">
        <v>0.45900000000000002</v>
      </c>
      <c r="E9" s="225">
        <f>Correction!I10</f>
        <v>0.55711154383823114</v>
      </c>
      <c r="F9" s="237"/>
      <c r="G9" s="293" t="s">
        <v>68</v>
      </c>
      <c r="H9" s="294">
        <f>L29</f>
        <v>0.26779756643481711</v>
      </c>
      <c r="K9" s="64" t="s">
        <v>593</v>
      </c>
      <c r="O9" s="111" t="b">
        <f>AND(O7="Acceptance criteria met",O8="Acceptance criteria met")</f>
        <v>1</v>
      </c>
      <c r="P9" s="13"/>
    </row>
    <row r="10" spans="1:21" ht="15">
      <c r="B10" s="38" t="s">
        <v>20</v>
      </c>
      <c r="C10" s="41">
        <v>200</v>
      </c>
      <c r="D10" s="226">
        <v>0.43099999999999999</v>
      </c>
      <c r="E10" s="221">
        <f>Correction!C13</f>
        <v>0.51229859977728742</v>
      </c>
      <c r="F10" s="292">
        <f>AVERAGE(E10:E13)</f>
        <v>0.46205904541862963</v>
      </c>
      <c r="G10" s="293" t="s">
        <v>69</v>
      </c>
      <c r="H10" s="294">
        <f>T19</f>
        <v>0.2424024622846451</v>
      </c>
      <c r="O10" s="13"/>
      <c r="P10" s="108"/>
    </row>
    <row r="11" spans="1:21" ht="15">
      <c r="B11" s="39" t="s">
        <v>21</v>
      </c>
      <c r="C11" s="42">
        <v>200</v>
      </c>
      <c r="D11" s="224">
        <v>0.40400000000000003</v>
      </c>
      <c r="E11" s="223">
        <f>Correction!G13</f>
        <v>0.47637803139287821</v>
      </c>
      <c r="F11" s="237"/>
      <c r="G11" s="295" t="s">
        <v>586</v>
      </c>
      <c r="H11" s="294">
        <f>L39</f>
        <v>0.81772268841110662</v>
      </c>
    </row>
    <row r="12" spans="1:21" ht="15">
      <c r="B12" s="39" t="s">
        <v>22</v>
      </c>
      <c r="C12" s="42">
        <v>200</v>
      </c>
      <c r="D12" s="224">
        <v>0.379</v>
      </c>
      <c r="E12" s="223">
        <f>Correction!E13</f>
        <v>0.43964310663388906</v>
      </c>
      <c r="F12" s="237"/>
      <c r="G12" s="293" t="s">
        <v>70</v>
      </c>
      <c r="H12" s="294">
        <f>T29</f>
        <v>0.8465027639263355</v>
      </c>
      <c r="N12" s="110"/>
      <c r="O12" s="13"/>
      <c r="P12" s="13"/>
    </row>
    <row r="13" spans="1:21" ht="15.75" thickBot="1">
      <c r="B13" s="40" t="s">
        <v>23</v>
      </c>
      <c r="C13" s="43">
        <v>200</v>
      </c>
      <c r="D13" s="227">
        <v>0.35699999999999998</v>
      </c>
      <c r="E13" s="225">
        <f>Correction!I13</f>
        <v>0.41991644387046384</v>
      </c>
      <c r="F13" s="237"/>
      <c r="G13" s="296" t="s">
        <v>580</v>
      </c>
      <c r="H13" s="294">
        <f>T39</f>
        <v>0.88846589231727013</v>
      </c>
      <c r="N13" s="13"/>
      <c r="P13" s="13"/>
    </row>
    <row r="14" spans="1:21" ht="15">
      <c r="B14" s="39" t="s">
        <v>24</v>
      </c>
      <c r="C14" s="41">
        <v>350</v>
      </c>
      <c r="D14" s="224">
        <v>0.35799999999999998</v>
      </c>
      <c r="E14" s="221">
        <f>Correction!C16</f>
        <v>0.41817451144186507</v>
      </c>
      <c r="F14" s="292">
        <f>AVERAGE(E14:E17)</f>
        <v>0.37077993641899493</v>
      </c>
    </row>
    <row r="15" spans="1:21" ht="15.75" thickBot="1">
      <c r="B15" s="39" t="s">
        <v>25</v>
      </c>
      <c r="C15" s="42">
        <v>350</v>
      </c>
      <c r="D15" s="224">
        <v>0.33100000000000002</v>
      </c>
      <c r="E15" s="223">
        <f>Correction!G16</f>
        <v>0.38316264520147919</v>
      </c>
      <c r="G15" t="str">
        <f>"ANOVA calculated from lot "&amp;E5&amp;" data"</f>
        <v>ANOVA calculated from lot Uncorrected Lot 18 data</v>
      </c>
      <c r="J15" t="s">
        <v>56</v>
      </c>
      <c r="O15" t="str">
        <f>G15</f>
        <v>ANOVA calculated from lot Uncorrected Lot 18 data</v>
      </c>
      <c r="Q15" s="30"/>
      <c r="R15" t="s">
        <v>64</v>
      </c>
    </row>
    <row r="16" spans="1:21" ht="15">
      <c r="B16" s="39" t="s">
        <v>26</v>
      </c>
      <c r="C16" s="42">
        <v>350</v>
      </c>
      <c r="D16" s="224">
        <v>0.307</v>
      </c>
      <c r="E16" s="223">
        <f>Correction!E16</f>
        <v>0.34828327342162285</v>
      </c>
      <c r="G16" s="106" t="s">
        <v>36</v>
      </c>
      <c r="H16" s="107" t="s">
        <v>28</v>
      </c>
      <c r="I16" s="107" t="s">
        <v>29</v>
      </c>
      <c r="J16" s="107" t="s">
        <v>30</v>
      </c>
      <c r="K16" s="107" t="s">
        <v>31</v>
      </c>
      <c r="L16" s="107" t="s">
        <v>32</v>
      </c>
      <c r="M16" s="107" t="s">
        <v>33</v>
      </c>
      <c r="O16" s="106" t="s">
        <v>36</v>
      </c>
      <c r="P16" s="107" t="s">
        <v>28</v>
      </c>
      <c r="Q16" s="107" t="s">
        <v>29</v>
      </c>
      <c r="R16" s="107" t="s">
        <v>30</v>
      </c>
      <c r="S16" s="107" t="s">
        <v>31</v>
      </c>
      <c r="T16" s="107" t="s">
        <v>32</v>
      </c>
      <c r="U16" s="107" t="s">
        <v>33</v>
      </c>
    </row>
    <row r="17" spans="2:21" ht="15.75" thickBot="1">
      <c r="B17" s="40" t="s">
        <v>27</v>
      </c>
      <c r="C17" s="43">
        <v>350</v>
      </c>
      <c r="D17" s="227">
        <v>0.29599999999999999</v>
      </c>
      <c r="E17" s="225">
        <f>Correction!I16</f>
        <v>0.3334993156110127</v>
      </c>
      <c r="G17" s="13" t="s">
        <v>37</v>
      </c>
      <c r="H17" s="13">
        <f>SUMSQ(SUM(D6:E9),SUM(D10:E13),SUM(D14:E17))/COUNT(D6:E9)-SUM(D6:E17)^2/COUNT(D6:E17)</f>
        <v>0.17258289976193186</v>
      </c>
      <c r="I17" s="51">
        <v>2</v>
      </c>
      <c r="J17" s="13">
        <f>H17/I17</f>
        <v>8.6291449880965931E-2</v>
      </c>
      <c r="K17" s="13">
        <f>J17/$J$20</f>
        <v>64.710401935020926</v>
      </c>
      <c r="L17" s="13">
        <f>FDIST(K17,I17,$I$20)</f>
        <v>6.031475536250707E-9</v>
      </c>
      <c r="M17" s="13">
        <f>FINV(0.1,I17,$I$20)</f>
        <v>2.6239469851820454</v>
      </c>
      <c r="O17" s="13" t="s">
        <v>37</v>
      </c>
      <c r="P17" s="34">
        <f>SUMSQ(SUM(D6:E9),SUM(D10:E13),SUM(D14:E17),SUM(D18:E21),SUM(D22:E25))/COUNT(D6:E9)-SUM(D6:E25)^2/COUNT(D6:E25)</f>
        <v>0.40664833867685957</v>
      </c>
      <c r="Q17" s="33">
        <v>4</v>
      </c>
      <c r="R17" s="13">
        <f>P17/Q17</f>
        <v>0.10166208466921489</v>
      </c>
      <c r="S17" s="13">
        <f>R17/$R$20</f>
        <v>87.926335275552319</v>
      </c>
      <c r="T17" s="13">
        <f>FDIST(S17,Q17,$Q$20)</f>
        <v>3.9973771221669627E-16</v>
      </c>
      <c r="U17" s="13">
        <f>FINV(0.1,Q17,$Q$20)</f>
        <v>2.1422348563562545</v>
      </c>
    </row>
    <row r="18" spans="2:21" ht="15.75" thickBot="1">
      <c r="B18" s="39" t="s">
        <v>45</v>
      </c>
      <c r="C18" s="41">
        <v>500</v>
      </c>
      <c r="D18" s="228">
        <v>0.3</v>
      </c>
      <c r="E18" s="229">
        <f>Correction!C19</f>
        <v>0.3683498316179723</v>
      </c>
      <c r="F18" s="292">
        <f>AVERAGE(E18:E21)</f>
        <v>0.32792986592818513</v>
      </c>
      <c r="G18" s="13" t="s">
        <v>38</v>
      </c>
      <c r="H18" s="13">
        <f>SUMSQ(SUM(D6:D17),SUM(E6:E17))/COUNT(D6:D17)-SUM(D6:E17)^2/COUNT(D6:E17)</f>
        <v>3.5737415784790727E-2</v>
      </c>
      <c r="I18" s="51">
        <v>1</v>
      </c>
      <c r="J18" s="13">
        <f>H18/I18</f>
        <v>3.5737415784790727E-2</v>
      </c>
      <c r="K18" s="13">
        <f>J18/$J$20</f>
        <v>26.799671841681221</v>
      </c>
      <c r="L18" s="13">
        <f>FDIST(K18,I18,$I$20)</f>
        <v>6.3417268828331902E-5</v>
      </c>
      <c r="M18" s="13">
        <f>FINV(0.1,I18,$I$20)</f>
        <v>3.0069765421729588</v>
      </c>
      <c r="O18" s="13" t="s">
        <v>38</v>
      </c>
      <c r="P18" s="34">
        <f>SUMSQ(SUM(D6:D25),SUM(E6:E25))/COUNT(D6:D25)-SUM(D6:E25)^2/COUNT(D6:E25)</f>
        <v>4.3667036361121347E-2</v>
      </c>
      <c r="Q18" s="33">
        <v>1</v>
      </c>
      <c r="R18" s="13">
        <f>P18/Q18</f>
        <v>4.3667036361121347E-2</v>
      </c>
      <c r="S18" s="13">
        <f>R18/$R$20</f>
        <v>37.767103557540509</v>
      </c>
      <c r="T18" s="13">
        <f>FDIST(S18,Q18,$Q$20)</f>
        <v>9.2903349262819983E-7</v>
      </c>
      <c r="U18" s="13">
        <f>FINV(0.1,Q18,$Q$20)</f>
        <v>2.8806943965820757</v>
      </c>
    </row>
    <row r="19" spans="2:21" ht="15.75" thickBot="1">
      <c r="B19" s="39" t="s">
        <v>46</v>
      </c>
      <c r="C19" s="42">
        <v>500</v>
      </c>
      <c r="D19" s="230">
        <v>0.28699999999999998</v>
      </c>
      <c r="E19" s="231">
        <f>Correction!G19</f>
        <v>0.34505058628450619</v>
      </c>
      <c r="G19" s="13" t="s">
        <v>34</v>
      </c>
      <c r="H19" s="13">
        <f>SUMSQ(SUM(D6:D9),SUM(E6:E9),SUM(D10:D13),SUM(E10:E13),SUM(D14:D17),SUM(E14:E17))/COUNT(D6:D9)-SUM(D6:E17)^2/COUNT(D6:E17)-H17-H18</f>
        <v>4.6293926675460284E-3</v>
      </c>
      <c r="I19" s="51">
        <v>2</v>
      </c>
      <c r="J19" s="13">
        <f>H19/I19</f>
        <v>2.3146963337730142E-3</v>
      </c>
      <c r="K19" s="13">
        <f>J19/$J$20</f>
        <v>1.735802681755733</v>
      </c>
      <c r="L19" s="182">
        <f>FDIST(K19,I19,$I$20)</f>
        <v>0.20448991656198912</v>
      </c>
      <c r="M19" s="13">
        <f>FINV(0.1,I19,$I$20)</f>
        <v>2.6239469851820454</v>
      </c>
      <c r="O19" s="13" t="s">
        <v>34</v>
      </c>
      <c r="P19" s="34">
        <f>SUMSQ(SUM(D6:D9),SUM(E6:E9),SUM(D10:D13),SUM(E10:E13),SUM(D14:D17),SUM(E14:E17),SUM(D18:D21),SUM(E18:E21),SUM(D22:D25),SUM(E22:E25))/COUNT(D6:D9)-SUM(D6:E25)^2/COUNT(D6:E25)-P17-P18</f>
        <v>6.700618359904098E-3</v>
      </c>
      <c r="Q19" s="33">
        <v>4</v>
      </c>
      <c r="R19" s="13">
        <f>P19/Q19</f>
        <v>1.6751545899760245E-3</v>
      </c>
      <c r="S19" s="13">
        <f>R19/$R$20</f>
        <v>1.448821402746765</v>
      </c>
      <c r="T19" s="182">
        <f>FDIST(S19,Q19,$Q$20)</f>
        <v>0.2424024622846451</v>
      </c>
      <c r="U19" s="13">
        <f>FINV(0.1,Q19,$Q$20)</f>
        <v>2.1422348563562545</v>
      </c>
    </row>
    <row r="20" spans="2:21" ht="15">
      <c r="B20" s="39" t="s">
        <v>47</v>
      </c>
      <c r="C20" s="42">
        <v>500</v>
      </c>
      <c r="D20" s="230">
        <v>0.255</v>
      </c>
      <c r="E20" s="231">
        <f>Correction!E19</f>
        <v>0.31017341116551722</v>
      </c>
      <c r="G20" s="13" t="s">
        <v>39</v>
      </c>
      <c r="H20" s="13">
        <f>H22-H17-H18-H19</f>
        <v>2.4003035855303168E-2</v>
      </c>
      <c r="I20" s="51">
        <v>18</v>
      </c>
      <c r="J20" s="13">
        <f>H20/I20</f>
        <v>1.3335019919612872E-3</v>
      </c>
      <c r="K20" s="13"/>
      <c r="L20" s="13"/>
      <c r="M20" s="13"/>
      <c r="O20" s="13" t="s">
        <v>39</v>
      </c>
      <c r="P20" s="34">
        <f>P22-P17-P18-P19</f>
        <v>3.4686564958251509E-2</v>
      </c>
      <c r="Q20" s="33">
        <v>30</v>
      </c>
      <c r="R20" s="13">
        <f>P20/Q20</f>
        <v>1.156218831941717E-3</v>
      </c>
      <c r="S20" s="13"/>
      <c r="T20" s="13"/>
      <c r="U20" s="13"/>
    </row>
    <row r="21" spans="2:21" ht="15.75" thickBot="1">
      <c r="B21" s="40" t="s">
        <v>48</v>
      </c>
      <c r="C21" s="43">
        <v>500</v>
      </c>
      <c r="D21" s="232">
        <v>0.24199999999999999</v>
      </c>
      <c r="E21" s="233">
        <f>Correction!I19</f>
        <v>0.28814563464474491</v>
      </c>
      <c r="I21" s="30"/>
      <c r="Q21" s="30"/>
    </row>
    <row r="22" spans="2:21" ht="15.75" thickBot="1">
      <c r="B22" s="39" t="s">
        <v>49</v>
      </c>
      <c r="C22" s="41">
        <v>650</v>
      </c>
      <c r="D22" s="234">
        <v>0.28000000000000003</v>
      </c>
      <c r="E22" s="221">
        <f>Correction!C22</f>
        <v>0.33585185297568126</v>
      </c>
      <c r="F22" s="292">
        <f>AVERAGE(E22:E25)</f>
        <v>0.29569536326870133</v>
      </c>
      <c r="G22" s="14" t="s">
        <v>35</v>
      </c>
      <c r="H22" s="35">
        <f>SUMSQ(D6:E17)-SUM(D6:E17)^2/COUNT(D6:E17)</f>
        <v>0.23695274406957179</v>
      </c>
      <c r="I22" s="52">
        <v>23</v>
      </c>
      <c r="J22" s="14"/>
      <c r="K22" s="14"/>
      <c r="L22" s="14"/>
      <c r="M22" s="14"/>
      <c r="O22" s="14" t="s">
        <v>35</v>
      </c>
      <c r="P22" s="14">
        <f>SUMSQ(D6:E25)-SUM(D6:E25)^2/COUNT(D6:E25)</f>
        <v>0.49170255835613652</v>
      </c>
      <c r="Q22" s="52">
        <v>39</v>
      </c>
      <c r="R22" s="14"/>
      <c r="S22" s="14"/>
      <c r="T22" s="14"/>
      <c r="U22" s="14"/>
    </row>
    <row r="23" spans="2:21" ht="15">
      <c r="B23" s="39" t="s">
        <v>50</v>
      </c>
      <c r="C23" s="42">
        <v>650</v>
      </c>
      <c r="D23" s="181">
        <v>0.26400000000000001</v>
      </c>
      <c r="E23" s="223">
        <f>Correction!G22</f>
        <v>0.30698016975537473</v>
      </c>
      <c r="I23" s="30"/>
      <c r="Q23" s="30"/>
    </row>
    <row r="24" spans="2:21" ht="15">
      <c r="B24" s="39" t="s">
        <v>51</v>
      </c>
      <c r="C24" s="42">
        <v>650</v>
      </c>
      <c r="D24" s="181">
        <v>0.24099999999999999</v>
      </c>
      <c r="E24" s="223">
        <f>Correction!E22</f>
        <v>0.27633143077206518</v>
      </c>
      <c r="I24" s="30"/>
      <c r="Q24" s="30"/>
    </row>
    <row r="25" spans="2:21" ht="15.75" thickBot="1">
      <c r="B25" s="40" t="s">
        <v>52</v>
      </c>
      <c r="C25" s="43">
        <v>650</v>
      </c>
      <c r="D25" s="235">
        <v>0.23</v>
      </c>
      <c r="E25" s="225">
        <f>Correction!I22</f>
        <v>0.26361799957168414</v>
      </c>
      <c r="G25" t="str">
        <f>G15</f>
        <v>ANOVA calculated from lot Uncorrected Lot 18 data</v>
      </c>
      <c r="I25" s="30"/>
      <c r="J25" t="s">
        <v>58</v>
      </c>
      <c r="K25" s="2"/>
      <c r="L25" s="2"/>
      <c r="M25" s="2"/>
      <c r="O25" t="str">
        <f>G15</f>
        <v>ANOVA calculated from lot Uncorrected Lot 18 data</v>
      </c>
      <c r="Q25" s="30"/>
      <c r="R25" s="13" t="s">
        <v>65</v>
      </c>
    </row>
    <row r="26" spans="2:21">
      <c r="G26" s="106" t="s">
        <v>36</v>
      </c>
      <c r="H26" s="107" t="s">
        <v>28</v>
      </c>
      <c r="I26" s="107" t="s">
        <v>29</v>
      </c>
      <c r="J26" s="107" t="s">
        <v>30</v>
      </c>
      <c r="K26" s="107" t="s">
        <v>31</v>
      </c>
      <c r="L26" s="107" t="s">
        <v>32</v>
      </c>
      <c r="M26" s="107" t="s">
        <v>33</v>
      </c>
      <c r="O26" s="107" t="s">
        <v>36</v>
      </c>
      <c r="P26" s="107" t="s">
        <v>28</v>
      </c>
      <c r="Q26" s="107" t="s">
        <v>29</v>
      </c>
      <c r="R26" s="107" t="s">
        <v>30</v>
      </c>
      <c r="S26" s="107" t="s">
        <v>31</v>
      </c>
      <c r="T26" s="107" t="s">
        <v>32</v>
      </c>
      <c r="U26" s="107" t="s">
        <v>33</v>
      </c>
    </row>
    <row r="27" spans="2:21" ht="13.5" thickBot="1">
      <c r="G27" s="159" t="s">
        <v>37</v>
      </c>
      <c r="H27" s="63">
        <f>SUMSQ(SUM(D6:E9),SUM(D10:E13),SUM(D14:E17),SUM(D18:E21))/COUNT(D6:E9)-SUM(D6:E21)^2/COUNT(D6:E21)</f>
        <v>0.29520265539326651</v>
      </c>
      <c r="I27" s="160">
        <v>3</v>
      </c>
      <c r="J27" s="13">
        <f>H27/I27</f>
        <v>9.8400885131088842E-2</v>
      </c>
      <c r="K27" s="13">
        <f>J27/$J$30</f>
        <v>78.663008023518543</v>
      </c>
      <c r="L27" s="13">
        <f>FDIST(K27,I27,$I$30)</f>
        <v>1.4756533237633922E-12</v>
      </c>
      <c r="M27" s="13">
        <f>FINV(0.1,I27,$I$30)</f>
        <v>2.3273897125927725</v>
      </c>
      <c r="O27" s="13" t="s">
        <v>61</v>
      </c>
      <c r="P27" s="13">
        <f>SUMSQ(SUM(D10:E13),SUM(D14:E17),SUM(D18:E21),SUM(D22:E25))/COUNT(D10:E13)-SUM(D10:E25)^2/COUNT(D10:E25)</f>
        <v>0.10846461385006378</v>
      </c>
      <c r="Q27" s="29">
        <v>3</v>
      </c>
      <c r="R27" s="13">
        <f>P27/Q27</f>
        <v>3.6154871283354595E-2</v>
      </c>
      <c r="S27" s="13">
        <f>R27/$R$30</f>
        <v>34.27364758522333</v>
      </c>
      <c r="T27" s="13">
        <f>FDIST(S27,Q27,$Q$30)</f>
        <v>7.7230764000361183E-9</v>
      </c>
      <c r="U27" s="13">
        <f>FINV(0.1,Q27,$Q$30)</f>
        <v>2.3273897125927725</v>
      </c>
    </row>
    <row r="28" spans="2:21" ht="15.75" thickBot="1">
      <c r="B28" s="299" t="s">
        <v>612</v>
      </c>
      <c r="C28" s="44" t="s">
        <v>53</v>
      </c>
      <c r="D28" s="48">
        <f>SLOPE(D6:D25,E6:E25)</f>
        <v>0.77250722610120781</v>
      </c>
      <c r="G28" s="159" t="s">
        <v>38</v>
      </c>
      <c r="H28" s="63">
        <f>SUMSQ(SUM(D6:D21),SUM(E6:E21))/COUNT(D6:D21)-SUM(D6:E21)^2/COUNT(D6:E21)</f>
        <v>4.1604536396825154E-2</v>
      </c>
      <c r="I28" s="160">
        <v>1</v>
      </c>
      <c r="J28" s="13">
        <f>H28/I28</f>
        <v>4.1604536396825154E-2</v>
      </c>
      <c r="K28" s="13">
        <f>J28/$J$30</f>
        <v>33.259233146513999</v>
      </c>
      <c r="L28" s="13">
        <f>FDIST(K28,I28,$I$30)</f>
        <v>6.0576049948932559E-6</v>
      </c>
      <c r="M28" s="13">
        <f>FINV(0.1,I28,$I$30)</f>
        <v>2.9271174462701932</v>
      </c>
      <c r="O28" s="13" t="s">
        <v>62</v>
      </c>
      <c r="P28" s="13">
        <f>SUMSQ(SUM(D10:D25),SUM(E10:E25))/COUNT(D10:D25)-SUM(D10:E25)^2/COUNT(D10:E25)</f>
        <v>2.3320270223880168E-2</v>
      </c>
      <c r="Q28" s="29">
        <v>1</v>
      </c>
      <c r="R28" s="13">
        <f>P28/Q28</f>
        <v>2.3320270223880168E-2</v>
      </c>
      <c r="S28" s="13">
        <f>R28/$R$30</f>
        <v>22.106861257543013</v>
      </c>
      <c r="T28" s="13">
        <f>FDIST(S28,Q28,$Q$30)</f>
        <v>8.863977916642626E-5</v>
      </c>
      <c r="U28" s="13">
        <f>FINV(0.1,Q28,$Q$30)</f>
        <v>2.9271174462701932</v>
      </c>
    </row>
    <row r="29" spans="2:21" ht="15.75" thickBot="1">
      <c r="B29" s="299" t="s">
        <v>613</v>
      </c>
      <c r="C29" s="45" t="s">
        <v>54</v>
      </c>
      <c r="D29" s="49">
        <f>INTERCEPT(D6:D25,E6:E25)</f>
        <v>2.7948786063558217E-2</v>
      </c>
      <c r="G29" s="159" t="s">
        <v>34</v>
      </c>
      <c r="H29" s="158">
        <f>SUMSQ(SUM(D6:D9),SUM(E6:E9),SUM(D10:D13),SUM(E10:E13),SUM(D14:D17),SUM(E14:E17),SUM(D18:D21),SUM(E18:E21))/COUNT(D6:D9)-SUM(D6:E21)^2/COUNT(D6:E21)-H28-H27</f>
        <v>5.2442913247139344E-3</v>
      </c>
      <c r="I29" s="161">
        <v>3</v>
      </c>
      <c r="J29" s="13">
        <f>H29/I29</f>
        <v>1.7480971082379781E-3</v>
      </c>
      <c r="K29" s="13">
        <f>J29/$J$30</f>
        <v>1.3974526414881654</v>
      </c>
      <c r="L29" s="182">
        <f>FDIST(K29,I29,$I$30)</f>
        <v>0.26779756643481711</v>
      </c>
      <c r="M29" s="13">
        <f>FINV(0.1,I29,$I$30)</f>
        <v>2.3273897125927725</v>
      </c>
      <c r="O29" s="13" t="s">
        <v>34</v>
      </c>
      <c r="P29" s="13">
        <f>SUMSQ(SUM(D10:D13),SUM(E10:E13),SUM(D14:D17),SUM(E14:E17),SUM(D18:D21),SUM(E18:E21),SUM(D22:D25),SUM(E22:E25))/COUNT(D10:D13)-SUM(D10:E25)^2/COUNT(D10:E25)-P27-P28</f>
        <v>8.5390824689879352E-4</v>
      </c>
      <c r="Q29" s="109">
        <v>3</v>
      </c>
      <c r="R29" s="13">
        <f>P29/Q29</f>
        <v>2.8463608229959786E-4</v>
      </c>
      <c r="S29" s="13">
        <f>R29/$R$30</f>
        <v>0.26982579189173883</v>
      </c>
      <c r="T29" s="182">
        <f>FDIST(S29,Q29,$Q$30)</f>
        <v>0.8465027639263355</v>
      </c>
      <c r="U29" s="13">
        <f>FINV(0.1,Q29,$Q$30)</f>
        <v>2.3273897125927725</v>
      </c>
    </row>
    <row r="30" spans="2:21">
      <c r="C30" s="300" t="s">
        <v>55</v>
      </c>
      <c r="D30" s="301">
        <f>STEYX(D6:D25,E6:E25)</f>
        <v>9.7395482408443122E-3</v>
      </c>
      <c r="G30" s="159" t="s">
        <v>39</v>
      </c>
      <c r="H30" s="159">
        <f>H32-H27-H28-H29</f>
        <v>3.0022005291738374E-2</v>
      </c>
      <c r="I30" s="161">
        <v>24</v>
      </c>
      <c r="J30" s="13">
        <f>H30/I30</f>
        <v>1.2509168871557657E-3</v>
      </c>
      <c r="K30" s="13"/>
      <c r="L30" s="13"/>
      <c r="M30" s="13"/>
      <c r="O30" s="13" t="s">
        <v>60</v>
      </c>
      <c r="P30" s="13">
        <f>P32-P27-P28-P29</f>
        <v>2.5317320213522176E-2</v>
      </c>
      <c r="Q30" s="51">
        <f>Q32-Q27-Q28-Q29</f>
        <v>24</v>
      </c>
      <c r="R30" s="13">
        <f>P30/Q30</f>
        <v>1.0548883422300908E-3</v>
      </c>
      <c r="S30" s="13"/>
      <c r="T30" s="13"/>
      <c r="U30" s="13"/>
    </row>
    <row r="31" spans="2:21" ht="13.5" thickBot="1">
      <c r="C31" s="46" t="s">
        <v>63</v>
      </c>
      <c r="D31" s="50">
        <f>RSQ(D6:D25,E6:E25)</f>
        <v>0.98986766282176475</v>
      </c>
      <c r="G31" s="64"/>
      <c r="H31" s="159"/>
      <c r="I31" s="161"/>
      <c r="O31" s="13"/>
      <c r="P31" s="13"/>
      <c r="Q31" s="51"/>
    </row>
    <row r="32" spans="2:21" ht="13.5" thickBot="1">
      <c r="G32" s="162" t="s">
        <v>35</v>
      </c>
      <c r="H32" s="157">
        <f>SUMSQ(D6:E21)-SUM(D6:E21)^2/COUNT(D6:E21)</f>
        <v>0.37207348840654397</v>
      </c>
      <c r="I32" s="163">
        <v>31</v>
      </c>
      <c r="J32" s="14"/>
      <c r="K32" s="14"/>
      <c r="L32" s="14"/>
      <c r="M32" s="14"/>
      <c r="O32" s="14" t="s">
        <v>35</v>
      </c>
      <c r="P32" s="14">
        <f>SUMSQ(D10:E25)-SUM(D10:E25)^2/COUNT(D10:E25)</f>
        <v>0.15795611253436492</v>
      </c>
      <c r="Q32" s="53">
        <v>31</v>
      </c>
      <c r="R32" s="14"/>
      <c r="S32" s="14"/>
      <c r="T32" s="14"/>
      <c r="U32" s="14"/>
    </row>
    <row r="33" spans="2:22">
      <c r="F33" s="108"/>
      <c r="I33" s="30"/>
    </row>
    <row r="34" spans="2:22">
      <c r="B34" t="s">
        <v>113</v>
      </c>
      <c r="F34" s="13"/>
      <c r="I34" s="30"/>
    </row>
    <row r="35" spans="2:22" ht="13.5" thickBot="1">
      <c r="B35" s="1"/>
      <c r="C35" s="116" t="s">
        <v>81</v>
      </c>
      <c r="D35" s="116" t="str">
        <f>"Lot "&amp;'Correlation Raw Data'!B20</f>
        <v>Lot 18</v>
      </c>
      <c r="F35" s="13"/>
      <c r="G35" t="str">
        <f>"ANOVA calculated from lot "&amp;'Correlation Raw Data'!B20&amp;" data"</f>
        <v>ANOVA calculated from lot 18 data</v>
      </c>
      <c r="J35" s="64" t="s">
        <v>578</v>
      </c>
      <c r="O35" t="str">
        <f>"ANOVA calculated from lot "&amp;'Correlation Raw Data'!B29&amp;" data"</f>
        <v>ANOVA calculated from lot  data</v>
      </c>
      <c r="R35" s="64" t="s">
        <v>579</v>
      </c>
    </row>
    <row r="36" spans="2:22">
      <c r="B36" s="1">
        <v>100</v>
      </c>
      <c r="C36" s="117">
        <f>AVERAGE(D6:D9)</f>
        <v>0.49575000000000002</v>
      </c>
      <c r="D36" s="117">
        <f>AVERAGE(E6:E9)</f>
        <v>0.6101909809688939</v>
      </c>
      <c r="E36" s="13"/>
      <c r="F36" s="13"/>
      <c r="G36" s="106" t="s">
        <v>36</v>
      </c>
      <c r="H36" s="107" t="s">
        <v>28</v>
      </c>
      <c r="I36" s="107" t="s">
        <v>29</v>
      </c>
      <c r="J36" s="107" t="s">
        <v>30</v>
      </c>
      <c r="K36" s="107" t="s">
        <v>31</v>
      </c>
      <c r="L36" s="107" t="s">
        <v>32</v>
      </c>
      <c r="M36" s="107" t="s">
        <v>33</v>
      </c>
      <c r="O36" s="106" t="s">
        <v>36</v>
      </c>
      <c r="P36" s="107" t="s">
        <v>28</v>
      </c>
      <c r="Q36" s="107" t="s">
        <v>29</v>
      </c>
      <c r="R36" s="107" t="s">
        <v>30</v>
      </c>
      <c r="S36" s="107" t="s">
        <v>31</v>
      </c>
      <c r="T36" s="107" t="s">
        <v>32</v>
      </c>
      <c r="U36" s="107" t="s">
        <v>33</v>
      </c>
    </row>
    <row r="37" spans="2:22">
      <c r="B37" s="1">
        <v>200</v>
      </c>
      <c r="C37" s="117">
        <f>AVERAGE(D10:D13)</f>
        <v>0.39274999999999999</v>
      </c>
      <c r="D37" s="117">
        <f>AVERAGE(E10:E13)</f>
        <v>0.46205904541862963</v>
      </c>
      <c r="E37" s="13"/>
      <c r="F37" s="13"/>
      <c r="G37" s="13" t="s">
        <v>37</v>
      </c>
      <c r="H37" s="13">
        <f>SUMSQ(SUM(D10:E13),SUM(D14:E17),SUM(D18:E21))/COUNT(D10:E13)-SUM(D10:E21)^2/COUNT(D10:E21)</f>
        <v>6.6934042876020783E-2</v>
      </c>
      <c r="I37" s="51">
        <v>2</v>
      </c>
      <c r="J37" s="13">
        <f>H37/I37</f>
        <v>3.3467021438010391E-2</v>
      </c>
      <c r="K37" s="13">
        <f>J37/$J$40</f>
        <v>29.168322777627623</v>
      </c>
      <c r="L37" s="13">
        <f>FDIST(K37,I37,$I$40)</f>
        <v>2.2534861780506739E-6</v>
      </c>
      <c r="M37" s="13">
        <f>FINV(0.1,I37,$I$40)</f>
        <v>2.6239469851820454</v>
      </c>
      <c r="O37" s="13" t="s">
        <v>37</v>
      </c>
      <c r="P37" s="13">
        <f>SUMSQ(SUM(D14:E17),SUM(D18:E21),SUM(D22:E25))/COUNT(D14:E17)-SUM(D14:E25)^2/COUNT(D14:E25)</f>
        <v>2.1518480588031075E-2</v>
      </c>
      <c r="Q37" s="51">
        <v>2</v>
      </c>
      <c r="R37" s="13">
        <f>P37/Q37</f>
        <v>1.0759240294015537E-2</v>
      </c>
      <c r="S37" s="13">
        <f>R37/$R$40</f>
        <v>11.225048075139203</v>
      </c>
      <c r="T37" s="13">
        <f>FDIST(S37,Q37,$Q$40)</f>
        <v>6.8418968362026508E-4</v>
      </c>
      <c r="U37" s="13">
        <f>FINV(0.1,Q37,$Q$40)</f>
        <v>2.6239469851820454</v>
      </c>
    </row>
    <row r="38" spans="2:22" ht="13.5" thickBot="1">
      <c r="B38" s="1">
        <v>350</v>
      </c>
      <c r="C38" s="117">
        <f>AVERAGE(D14:D17)</f>
        <v>0.32300000000000001</v>
      </c>
      <c r="D38" s="117">
        <f>AVERAGE(E14:E17)</f>
        <v>0.37077993641899493</v>
      </c>
      <c r="E38" s="13"/>
      <c r="F38" s="13"/>
      <c r="G38" s="13" t="s">
        <v>38</v>
      </c>
      <c r="H38" s="13">
        <f>SUMSQ(SUM(D10:D21),SUM(E10:E21))/COUNT(D10:D21)-SUM(D10:E21)^2/COUNT(D10:E21)</f>
        <v>2.0188372918493958E-2</v>
      </c>
      <c r="I38" s="51">
        <v>1</v>
      </c>
      <c r="J38" s="13">
        <f>H38/I38</f>
        <v>2.0188372918493958E-2</v>
      </c>
      <c r="K38" s="13">
        <f>J38/$J$40</f>
        <v>17.595261016355199</v>
      </c>
      <c r="L38" s="13">
        <f>FDIST(K38,I38,$I$40)</f>
        <v>5.4462880904439736E-4</v>
      </c>
      <c r="M38" s="13">
        <f>FINV(0.1,I38,$I$40)</f>
        <v>3.0069765421729588</v>
      </c>
      <c r="O38" s="13" t="s">
        <v>38</v>
      </c>
      <c r="P38" s="13">
        <f>SUMSQ(SUM(D14:D25),SUM(E14:E25))/COUNT(D14:D25)-SUM(D14:E25)^2/COUNT(D14:E25)</f>
        <v>1.4338491734548153E-2</v>
      </c>
      <c r="Q38" s="51">
        <v>1</v>
      </c>
      <c r="R38" s="13">
        <f>P38/Q38</f>
        <v>1.4338491734548153E-2</v>
      </c>
      <c r="S38" s="13">
        <f>R38/$R$40</f>
        <v>14.959258706659078</v>
      </c>
      <c r="T38" s="13">
        <f>FDIST(S38,Q38,$Q$40)</f>
        <v>1.1276889056637135E-3</v>
      </c>
      <c r="U38" s="13">
        <f>FINV(0.1,Q38,$Q$40)</f>
        <v>3.0069765421729588</v>
      </c>
    </row>
    <row r="39" spans="2:22" ht="13.5" thickBot="1">
      <c r="B39" s="1">
        <v>500</v>
      </c>
      <c r="C39" s="117">
        <f>AVERAGE(D18:D21)</f>
        <v>0.27100000000000002</v>
      </c>
      <c r="D39" s="117">
        <f>AVERAGE(E18:E21)</f>
        <v>0.32792986592818513</v>
      </c>
      <c r="E39" s="108"/>
      <c r="F39" s="108"/>
      <c r="G39" s="13" t="s">
        <v>34</v>
      </c>
      <c r="H39" s="13">
        <f>SUMSQ(SUM(D10:D13),SUM(E10:E13),SUM(D14:D17),SUM(E14:E17),SUM(D18:D21),SUM(E18:E21))/COUNT(D10:D13)-SUM(D10:E21)^2/COUNT(D10:E21)-H37-H38</f>
        <v>4.6697855279864697E-4</v>
      </c>
      <c r="I39" s="51">
        <v>2</v>
      </c>
      <c r="J39" s="13">
        <f>H39/I39</f>
        <v>2.3348927639932349E-4</v>
      </c>
      <c r="K39" s="13">
        <f>J39/$J$40</f>
        <v>0.20349855728108265</v>
      </c>
      <c r="L39" s="182">
        <f>FDIST(K39,I39,$I$40)</f>
        <v>0.81772268841110662</v>
      </c>
      <c r="M39" s="13">
        <f>FINV(0.1,I39,$I$40)</f>
        <v>2.6239469851820454</v>
      </c>
      <c r="O39" s="13" t="s">
        <v>34</v>
      </c>
      <c r="P39" s="13">
        <f>SUMSQ(SUM(D14:D17),SUM(E14:E17),SUM(D18:D21),SUM(E18:E21),SUM(D22:D25),SUM(E22:E25))/COUNT(D14:D17)-SUM(D14:E25)^2/COUNT(D14:E25)-P37-P38</f>
        <v>2.2819918254723959E-4</v>
      </c>
      <c r="Q39" s="51">
        <v>2</v>
      </c>
      <c r="R39" s="13">
        <f>P39/Q39</f>
        <v>1.1409959127361979E-4</v>
      </c>
      <c r="S39" s="13">
        <f>R39/$R$40</f>
        <v>0.11903938962237905</v>
      </c>
      <c r="T39" s="182">
        <f>FDIST(S39,Q39,$Q$40)</f>
        <v>0.88846589231727013</v>
      </c>
      <c r="U39" s="13">
        <f>FINV(0.1,Q39,$Q$40)</f>
        <v>2.6239469851820454</v>
      </c>
    </row>
    <row r="40" spans="2:22">
      <c r="B40" s="1">
        <v>650</v>
      </c>
      <c r="C40" s="117">
        <f>AVERAGE(D22:D25)</f>
        <v>0.25375000000000003</v>
      </c>
      <c r="D40" s="117">
        <f>AVERAGE(E22:E25)</f>
        <v>0.29569536326870133</v>
      </c>
      <c r="G40" s="13" t="s">
        <v>39</v>
      </c>
      <c r="H40" s="13">
        <f>H42-H37-H38-H39</f>
        <v>2.0652760547008153E-2</v>
      </c>
      <c r="I40" s="51">
        <v>18</v>
      </c>
      <c r="J40" s="13">
        <f>H40/I40</f>
        <v>1.1473755859448974E-3</v>
      </c>
      <c r="K40" s="13"/>
      <c r="L40" s="13"/>
      <c r="M40" s="13"/>
      <c r="O40" s="13" t="s">
        <v>39</v>
      </c>
      <c r="P40" s="13">
        <f>P42-P37-P38-P39</f>
        <v>1.7253050855185581E-2</v>
      </c>
      <c r="Q40" s="51">
        <v>18</v>
      </c>
      <c r="R40" s="13">
        <f>P40/Q40</f>
        <v>9.5850282528808783E-4</v>
      </c>
      <c r="S40" s="13"/>
      <c r="T40" s="13"/>
      <c r="U40" s="13"/>
    </row>
    <row r="41" spans="2:22">
      <c r="D41" s="13"/>
      <c r="I41" s="30"/>
      <c r="Q41" s="30"/>
    </row>
    <row r="42" spans="2:22" ht="13.5" thickBot="1">
      <c r="G42" s="14" t="s">
        <v>35</v>
      </c>
      <c r="H42" s="35">
        <f>SUMSQ(D10:E21)-SUM(D10:E21)^2/COUNT(D10:E21)</f>
        <v>0.10824215489432154</v>
      </c>
      <c r="I42" s="52">
        <v>23</v>
      </c>
      <c r="J42" s="14"/>
      <c r="K42" s="14"/>
      <c r="L42" s="14"/>
      <c r="M42" s="14"/>
      <c r="O42" s="14" t="s">
        <v>35</v>
      </c>
      <c r="P42" s="35">
        <f>SUMSQ(D14:E25)-SUM(D14:E25)^2/COUNT(D14:E25)</f>
        <v>5.3338222360312049E-2</v>
      </c>
      <c r="Q42" s="52">
        <v>23</v>
      </c>
      <c r="R42" s="14"/>
      <c r="S42" s="14"/>
      <c r="T42" s="14"/>
      <c r="U42" s="14"/>
    </row>
    <row r="44" spans="2:22">
      <c r="F44" s="2"/>
      <c r="G44" s="2"/>
      <c r="H44" s="2"/>
      <c r="I44" s="2"/>
      <c r="J44" s="63"/>
      <c r="K44" s="2"/>
      <c r="L44" s="2"/>
      <c r="M44" s="2"/>
      <c r="N44" s="2"/>
      <c r="O44" s="2"/>
      <c r="P44" s="2"/>
      <c r="Q44" s="2"/>
      <c r="R44" s="63"/>
      <c r="S44" s="2"/>
      <c r="T44" s="2"/>
      <c r="U44" s="2"/>
      <c r="V44" s="2"/>
    </row>
    <row r="45" spans="2:22">
      <c r="F45" s="2"/>
      <c r="G45" s="200"/>
      <c r="H45" s="201"/>
      <c r="I45" s="201"/>
      <c r="J45" s="201"/>
      <c r="K45" s="201"/>
      <c r="L45" s="201"/>
      <c r="M45" s="201"/>
      <c r="N45" s="2"/>
      <c r="O45" s="200"/>
      <c r="P45" s="201"/>
      <c r="Q45" s="201"/>
      <c r="R45" s="201"/>
      <c r="S45" s="201"/>
      <c r="T45" s="201"/>
      <c r="U45" s="201"/>
      <c r="V45" s="2"/>
    </row>
    <row r="46" spans="2:22">
      <c r="F46" s="2"/>
      <c r="G46" s="13"/>
      <c r="H46" s="13"/>
      <c r="I46" s="51"/>
      <c r="J46" s="13"/>
      <c r="K46" s="13"/>
      <c r="L46" s="13"/>
      <c r="M46" s="13"/>
      <c r="N46" s="2"/>
      <c r="O46" s="13"/>
      <c r="P46" s="13"/>
      <c r="Q46" s="51"/>
      <c r="R46" s="13"/>
      <c r="S46" s="13"/>
      <c r="T46" s="13"/>
      <c r="U46" s="13"/>
      <c r="V46" s="2"/>
    </row>
    <row r="47" spans="2:22">
      <c r="F47" s="2"/>
      <c r="G47" s="13"/>
      <c r="H47" s="13"/>
      <c r="I47" s="51"/>
      <c r="J47" s="13"/>
      <c r="K47" s="13"/>
      <c r="L47" s="13"/>
      <c r="M47" s="13"/>
      <c r="N47" s="2"/>
      <c r="O47" s="13"/>
      <c r="P47" s="13"/>
      <c r="Q47" s="51"/>
      <c r="R47" s="13"/>
      <c r="S47" s="13"/>
      <c r="T47" s="13"/>
      <c r="U47" s="13"/>
      <c r="V47" s="2"/>
    </row>
    <row r="48" spans="2:22">
      <c r="F48" s="2"/>
      <c r="G48" s="13"/>
      <c r="H48" s="13"/>
      <c r="I48" s="51"/>
      <c r="J48" s="13"/>
      <c r="K48" s="13"/>
      <c r="L48" s="13"/>
      <c r="M48" s="13"/>
      <c r="N48" s="2"/>
      <c r="O48" s="13"/>
      <c r="P48" s="13"/>
      <c r="Q48" s="51"/>
      <c r="R48" s="13"/>
      <c r="S48" s="13"/>
      <c r="T48" s="13"/>
      <c r="U48" s="13"/>
      <c r="V48" s="2"/>
    </row>
    <row r="49" spans="1:22">
      <c r="F49" s="2"/>
      <c r="G49" s="13"/>
      <c r="H49" s="13"/>
      <c r="I49" s="51"/>
      <c r="J49" s="13"/>
      <c r="K49" s="13"/>
      <c r="L49" s="13"/>
      <c r="M49" s="13"/>
      <c r="N49" s="2"/>
      <c r="O49" s="13"/>
      <c r="P49" s="13"/>
      <c r="Q49" s="51"/>
      <c r="R49" s="13"/>
      <c r="S49" s="13"/>
      <c r="T49" s="13"/>
      <c r="U49" s="13"/>
      <c r="V49" s="2"/>
    </row>
    <row r="50" spans="1:22">
      <c r="F50" s="2"/>
      <c r="G50" s="2"/>
      <c r="H50" s="2"/>
      <c r="I50" s="29"/>
      <c r="J50" s="2"/>
      <c r="K50" s="2"/>
      <c r="L50" s="2"/>
      <c r="M50" s="2"/>
      <c r="N50" s="2"/>
      <c r="O50" s="2"/>
      <c r="P50" s="2"/>
      <c r="Q50" s="29"/>
      <c r="R50" s="2"/>
      <c r="S50" s="2"/>
      <c r="T50" s="2"/>
      <c r="U50" s="2"/>
      <c r="V50" s="2"/>
    </row>
    <row r="51" spans="1:22">
      <c r="F51" s="2"/>
      <c r="G51" s="13"/>
      <c r="H51" s="2"/>
      <c r="I51" s="51"/>
      <c r="J51" s="13"/>
      <c r="K51" s="13"/>
      <c r="L51" s="13"/>
      <c r="M51" s="13"/>
      <c r="N51" s="2"/>
      <c r="O51" s="13"/>
      <c r="P51" s="2"/>
      <c r="Q51" s="51"/>
      <c r="R51" s="13"/>
      <c r="S51" s="13"/>
      <c r="T51" s="13"/>
      <c r="U51" s="13"/>
      <c r="V51" s="2"/>
    </row>
    <row r="52" spans="1:22"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>
      <c r="A53" s="118"/>
      <c r="B53" s="118">
        <f>ROUND(D28,4)</f>
        <v>0.77249999999999996</v>
      </c>
      <c r="C53" t="str">
        <f>"y="&amp;B53</f>
        <v>y=0.7725</v>
      </c>
      <c r="D53" t="str">
        <f>C53&amp;C54</f>
        <v>y=0.7725x+0.0279</v>
      </c>
      <c r="F53" s="2"/>
      <c r="G53" s="2"/>
      <c r="H53" s="2"/>
      <c r="I53" s="2"/>
      <c r="J53" s="63"/>
      <c r="K53" s="2"/>
      <c r="L53" s="2"/>
      <c r="M53" s="2"/>
      <c r="N53" s="2"/>
      <c r="O53" s="2"/>
      <c r="P53" s="2"/>
      <c r="Q53" s="2"/>
      <c r="R53" s="63"/>
      <c r="S53" s="2"/>
      <c r="T53" s="2"/>
      <c r="U53" s="2"/>
      <c r="V53" s="2"/>
    </row>
    <row r="54" spans="1:22">
      <c r="A54" s="118"/>
      <c r="B54" s="118">
        <f>ROUND(D29,4)</f>
        <v>2.7900000000000001E-2</v>
      </c>
      <c r="C54" t="str">
        <f>"x+"&amp;B54</f>
        <v>x+0.0279</v>
      </c>
      <c r="F54" s="2"/>
      <c r="G54" s="200"/>
      <c r="H54" s="201"/>
      <c r="I54" s="201"/>
      <c r="J54" s="201"/>
      <c r="K54" s="201"/>
      <c r="L54" s="201"/>
      <c r="M54" s="201"/>
      <c r="N54" s="2"/>
      <c r="O54" s="200"/>
      <c r="P54" s="201"/>
      <c r="Q54" s="201"/>
      <c r="R54" s="201"/>
      <c r="S54" s="201"/>
      <c r="T54" s="201"/>
      <c r="U54" s="201"/>
      <c r="V54" s="2"/>
    </row>
    <row r="55" spans="1:22">
      <c r="B55" t="str">
        <f>"R^2="</f>
        <v>R^2=</v>
      </c>
      <c r="C55" s="119">
        <f>ROUND(D31,4)</f>
        <v>0.9899</v>
      </c>
      <c r="D55" t="str">
        <f>B55&amp;C55</f>
        <v>R^2=0.9899</v>
      </c>
      <c r="F55" s="2"/>
      <c r="G55" s="13"/>
      <c r="H55" s="13"/>
      <c r="I55" s="51"/>
      <c r="J55" s="13"/>
      <c r="K55" s="13"/>
      <c r="L55" s="13"/>
      <c r="M55" s="13"/>
      <c r="N55" s="2"/>
      <c r="O55" s="13"/>
      <c r="P55" s="13"/>
      <c r="Q55" s="51"/>
      <c r="R55" s="13"/>
      <c r="S55" s="13"/>
      <c r="T55" s="13"/>
      <c r="U55" s="13"/>
      <c r="V55" s="2"/>
    </row>
    <row r="56" spans="1:22">
      <c r="F56" s="2"/>
      <c r="G56" s="13"/>
      <c r="H56" s="13"/>
      <c r="I56" s="51"/>
      <c r="J56" s="13"/>
      <c r="K56" s="13"/>
      <c r="L56" s="13"/>
      <c r="M56" s="13"/>
      <c r="N56" s="2"/>
      <c r="O56" s="13"/>
      <c r="P56" s="13"/>
      <c r="Q56" s="51"/>
      <c r="R56" s="13"/>
      <c r="S56" s="13"/>
      <c r="T56" s="13"/>
      <c r="U56" s="13"/>
      <c r="V56" s="2"/>
    </row>
    <row r="57" spans="1:22">
      <c r="F57" s="2"/>
      <c r="G57" s="13"/>
      <c r="H57" s="13"/>
      <c r="I57" s="51"/>
      <c r="J57" s="13"/>
      <c r="K57" s="13"/>
      <c r="L57" s="13"/>
      <c r="M57" s="13"/>
      <c r="N57" s="2"/>
      <c r="O57" s="13"/>
      <c r="P57" s="13"/>
      <c r="Q57" s="51"/>
      <c r="R57" s="13"/>
      <c r="S57" s="13"/>
      <c r="T57" s="13"/>
      <c r="U57" s="13"/>
      <c r="V57" s="2"/>
    </row>
    <row r="58" spans="1:22">
      <c r="F58" s="2"/>
      <c r="G58" s="13"/>
      <c r="H58" s="13"/>
      <c r="I58" s="51"/>
      <c r="J58" s="13"/>
      <c r="K58" s="13"/>
      <c r="L58" s="13"/>
      <c r="M58" s="13"/>
      <c r="N58" s="2"/>
      <c r="O58" s="13"/>
      <c r="P58" s="13"/>
      <c r="Q58" s="51"/>
      <c r="R58" s="13"/>
      <c r="S58" s="13"/>
      <c r="T58" s="13"/>
      <c r="U58" s="13"/>
      <c r="V58" s="2"/>
    </row>
    <row r="59" spans="1:22">
      <c r="F59" s="2"/>
      <c r="G59" s="2"/>
      <c r="H59" s="2"/>
      <c r="I59" s="29"/>
      <c r="J59" s="2"/>
      <c r="K59" s="2"/>
      <c r="L59" s="2"/>
      <c r="M59" s="2"/>
      <c r="N59" s="2"/>
      <c r="O59" s="2"/>
      <c r="P59" s="2"/>
      <c r="Q59" s="29"/>
      <c r="R59" s="2"/>
      <c r="S59" s="2"/>
      <c r="T59" s="2"/>
      <c r="U59" s="2"/>
      <c r="V59" s="2"/>
    </row>
    <row r="60" spans="1:22">
      <c r="F60" s="2"/>
      <c r="G60" s="13"/>
      <c r="H60" s="2"/>
      <c r="I60" s="51"/>
      <c r="J60" s="13"/>
      <c r="K60" s="13"/>
      <c r="L60" s="13"/>
      <c r="M60" s="13"/>
      <c r="N60" s="2"/>
      <c r="O60" s="13"/>
      <c r="P60" s="2"/>
      <c r="Q60" s="51"/>
      <c r="R60" s="13"/>
      <c r="S60" s="13"/>
      <c r="T60" s="13"/>
      <c r="U60" s="13"/>
      <c r="V60" s="2"/>
    </row>
    <row r="61" spans="1:22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6:22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</sheetData>
  <mergeCells count="8">
    <mergeCell ref="O7:P7"/>
    <mergeCell ref="O8:P8"/>
    <mergeCell ref="G4:H5"/>
    <mergeCell ref="K5:K6"/>
    <mergeCell ref="L5:L6"/>
    <mergeCell ref="M5:M6"/>
    <mergeCell ref="N5:N6"/>
    <mergeCell ref="O5:P6"/>
  </mergeCells>
  <conditionalFormatting sqref="P13 J2 O10">
    <cfRule type="cellIs" dxfId="0" priority="2" stopIfTrue="1" operator="equal">
      <formula>"""Accept the lot"""</formula>
    </cfRule>
  </conditionalFormatting>
  <pageMargins left="0.7" right="0.7" top="0.75" bottom="0.75" header="0.3" footer="0.3"/>
  <ignoredErrors>
    <ignoredError sqref="C36:C40 P3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AR84"/>
  <sheetViews>
    <sheetView zoomScaleNormal="100" workbookViewId="0">
      <selection activeCell="F31" sqref="F31"/>
    </sheetView>
  </sheetViews>
  <sheetFormatPr defaultRowHeight="12.75"/>
  <cols>
    <col min="1" max="1" width="11.85546875" bestFit="1" customWidth="1"/>
    <col min="2" max="2" width="6.85546875" bestFit="1" customWidth="1"/>
    <col min="3" max="3" width="7.5703125" bestFit="1" customWidth="1"/>
    <col min="4" max="4" width="6.85546875" bestFit="1" customWidth="1"/>
    <col min="5" max="5" width="7.5703125" bestFit="1" customWidth="1"/>
    <col min="6" max="6" width="6.85546875" bestFit="1" customWidth="1"/>
    <col min="7" max="7" width="7.5703125" bestFit="1" customWidth="1"/>
    <col min="8" max="8" width="4.140625" customWidth="1"/>
    <col min="9" max="9" width="10.7109375" bestFit="1" customWidth="1"/>
    <col min="10" max="10" width="11.42578125" bestFit="1" customWidth="1"/>
    <col min="11" max="11" width="8.5703125" bestFit="1" customWidth="1"/>
    <col min="12" max="12" width="7.28515625" bestFit="1" customWidth="1"/>
    <col min="13" max="13" width="4.42578125" customWidth="1"/>
    <col min="14" max="14" width="13.140625" bestFit="1" customWidth="1"/>
    <col min="15" max="15" width="18.42578125" bestFit="1" customWidth="1"/>
    <col min="16" max="16" width="12.85546875" bestFit="1" customWidth="1"/>
    <col min="17" max="17" width="4.28515625" customWidth="1"/>
    <col min="18" max="18" width="14.140625" customWidth="1"/>
    <col min="19" max="19" width="18.42578125" bestFit="1" customWidth="1"/>
    <col min="20" max="20" width="12.85546875" bestFit="1" customWidth="1"/>
  </cols>
  <sheetData>
    <row r="1" spans="1:44" ht="15.75" thickBot="1">
      <c r="A1" s="2"/>
      <c r="B1" s="327" t="s">
        <v>605</v>
      </c>
      <c r="C1" s="352"/>
      <c r="D1" s="352"/>
      <c r="E1" s="352"/>
      <c r="F1" s="352"/>
      <c r="G1" s="353"/>
      <c r="I1" s="2"/>
      <c r="J1" s="139" t="s">
        <v>124</v>
      </c>
      <c r="K1" s="138" t="s">
        <v>125</v>
      </c>
      <c r="L1" s="70" t="s">
        <v>135</v>
      </c>
      <c r="N1" s="64"/>
    </row>
    <row r="2" spans="1:44" ht="16.5" thickBot="1">
      <c r="A2" s="2"/>
      <c r="B2" s="55" t="s">
        <v>89</v>
      </c>
      <c r="C2" s="56" t="s">
        <v>90</v>
      </c>
      <c r="D2" s="57" t="s">
        <v>89</v>
      </c>
      <c r="E2" s="56" t="s">
        <v>90</v>
      </c>
      <c r="F2" s="57" t="s">
        <v>89</v>
      </c>
      <c r="G2" s="56" t="s">
        <v>90</v>
      </c>
      <c r="I2" s="133" t="s">
        <v>126</v>
      </c>
      <c r="J2" s="265">
        <f>IF(C3="","",(C3-B3)/B3)</f>
        <v>0.35220570889360708</v>
      </c>
      <c r="K2" s="266"/>
      <c r="L2" s="267"/>
      <c r="N2" s="349" t="s">
        <v>136</v>
      </c>
      <c r="O2" s="350"/>
      <c r="P2" s="351"/>
      <c r="R2" s="349" t="s">
        <v>35</v>
      </c>
      <c r="S2" s="350"/>
      <c r="T2" s="351"/>
      <c r="W2" s="64" t="s">
        <v>545</v>
      </c>
      <c r="Z2" s="64" t="s">
        <v>544</v>
      </c>
      <c r="AC2" s="64" t="s">
        <v>546</v>
      </c>
      <c r="AF2" s="64" t="s">
        <v>538</v>
      </c>
    </row>
    <row r="3" spans="1:44">
      <c r="A3" s="58" t="s">
        <v>91</v>
      </c>
      <c r="B3" s="183">
        <v>8.4779999999999998</v>
      </c>
      <c r="C3" s="184">
        <v>11.464</v>
      </c>
      <c r="D3" s="183">
        <v>8.4779999999999998</v>
      </c>
      <c r="E3" s="184">
        <v>11.4856</v>
      </c>
      <c r="F3" s="183">
        <v>8.4779999999999998</v>
      </c>
      <c r="G3" s="185">
        <v>11.5106</v>
      </c>
      <c r="I3" s="134"/>
      <c r="J3" s="268">
        <f>IF(E3="","",(E3-D3)/D3)</f>
        <v>0.35475347959424391</v>
      </c>
      <c r="K3" s="269">
        <f>IF(J4="","",AVERAGE(J2:J4))</f>
        <v>0.35488715892112926</v>
      </c>
      <c r="L3" s="270">
        <f>IF(J4="","",STDEV(J2:J4))</f>
        <v>2.7507269670563337E-3</v>
      </c>
      <c r="N3" s="45"/>
      <c r="O3" s="36" t="s">
        <v>115</v>
      </c>
      <c r="P3" s="120" t="s">
        <v>116</v>
      </c>
      <c r="R3" s="45"/>
      <c r="S3" s="36" t="s">
        <v>115</v>
      </c>
      <c r="T3" s="120" t="s">
        <v>116</v>
      </c>
      <c r="W3" s="64" t="s">
        <v>541</v>
      </c>
      <c r="X3" s="119">
        <f>P4</f>
        <v>0.3522885367280239</v>
      </c>
      <c r="Z3" s="64" t="s">
        <v>541</v>
      </c>
      <c r="AA3" s="155">
        <f>P13</f>
        <v>0.35390707100012658</v>
      </c>
      <c r="AC3" s="64" t="s">
        <v>541</v>
      </c>
      <c r="AD3" s="119">
        <f>P22</f>
        <v>0.35259011816405145</v>
      </c>
      <c r="AF3" s="64" t="s">
        <v>547</v>
      </c>
      <c r="AG3" s="64" t="s">
        <v>567</v>
      </c>
      <c r="AH3" s="64" t="s">
        <v>541</v>
      </c>
      <c r="AI3" s="64" t="s">
        <v>539</v>
      </c>
      <c r="AJ3" s="64" t="s">
        <v>540</v>
      </c>
      <c r="AK3" s="64" t="s">
        <v>568</v>
      </c>
      <c r="AL3" s="64" t="s">
        <v>541</v>
      </c>
      <c r="AM3" s="64" t="s">
        <v>539</v>
      </c>
      <c r="AN3" s="64" t="s">
        <v>540</v>
      </c>
      <c r="AO3" s="64" t="s">
        <v>569</v>
      </c>
      <c r="AP3" s="64" t="s">
        <v>541</v>
      </c>
      <c r="AQ3" s="64" t="s">
        <v>539</v>
      </c>
      <c r="AR3" s="64" t="s">
        <v>540</v>
      </c>
    </row>
    <row r="4" spans="1:44" ht="13.5" thickBot="1">
      <c r="A4" s="285" t="s">
        <v>92</v>
      </c>
      <c r="B4" s="186">
        <v>8.4847999999999999</v>
      </c>
      <c r="C4" s="187">
        <v>11.443199999999999</v>
      </c>
      <c r="D4" s="186">
        <v>8.4847999999999999</v>
      </c>
      <c r="E4" s="187">
        <v>11.4796</v>
      </c>
      <c r="F4" s="186">
        <v>8.4847999999999999</v>
      </c>
      <c r="G4" s="188">
        <v>11.4946</v>
      </c>
      <c r="I4" s="135"/>
      <c r="J4" s="271">
        <f>IF(G3="","",(G3-F3)/F3)</f>
        <v>0.35770228827553674</v>
      </c>
      <c r="K4" s="272"/>
      <c r="L4" s="273"/>
      <c r="N4" s="121" t="s">
        <v>117</v>
      </c>
      <c r="O4" s="54">
        <f>IF(J10="","",AVERAGE(J2:J10))</f>
        <v>0.35228853672802385</v>
      </c>
      <c r="P4" s="122">
        <f>IF(J10="","",AVERAGE(K2:K10))</f>
        <v>0.3522885367280239</v>
      </c>
      <c r="R4" s="121" t="s">
        <v>117</v>
      </c>
      <c r="S4" s="54">
        <f>AVERAGE(J2:J28)</f>
        <v>0.35292857529740068</v>
      </c>
      <c r="T4" s="122">
        <f>AVERAGE(K2:K28)</f>
        <v>0.35292857529740057</v>
      </c>
      <c r="W4" s="64" t="s">
        <v>542</v>
      </c>
      <c r="X4">
        <v>1.0229999999999999</v>
      </c>
      <c r="Z4" s="64" t="s">
        <v>542</v>
      </c>
      <c r="AA4">
        <v>1.0229999999999999</v>
      </c>
      <c r="AC4" s="64" t="s">
        <v>542</v>
      </c>
      <c r="AD4">
        <v>1.0229999999999999</v>
      </c>
      <c r="AF4">
        <v>1</v>
      </c>
      <c r="AG4" s="119">
        <f>K3</f>
        <v>0.35488715892112926</v>
      </c>
      <c r="AH4" s="119">
        <f>X$3</f>
        <v>0.3522885367280239</v>
      </c>
      <c r="AI4" s="119">
        <f>X$6</f>
        <v>0.35805731288401721</v>
      </c>
      <c r="AJ4" s="119">
        <f>X$7</f>
        <v>0.3465197605720306</v>
      </c>
      <c r="AK4" s="119"/>
      <c r="AL4" s="119"/>
      <c r="AM4" s="119"/>
      <c r="AN4" s="119"/>
      <c r="AO4" s="119"/>
      <c r="AP4" s="119"/>
      <c r="AQ4" s="119"/>
      <c r="AR4" s="119"/>
    </row>
    <row r="5" spans="1:44" ht="13.5" thickBot="1">
      <c r="A5" s="59" t="s">
        <v>93</v>
      </c>
      <c r="B5" s="186">
        <v>8.3911999999999995</v>
      </c>
      <c r="C5" s="187">
        <v>11.3042</v>
      </c>
      <c r="D5" s="186">
        <v>8.3911999999999995</v>
      </c>
      <c r="E5" s="189">
        <v>11.3492</v>
      </c>
      <c r="F5" s="186">
        <v>8.3911999999999995</v>
      </c>
      <c r="G5" s="190">
        <v>11.327400000000001</v>
      </c>
      <c r="I5" s="133" t="s">
        <v>127</v>
      </c>
      <c r="J5" s="274">
        <f>IF(C4="","",(C4-B4)/B4)</f>
        <v>0.34867056383179323</v>
      </c>
      <c r="K5" s="266"/>
      <c r="L5" s="267"/>
      <c r="N5" s="45" t="s">
        <v>118</v>
      </c>
      <c r="O5" s="54">
        <f>IF(J10="","",STDEV(J2:J10))</f>
        <v>3.2974303785710214E-3</v>
      </c>
      <c r="P5" s="122">
        <f>IF(J10="","",STDEV(K2:K10))</f>
        <v>2.5185279397809571E-3</v>
      </c>
      <c r="R5" s="45" t="s">
        <v>118</v>
      </c>
      <c r="S5" s="54">
        <f>STDEV(J2:J28)</f>
        <v>3.006323949574178E-3</v>
      </c>
      <c r="T5" s="122">
        <f>STDEV(K2:K28)</f>
        <v>2.5594898936277589E-3</v>
      </c>
      <c r="W5" s="64" t="s">
        <v>543</v>
      </c>
      <c r="X5" s="155">
        <f>AVERAGE(AG16:AG18)</f>
        <v>5.6390773763375463E-3</v>
      </c>
      <c r="Z5" s="64" t="s">
        <v>543</v>
      </c>
      <c r="AA5" s="155">
        <f>AVERAGE(AK19:AK21)</f>
        <v>3.7248635492584023E-3</v>
      </c>
      <c r="AC5" s="64" t="s">
        <v>543</v>
      </c>
      <c r="AD5" s="155">
        <f>AVERAGE(AO22:AO24)</f>
        <v>1.8020509303391385E-3</v>
      </c>
      <c r="AF5">
        <v>2</v>
      </c>
      <c r="AG5" s="119">
        <f>K6</f>
        <v>0.35211986925639566</v>
      </c>
      <c r="AH5" s="119">
        <f>X$3</f>
        <v>0.3522885367280239</v>
      </c>
      <c r="AI5" s="119">
        <f>X$6</f>
        <v>0.35805731288401721</v>
      </c>
      <c r="AJ5" s="119">
        <f>X$7</f>
        <v>0.3465197605720306</v>
      </c>
      <c r="AK5" s="119"/>
      <c r="AL5" s="119"/>
      <c r="AM5" s="119"/>
      <c r="AN5" s="119"/>
      <c r="AO5" s="119"/>
      <c r="AP5" s="119"/>
      <c r="AQ5" s="119"/>
      <c r="AR5" s="119"/>
    </row>
    <row r="6" spans="1:44">
      <c r="A6" s="58" t="s">
        <v>94</v>
      </c>
      <c r="B6" s="183">
        <v>8.4770000000000003</v>
      </c>
      <c r="C6" s="184">
        <v>11.430400000000001</v>
      </c>
      <c r="D6" s="183">
        <v>8.4770000000000003</v>
      </c>
      <c r="E6" s="185">
        <v>11.464</v>
      </c>
      <c r="F6" s="183">
        <v>8.4770000000000003</v>
      </c>
      <c r="G6" s="188">
        <v>11.435</v>
      </c>
      <c r="I6" s="134"/>
      <c r="J6" s="275">
        <f>IF(E4="","",(E4-D4)/D4)</f>
        <v>0.35296058834621907</v>
      </c>
      <c r="K6" s="269">
        <f>IF(J7="","",AVERAGE(J5:J7))</f>
        <v>0.35211986925639566</v>
      </c>
      <c r="L6" s="270">
        <f>IF(J7="","",STDEV(J5:J7))</f>
        <v>3.1152238415707665E-3</v>
      </c>
      <c r="N6" s="123" t="s">
        <v>119</v>
      </c>
      <c r="O6" s="124">
        <f>IF(J10="","",O5/O4)</f>
        <v>9.3600274627065865E-3</v>
      </c>
      <c r="P6" s="125">
        <f>IF(J10="","",P5/P4)</f>
        <v>7.1490487972514626E-3</v>
      </c>
      <c r="R6" s="123" t="s">
        <v>119</v>
      </c>
      <c r="S6" s="124">
        <f>S5/S4</f>
        <v>8.5182219859665734E-3</v>
      </c>
      <c r="T6" s="125">
        <f>T5/T4</f>
        <v>7.2521469576980729E-3</v>
      </c>
      <c r="W6" s="64" t="s">
        <v>539</v>
      </c>
      <c r="X6" s="279">
        <f>X3+X4*X5</f>
        <v>0.35805731288401721</v>
      </c>
      <c r="Z6" s="64" t="s">
        <v>539</v>
      </c>
      <c r="AA6" s="279">
        <f>AA3+AA4*AA5</f>
        <v>0.35771760641101791</v>
      </c>
      <c r="AC6" s="64" t="s">
        <v>539</v>
      </c>
      <c r="AD6" s="279">
        <f>AD3+AD4*AD5</f>
        <v>0.3544336162657884</v>
      </c>
      <c r="AF6">
        <v>3</v>
      </c>
      <c r="AG6" s="119">
        <f>K9</f>
        <v>0.34985858200654668</v>
      </c>
      <c r="AH6" s="119">
        <f>X$3</f>
        <v>0.3522885367280239</v>
      </c>
      <c r="AI6" s="119">
        <f>X$6</f>
        <v>0.35805731288401721</v>
      </c>
      <c r="AJ6" s="119">
        <f>X$7</f>
        <v>0.3465197605720306</v>
      </c>
      <c r="AK6" s="119"/>
      <c r="AL6" s="119"/>
      <c r="AM6" s="119"/>
      <c r="AN6" s="119"/>
      <c r="AO6" s="119"/>
      <c r="AP6" s="119"/>
      <c r="AQ6" s="119"/>
      <c r="AR6" s="119"/>
    </row>
    <row r="7" spans="1:44" ht="13.5" thickBot="1">
      <c r="A7" s="285" t="s">
        <v>95</v>
      </c>
      <c r="B7" s="186">
        <v>8.4865999999999993</v>
      </c>
      <c r="C7" s="187">
        <v>11.522</v>
      </c>
      <c r="D7" s="186">
        <v>8.4865999999999993</v>
      </c>
      <c r="E7" s="188">
        <v>11.492800000000001</v>
      </c>
      <c r="F7" s="186">
        <v>8.4865999999999993</v>
      </c>
      <c r="G7" s="188">
        <v>11.5084</v>
      </c>
      <c r="I7" s="135"/>
      <c r="J7" s="276">
        <f>IF(G4="","",(G4-F4)/F4)</f>
        <v>0.35472845559117483</v>
      </c>
      <c r="K7" s="272"/>
      <c r="L7" s="273"/>
      <c r="N7" s="45"/>
      <c r="O7" s="36"/>
      <c r="P7" s="120"/>
      <c r="R7" s="45"/>
      <c r="S7" s="36"/>
      <c r="T7" s="120"/>
      <c r="W7" s="64" t="s">
        <v>540</v>
      </c>
      <c r="X7" s="280">
        <f>X3-X4*X5</f>
        <v>0.3465197605720306</v>
      </c>
      <c r="Z7" s="64" t="s">
        <v>540</v>
      </c>
      <c r="AA7" s="280">
        <f>AA3-AA4*AA5</f>
        <v>0.35009653558923526</v>
      </c>
      <c r="AC7" s="64" t="s">
        <v>540</v>
      </c>
      <c r="AD7" s="280">
        <f>AD3-AD4*AD5</f>
        <v>0.3507466200623145</v>
      </c>
      <c r="AF7">
        <v>4</v>
      </c>
      <c r="AG7" s="119"/>
      <c r="AH7" s="119"/>
      <c r="AI7" s="119"/>
      <c r="AJ7" s="119"/>
      <c r="AK7" s="119">
        <f>K12</f>
        <v>0.34990366088631991</v>
      </c>
      <c r="AL7" s="119">
        <f>AA$3</f>
        <v>0.35390707100012658</v>
      </c>
      <c r="AM7" s="119">
        <f>AA$6</f>
        <v>0.35771760641101791</v>
      </c>
      <c r="AN7" s="119">
        <f>AA$7</f>
        <v>0.35009653558923526</v>
      </c>
      <c r="AO7" s="119"/>
      <c r="AP7" s="119"/>
      <c r="AQ7" s="119"/>
      <c r="AR7" s="119"/>
    </row>
    <row r="8" spans="1:44" ht="13.5" thickBot="1">
      <c r="A8" s="60" t="s">
        <v>96</v>
      </c>
      <c r="B8" s="186">
        <v>8.4876000000000005</v>
      </c>
      <c r="C8" s="187">
        <v>11.5236</v>
      </c>
      <c r="D8" s="186">
        <v>8.4876000000000005</v>
      </c>
      <c r="E8" s="190">
        <v>11.507999999999999</v>
      </c>
      <c r="F8" s="186">
        <v>8.4876000000000005</v>
      </c>
      <c r="G8" s="190">
        <v>11.4916</v>
      </c>
      <c r="I8" s="133" t="s">
        <v>128</v>
      </c>
      <c r="J8" s="265">
        <f>IF(C5="","",(C5-B5)/B5)</f>
        <v>0.34714939460387079</v>
      </c>
      <c r="K8" s="266"/>
      <c r="L8" s="267"/>
      <c r="N8" s="121" t="s">
        <v>120</v>
      </c>
      <c r="O8" s="54">
        <f>IF(J10="","",MAX(J2:J10))</f>
        <v>0.35770228827553674</v>
      </c>
      <c r="P8" s="122">
        <f>IF(J10="","",MAX(K2:K10))</f>
        <v>0.35488715892112926</v>
      </c>
      <c r="R8" s="121" t="s">
        <v>120</v>
      </c>
      <c r="S8" s="54">
        <f>MAX(J2:J28)</f>
        <v>0.35770228827553674</v>
      </c>
      <c r="T8" s="122">
        <f>MAX(K2:K28)</f>
        <v>0.35598865662731066</v>
      </c>
      <c r="AF8">
        <v>5</v>
      </c>
      <c r="AG8" s="119"/>
      <c r="AH8" s="119"/>
      <c r="AI8" s="119"/>
      <c r="AJ8" s="119"/>
      <c r="AK8" s="119">
        <f>K15</f>
        <v>0.35598865662731066</v>
      </c>
      <c r="AL8" s="119">
        <f>AA$3</f>
        <v>0.35390707100012658</v>
      </c>
      <c r="AM8" s="119">
        <f>AA$6</f>
        <v>0.35771760641101791</v>
      </c>
      <c r="AN8" s="119">
        <f>AA$7</f>
        <v>0.35009653558923526</v>
      </c>
      <c r="AO8" s="119"/>
      <c r="AP8" s="119"/>
      <c r="AQ8" s="119"/>
      <c r="AR8" s="119"/>
    </row>
    <row r="9" spans="1:44" ht="15">
      <c r="A9" s="59" t="s">
        <v>97</v>
      </c>
      <c r="B9" s="191">
        <v>8.4570000000000007</v>
      </c>
      <c r="C9" s="192">
        <v>11.4574</v>
      </c>
      <c r="D9" s="191">
        <v>8.4570000000000007</v>
      </c>
      <c r="E9" s="193">
        <v>11.461600000000001</v>
      </c>
      <c r="F9" s="191">
        <v>8.4570000000000007</v>
      </c>
      <c r="G9" s="195">
        <v>11.465999999999999</v>
      </c>
      <c r="I9" s="134"/>
      <c r="J9" s="268">
        <f>IF(E5="","",(E5-D5)/D5)</f>
        <v>0.35251215559157217</v>
      </c>
      <c r="K9" s="269">
        <f>IF(J10="","",AVERAGE(J8:J10))</f>
        <v>0.34985858200654668</v>
      </c>
      <c r="L9" s="270">
        <f>IF(J10="","",STDEV(J8:J10))</f>
        <v>2.6818130108824186E-3</v>
      </c>
      <c r="N9" s="121" t="s">
        <v>121</v>
      </c>
      <c r="O9" s="54">
        <f>IF(J10="","",MIN(J2:J10))</f>
        <v>0.34714939460387079</v>
      </c>
      <c r="P9" s="122">
        <f>IF(J10="","",MIN(K2:K10))</f>
        <v>0.34985858200654668</v>
      </c>
      <c r="R9" s="121" t="s">
        <v>121</v>
      </c>
      <c r="S9" s="54">
        <f>MIN(J2:J28)</f>
        <v>0.34714939460387079</v>
      </c>
      <c r="T9" s="122">
        <f>MIN(K2:K28)</f>
        <v>0.34985858200654668</v>
      </c>
      <c r="AF9">
        <v>6</v>
      </c>
      <c r="AG9" s="119"/>
      <c r="AH9" s="119"/>
      <c r="AI9" s="119"/>
      <c r="AJ9" s="119"/>
      <c r="AK9" s="119">
        <f>K18</f>
        <v>0.35582889548674917</v>
      </c>
      <c r="AL9" s="119">
        <f>AA$3</f>
        <v>0.35390707100012658</v>
      </c>
      <c r="AM9" s="119">
        <f>AA$6</f>
        <v>0.35771760641101791</v>
      </c>
      <c r="AN9" s="119">
        <f>AA$7</f>
        <v>0.35009653558923526</v>
      </c>
      <c r="AO9" s="119"/>
      <c r="AP9" s="119"/>
      <c r="AQ9" s="119"/>
      <c r="AR9" s="119"/>
    </row>
    <row r="10" spans="1:44" ht="15.75" thickBot="1">
      <c r="A10" s="285" t="s">
        <v>98</v>
      </c>
      <c r="B10" s="194">
        <v>8.4730000000000008</v>
      </c>
      <c r="C10" s="196">
        <v>11.445399999999999</v>
      </c>
      <c r="D10" s="194">
        <v>8.4730000000000008</v>
      </c>
      <c r="E10" s="196">
        <v>11.459199999999999</v>
      </c>
      <c r="F10" s="194">
        <v>8.4730000000000008</v>
      </c>
      <c r="G10" s="195">
        <v>11.4526</v>
      </c>
      <c r="I10" s="135"/>
      <c r="J10" s="271">
        <f>IF(G5="","",(G5-F5)/F5)</f>
        <v>0.34991419582419697</v>
      </c>
      <c r="K10" s="272"/>
      <c r="L10" s="273"/>
      <c r="N10" s="126" t="s">
        <v>122</v>
      </c>
      <c r="O10" s="127">
        <f>IF(J10="","",O8-O9)</f>
        <v>1.0552893671665953E-2</v>
      </c>
      <c r="P10" s="50">
        <f>IF(J10="","",P8-P9)</f>
        <v>5.0285769145825832E-3</v>
      </c>
      <c r="R10" s="126" t="s">
        <v>122</v>
      </c>
      <c r="S10" s="127">
        <f>S8-S9</f>
        <v>1.0552893671665953E-2</v>
      </c>
      <c r="T10" s="50">
        <f>T8-T9</f>
        <v>6.1300746207639811E-3</v>
      </c>
      <c r="AF10">
        <v>7</v>
      </c>
      <c r="AG10" s="119"/>
      <c r="AH10" s="119"/>
      <c r="AI10" s="119"/>
      <c r="AJ10" s="119"/>
      <c r="AK10" s="119"/>
      <c r="AL10" s="119"/>
      <c r="AM10" s="119"/>
      <c r="AN10" s="119"/>
      <c r="AO10" s="119">
        <f>K21</f>
        <v>0.3552875330101295</v>
      </c>
      <c r="AP10" s="119">
        <f>AD$3</f>
        <v>0.35259011816405145</v>
      </c>
      <c r="AQ10" s="119">
        <f>AD$6</f>
        <v>0.3544336162657884</v>
      </c>
      <c r="AR10" s="119">
        <f>AD$7</f>
        <v>0.3507466200623145</v>
      </c>
    </row>
    <row r="11" spans="1:44" ht="16.5" thickBot="1">
      <c r="A11" s="60" t="s">
        <v>99</v>
      </c>
      <c r="B11" s="197">
        <v>8.4765999999999995</v>
      </c>
      <c r="C11" s="198">
        <v>11.435600000000001</v>
      </c>
      <c r="D11" s="197">
        <v>8.4765999999999995</v>
      </c>
      <c r="E11" s="198">
        <v>11.459</v>
      </c>
      <c r="F11" s="197">
        <v>8.4765999999999995</v>
      </c>
      <c r="G11" s="199">
        <v>11.4572</v>
      </c>
      <c r="I11" s="136" t="s">
        <v>129</v>
      </c>
      <c r="J11" s="265">
        <f>IF(C6="","",(C6-B6)/B6)</f>
        <v>0.34840155715465376</v>
      </c>
      <c r="K11" s="266"/>
      <c r="L11" s="267"/>
      <c r="N11" s="349" t="s">
        <v>137</v>
      </c>
      <c r="O11" s="350"/>
      <c r="P11" s="351"/>
      <c r="AF11">
        <v>8</v>
      </c>
      <c r="AG11" s="119"/>
      <c r="AH11" s="119"/>
      <c r="AI11" s="119"/>
      <c r="AJ11" s="119"/>
      <c r="AK11" s="119"/>
      <c r="AL11" s="119"/>
      <c r="AM11" s="119"/>
      <c r="AN11" s="119"/>
      <c r="AO11" s="119">
        <f>K24</f>
        <v>0.35163460403635066</v>
      </c>
      <c r="AP11" s="119">
        <f>AD$3</f>
        <v>0.35259011816405145</v>
      </c>
      <c r="AQ11" s="119">
        <f>AD$6</f>
        <v>0.3544336162657884</v>
      </c>
      <c r="AR11" s="119">
        <f>AD$7</f>
        <v>0.3507466200623145</v>
      </c>
    </row>
    <row r="12" spans="1:44">
      <c r="I12" s="134"/>
      <c r="J12" s="268">
        <f>IF(E6="","",(E6-D6)/D6)</f>
        <v>0.35236522354606581</v>
      </c>
      <c r="K12" s="269">
        <f>IF(J13="","",AVERAGE(J11:J13))</f>
        <v>0.34990366088631991</v>
      </c>
      <c r="L12" s="270">
        <f>IF(J13="","",STDEV(J11:J13))</f>
        <v>2.1489727526440433E-3</v>
      </c>
      <c r="N12" s="45"/>
      <c r="O12" s="36" t="s">
        <v>115</v>
      </c>
      <c r="P12" s="120" t="s">
        <v>116</v>
      </c>
      <c r="AF12">
        <v>9</v>
      </c>
      <c r="AG12" s="119"/>
      <c r="AH12" s="119"/>
      <c r="AI12" s="119"/>
      <c r="AJ12" s="119"/>
      <c r="AK12" s="119"/>
      <c r="AL12" s="119"/>
      <c r="AM12" s="119"/>
      <c r="AN12" s="119"/>
      <c r="AO12" s="119">
        <f>K27</f>
        <v>0.35084821744567413</v>
      </c>
      <c r="AP12" s="119">
        <f>AD$3</f>
        <v>0.35259011816405145</v>
      </c>
      <c r="AQ12" s="119">
        <f>AD$6</f>
        <v>0.3544336162657884</v>
      </c>
      <c r="AR12" s="119">
        <f>AD$7</f>
        <v>0.3507466200623145</v>
      </c>
    </row>
    <row r="13" spans="1:44" ht="16.5" thickBot="1">
      <c r="A13" t="s">
        <v>14</v>
      </c>
      <c r="B13" s="61">
        <v>18</v>
      </c>
      <c r="C13" s="62"/>
      <c r="D13" s="62"/>
      <c r="I13" s="135"/>
      <c r="J13" s="271">
        <f>IF(G6="","",(G6-F6)/F6)</f>
        <v>0.34894420195823994</v>
      </c>
      <c r="K13" s="272"/>
      <c r="L13" s="273"/>
      <c r="N13" s="121" t="s">
        <v>117</v>
      </c>
      <c r="O13" s="54">
        <f>IF(J19="","",AVERAGE(J11:J19))</f>
        <v>0.35390707100012647</v>
      </c>
      <c r="P13" s="122">
        <f>IF(J19="","",AVERAGE(K11:K19))</f>
        <v>0.35390707100012658</v>
      </c>
      <c r="R13" s="281"/>
    </row>
    <row r="14" spans="1:44">
      <c r="A14" t="s">
        <v>77</v>
      </c>
      <c r="B14" s="320" t="s">
        <v>114</v>
      </c>
      <c r="C14" s="354"/>
      <c r="D14" s="354"/>
      <c r="I14" s="136" t="s">
        <v>130</v>
      </c>
      <c r="J14" s="274">
        <f>IF(C7="","",(C7-B7)/B7)</f>
        <v>0.35766973817547676</v>
      </c>
      <c r="K14" s="266"/>
      <c r="L14" s="267"/>
      <c r="N14" s="45" t="s">
        <v>118</v>
      </c>
      <c r="O14" s="54">
        <f>IF(J19="","",STDEV(J11:J19))</f>
        <v>3.4357405384666099E-3</v>
      </c>
      <c r="P14" s="122">
        <f>IF(J19="","",STDEV(K11:K19))</f>
        <v>3.4679749580995445E-3</v>
      </c>
      <c r="R14" s="283" t="s">
        <v>608</v>
      </c>
      <c r="S14" s="114"/>
      <c r="AF14" s="64" t="s">
        <v>557</v>
      </c>
    </row>
    <row r="15" spans="1:44" ht="15.75">
      <c r="A15" t="s">
        <v>78</v>
      </c>
      <c r="B15" s="355">
        <v>40309</v>
      </c>
      <c r="C15" s="356"/>
      <c r="D15" s="356"/>
      <c r="I15" s="134"/>
      <c r="J15" s="275">
        <f>IF(E7="","",(E7-D7)/D7)</f>
        <v>0.35422901986661348</v>
      </c>
      <c r="K15" s="269">
        <f>IF(J16="","",AVERAGE(J14:J16))</f>
        <v>0.35598865662731066</v>
      </c>
      <c r="L15" s="270">
        <f>IF(J16="","",STDEV(J14:J16))</f>
        <v>1.721703752478514E-3</v>
      </c>
      <c r="N15" s="123" t="s">
        <v>119</v>
      </c>
      <c r="O15" s="124">
        <f>IF(J19="","",O14/O13)</f>
        <v>9.7080302147039676E-3</v>
      </c>
      <c r="P15" s="125">
        <f>IF(J19="","",P14/P13)</f>
        <v>9.7991118072300511E-3</v>
      </c>
      <c r="R15" s="284" t="s">
        <v>609</v>
      </c>
      <c r="S15" s="286" t="str">
        <f>IF(T6&lt;=0.01,"Acceptable","Not acceptable, investigate reasons.")</f>
        <v>Acceptable</v>
      </c>
      <c r="W15" s="64" t="s">
        <v>552</v>
      </c>
      <c r="Z15" s="64" t="s">
        <v>553</v>
      </c>
      <c r="AC15" s="64" t="s">
        <v>554</v>
      </c>
      <c r="AF15" s="64" t="s">
        <v>547</v>
      </c>
      <c r="AG15" s="64" t="s">
        <v>570</v>
      </c>
      <c r="AH15" s="64" t="s">
        <v>543</v>
      </c>
      <c r="AI15" s="64" t="s">
        <v>539</v>
      </c>
      <c r="AJ15" s="64" t="s">
        <v>540</v>
      </c>
      <c r="AK15" s="64" t="s">
        <v>571</v>
      </c>
      <c r="AL15" s="64" t="s">
        <v>543</v>
      </c>
      <c r="AM15" s="64" t="s">
        <v>539</v>
      </c>
      <c r="AN15" s="64" t="s">
        <v>540</v>
      </c>
      <c r="AO15" s="64" t="s">
        <v>572</v>
      </c>
      <c r="AP15" s="64" t="s">
        <v>543</v>
      </c>
      <c r="AQ15" s="64" t="s">
        <v>539</v>
      </c>
      <c r="AR15" s="64" t="s">
        <v>540</v>
      </c>
    </row>
    <row r="16" spans="1:44" ht="13.5" thickBot="1">
      <c r="A16" t="s">
        <v>76</v>
      </c>
      <c r="B16" s="61" t="s">
        <v>108</v>
      </c>
      <c r="C16" s="61"/>
      <c r="D16" s="61"/>
      <c r="I16" s="135"/>
      <c r="J16" s="276">
        <f>IF(G7="","",(G7-F7)/F7)</f>
        <v>0.35606721183984175</v>
      </c>
      <c r="K16" s="272"/>
      <c r="L16" s="273"/>
      <c r="N16" s="45"/>
      <c r="O16" s="36"/>
      <c r="P16" s="120"/>
      <c r="R16" s="282"/>
      <c r="W16" s="64" t="s">
        <v>543</v>
      </c>
      <c r="X16" s="119">
        <f>X5</f>
        <v>5.6390773763375463E-3</v>
      </c>
      <c r="Z16" s="64" t="s">
        <v>543</v>
      </c>
      <c r="AA16" s="119">
        <f>AA5</f>
        <v>3.7248635492584023E-3</v>
      </c>
      <c r="AC16" s="64" t="s">
        <v>543</v>
      </c>
      <c r="AD16" s="119">
        <f>AD5</f>
        <v>1.8020509303391385E-3</v>
      </c>
      <c r="AF16">
        <v>1</v>
      </c>
      <c r="AG16" s="119">
        <f>MAX(J2:J4)-MIN(J2:J4)</f>
        <v>5.496579381929656E-3</v>
      </c>
      <c r="AH16" s="119">
        <f>X$16</f>
        <v>5.6390773763375463E-3</v>
      </c>
      <c r="AI16" s="119">
        <f>X$19</f>
        <v>1.4514985166692843E-2</v>
      </c>
      <c r="AJ16" s="119">
        <f>X$20</f>
        <v>0</v>
      </c>
      <c r="AK16" s="119"/>
      <c r="AL16" s="119"/>
      <c r="AM16" s="119"/>
      <c r="AN16" s="119"/>
      <c r="AO16" s="119"/>
      <c r="AP16" s="119"/>
      <c r="AQ16" s="119"/>
      <c r="AR16" s="119"/>
    </row>
    <row r="17" spans="1:44">
      <c r="F17" s="2"/>
      <c r="G17" s="2"/>
      <c r="I17" s="136" t="s">
        <v>131</v>
      </c>
      <c r="J17" s="265">
        <f>IF(C8="","",(C8-B8)/B8)</f>
        <v>0.35769828926905123</v>
      </c>
      <c r="K17" s="266"/>
      <c r="L17" s="267"/>
      <c r="N17" s="121" t="s">
        <v>120</v>
      </c>
      <c r="O17" s="54">
        <f>IF(J19="","",MAX(J11:J19))</f>
        <v>0.35769828926905123</v>
      </c>
      <c r="P17" s="122">
        <f>IF(J19="","",MAX(K11:K19))</f>
        <v>0.35598865662731066</v>
      </c>
      <c r="R17" s="282"/>
      <c r="W17" s="64" t="s">
        <v>555</v>
      </c>
      <c r="X17">
        <v>0</v>
      </c>
      <c r="Z17" s="64" t="s">
        <v>555</v>
      </c>
      <c r="AA17">
        <v>0</v>
      </c>
      <c r="AC17" s="64" t="s">
        <v>555</v>
      </c>
      <c r="AD17">
        <v>0</v>
      </c>
      <c r="AF17">
        <v>2</v>
      </c>
      <c r="AG17" s="119">
        <f>MAX(J5:J7)-MIN(J5:J7)</f>
        <v>6.0578917593815951E-3</v>
      </c>
      <c r="AH17" s="119">
        <f>X$16</f>
        <v>5.6390773763375463E-3</v>
      </c>
      <c r="AI17" s="119">
        <f>X$19</f>
        <v>1.4514985166692843E-2</v>
      </c>
      <c r="AJ17" s="119">
        <f>X$20</f>
        <v>0</v>
      </c>
      <c r="AK17" s="119"/>
      <c r="AL17" s="119"/>
      <c r="AM17" s="119"/>
      <c r="AN17" s="119"/>
      <c r="AO17" s="119"/>
      <c r="AP17" s="119"/>
      <c r="AQ17" s="119"/>
      <c r="AR17" s="119"/>
    </row>
    <row r="18" spans="1:44" ht="15.75">
      <c r="B18" s="277">
        <v>8.4779999999999998</v>
      </c>
      <c r="C18" s="277">
        <v>11.464</v>
      </c>
      <c r="E18" s="2"/>
      <c r="F18" s="2"/>
      <c r="G18" s="2"/>
      <c r="I18" s="134"/>
      <c r="J18" s="268">
        <f>IF(E8="","",(E8-D8)/D8)</f>
        <v>0.35586031386964495</v>
      </c>
      <c r="K18" s="269">
        <f>IF(J19="","",AVERAGE(J17:J19))</f>
        <v>0.35582889548674917</v>
      </c>
      <c r="L18" s="270">
        <f>IF(J19="","",STDEV(J17:J19))</f>
        <v>1.8852993284167667E-3</v>
      </c>
      <c r="N18" s="121" t="s">
        <v>121</v>
      </c>
      <c r="O18" s="54">
        <f>IF(J19="","",MIN(J11:J19))</f>
        <v>0.34840155715465376</v>
      </c>
      <c r="P18" s="122">
        <f>IF(J19="","",MIN(K11:K19))</f>
        <v>0.34990366088631991</v>
      </c>
      <c r="R18" s="281"/>
      <c r="W18" s="64" t="s">
        <v>556</v>
      </c>
      <c r="X18">
        <v>2.5739999999999998</v>
      </c>
      <c r="Z18" s="64" t="s">
        <v>556</v>
      </c>
      <c r="AA18">
        <v>2.5739999999999998</v>
      </c>
      <c r="AC18" s="64" t="s">
        <v>556</v>
      </c>
      <c r="AD18">
        <v>2.5739999999999998</v>
      </c>
      <c r="AF18">
        <v>3</v>
      </c>
      <c r="AG18" s="119">
        <f>MAX(J8:J10)-MIN(J8:J10)</f>
        <v>5.3627609877013871E-3</v>
      </c>
      <c r="AH18" s="119">
        <f>X$16</f>
        <v>5.6390773763375463E-3</v>
      </c>
      <c r="AI18" s="119">
        <f>X$19</f>
        <v>1.4514985166692843E-2</v>
      </c>
      <c r="AJ18" s="119">
        <f>X$20</f>
        <v>0</v>
      </c>
      <c r="AK18" s="119"/>
      <c r="AL18" s="119"/>
      <c r="AM18" s="119"/>
      <c r="AN18" s="119"/>
      <c r="AO18" s="119"/>
      <c r="AP18" s="119"/>
      <c r="AQ18" s="119"/>
      <c r="AR18" s="119"/>
    </row>
    <row r="19" spans="1:44" ht="13.5" thickBot="1">
      <c r="A19" s="2"/>
      <c r="B19" s="277">
        <v>8.4779999999999998</v>
      </c>
      <c r="C19" s="277">
        <v>11.4856</v>
      </c>
      <c r="E19" s="2"/>
      <c r="F19" s="2"/>
      <c r="G19" s="2"/>
      <c r="I19" s="135"/>
      <c r="J19" s="271">
        <f>IF(G8="","",(G8-F8)/F8)</f>
        <v>0.35392808332155135</v>
      </c>
      <c r="K19" s="272"/>
      <c r="L19" s="273"/>
      <c r="N19" s="126" t="s">
        <v>122</v>
      </c>
      <c r="O19" s="127">
        <f>IF(J19="","",O17-O18)</f>
        <v>9.2967321143974657E-3</v>
      </c>
      <c r="P19" s="50">
        <f>IF(J19="","",P17-P18)</f>
        <v>6.0849957409907507E-3</v>
      </c>
      <c r="R19" s="282"/>
      <c r="W19" s="64" t="s">
        <v>539</v>
      </c>
      <c r="X19" s="119">
        <f>X18*X16</f>
        <v>1.4514985166692843E-2</v>
      </c>
      <c r="Z19" s="64" t="s">
        <v>539</v>
      </c>
      <c r="AA19" s="119">
        <f>AA18*AA16</f>
        <v>9.5877987757911273E-3</v>
      </c>
      <c r="AC19" s="64" t="s">
        <v>539</v>
      </c>
      <c r="AD19" s="119">
        <f>AD18*AD16</f>
        <v>4.6384790946929428E-3</v>
      </c>
      <c r="AF19">
        <v>4</v>
      </c>
      <c r="AH19" s="119"/>
      <c r="AI19" s="119"/>
      <c r="AJ19" s="119"/>
      <c r="AK19" s="119">
        <f>MAX(J11:J13)-MIN(J11:J13)</f>
        <v>3.9636663914120462E-3</v>
      </c>
      <c r="AL19" s="119">
        <f>AA$16</f>
        <v>3.7248635492584023E-3</v>
      </c>
      <c r="AM19" s="119">
        <f>AA$19</f>
        <v>9.5877987757911273E-3</v>
      </c>
      <c r="AN19" s="119">
        <f>AA$20</f>
        <v>0</v>
      </c>
      <c r="AO19" s="119"/>
      <c r="AP19" s="119"/>
      <c r="AQ19" s="119"/>
      <c r="AR19" s="119"/>
    </row>
    <row r="20" spans="1:44" ht="15.75">
      <c r="A20" s="154"/>
      <c r="B20" s="277">
        <v>8.4779999999999998</v>
      </c>
      <c r="C20" s="277">
        <v>11.5106</v>
      </c>
      <c r="E20" s="2"/>
      <c r="F20" s="2"/>
      <c r="G20" s="2"/>
      <c r="I20" s="137" t="s">
        <v>132</v>
      </c>
      <c r="J20" s="265">
        <f>IF(C9="","",(C9-B9)/B9)</f>
        <v>0.35478301998344552</v>
      </c>
      <c r="K20" s="266"/>
      <c r="L20" s="267"/>
      <c r="N20" s="349" t="s">
        <v>138</v>
      </c>
      <c r="O20" s="350"/>
      <c r="P20" s="351"/>
      <c r="R20" s="282"/>
      <c r="W20" s="64" t="s">
        <v>540</v>
      </c>
      <c r="X20" s="119">
        <f>X17*X16</f>
        <v>0</v>
      </c>
      <c r="Z20" s="64" t="s">
        <v>540</v>
      </c>
      <c r="AA20" s="119">
        <f>AA17*AA16</f>
        <v>0</v>
      </c>
      <c r="AC20" s="64" t="s">
        <v>540</v>
      </c>
      <c r="AD20" s="119">
        <f>AD17*AD16</f>
        <v>0</v>
      </c>
      <c r="AF20">
        <v>5</v>
      </c>
      <c r="AH20" s="119"/>
      <c r="AI20" s="119"/>
      <c r="AJ20" s="119"/>
      <c r="AK20" s="119">
        <f>MAX(J14:J16)-MIN(J14:J16)</f>
        <v>3.4407183088632776E-3</v>
      </c>
      <c r="AL20" s="119">
        <f>AA$16</f>
        <v>3.7248635492584023E-3</v>
      </c>
      <c r="AM20" s="119">
        <f>AA$19</f>
        <v>9.5877987757911273E-3</v>
      </c>
      <c r="AN20" s="119">
        <f>AA$20</f>
        <v>0</v>
      </c>
      <c r="AO20" s="119"/>
      <c r="AP20" s="119"/>
      <c r="AQ20" s="119"/>
      <c r="AR20" s="119"/>
    </row>
    <row r="21" spans="1:44" ht="15">
      <c r="A21" s="154"/>
      <c r="B21" s="277">
        <v>8.4847999999999999</v>
      </c>
      <c r="C21" s="277">
        <v>11.443199999999999</v>
      </c>
      <c r="E21" s="2"/>
      <c r="F21" s="2"/>
      <c r="G21" s="2"/>
      <c r="I21" s="134"/>
      <c r="J21" s="268">
        <f>IF(E9="","",(E9-D9)/D9)</f>
        <v>0.35527964999408768</v>
      </c>
      <c r="K21" s="269">
        <f>IF(J22="","",AVERAGE(J20:J22))</f>
        <v>0.3552875330101295</v>
      </c>
      <c r="L21" s="270">
        <f>IF(J22="","",STDEV(J20:J22))</f>
        <v>5.0850036412814165E-4</v>
      </c>
      <c r="N21" s="45"/>
      <c r="O21" s="36" t="s">
        <v>115</v>
      </c>
      <c r="P21" s="120" t="s">
        <v>116</v>
      </c>
      <c r="R21" s="282"/>
      <c r="AF21">
        <v>6</v>
      </c>
      <c r="AH21" s="119"/>
      <c r="AI21" s="119"/>
      <c r="AJ21" s="119"/>
      <c r="AK21" s="119">
        <f>MAX(J17:J19)-MIN(J17:J19)</f>
        <v>3.7702059474998828E-3</v>
      </c>
      <c r="AL21" s="119">
        <f>AA$16</f>
        <v>3.7248635492584023E-3</v>
      </c>
      <c r="AM21" s="119">
        <f>AA$19</f>
        <v>9.5877987757911273E-3</v>
      </c>
      <c r="AN21" s="119">
        <f>AA$20</f>
        <v>0</v>
      </c>
      <c r="AO21" s="119"/>
      <c r="AP21" s="119"/>
      <c r="AQ21" s="119"/>
      <c r="AR21" s="119"/>
    </row>
    <row r="22" spans="1:44" ht="15.75" customHeight="1" thickBot="1">
      <c r="A22" s="154"/>
      <c r="B22" s="277">
        <v>8.4847999999999999</v>
      </c>
      <c r="C22" s="277">
        <v>11.4796</v>
      </c>
      <c r="E22" s="2"/>
      <c r="F22" s="2"/>
      <c r="G22" s="2"/>
      <c r="I22" s="135"/>
      <c r="J22" s="271">
        <f>IF(G9="","",(G9-F9)/F9)</f>
        <v>0.3557999290528554</v>
      </c>
      <c r="K22" s="272"/>
      <c r="L22" s="273"/>
      <c r="N22" s="121" t="s">
        <v>117</v>
      </c>
      <c r="O22" s="54">
        <f>IF(J28="","",AVERAGE(J20:J28))</f>
        <v>0.35259011816405139</v>
      </c>
      <c r="P22" s="122">
        <f>IF(J28="","",AVERAGE(K20:K28))</f>
        <v>0.35259011816405145</v>
      </c>
      <c r="AF22">
        <v>7</v>
      </c>
      <c r="AH22" s="119"/>
      <c r="AI22" s="119"/>
      <c r="AJ22" s="119"/>
      <c r="AK22" s="119"/>
      <c r="AL22" s="119"/>
      <c r="AM22" s="119"/>
      <c r="AN22" s="119"/>
      <c r="AO22" s="119">
        <f>MAX(J20:J22)-MIN(J20:J22)</f>
        <v>1.016909069409877E-3</v>
      </c>
      <c r="AP22" s="119">
        <f>AD$16</f>
        <v>1.8020509303391385E-3</v>
      </c>
      <c r="AQ22" s="119">
        <f>AD$19</f>
        <v>4.6384790946929428E-3</v>
      </c>
      <c r="AR22" s="119">
        <f>AD$20</f>
        <v>0</v>
      </c>
    </row>
    <row r="23" spans="1:44" ht="15">
      <c r="A23" s="154"/>
      <c r="B23" s="277">
        <v>8.4847999999999999</v>
      </c>
      <c r="C23" s="277">
        <v>11.4946</v>
      </c>
      <c r="E23" s="2"/>
      <c r="F23" s="2"/>
      <c r="G23" s="2"/>
      <c r="I23" s="137" t="s">
        <v>133</v>
      </c>
      <c r="J23" s="274">
        <f>IF(C10="","",(C10-B10)/B10)</f>
        <v>0.35080845037176894</v>
      </c>
      <c r="K23" s="266"/>
      <c r="L23" s="267"/>
      <c r="N23" s="45" t="s">
        <v>118</v>
      </c>
      <c r="O23" s="54">
        <f>IF(J28="","",STDEV(J20:J28))</f>
        <v>2.2425929960081118E-3</v>
      </c>
      <c r="P23" s="122">
        <f>IF(J28="","",STDEV(K20:K28))</f>
        <v>2.3688892136148419E-3</v>
      </c>
      <c r="AF23">
        <v>8</v>
      </c>
      <c r="AH23" s="119"/>
      <c r="AI23" s="119"/>
      <c r="AJ23" s="119"/>
      <c r="AK23" s="119"/>
      <c r="AL23" s="119"/>
      <c r="AM23" s="119"/>
      <c r="AN23" s="119"/>
      <c r="AO23" s="119">
        <f>MAX(J23:J25)-MIN(J23:J25)</f>
        <v>1.6287029387466179E-3</v>
      </c>
      <c r="AP23" s="119">
        <f>AD$16</f>
        <v>1.8020509303391385E-3</v>
      </c>
      <c r="AQ23" s="119">
        <f>AD$19</f>
        <v>4.6384790946929428E-3</v>
      </c>
      <c r="AR23" s="119">
        <f>AD$20</f>
        <v>0</v>
      </c>
    </row>
    <row r="24" spans="1:44" ht="15">
      <c r="A24" s="154"/>
      <c r="B24" s="277">
        <v>8.3911999999999995</v>
      </c>
      <c r="C24" s="277">
        <v>11.3042</v>
      </c>
      <c r="F24" s="2"/>
      <c r="G24" s="2"/>
      <c r="I24" s="134"/>
      <c r="J24" s="275">
        <f>IF(E10="","",(E10-D10)/D10)</f>
        <v>0.35243715331051556</v>
      </c>
      <c r="K24" s="269">
        <f>IF(J25="","",AVERAGE(J23:J25))</f>
        <v>0.35163460403635066</v>
      </c>
      <c r="L24" s="270">
        <f>IF(J25="","",STDEV(J23:J25))</f>
        <v>8.1460799842972059E-4</v>
      </c>
      <c r="N24" s="123" t="s">
        <v>119</v>
      </c>
      <c r="O24" s="124">
        <f>IF(J28="","",O23/O22)</f>
        <v>6.3603398974576173E-3</v>
      </c>
      <c r="P24" s="125">
        <f>IF(J28="","",P23/P22)</f>
        <v>6.7185354653435192E-3</v>
      </c>
      <c r="AF24">
        <v>9</v>
      </c>
      <c r="AH24" s="119"/>
      <c r="AI24" s="119"/>
      <c r="AJ24" s="119"/>
      <c r="AK24" s="119"/>
      <c r="AL24" s="119"/>
      <c r="AM24" s="119"/>
      <c r="AN24" s="119"/>
      <c r="AO24" s="119">
        <f>MAX(J26:J28)-MIN(J26:J28)</f>
        <v>2.7605407828609207E-3</v>
      </c>
      <c r="AP24" s="119">
        <f>AD$16</f>
        <v>1.8020509303391385E-3</v>
      </c>
      <c r="AQ24" s="119">
        <f>AD$19</f>
        <v>4.6384790946929428E-3</v>
      </c>
      <c r="AR24" s="119">
        <f>AD$20</f>
        <v>0</v>
      </c>
    </row>
    <row r="25" spans="1:44" ht="15.75" thickBot="1">
      <c r="A25" s="154"/>
      <c r="B25" s="277">
        <v>8.3911999999999995</v>
      </c>
      <c r="C25" s="277">
        <v>11.3492</v>
      </c>
      <c r="D25" s="2"/>
      <c r="I25" s="135"/>
      <c r="J25" s="276">
        <f>IF(G10="","",(G10-F10)/F10)</f>
        <v>0.35165820842676732</v>
      </c>
      <c r="K25" s="272"/>
      <c r="L25" s="273"/>
      <c r="N25" s="45"/>
      <c r="O25" s="36"/>
      <c r="P25" s="120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</row>
    <row r="26" spans="1:44" ht="15">
      <c r="A26" s="154"/>
      <c r="B26" s="277">
        <v>8.3911999999999995</v>
      </c>
      <c r="C26" s="277">
        <v>11.327400000000001</v>
      </c>
      <c r="D26" s="2"/>
      <c r="I26" s="137" t="s">
        <v>134</v>
      </c>
      <c r="J26" s="265">
        <f>IF(C11="","",(C11-B11)/B11)</f>
        <v>0.34907864002076322</v>
      </c>
      <c r="K26" s="266"/>
      <c r="L26" s="267"/>
      <c r="N26" s="121" t="s">
        <v>120</v>
      </c>
      <c r="O26" s="54">
        <f>IF(J28="","",MAX(J20:J28))</f>
        <v>0.3557999290528554</v>
      </c>
      <c r="P26" s="122">
        <f>IF(J28="","",MAX(K20:K28))</f>
        <v>0.3552875330101295</v>
      </c>
      <c r="AF26" s="64" t="s">
        <v>564</v>
      </c>
    </row>
    <row r="27" spans="1:44" ht="15">
      <c r="A27" s="154"/>
      <c r="B27" s="277">
        <v>8.4770000000000003</v>
      </c>
      <c r="C27" s="277">
        <v>11.430400000000001</v>
      </c>
      <c r="D27" s="2"/>
      <c r="I27" s="134"/>
      <c r="J27" s="268">
        <f>IF(E11="","",(E11-D11)/D11)</f>
        <v>0.35183918080362414</v>
      </c>
      <c r="K27" s="269">
        <f>IF(J28="","",AVERAGE(J26:J28))</f>
        <v>0.35084821744567413</v>
      </c>
      <c r="L27" s="270">
        <f>IF(J28="","",STDEV(J26:J28))</f>
        <v>1.5361725985095379E-3</v>
      </c>
      <c r="N27" s="121" t="s">
        <v>121</v>
      </c>
      <c r="O27" s="54">
        <f>IF(J28="","",MIN(J20:J28))</f>
        <v>0.34907864002076322</v>
      </c>
      <c r="P27" s="122">
        <f>IF(J28="","",MIN(K20:K28))</f>
        <v>0.35084821744567413</v>
      </c>
      <c r="W27" s="64" t="s">
        <v>559</v>
      </c>
      <c r="Z27" s="64" t="s">
        <v>560</v>
      </c>
      <c r="AC27" s="64" t="s">
        <v>561</v>
      </c>
      <c r="AF27" s="64" t="s">
        <v>547</v>
      </c>
      <c r="AG27" s="64" t="s">
        <v>567</v>
      </c>
      <c r="AH27" s="64" t="s">
        <v>541</v>
      </c>
      <c r="AI27" s="64" t="s">
        <v>539</v>
      </c>
      <c r="AJ27" s="64" t="s">
        <v>540</v>
      </c>
      <c r="AK27" s="64" t="s">
        <v>568</v>
      </c>
      <c r="AL27" s="64" t="s">
        <v>541</v>
      </c>
      <c r="AM27" s="64" t="s">
        <v>539</v>
      </c>
      <c r="AN27" s="64" t="s">
        <v>540</v>
      </c>
      <c r="AO27" s="64" t="s">
        <v>569</v>
      </c>
      <c r="AP27" s="64" t="s">
        <v>541</v>
      </c>
      <c r="AQ27" s="64" t="s">
        <v>539</v>
      </c>
      <c r="AR27" s="64" t="s">
        <v>540</v>
      </c>
    </row>
    <row r="28" spans="1:44" ht="15.75" thickBot="1">
      <c r="A28" s="154"/>
      <c r="B28" s="277">
        <v>8.4770000000000003</v>
      </c>
      <c r="C28" s="277">
        <v>11.464</v>
      </c>
      <c r="D28" s="2"/>
      <c r="I28" s="135"/>
      <c r="J28" s="271">
        <f>IF(G11="","",(G11-F11)/F11)</f>
        <v>0.35162683151263491</v>
      </c>
      <c r="K28" s="272"/>
      <c r="L28" s="273"/>
      <c r="N28" s="126" t="s">
        <v>122</v>
      </c>
      <c r="O28" s="127">
        <f>IF(J28="","",O26-O27)</f>
        <v>6.7212890320921814E-3</v>
      </c>
      <c r="P28" s="50">
        <f>IF(J28="","",P26-P27)</f>
        <v>4.4393155644553706E-3</v>
      </c>
      <c r="W28" s="64" t="s">
        <v>541</v>
      </c>
      <c r="X28" s="119">
        <f>X3</f>
        <v>0.3522885367280239</v>
      </c>
      <c r="Z28" s="64" t="s">
        <v>541</v>
      </c>
      <c r="AA28" s="119">
        <f>AA3</f>
        <v>0.35390707100012658</v>
      </c>
      <c r="AC28" s="64" t="s">
        <v>541</v>
      </c>
      <c r="AD28" s="119">
        <f>AD3</f>
        <v>0.35259011816405145</v>
      </c>
      <c r="AF28">
        <v>1</v>
      </c>
      <c r="AG28" s="119">
        <f>J2</f>
        <v>0.35220570889360708</v>
      </c>
      <c r="AH28" s="119">
        <f t="shared" ref="AH28:AH36" si="0">X$28</f>
        <v>0.3522885367280239</v>
      </c>
      <c r="AI28" s="119">
        <f t="shared" ref="AI28:AI36" si="1">X$32</f>
        <v>0.36218082786373695</v>
      </c>
      <c r="AJ28" s="119">
        <f t="shared" ref="AJ28:AJ36" si="2">X$33</f>
        <v>0.34239624559231085</v>
      </c>
    </row>
    <row r="29" spans="1:44">
      <c r="A29" s="2"/>
      <c r="B29" s="277">
        <v>8.4770000000000003</v>
      </c>
      <c r="C29" s="277">
        <v>11.435</v>
      </c>
      <c r="D29" s="2"/>
      <c r="W29" s="64" t="s">
        <v>558</v>
      </c>
      <c r="X29">
        <f>SQRT(X31/(X30-1))</f>
        <v>3.2974303785710214E-3</v>
      </c>
      <c r="Z29" s="64" t="s">
        <v>558</v>
      </c>
      <c r="AA29">
        <f>SQRT(AA31/(AA30-1))</f>
        <v>3.4357405384666103E-3</v>
      </c>
      <c r="AC29" s="64" t="s">
        <v>558</v>
      </c>
      <c r="AD29">
        <f>SQRT(AD31/(AD30-1))</f>
        <v>2.2425929960081118E-3</v>
      </c>
      <c r="AF29">
        <v>2</v>
      </c>
      <c r="AG29" s="119">
        <f t="shared" ref="AG29:AG36" si="3">J3</f>
        <v>0.35475347959424391</v>
      </c>
      <c r="AH29" s="119">
        <f t="shared" si="0"/>
        <v>0.3522885367280239</v>
      </c>
      <c r="AI29" s="119">
        <f t="shared" si="1"/>
        <v>0.36218082786373695</v>
      </c>
      <c r="AJ29" s="119">
        <f t="shared" si="2"/>
        <v>0.34239624559231085</v>
      </c>
    </row>
    <row r="30" spans="1:44">
      <c r="A30" s="2"/>
      <c r="B30" s="277">
        <v>8.4865999999999993</v>
      </c>
      <c r="C30" s="277">
        <v>11.522</v>
      </c>
      <c r="D30" s="2"/>
      <c r="W30" s="64" t="s">
        <v>563</v>
      </c>
      <c r="X30">
        <v>9</v>
      </c>
      <c r="Z30" s="64" t="s">
        <v>563</v>
      </c>
      <c r="AA30">
        <v>9</v>
      </c>
      <c r="AC30" s="64" t="s">
        <v>563</v>
      </c>
      <c r="AD30">
        <v>9</v>
      </c>
      <c r="AF30">
        <v>3</v>
      </c>
      <c r="AG30" s="119">
        <f t="shared" si="3"/>
        <v>0.35770228827553674</v>
      </c>
      <c r="AH30" s="119">
        <f t="shared" si="0"/>
        <v>0.3522885367280239</v>
      </c>
      <c r="AI30" s="119">
        <f t="shared" si="1"/>
        <v>0.36218082786373695</v>
      </c>
      <c r="AJ30" s="119">
        <f t="shared" si="2"/>
        <v>0.34239624559231085</v>
      </c>
    </row>
    <row r="31" spans="1:44">
      <c r="A31" s="2"/>
      <c r="B31" s="277">
        <v>8.4865999999999993</v>
      </c>
      <c r="C31" s="277">
        <v>11.492800000000001</v>
      </c>
      <c r="D31" s="2"/>
      <c r="W31" s="64" t="s">
        <v>562</v>
      </c>
      <c r="X31">
        <f>SUM(X35:X43)</f>
        <v>8.6984376812184231E-5</v>
      </c>
      <c r="Z31" s="64" t="s">
        <v>562</v>
      </c>
      <c r="AA31">
        <f>SUM(AA35:AA43)</f>
        <v>9.4434504381302658E-5</v>
      </c>
      <c r="AC31" s="64" t="s">
        <v>562</v>
      </c>
      <c r="AD31">
        <f>SUM(AD35:AD43)</f>
        <v>4.0233786765957104E-5</v>
      </c>
      <c r="AF31">
        <v>4</v>
      </c>
      <c r="AG31" s="119">
        <f t="shared" si="3"/>
        <v>0.34867056383179323</v>
      </c>
      <c r="AH31" s="119">
        <f t="shared" si="0"/>
        <v>0.3522885367280239</v>
      </c>
      <c r="AI31" s="119">
        <f t="shared" si="1"/>
        <v>0.36218082786373695</v>
      </c>
      <c r="AJ31" s="119">
        <f t="shared" si="2"/>
        <v>0.34239624559231085</v>
      </c>
    </row>
    <row r="32" spans="1:44">
      <c r="A32" s="2"/>
      <c r="B32" s="277">
        <v>8.4865999999999993</v>
      </c>
      <c r="C32" s="277">
        <v>11.5084</v>
      </c>
      <c r="E32" s="2"/>
      <c r="F32" s="2"/>
      <c r="G32" s="2"/>
      <c r="H32" s="2"/>
      <c r="I32" s="2"/>
      <c r="J32" s="2"/>
      <c r="W32" s="64" t="s">
        <v>539</v>
      </c>
      <c r="X32" s="119">
        <f>X28+(3*X29)</f>
        <v>0.36218082786373695</v>
      </c>
      <c r="Z32" s="64" t="s">
        <v>539</v>
      </c>
      <c r="AA32" s="119">
        <f>AA28+(3*AA29)</f>
        <v>0.3642142926155264</v>
      </c>
      <c r="AC32" s="64" t="s">
        <v>539</v>
      </c>
      <c r="AD32" s="119">
        <f>AD28+(3*AD29)</f>
        <v>0.35931789715207579</v>
      </c>
      <c r="AF32">
        <v>5</v>
      </c>
      <c r="AG32" s="119">
        <f t="shared" si="3"/>
        <v>0.35296058834621907</v>
      </c>
      <c r="AH32" s="119">
        <f t="shared" si="0"/>
        <v>0.3522885367280239</v>
      </c>
      <c r="AI32" s="119">
        <f t="shared" si="1"/>
        <v>0.36218082786373695</v>
      </c>
      <c r="AJ32" s="119">
        <f t="shared" si="2"/>
        <v>0.34239624559231085</v>
      </c>
    </row>
    <row r="33" spans="1:44">
      <c r="A33" s="2"/>
      <c r="B33" s="277">
        <v>8.4876000000000005</v>
      </c>
      <c r="C33" s="277">
        <v>11.5236</v>
      </c>
      <c r="D33" s="277"/>
      <c r="E33" s="277"/>
      <c r="F33" s="277"/>
      <c r="G33" s="277"/>
      <c r="H33" s="2"/>
      <c r="I33" s="2"/>
      <c r="J33" s="2"/>
      <c r="W33" s="64" t="s">
        <v>540</v>
      </c>
      <c r="X33" s="119">
        <f>X28-(3*X29)</f>
        <v>0.34239624559231085</v>
      </c>
      <c r="Z33" s="64" t="s">
        <v>540</v>
      </c>
      <c r="AA33" s="119">
        <f>AA28-(3*AA29)</f>
        <v>0.34359984938472676</v>
      </c>
      <c r="AC33" s="64" t="s">
        <v>540</v>
      </c>
      <c r="AD33" s="119">
        <f>AD28-(3*AD29)</f>
        <v>0.3458623391760271</v>
      </c>
      <c r="AF33">
        <v>6</v>
      </c>
      <c r="AG33" s="119">
        <f t="shared" si="3"/>
        <v>0.35472845559117483</v>
      </c>
      <c r="AH33" s="119">
        <f t="shared" si="0"/>
        <v>0.3522885367280239</v>
      </c>
      <c r="AI33" s="119">
        <f t="shared" si="1"/>
        <v>0.36218082786373695</v>
      </c>
      <c r="AJ33" s="119">
        <f t="shared" si="2"/>
        <v>0.34239624559231085</v>
      </c>
    </row>
    <row r="34" spans="1:44">
      <c r="A34" s="2"/>
      <c r="B34" s="277">
        <v>8.4876000000000005</v>
      </c>
      <c r="C34" s="277">
        <v>11.507999999999999</v>
      </c>
      <c r="D34" s="277"/>
      <c r="E34" s="277"/>
      <c r="F34" s="277"/>
      <c r="G34" s="277"/>
      <c r="H34" s="2"/>
      <c r="I34" s="2"/>
      <c r="J34" s="2"/>
      <c r="AF34">
        <v>7</v>
      </c>
      <c r="AG34" s="119">
        <f t="shared" si="3"/>
        <v>0.34714939460387079</v>
      </c>
      <c r="AH34" s="119">
        <f t="shared" si="0"/>
        <v>0.3522885367280239</v>
      </c>
      <c r="AI34" s="119">
        <f t="shared" si="1"/>
        <v>0.36218082786373695</v>
      </c>
      <c r="AJ34" s="119">
        <f t="shared" si="2"/>
        <v>0.34239624559231085</v>
      </c>
    </row>
    <row r="35" spans="1:44">
      <c r="A35" s="2"/>
      <c r="B35" s="277">
        <v>8.4876000000000005</v>
      </c>
      <c r="C35" s="277">
        <v>11.4916</v>
      </c>
      <c r="D35" s="277"/>
      <c r="E35" s="277"/>
      <c r="F35" s="277"/>
      <c r="G35" s="277"/>
      <c r="H35" s="2"/>
      <c r="I35" s="2"/>
      <c r="J35" s="2"/>
      <c r="W35" s="119">
        <f>J2</f>
        <v>0.35220570889360708</v>
      </c>
      <c r="X35">
        <f t="shared" ref="X35:X43" si="4">(W35-$X$28)^2</f>
        <v>6.8604501541803097E-9</v>
      </c>
      <c r="Z35" s="119">
        <f>J11</f>
        <v>0.34840155715465376</v>
      </c>
      <c r="AA35">
        <f t="shared" ref="AA35:AA43" si="5">(Z35-$AA$28)^2</f>
        <v>3.0310682702692921E-5</v>
      </c>
      <c r="AC35" s="119">
        <f>J20</f>
        <v>0.35478301998344552</v>
      </c>
      <c r="AD35">
        <f t="shared" ref="AD35:AD43" si="6">(AC35-$AD$28)^2</f>
        <v>4.8088183895018553E-6</v>
      </c>
      <c r="AF35">
        <v>8</v>
      </c>
      <c r="AG35" s="119">
        <f t="shared" si="3"/>
        <v>0.35251215559157217</v>
      </c>
      <c r="AH35" s="119">
        <f t="shared" si="0"/>
        <v>0.3522885367280239</v>
      </c>
      <c r="AI35" s="119">
        <f t="shared" si="1"/>
        <v>0.36218082786373695</v>
      </c>
      <c r="AJ35" s="119">
        <f t="shared" si="2"/>
        <v>0.34239624559231085</v>
      </c>
    </row>
    <row r="36" spans="1:44" ht="15">
      <c r="A36" s="2"/>
      <c r="B36" s="278">
        <v>8.4570000000000007</v>
      </c>
      <c r="C36" s="278">
        <v>11.4574</v>
      </c>
      <c r="D36" s="277"/>
      <c r="E36" s="277"/>
      <c r="F36" s="277"/>
      <c r="G36" s="277"/>
      <c r="H36" s="2"/>
      <c r="I36" s="2"/>
      <c r="J36" s="2"/>
      <c r="W36" s="119">
        <f t="shared" ref="W36:W43" si="7">J3</f>
        <v>0.35475347959424391</v>
      </c>
      <c r="X36">
        <f t="shared" si="4"/>
        <v>6.0759433337289185E-6</v>
      </c>
      <c r="Z36" s="119">
        <f t="shared" ref="Z36:Z43" si="8">J12</f>
        <v>0.35236522354606581</v>
      </c>
      <c r="AA36">
        <f t="shared" si="5"/>
        <v>2.3772935715936906E-6</v>
      </c>
      <c r="AC36" s="119">
        <f t="shared" ref="AC36:AC43" si="9">J21</f>
        <v>0.35527964999408768</v>
      </c>
      <c r="AD36">
        <f t="shared" si="6"/>
        <v>7.2335814647780279E-6</v>
      </c>
      <c r="AF36">
        <v>9</v>
      </c>
      <c r="AG36" s="119">
        <f t="shared" si="3"/>
        <v>0.34991419582419697</v>
      </c>
      <c r="AH36" s="119">
        <f t="shared" si="0"/>
        <v>0.3522885367280239</v>
      </c>
      <c r="AI36" s="119">
        <f t="shared" si="1"/>
        <v>0.36218082786373695</v>
      </c>
      <c r="AJ36" s="119">
        <f t="shared" si="2"/>
        <v>0.34239624559231085</v>
      </c>
    </row>
    <row r="37" spans="1:44" ht="15">
      <c r="A37" s="2"/>
      <c r="B37" s="278">
        <v>8.4570000000000007</v>
      </c>
      <c r="C37" s="278">
        <v>11.461600000000001</v>
      </c>
      <c r="D37" s="277"/>
      <c r="E37" s="277"/>
      <c r="F37" s="277"/>
      <c r="G37" s="277"/>
      <c r="H37" s="2"/>
      <c r="I37" s="2"/>
      <c r="J37" s="2"/>
      <c r="W37" s="119">
        <f t="shared" si="7"/>
        <v>0.35770228827553674</v>
      </c>
      <c r="X37">
        <f t="shared" si="4"/>
        <v>2.9308705818197618E-5</v>
      </c>
      <c r="Z37" s="119">
        <f t="shared" si="8"/>
        <v>0.34894420195823994</v>
      </c>
      <c r="AA37">
        <f t="shared" si="5"/>
        <v>2.4630069126916833E-5</v>
      </c>
      <c r="AC37" s="119">
        <f t="shared" si="9"/>
        <v>0.3557999290528554</v>
      </c>
      <c r="AD37">
        <f t="shared" si="6"/>
        <v>1.0302885941884432E-5</v>
      </c>
      <c r="AF37">
        <v>10</v>
      </c>
      <c r="AK37" s="119">
        <f>J11</f>
        <v>0.34840155715465376</v>
      </c>
      <c r="AL37" s="119">
        <f t="shared" ref="AL37:AL45" si="10">AA$28</f>
        <v>0.35390707100012658</v>
      </c>
      <c r="AM37" s="119">
        <f t="shared" ref="AM37:AM45" si="11">AA$32</f>
        <v>0.3642142926155264</v>
      </c>
      <c r="AN37" s="119">
        <f t="shared" ref="AN37:AN45" si="12">AA$33</f>
        <v>0.34359984938472676</v>
      </c>
    </row>
    <row r="38" spans="1:44" ht="15">
      <c r="A38" s="2"/>
      <c r="B38" s="278">
        <v>8.4570000000000007</v>
      </c>
      <c r="C38" s="278">
        <v>11.465999999999999</v>
      </c>
      <c r="D38" s="277"/>
      <c r="E38" s="277"/>
      <c r="F38" s="277"/>
      <c r="G38" s="277"/>
      <c r="H38" s="2"/>
      <c r="I38" s="2"/>
      <c r="J38" s="2"/>
      <c r="W38" s="119">
        <f t="shared" si="7"/>
        <v>0.34867056383179323</v>
      </c>
      <c r="X38">
        <f t="shared" si="4"/>
        <v>1.3089727877859742E-5</v>
      </c>
      <c r="Z38" s="119">
        <f t="shared" si="8"/>
        <v>0.35766973817547676</v>
      </c>
      <c r="AA38">
        <f t="shared" si="5"/>
        <v>1.4157664272457673E-5</v>
      </c>
      <c r="AC38" s="119">
        <f t="shared" si="9"/>
        <v>0.35080845037176894</v>
      </c>
      <c r="AD38">
        <f t="shared" si="6"/>
        <v>3.1743401220568125E-6</v>
      </c>
      <c r="AF38">
        <v>11</v>
      </c>
      <c r="AK38" s="119">
        <f t="shared" ref="AK38:AK45" si="13">J12</f>
        <v>0.35236522354606581</v>
      </c>
      <c r="AL38" s="119">
        <f t="shared" si="10"/>
        <v>0.35390707100012658</v>
      </c>
      <c r="AM38" s="119">
        <f t="shared" si="11"/>
        <v>0.3642142926155264</v>
      </c>
      <c r="AN38" s="119">
        <f t="shared" si="12"/>
        <v>0.34359984938472676</v>
      </c>
    </row>
    <row r="39" spans="1:44" ht="15">
      <c r="A39" s="2"/>
      <c r="B39" s="278">
        <v>8.4730000000000008</v>
      </c>
      <c r="C39" s="278">
        <v>11.445399999999999</v>
      </c>
      <c r="D39" s="278"/>
      <c r="E39" s="278"/>
      <c r="F39" s="278"/>
      <c r="G39" s="278"/>
      <c r="H39" s="2"/>
      <c r="I39" s="2"/>
      <c r="J39" s="2"/>
      <c r="W39" s="119">
        <f t="shared" si="7"/>
        <v>0.35296058834621907</v>
      </c>
      <c r="X39">
        <f t="shared" si="4"/>
        <v>4.5165337751874465E-7</v>
      </c>
      <c r="Z39" s="119">
        <f t="shared" si="8"/>
        <v>0.35422901986661348</v>
      </c>
      <c r="AA39">
        <f t="shared" si="5"/>
        <v>1.0365107263219885E-7</v>
      </c>
      <c r="AC39" s="119">
        <f t="shared" si="9"/>
        <v>0.35243715331051556</v>
      </c>
      <c r="AD39">
        <f t="shared" si="6"/>
        <v>2.3398246417255144E-8</v>
      </c>
      <c r="AF39">
        <v>12</v>
      </c>
      <c r="AK39" s="119">
        <f t="shared" si="13"/>
        <v>0.34894420195823994</v>
      </c>
      <c r="AL39" s="119">
        <f t="shared" si="10"/>
        <v>0.35390707100012658</v>
      </c>
      <c r="AM39" s="119">
        <f t="shared" si="11"/>
        <v>0.3642142926155264</v>
      </c>
      <c r="AN39" s="119">
        <f t="shared" si="12"/>
        <v>0.34359984938472676</v>
      </c>
    </row>
    <row r="40" spans="1:44" ht="15">
      <c r="A40" s="2"/>
      <c r="B40" s="278">
        <v>8.4730000000000008</v>
      </c>
      <c r="C40" s="278">
        <v>11.459199999999999</v>
      </c>
      <c r="D40" s="278"/>
      <c r="E40" s="278"/>
      <c r="F40" s="278"/>
      <c r="G40" s="278"/>
      <c r="H40" s="2"/>
      <c r="I40" s="2"/>
      <c r="J40" s="2"/>
      <c r="W40" s="119">
        <f t="shared" si="7"/>
        <v>0.35472845559117483</v>
      </c>
      <c r="X40">
        <f t="shared" si="4"/>
        <v>5.9532040587597023E-6</v>
      </c>
      <c r="Z40" s="119">
        <f t="shared" si="8"/>
        <v>0.35606721183984175</v>
      </c>
      <c r="AA40">
        <f t="shared" si="5"/>
        <v>4.6662084474053308E-6</v>
      </c>
      <c r="AC40" s="119">
        <f t="shared" si="9"/>
        <v>0.35165820842676732</v>
      </c>
      <c r="AD40">
        <f t="shared" si="6"/>
        <v>8.6845575844497844E-7</v>
      </c>
      <c r="AF40">
        <v>13</v>
      </c>
      <c r="AK40" s="119">
        <f t="shared" si="13"/>
        <v>0.35766973817547676</v>
      </c>
      <c r="AL40" s="119">
        <f t="shared" si="10"/>
        <v>0.35390707100012658</v>
      </c>
      <c r="AM40" s="119">
        <f t="shared" si="11"/>
        <v>0.3642142926155264</v>
      </c>
      <c r="AN40" s="119">
        <f t="shared" si="12"/>
        <v>0.34359984938472676</v>
      </c>
    </row>
    <row r="41" spans="1:44" ht="15">
      <c r="A41" s="2"/>
      <c r="B41" s="278">
        <v>8.4730000000000008</v>
      </c>
      <c r="C41" s="278">
        <v>11.4526</v>
      </c>
      <c r="D41" s="278"/>
      <c r="E41" s="278"/>
      <c r="F41" s="278"/>
      <c r="G41" s="278"/>
      <c r="H41" s="2"/>
      <c r="I41" s="2"/>
      <c r="J41" s="2"/>
      <c r="W41" s="119">
        <f t="shared" si="7"/>
        <v>0.34714939460387079</v>
      </c>
      <c r="X41">
        <f t="shared" si="4"/>
        <v>2.641078177224502E-5</v>
      </c>
      <c r="Z41" s="119">
        <f t="shared" si="8"/>
        <v>0.35769828926905123</v>
      </c>
      <c r="AA41">
        <f t="shared" si="5"/>
        <v>1.4373335962627985E-5</v>
      </c>
      <c r="AC41" s="119">
        <f t="shared" si="9"/>
        <v>0.34907864002076322</v>
      </c>
      <c r="AD41">
        <f t="shared" si="6"/>
        <v>1.2330478750790934E-5</v>
      </c>
      <c r="AF41">
        <v>14</v>
      </c>
      <c r="AK41" s="119">
        <f t="shared" si="13"/>
        <v>0.35422901986661348</v>
      </c>
      <c r="AL41" s="119">
        <f t="shared" si="10"/>
        <v>0.35390707100012658</v>
      </c>
      <c r="AM41" s="119">
        <f t="shared" si="11"/>
        <v>0.3642142926155264</v>
      </c>
      <c r="AN41" s="119">
        <f t="shared" si="12"/>
        <v>0.34359984938472676</v>
      </c>
    </row>
    <row r="42" spans="1:44" ht="15">
      <c r="A42" s="2"/>
      <c r="B42" s="278">
        <v>8.4765999999999995</v>
      </c>
      <c r="C42" s="278">
        <v>11.435600000000001</v>
      </c>
      <c r="D42" s="2"/>
      <c r="E42" s="2"/>
      <c r="F42" s="2"/>
      <c r="G42" s="2"/>
      <c r="H42" s="2"/>
      <c r="I42" s="2"/>
      <c r="J42" s="2"/>
      <c r="W42" s="119">
        <f t="shared" si="7"/>
        <v>0.35251215559157217</v>
      </c>
      <c r="X42">
        <f t="shared" si="4"/>
        <v>5.0005396134619546E-8</v>
      </c>
      <c r="Z42" s="119">
        <f t="shared" si="8"/>
        <v>0.35586031386964495</v>
      </c>
      <c r="AA42">
        <f t="shared" si="5"/>
        <v>3.8151577073243479E-6</v>
      </c>
      <c r="AC42" s="119">
        <f t="shared" si="9"/>
        <v>0.35183918080362414</v>
      </c>
      <c r="AD42">
        <f t="shared" si="6"/>
        <v>5.6390691928552995E-7</v>
      </c>
      <c r="AF42">
        <v>15</v>
      </c>
      <c r="AK42" s="119">
        <f t="shared" si="13"/>
        <v>0.35606721183984175</v>
      </c>
      <c r="AL42" s="119">
        <f t="shared" si="10"/>
        <v>0.35390707100012658</v>
      </c>
      <c r="AM42" s="119">
        <f t="shared" si="11"/>
        <v>0.3642142926155264</v>
      </c>
      <c r="AN42" s="119">
        <f t="shared" si="12"/>
        <v>0.34359984938472676</v>
      </c>
    </row>
    <row r="43" spans="1:44" ht="15">
      <c r="A43" s="2"/>
      <c r="B43" s="278">
        <v>8.4765999999999995</v>
      </c>
      <c r="C43" s="278">
        <v>11.459</v>
      </c>
      <c r="D43" s="2"/>
      <c r="E43" s="2"/>
      <c r="F43" s="2"/>
      <c r="G43" s="2"/>
      <c r="H43" s="2"/>
      <c r="I43" s="2"/>
      <c r="J43" s="2"/>
      <c r="W43" s="119">
        <f t="shared" si="7"/>
        <v>0.34991419582419697</v>
      </c>
      <c r="X43">
        <f t="shared" si="4"/>
        <v>5.6374947275856952E-6</v>
      </c>
      <c r="Z43" s="119">
        <f t="shared" si="8"/>
        <v>0.35392808332155135</v>
      </c>
      <c r="AA43">
        <f t="shared" si="5"/>
        <v>4.4151765165753798E-10</v>
      </c>
      <c r="AC43" s="119">
        <f t="shared" si="9"/>
        <v>0.35162683151263491</v>
      </c>
      <c r="AD43">
        <f t="shared" si="6"/>
        <v>9.2792117279728964E-7</v>
      </c>
      <c r="AF43">
        <v>16</v>
      </c>
      <c r="AK43" s="119">
        <f t="shared" si="13"/>
        <v>0.35769828926905123</v>
      </c>
      <c r="AL43" s="119">
        <f t="shared" si="10"/>
        <v>0.35390707100012658</v>
      </c>
      <c r="AM43" s="119">
        <f t="shared" si="11"/>
        <v>0.3642142926155264</v>
      </c>
      <c r="AN43" s="119">
        <f t="shared" si="12"/>
        <v>0.34359984938472676</v>
      </c>
    </row>
    <row r="44" spans="1:44" ht="15">
      <c r="A44" s="2"/>
      <c r="B44" s="278">
        <v>8.4765999999999995</v>
      </c>
      <c r="C44" s="278">
        <v>11.4572</v>
      </c>
      <c r="D44" s="2"/>
      <c r="E44" s="2"/>
      <c r="F44" s="2"/>
      <c r="G44" s="2"/>
      <c r="H44" s="2"/>
      <c r="I44" s="2"/>
      <c r="J44" s="2"/>
      <c r="AF44">
        <v>17</v>
      </c>
      <c r="AK44" s="119">
        <f t="shared" si="13"/>
        <v>0.35586031386964495</v>
      </c>
      <c r="AL44" s="119">
        <f t="shared" si="10"/>
        <v>0.35390707100012658</v>
      </c>
      <c r="AM44" s="119">
        <f t="shared" si="11"/>
        <v>0.3642142926155264</v>
      </c>
      <c r="AN44" s="119">
        <f t="shared" si="12"/>
        <v>0.34359984938472676</v>
      </c>
    </row>
    <row r="45" spans="1:44">
      <c r="AF45">
        <v>18</v>
      </c>
      <c r="AK45" s="119">
        <f t="shared" si="13"/>
        <v>0.35392808332155135</v>
      </c>
      <c r="AL45" s="119">
        <f t="shared" si="10"/>
        <v>0.35390707100012658</v>
      </c>
      <c r="AM45" s="119">
        <f t="shared" si="11"/>
        <v>0.3642142926155264</v>
      </c>
      <c r="AN45" s="119">
        <f t="shared" si="12"/>
        <v>0.34359984938472676</v>
      </c>
    </row>
    <row r="46" spans="1:44">
      <c r="AF46">
        <v>19</v>
      </c>
      <c r="AO46" s="119">
        <f>J20</f>
        <v>0.35478301998344552</v>
      </c>
      <c r="AP46" s="119">
        <f t="shared" ref="AP46:AP54" si="14">AD$28</f>
        <v>0.35259011816405145</v>
      </c>
      <c r="AQ46" s="119">
        <f t="shared" ref="AQ46:AQ54" si="15">AD$32</f>
        <v>0.35931789715207579</v>
      </c>
      <c r="AR46" s="119">
        <f t="shared" ref="AR46:AR54" si="16">AD$33</f>
        <v>0.3458623391760271</v>
      </c>
    </row>
    <row r="47" spans="1:44">
      <c r="AF47">
        <v>20</v>
      </c>
      <c r="AO47" s="119">
        <f t="shared" ref="AO47:AO54" si="17">J21</f>
        <v>0.35527964999408768</v>
      </c>
      <c r="AP47" s="119">
        <f t="shared" si="14"/>
        <v>0.35259011816405145</v>
      </c>
      <c r="AQ47" s="119">
        <f t="shared" si="15"/>
        <v>0.35931789715207579</v>
      </c>
      <c r="AR47" s="119">
        <f t="shared" si="16"/>
        <v>0.3458623391760271</v>
      </c>
    </row>
    <row r="48" spans="1:44">
      <c r="AF48">
        <v>21</v>
      </c>
      <c r="AO48" s="119">
        <f t="shared" si="17"/>
        <v>0.3557999290528554</v>
      </c>
      <c r="AP48" s="119">
        <f t="shared" si="14"/>
        <v>0.35259011816405145</v>
      </c>
      <c r="AQ48" s="119">
        <f t="shared" si="15"/>
        <v>0.35931789715207579</v>
      </c>
      <c r="AR48" s="119">
        <f t="shared" si="16"/>
        <v>0.3458623391760271</v>
      </c>
    </row>
    <row r="49" spans="23:44">
      <c r="AF49">
        <v>22</v>
      </c>
      <c r="AO49" s="119">
        <f t="shared" si="17"/>
        <v>0.35080845037176894</v>
      </c>
      <c r="AP49" s="119">
        <f t="shared" si="14"/>
        <v>0.35259011816405145</v>
      </c>
      <c r="AQ49" s="119">
        <f t="shared" si="15"/>
        <v>0.35931789715207579</v>
      </c>
      <c r="AR49" s="119">
        <f t="shared" si="16"/>
        <v>0.3458623391760271</v>
      </c>
    </row>
    <row r="50" spans="23:44">
      <c r="AF50">
        <v>23</v>
      </c>
      <c r="AO50" s="119">
        <f t="shared" si="17"/>
        <v>0.35243715331051556</v>
      </c>
      <c r="AP50" s="119">
        <f t="shared" si="14"/>
        <v>0.35259011816405145</v>
      </c>
      <c r="AQ50" s="119">
        <f t="shared" si="15"/>
        <v>0.35931789715207579</v>
      </c>
      <c r="AR50" s="119">
        <f t="shared" si="16"/>
        <v>0.3458623391760271</v>
      </c>
    </row>
    <row r="51" spans="23:44">
      <c r="AF51">
        <v>24</v>
      </c>
      <c r="AO51" s="119">
        <f t="shared" si="17"/>
        <v>0.35165820842676732</v>
      </c>
      <c r="AP51" s="119">
        <f t="shared" si="14"/>
        <v>0.35259011816405145</v>
      </c>
      <c r="AQ51" s="119">
        <f t="shared" si="15"/>
        <v>0.35931789715207579</v>
      </c>
      <c r="AR51" s="119">
        <f t="shared" si="16"/>
        <v>0.3458623391760271</v>
      </c>
    </row>
    <row r="52" spans="23:44">
      <c r="AF52">
        <v>25</v>
      </c>
      <c r="AO52" s="119">
        <f t="shared" si="17"/>
        <v>0.34907864002076322</v>
      </c>
      <c r="AP52" s="119">
        <f t="shared" si="14"/>
        <v>0.35259011816405145</v>
      </c>
      <c r="AQ52" s="119">
        <f t="shared" si="15"/>
        <v>0.35931789715207579</v>
      </c>
      <c r="AR52" s="119">
        <f t="shared" si="16"/>
        <v>0.3458623391760271</v>
      </c>
    </row>
    <row r="53" spans="23:44">
      <c r="AF53">
        <v>26</v>
      </c>
      <c r="AO53" s="119">
        <f t="shared" si="17"/>
        <v>0.35183918080362414</v>
      </c>
      <c r="AP53" s="119">
        <f t="shared" si="14"/>
        <v>0.35259011816405145</v>
      </c>
      <c r="AQ53" s="119">
        <f t="shared" si="15"/>
        <v>0.35931789715207579</v>
      </c>
      <c r="AR53" s="119">
        <f t="shared" si="16"/>
        <v>0.3458623391760271</v>
      </c>
    </row>
    <row r="54" spans="23:44">
      <c r="AF54">
        <v>27</v>
      </c>
      <c r="AO54" s="119">
        <f t="shared" si="17"/>
        <v>0.35162683151263491</v>
      </c>
      <c r="AP54" s="119">
        <f t="shared" si="14"/>
        <v>0.35259011816405145</v>
      </c>
      <c r="AQ54" s="119">
        <f t="shared" si="15"/>
        <v>0.35931789715207579</v>
      </c>
      <c r="AR54" s="119">
        <f t="shared" si="16"/>
        <v>0.3458623391760271</v>
      </c>
    </row>
    <row r="55" spans="23:44">
      <c r="AK55" s="119"/>
    </row>
    <row r="56" spans="23:44">
      <c r="AF56" s="64" t="s">
        <v>573</v>
      </c>
    </row>
    <row r="57" spans="23:44">
      <c r="W57" s="64" t="s">
        <v>559</v>
      </c>
      <c r="Z57" s="64" t="s">
        <v>560</v>
      </c>
      <c r="AC57" s="64" t="s">
        <v>561</v>
      </c>
      <c r="AF57" s="64" t="s">
        <v>547</v>
      </c>
      <c r="AG57" s="64" t="s">
        <v>570</v>
      </c>
      <c r="AH57" s="64" t="s">
        <v>565</v>
      </c>
      <c r="AI57" s="64" t="s">
        <v>539</v>
      </c>
      <c r="AJ57" s="64" t="s">
        <v>540</v>
      </c>
      <c r="AK57" s="64" t="s">
        <v>571</v>
      </c>
      <c r="AL57" s="64" t="s">
        <v>565</v>
      </c>
      <c r="AM57" s="64" t="s">
        <v>539</v>
      </c>
      <c r="AN57" s="64" t="s">
        <v>540</v>
      </c>
      <c r="AO57" s="64" t="s">
        <v>572</v>
      </c>
      <c r="AP57" s="64" t="s">
        <v>565</v>
      </c>
      <c r="AQ57" s="64" t="s">
        <v>539</v>
      </c>
      <c r="AR57" s="64" t="s">
        <v>540</v>
      </c>
    </row>
    <row r="58" spans="23:44">
      <c r="W58" s="64" t="s">
        <v>565</v>
      </c>
      <c r="X58" s="119">
        <f>AVERAGE(W63:W70)</f>
        <v>4.5157471659294235E-3</v>
      </c>
      <c r="Z58" s="64" t="s">
        <v>565</v>
      </c>
      <c r="AA58" s="119">
        <f>AVERAGE(Z63:Z70)</f>
        <v>3.3488022319094549E-3</v>
      </c>
      <c r="AC58" s="64" t="s">
        <v>565</v>
      </c>
      <c r="AD58" s="119">
        <f>AVERAGE(AC63:AC70)</f>
        <v>1.746061756605681E-3</v>
      </c>
      <c r="AF58">
        <v>1</v>
      </c>
      <c r="AG58" s="119">
        <f t="shared" ref="AG58:AG65" si="18">W63</f>
        <v>2.5477707006368311E-3</v>
      </c>
      <c r="AH58" s="119">
        <f t="shared" ref="AH58:AH65" si="19">X$58</f>
        <v>4.5157471659294235E-3</v>
      </c>
      <c r="AI58" s="119">
        <f t="shared" ref="AI58:AI65" si="20">X$59</f>
        <v>1.6563760604629125E-2</v>
      </c>
      <c r="AJ58" s="119">
        <f t="shared" ref="AJ58:AJ65" si="21">X$60</f>
        <v>0</v>
      </c>
    </row>
    <row r="59" spans="23:44">
      <c r="W59" s="64" t="s">
        <v>539</v>
      </c>
      <c r="X59" s="119">
        <f>3.668*X58</f>
        <v>1.6563760604629125E-2</v>
      </c>
      <c r="Z59" s="64" t="s">
        <v>539</v>
      </c>
      <c r="AA59" s="119">
        <f>3.668*AA58</f>
        <v>1.2283406586643881E-2</v>
      </c>
      <c r="AC59" s="64" t="s">
        <v>539</v>
      </c>
      <c r="AD59" s="119">
        <f>3.668*AD58</f>
        <v>6.4045545232296382E-3</v>
      </c>
      <c r="AF59">
        <v>2</v>
      </c>
      <c r="AG59" s="119">
        <f t="shared" si="18"/>
        <v>2.9488086812928249E-3</v>
      </c>
      <c r="AH59" s="119">
        <f t="shared" si="19"/>
        <v>4.5157471659294235E-3</v>
      </c>
      <c r="AI59" s="119">
        <f t="shared" si="20"/>
        <v>1.6563760604629125E-2</v>
      </c>
      <c r="AJ59" s="119">
        <f t="shared" si="21"/>
        <v>0</v>
      </c>
    </row>
    <row r="60" spans="23:44">
      <c r="W60" s="64" t="s">
        <v>540</v>
      </c>
      <c r="X60" s="119">
        <v>0</v>
      </c>
      <c r="Z60" s="64" t="s">
        <v>540</v>
      </c>
      <c r="AA60" s="119">
        <v>0</v>
      </c>
      <c r="AC60" s="64" t="s">
        <v>540</v>
      </c>
      <c r="AD60" s="119">
        <v>0</v>
      </c>
      <c r="AF60">
        <v>3</v>
      </c>
      <c r="AG60" s="119">
        <f t="shared" si="18"/>
        <v>9.0317244437435051E-3</v>
      </c>
      <c r="AH60" s="119">
        <f t="shared" si="19"/>
        <v>4.5157471659294235E-3</v>
      </c>
      <c r="AI60" s="119">
        <f t="shared" si="20"/>
        <v>1.6563760604629125E-2</v>
      </c>
      <c r="AJ60" s="119">
        <f t="shared" si="21"/>
        <v>0</v>
      </c>
    </row>
    <row r="61" spans="23:44">
      <c r="W61" s="64"/>
      <c r="Z61" s="64"/>
      <c r="AC61" s="64"/>
      <c r="AF61">
        <v>4</v>
      </c>
      <c r="AG61" s="119">
        <f t="shared" si="18"/>
        <v>4.2900245144258387E-3</v>
      </c>
      <c r="AH61" s="119">
        <f t="shared" si="19"/>
        <v>4.5157471659294235E-3</v>
      </c>
      <c r="AI61" s="119">
        <f t="shared" si="20"/>
        <v>1.6563760604629125E-2</v>
      </c>
      <c r="AJ61" s="119">
        <f t="shared" si="21"/>
        <v>0</v>
      </c>
    </row>
    <row r="62" spans="23:44">
      <c r="W62" s="64" t="s">
        <v>566</v>
      </c>
      <c r="AD62" s="119"/>
      <c r="AF62">
        <v>5</v>
      </c>
      <c r="AG62" s="119">
        <f t="shared" si="18"/>
        <v>1.7678672449557564E-3</v>
      </c>
      <c r="AH62" s="119">
        <f t="shared" si="19"/>
        <v>4.5157471659294235E-3</v>
      </c>
      <c r="AI62" s="119">
        <f t="shared" si="20"/>
        <v>1.6563760604629125E-2</v>
      </c>
      <c r="AJ62" s="119">
        <f t="shared" si="21"/>
        <v>0</v>
      </c>
    </row>
    <row r="63" spans="23:44">
      <c r="W63">
        <f>ABS(J2-J3)</f>
        <v>2.5477707006368311E-3</v>
      </c>
      <c r="Z63">
        <f>ABS(J11-J12)</f>
        <v>3.9636663914120462E-3</v>
      </c>
      <c r="AC63">
        <f>ABS(J20-J21)</f>
        <v>4.9663001064215173E-4</v>
      </c>
      <c r="AD63" s="119"/>
      <c r="AF63">
        <v>6</v>
      </c>
      <c r="AG63" s="119">
        <f t="shared" si="18"/>
        <v>7.5790609873040427E-3</v>
      </c>
      <c r="AH63" s="119">
        <f t="shared" si="19"/>
        <v>4.5157471659294235E-3</v>
      </c>
      <c r="AI63" s="119">
        <f t="shared" si="20"/>
        <v>1.6563760604629125E-2</v>
      </c>
      <c r="AJ63" s="119">
        <f t="shared" si="21"/>
        <v>0</v>
      </c>
    </row>
    <row r="64" spans="23:44">
      <c r="W64">
        <f t="shared" ref="W64:W70" si="22">ABS(J3-J4)</f>
        <v>2.9488086812928249E-3</v>
      </c>
      <c r="Z64">
        <f t="shared" ref="Z64:Z70" si="23">ABS(J12-J13)</f>
        <v>3.4210215878258676E-3</v>
      </c>
      <c r="AC64">
        <f t="shared" ref="AC64:AC70" si="24">ABS(J21-J22)</f>
        <v>5.2027905876772529E-4</v>
      </c>
      <c r="AF64">
        <v>7</v>
      </c>
      <c r="AG64" s="119">
        <f t="shared" si="18"/>
        <v>5.3627609877013871E-3</v>
      </c>
      <c r="AH64" s="119">
        <f t="shared" si="19"/>
        <v>4.5157471659294235E-3</v>
      </c>
      <c r="AI64" s="119">
        <f t="shared" si="20"/>
        <v>1.6563760604629125E-2</v>
      </c>
      <c r="AJ64" s="119">
        <f t="shared" si="21"/>
        <v>0</v>
      </c>
    </row>
    <row r="65" spans="23:44">
      <c r="W65">
        <f t="shared" si="22"/>
        <v>9.0317244437435051E-3</v>
      </c>
      <c r="Z65">
        <f t="shared" si="23"/>
        <v>8.7255362172368178E-3</v>
      </c>
      <c r="AC65">
        <f t="shared" si="24"/>
        <v>4.9914786810864586E-3</v>
      </c>
      <c r="AF65">
        <v>8</v>
      </c>
      <c r="AG65" s="119">
        <f t="shared" si="18"/>
        <v>2.597959767375202E-3</v>
      </c>
      <c r="AH65" s="119">
        <f t="shared" si="19"/>
        <v>4.5157471659294235E-3</v>
      </c>
      <c r="AI65" s="119">
        <f t="shared" si="20"/>
        <v>1.6563760604629125E-2</v>
      </c>
      <c r="AJ65" s="119">
        <f t="shared" si="21"/>
        <v>0</v>
      </c>
    </row>
    <row r="66" spans="23:44">
      <c r="W66">
        <f t="shared" si="22"/>
        <v>4.2900245144258387E-3</v>
      </c>
      <c r="Z66">
        <f t="shared" si="23"/>
        <v>3.4407183088632776E-3</v>
      </c>
      <c r="AC66">
        <f t="shared" si="24"/>
        <v>1.6287029387466179E-3</v>
      </c>
      <c r="AF66">
        <v>9</v>
      </c>
      <c r="AG66" s="119"/>
      <c r="AH66" s="119"/>
      <c r="AI66" s="119"/>
      <c r="AJ66" s="119"/>
      <c r="AK66" t="e">
        <f>#REF!</f>
        <v>#REF!</v>
      </c>
      <c r="AL66" s="119">
        <f t="shared" ref="AL66:AL73" si="25">AA$58</f>
        <v>3.3488022319094549E-3</v>
      </c>
      <c r="AM66" s="119">
        <f t="shared" ref="AM66:AM73" si="26">AA$59</f>
        <v>1.2283406586643881E-2</v>
      </c>
      <c r="AN66" s="119">
        <f t="shared" ref="AN66:AN73" si="27">AA$60</f>
        <v>0</v>
      </c>
    </row>
    <row r="67" spans="23:44">
      <c r="W67">
        <f t="shared" si="22"/>
        <v>1.7678672449557564E-3</v>
      </c>
      <c r="Z67">
        <f t="shared" si="23"/>
        <v>1.8381919732282648E-3</v>
      </c>
      <c r="AC67">
        <f t="shared" si="24"/>
        <v>7.7894488374824489E-4</v>
      </c>
      <c r="AF67">
        <v>10</v>
      </c>
      <c r="AK67">
        <f t="shared" ref="AK67:AK73" si="28">Z64</f>
        <v>3.4210215878258676E-3</v>
      </c>
      <c r="AL67" s="119">
        <f t="shared" si="25"/>
        <v>3.3488022319094549E-3</v>
      </c>
      <c r="AM67" s="119">
        <f t="shared" si="26"/>
        <v>1.2283406586643881E-2</v>
      </c>
      <c r="AN67" s="119">
        <f t="shared" si="27"/>
        <v>0</v>
      </c>
    </row>
    <row r="68" spans="23:44">
      <c r="W68">
        <f t="shared" si="22"/>
        <v>7.5790609873040427E-3</v>
      </c>
      <c r="Z68">
        <f t="shared" si="23"/>
        <v>1.6310774292094821E-3</v>
      </c>
      <c r="AC68">
        <f t="shared" si="24"/>
        <v>2.5795684060040958E-3</v>
      </c>
      <c r="AF68">
        <v>11</v>
      </c>
      <c r="AK68">
        <f t="shared" si="28"/>
        <v>8.7255362172368178E-3</v>
      </c>
      <c r="AL68" s="119">
        <f t="shared" si="25"/>
        <v>3.3488022319094549E-3</v>
      </c>
      <c r="AM68" s="119">
        <f t="shared" si="26"/>
        <v>1.2283406586643881E-2</v>
      </c>
      <c r="AN68" s="119">
        <f t="shared" si="27"/>
        <v>0</v>
      </c>
    </row>
    <row r="69" spans="23:44">
      <c r="W69">
        <f t="shared" si="22"/>
        <v>5.3627609877013871E-3</v>
      </c>
      <c r="Z69">
        <f t="shared" si="23"/>
        <v>1.8379753994062775E-3</v>
      </c>
      <c r="AC69">
        <f t="shared" si="24"/>
        <v>2.7605407828609207E-3</v>
      </c>
      <c r="AF69">
        <v>12</v>
      </c>
      <c r="AK69">
        <f t="shared" si="28"/>
        <v>3.4407183088632776E-3</v>
      </c>
      <c r="AL69" s="119">
        <f t="shared" si="25"/>
        <v>3.3488022319094549E-3</v>
      </c>
      <c r="AM69" s="119">
        <f t="shared" si="26"/>
        <v>1.2283406586643881E-2</v>
      </c>
      <c r="AN69" s="119">
        <f t="shared" si="27"/>
        <v>0</v>
      </c>
    </row>
    <row r="70" spans="23:44">
      <c r="W70">
        <f t="shared" si="22"/>
        <v>2.597959767375202E-3</v>
      </c>
      <c r="Z70">
        <f t="shared" si="23"/>
        <v>1.9322305480936053E-3</v>
      </c>
      <c r="AC70">
        <f t="shared" si="24"/>
        <v>2.1234929098923327E-4</v>
      </c>
      <c r="AF70">
        <v>13</v>
      </c>
      <c r="AK70">
        <f t="shared" si="28"/>
        <v>1.8381919732282648E-3</v>
      </c>
      <c r="AL70" s="119">
        <f t="shared" si="25"/>
        <v>3.3488022319094549E-3</v>
      </c>
      <c r="AM70" s="119">
        <f t="shared" si="26"/>
        <v>1.2283406586643881E-2</v>
      </c>
      <c r="AN70" s="119">
        <f t="shared" si="27"/>
        <v>0</v>
      </c>
    </row>
    <row r="71" spans="23:44">
      <c r="AC71" s="119"/>
      <c r="AF71">
        <v>14</v>
      </c>
      <c r="AK71">
        <f t="shared" si="28"/>
        <v>1.6310774292094821E-3</v>
      </c>
      <c r="AL71" s="119">
        <f t="shared" si="25"/>
        <v>3.3488022319094549E-3</v>
      </c>
      <c r="AM71" s="119">
        <f t="shared" si="26"/>
        <v>1.2283406586643881E-2</v>
      </c>
      <c r="AN71" s="119">
        <f t="shared" si="27"/>
        <v>0</v>
      </c>
    </row>
    <row r="72" spans="23:44">
      <c r="AC72" s="119"/>
      <c r="AF72">
        <v>15</v>
      </c>
      <c r="AK72">
        <f t="shared" si="28"/>
        <v>1.8379753994062775E-3</v>
      </c>
      <c r="AL72" s="119">
        <f t="shared" si="25"/>
        <v>3.3488022319094549E-3</v>
      </c>
      <c r="AM72" s="119">
        <f t="shared" si="26"/>
        <v>1.2283406586643881E-2</v>
      </c>
      <c r="AN72" s="119">
        <f t="shared" si="27"/>
        <v>0</v>
      </c>
    </row>
    <row r="73" spans="23:44">
      <c r="AC73" s="119"/>
      <c r="AF73">
        <v>16</v>
      </c>
      <c r="AK73">
        <f t="shared" si="28"/>
        <v>1.9322305480936053E-3</v>
      </c>
      <c r="AL73" s="119">
        <f t="shared" si="25"/>
        <v>3.3488022319094549E-3</v>
      </c>
      <c r="AM73" s="119">
        <f t="shared" si="26"/>
        <v>1.2283406586643881E-2</v>
      </c>
      <c r="AN73" s="119">
        <f t="shared" si="27"/>
        <v>0</v>
      </c>
    </row>
    <row r="74" spans="23:44">
      <c r="AF74">
        <v>17</v>
      </c>
      <c r="AK74" s="119"/>
      <c r="AL74" s="119"/>
      <c r="AM74" s="119"/>
      <c r="AN74" s="119"/>
      <c r="AO74" t="e">
        <f>#REF!</f>
        <v>#REF!</v>
      </c>
      <c r="AP74" s="119">
        <f t="shared" ref="AP74:AP81" si="29">AD$58</f>
        <v>1.746061756605681E-3</v>
      </c>
      <c r="AQ74" s="119">
        <f t="shared" ref="AQ74:AQ81" si="30">AD$59</f>
        <v>6.4045545232296382E-3</v>
      </c>
      <c r="AR74" s="119">
        <f t="shared" ref="AR74:AR81" si="31">AD$60</f>
        <v>0</v>
      </c>
    </row>
    <row r="75" spans="23:44">
      <c r="AF75">
        <v>18</v>
      </c>
      <c r="AK75" s="119"/>
      <c r="AL75" s="119"/>
      <c r="AM75" s="119"/>
      <c r="AN75" s="119"/>
      <c r="AO75">
        <f t="shared" ref="AO75:AO81" si="32">AC64</f>
        <v>5.2027905876772529E-4</v>
      </c>
      <c r="AP75" s="119">
        <f t="shared" si="29"/>
        <v>1.746061756605681E-3</v>
      </c>
      <c r="AQ75" s="119">
        <f t="shared" si="30"/>
        <v>6.4045545232296382E-3</v>
      </c>
      <c r="AR75" s="119">
        <f t="shared" si="31"/>
        <v>0</v>
      </c>
    </row>
    <row r="76" spans="23:44">
      <c r="AF76">
        <v>19</v>
      </c>
      <c r="AO76">
        <f t="shared" si="32"/>
        <v>4.9914786810864586E-3</v>
      </c>
      <c r="AP76" s="119">
        <f t="shared" si="29"/>
        <v>1.746061756605681E-3</v>
      </c>
      <c r="AQ76" s="119">
        <f t="shared" si="30"/>
        <v>6.4045545232296382E-3</v>
      </c>
      <c r="AR76" s="119">
        <f t="shared" si="31"/>
        <v>0</v>
      </c>
    </row>
    <row r="77" spans="23:44">
      <c r="AF77">
        <v>20</v>
      </c>
      <c r="AO77">
        <f t="shared" si="32"/>
        <v>1.6287029387466179E-3</v>
      </c>
      <c r="AP77" s="119">
        <f t="shared" si="29"/>
        <v>1.746061756605681E-3</v>
      </c>
      <c r="AQ77" s="119">
        <f t="shared" si="30"/>
        <v>6.4045545232296382E-3</v>
      </c>
      <c r="AR77" s="119">
        <f t="shared" si="31"/>
        <v>0</v>
      </c>
    </row>
    <row r="78" spans="23:44">
      <c r="AF78">
        <v>21</v>
      </c>
      <c r="AO78">
        <f t="shared" si="32"/>
        <v>7.7894488374824489E-4</v>
      </c>
      <c r="AP78" s="119">
        <f t="shared" si="29"/>
        <v>1.746061756605681E-3</v>
      </c>
      <c r="AQ78" s="119">
        <f t="shared" si="30"/>
        <v>6.4045545232296382E-3</v>
      </c>
      <c r="AR78" s="119">
        <f t="shared" si="31"/>
        <v>0</v>
      </c>
    </row>
    <row r="79" spans="23:44">
      <c r="AF79">
        <v>22</v>
      </c>
      <c r="AO79">
        <f t="shared" si="32"/>
        <v>2.5795684060040958E-3</v>
      </c>
      <c r="AP79" s="119">
        <f t="shared" si="29"/>
        <v>1.746061756605681E-3</v>
      </c>
      <c r="AQ79" s="119">
        <f t="shared" si="30"/>
        <v>6.4045545232296382E-3</v>
      </c>
      <c r="AR79" s="119">
        <f t="shared" si="31"/>
        <v>0</v>
      </c>
    </row>
    <row r="80" spans="23:44">
      <c r="AF80">
        <v>23</v>
      </c>
      <c r="AO80">
        <f t="shared" si="32"/>
        <v>2.7605407828609207E-3</v>
      </c>
      <c r="AP80" s="119">
        <f t="shared" si="29"/>
        <v>1.746061756605681E-3</v>
      </c>
      <c r="AQ80" s="119">
        <f t="shared" si="30"/>
        <v>6.4045545232296382E-3</v>
      </c>
      <c r="AR80" s="119">
        <f t="shared" si="31"/>
        <v>0</v>
      </c>
    </row>
    <row r="81" spans="32:44">
      <c r="AF81">
        <v>24</v>
      </c>
      <c r="AO81">
        <f t="shared" si="32"/>
        <v>2.1234929098923327E-4</v>
      </c>
      <c r="AP81" s="119">
        <f t="shared" si="29"/>
        <v>1.746061756605681E-3</v>
      </c>
      <c r="AQ81" s="119">
        <f t="shared" si="30"/>
        <v>6.4045545232296382E-3</v>
      </c>
      <c r="AR81" s="119">
        <f t="shared" si="31"/>
        <v>0</v>
      </c>
    </row>
    <row r="82" spans="32:44">
      <c r="AO82" s="119"/>
      <c r="AP82" s="119"/>
      <c r="AQ82" s="119"/>
      <c r="AR82" s="119"/>
    </row>
    <row r="83" spans="32:44">
      <c r="AO83" s="119"/>
      <c r="AP83" s="119"/>
      <c r="AQ83" s="119"/>
      <c r="AR83" s="119"/>
    </row>
    <row r="84" spans="32:44">
      <c r="AO84" s="119"/>
      <c r="AP84" s="119"/>
      <c r="AQ84" s="119"/>
      <c r="AR84" s="119"/>
    </row>
  </sheetData>
  <mergeCells count="7">
    <mergeCell ref="N20:P20"/>
    <mergeCell ref="B1:G1"/>
    <mergeCell ref="B14:D14"/>
    <mergeCell ref="B15:D15"/>
    <mergeCell ref="R2:T2"/>
    <mergeCell ref="N2:P2"/>
    <mergeCell ref="N11:P11"/>
  </mergeCells>
  <pageMargins left="0.7" right="0.7" top="0.75" bottom="0.75" header="0.3" footer="0.3"/>
  <ignoredErrors>
    <ignoredError sqref="X6:AD7 AI4:AR6 AI24:AN24 AI22:AN22 AP22:AR22 AI23:AN23 AP23:AR23 AP24:AR24 X29:AD43 AI28:AR54 W63:AC70 X58:AD59 AG58:AS81 AI13:AR14 AI7:AJ7 AL7:AR7 AI8:AJ8 AL8:AR8 AI9:AJ9 AL9:AR9 AI10:AN10 AP10:AR10 AI11:AN11 AP11:AR11 AI12:AN12 AP12:AR12 AI16:AR21 AI15:AK15 AM15:AO15 AQ15:AR1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AB132"/>
  <sheetViews>
    <sheetView workbookViewId="0">
      <selection activeCell="N21" sqref="N21"/>
    </sheetView>
  </sheetViews>
  <sheetFormatPr defaultRowHeight="12.75"/>
  <cols>
    <col min="1" max="1" width="5.85546875" bestFit="1" customWidth="1"/>
    <col min="2" max="2" width="5.28515625" bestFit="1" customWidth="1"/>
    <col min="3" max="3" width="3.7109375" customWidth="1"/>
    <col min="4" max="4" width="5.85546875" bestFit="1" customWidth="1"/>
    <col min="5" max="5" width="5.28515625" customWidth="1"/>
    <col min="6" max="6" width="3.7109375" customWidth="1"/>
    <col min="7" max="7" width="6" customWidth="1"/>
    <col min="8" max="8" width="5.28515625" bestFit="1" customWidth="1"/>
    <col min="9" max="9" width="3.7109375" customWidth="1"/>
    <col min="10" max="11" width="5.28515625" bestFit="1" customWidth="1"/>
    <col min="12" max="12" width="3.7109375" customWidth="1"/>
    <col min="13" max="13" width="11.42578125" bestFit="1" customWidth="1"/>
    <col min="14" max="14" width="13.28515625" bestFit="1" customWidth="1"/>
    <col min="15" max="15" width="5.28515625" bestFit="1" customWidth="1"/>
    <col min="16" max="16" width="6.42578125" customWidth="1"/>
  </cols>
  <sheetData>
    <row r="1" spans="1:27">
      <c r="A1" s="64" t="s">
        <v>537</v>
      </c>
    </row>
    <row r="2" spans="1:27">
      <c r="A2" s="174" t="s">
        <v>139</v>
      </c>
      <c r="B2" s="174" t="s">
        <v>400</v>
      </c>
      <c r="C2" s="64"/>
      <c r="D2" s="174" t="s">
        <v>139</v>
      </c>
      <c r="E2" s="174" t="s">
        <v>400</v>
      </c>
      <c r="F2" s="64"/>
      <c r="G2" s="174" t="s">
        <v>139</v>
      </c>
      <c r="H2" s="174" t="s">
        <v>400</v>
      </c>
      <c r="I2" s="64"/>
      <c r="J2" s="174" t="s">
        <v>139</v>
      </c>
      <c r="K2" s="174" t="s">
        <v>400</v>
      </c>
      <c r="M2" t="s">
        <v>532</v>
      </c>
      <c r="N2" s="156">
        <v>40308</v>
      </c>
    </row>
    <row r="3" spans="1:27">
      <c r="A3" s="175" t="s">
        <v>140</v>
      </c>
      <c r="B3" s="11">
        <f>N10</f>
        <v>37</v>
      </c>
      <c r="D3" s="175" t="s">
        <v>270</v>
      </c>
      <c r="E3" s="11">
        <f>N10+N16</f>
        <v>41</v>
      </c>
      <c r="G3" s="175" t="s">
        <v>401</v>
      </c>
      <c r="H3" s="11">
        <f>N19</f>
        <v>4</v>
      </c>
      <c r="J3" s="175" t="s">
        <v>140</v>
      </c>
      <c r="K3" s="11"/>
      <c r="O3" s="64" t="s">
        <v>576</v>
      </c>
      <c r="P3" s="64" t="s">
        <v>577</v>
      </c>
    </row>
    <row r="4" spans="1:27">
      <c r="A4" s="175" t="s">
        <v>141</v>
      </c>
      <c r="B4" s="11">
        <f>N10+N13</f>
        <v>41</v>
      </c>
      <c r="D4" s="175" t="s">
        <v>271</v>
      </c>
      <c r="E4" s="11">
        <f>N10+N16</f>
        <v>41</v>
      </c>
      <c r="G4" s="175" t="s">
        <v>402</v>
      </c>
      <c r="H4" s="11">
        <f>N10+N21</f>
        <v>41</v>
      </c>
      <c r="J4" s="175" t="s">
        <v>141</v>
      </c>
      <c r="K4" s="11">
        <f>N11</f>
        <v>35</v>
      </c>
      <c r="M4" s="64" t="s">
        <v>533</v>
      </c>
      <c r="N4" s="64" t="s">
        <v>536</v>
      </c>
      <c r="O4">
        <v>5</v>
      </c>
      <c r="P4">
        <v>5</v>
      </c>
    </row>
    <row r="5" spans="1:27">
      <c r="A5" s="175" t="s">
        <v>142</v>
      </c>
      <c r="B5" s="11">
        <f>N15</f>
        <v>4</v>
      </c>
      <c r="D5" s="175" t="s">
        <v>272</v>
      </c>
      <c r="E5" s="11">
        <f>N10+N17</f>
        <v>41</v>
      </c>
      <c r="G5" s="175" t="s">
        <v>403</v>
      </c>
      <c r="H5" s="11">
        <f>N10+N19</f>
        <v>41</v>
      </c>
      <c r="J5" s="175" t="s">
        <v>142</v>
      </c>
      <c r="K5" s="11">
        <f>N15</f>
        <v>4</v>
      </c>
      <c r="M5" s="64" t="s">
        <v>534</v>
      </c>
      <c r="N5" s="64" t="s">
        <v>536</v>
      </c>
      <c r="O5">
        <v>5</v>
      </c>
      <c r="P5">
        <v>5</v>
      </c>
    </row>
    <row r="6" spans="1:27">
      <c r="A6" s="175" t="s">
        <v>143</v>
      </c>
      <c r="B6" s="11">
        <f>N10+N13</f>
        <v>41</v>
      </c>
      <c r="D6" s="175" t="s">
        <v>273</v>
      </c>
      <c r="E6" s="11">
        <f>N10+N18</f>
        <v>41</v>
      </c>
      <c r="G6" s="175" t="s">
        <v>404</v>
      </c>
      <c r="H6" s="11">
        <f>N10+N21</f>
        <v>41</v>
      </c>
      <c r="J6" s="175" t="s">
        <v>143</v>
      </c>
      <c r="K6" s="11"/>
      <c r="M6" s="64" t="s">
        <v>535</v>
      </c>
      <c r="N6" s="64" t="s">
        <v>536</v>
      </c>
      <c r="O6">
        <v>5</v>
      </c>
      <c r="P6">
        <v>5</v>
      </c>
    </row>
    <row r="7" spans="1:27">
      <c r="A7" s="175" t="s">
        <v>144</v>
      </c>
      <c r="B7" s="11">
        <f>N10+N15</f>
        <v>41</v>
      </c>
      <c r="D7" s="175" t="s">
        <v>274</v>
      </c>
      <c r="E7" s="11">
        <f>N17</f>
        <v>4</v>
      </c>
      <c r="G7" s="175" t="s">
        <v>405</v>
      </c>
      <c r="H7" s="11">
        <f>N10+N19</f>
        <v>41</v>
      </c>
      <c r="J7" s="175" t="s">
        <v>144</v>
      </c>
      <c r="K7" s="11">
        <f>N15</f>
        <v>4</v>
      </c>
      <c r="M7" s="64" t="s">
        <v>607</v>
      </c>
      <c r="N7" s="64" t="s">
        <v>536</v>
      </c>
      <c r="O7">
        <v>5</v>
      </c>
      <c r="P7">
        <v>5</v>
      </c>
    </row>
    <row r="8" spans="1:27">
      <c r="A8" s="175" t="s">
        <v>145</v>
      </c>
      <c r="B8" s="11">
        <f>N10+N15</f>
        <v>41</v>
      </c>
      <c r="D8" s="175" t="s">
        <v>275</v>
      </c>
      <c r="E8" s="11">
        <f>N10+N18</f>
        <v>41</v>
      </c>
      <c r="G8" s="175" t="s">
        <v>406</v>
      </c>
      <c r="H8" s="11">
        <f>N10+N19</f>
        <v>41</v>
      </c>
      <c r="J8" s="175" t="s">
        <v>145</v>
      </c>
      <c r="K8" s="11"/>
    </row>
    <row r="9" spans="1:27" ht="13.5" thickBot="1">
      <c r="A9" s="175" t="s">
        <v>146</v>
      </c>
      <c r="B9" s="11">
        <f>N10+N13</f>
        <v>41</v>
      </c>
      <c r="D9" s="175" t="s">
        <v>276</v>
      </c>
      <c r="E9" s="11">
        <f>N17</f>
        <v>4</v>
      </c>
      <c r="G9" s="175" t="s">
        <v>407</v>
      </c>
      <c r="H9" s="11">
        <f>N10+N21</f>
        <v>41</v>
      </c>
      <c r="J9" s="175" t="s">
        <v>146</v>
      </c>
      <c r="K9" s="11"/>
      <c r="N9" s="64" t="s">
        <v>606</v>
      </c>
      <c r="O9" t="s">
        <v>582</v>
      </c>
    </row>
    <row r="10" spans="1:27">
      <c r="A10" s="175" t="s">
        <v>147</v>
      </c>
      <c r="B10" s="11">
        <f>N10+N14</f>
        <v>41</v>
      </c>
      <c r="D10" s="175" t="s">
        <v>277</v>
      </c>
      <c r="E10" s="11">
        <f>N10+N17</f>
        <v>41</v>
      </c>
      <c r="G10" s="175" t="s">
        <v>408</v>
      </c>
      <c r="H10" s="11">
        <f>N10+N19</f>
        <v>41</v>
      </c>
      <c r="J10" s="175" t="s">
        <v>147</v>
      </c>
      <c r="K10" s="11"/>
      <c r="M10" s="168" t="s">
        <v>574</v>
      </c>
      <c r="N10" s="180">
        <f>11+10+9+7</f>
        <v>37</v>
      </c>
      <c r="O10" s="169" t="s">
        <v>581</v>
      </c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</row>
    <row r="11" spans="1:27">
      <c r="A11" s="175" t="s">
        <v>148</v>
      </c>
      <c r="B11" s="11">
        <f>N10+N14</f>
        <v>41</v>
      </c>
      <c r="D11" s="175" t="s">
        <v>278</v>
      </c>
      <c r="E11" s="11">
        <f>N10</f>
        <v>37</v>
      </c>
      <c r="G11" s="175" t="s">
        <v>409</v>
      </c>
      <c r="H11" s="11">
        <f>N10+N20</f>
        <v>41</v>
      </c>
      <c r="J11" s="175" t="s">
        <v>148</v>
      </c>
      <c r="K11" s="11">
        <f>N15</f>
        <v>4</v>
      </c>
      <c r="M11" s="357" t="s">
        <v>575</v>
      </c>
      <c r="N11" s="359">
        <f>10+10+8+7</f>
        <v>35</v>
      </c>
      <c r="O11" s="63" t="s">
        <v>583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171"/>
    </row>
    <row r="12" spans="1:27" ht="13.5" thickBot="1">
      <c r="A12" s="175" t="s">
        <v>149</v>
      </c>
      <c r="B12" s="11">
        <f>N10+N14</f>
        <v>41</v>
      </c>
      <c r="D12" s="175" t="s">
        <v>279</v>
      </c>
      <c r="E12" s="11">
        <f>N10+N16</f>
        <v>41</v>
      </c>
      <c r="G12" s="175" t="s">
        <v>410</v>
      </c>
      <c r="H12" s="11">
        <f>N10+N21</f>
        <v>41</v>
      </c>
      <c r="J12" s="175" t="s">
        <v>149</v>
      </c>
      <c r="K12" s="11"/>
      <c r="M12" s="358"/>
      <c r="N12" s="360"/>
      <c r="O12" s="35" t="s">
        <v>584</v>
      </c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172"/>
    </row>
    <row r="13" spans="1:27">
      <c r="A13" s="175" t="s">
        <v>150</v>
      </c>
      <c r="B13" s="11">
        <f>N14</f>
        <v>4</v>
      </c>
      <c r="D13" s="175" t="s">
        <v>280</v>
      </c>
      <c r="E13" s="11">
        <f>N10+N18</f>
        <v>41</v>
      </c>
      <c r="G13" s="175" t="s">
        <v>411</v>
      </c>
      <c r="H13" s="11">
        <f>N10+N19</f>
        <v>41</v>
      </c>
      <c r="J13" s="175" t="s">
        <v>150</v>
      </c>
      <c r="K13" s="11"/>
      <c r="M13" s="239" t="s">
        <v>126</v>
      </c>
      <c r="N13" s="244">
        <v>4</v>
      </c>
      <c r="O13" s="243" t="s">
        <v>604</v>
      </c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1"/>
    </row>
    <row r="14" spans="1:27">
      <c r="A14" s="175" t="s">
        <v>151</v>
      </c>
      <c r="B14" s="11">
        <f>N15</f>
        <v>4</v>
      </c>
      <c r="D14" s="175" t="s">
        <v>281</v>
      </c>
      <c r="E14" s="11">
        <f>N10+N16</f>
        <v>41</v>
      </c>
      <c r="G14" s="175" t="s">
        <v>412</v>
      </c>
      <c r="H14" s="11">
        <f>N10+N21</f>
        <v>41</v>
      </c>
      <c r="J14" s="175" t="s">
        <v>151</v>
      </c>
      <c r="K14" s="11"/>
      <c r="M14" s="287" t="s">
        <v>127</v>
      </c>
      <c r="N14" s="1">
        <v>4</v>
      </c>
      <c r="O14" s="288" t="s">
        <v>601</v>
      </c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90"/>
    </row>
    <row r="15" spans="1:27" ht="13.5" thickBot="1">
      <c r="A15" s="175" t="s">
        <v>152</v>
      </c>
      <c r="B15" s="11">
        <f>N10+N13</f>
        <v>41</v>
      </c>
      <c r="D15" s="175" t="s">
        <v>282</v>
      </c>
      <c r="E15" s="11">
        <f>N10+N18</f>
        <v>41</v>
      </c>
      <c r="G15" s="175" t="s">
        <v>413</v>
      </c>
      <c r="H15" s="11">
        <f>N10+N21</f>
        <v>41</v>
      </c>
      <c r="J15" s="177" t="s">
        <v>152</v>
      </c>
      <c r="K15" s="173"/>
      <c r="M15" s="242" t="s">
        <v>128</v>
      </c>
      <c r="N15" s="179">
        <v>4</v>
      </c>
      <c r="O15" s="35" t="s">
        <v>602</v>
      </c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172"/>
    </row>
    <row r="16" spans="1:27">
      <c r="A16" s="175" t="s">
        <v>153</v>
      </c>
      <c r="B16" s="11">
        <f>N14</f>
        <v>4</v>
      </c>
      <c r="D16" s="175" t="s">
        <v>283</v>
      </c>
      <c r="E16" s="11">
        <f>N10+N16</f>
        <v>41</v>
      </c>
      <c r="G16" s="175" t="s">
        <v>414</v>
      </c>
      <c r="H16" s="11">
        <f>N10+N19</f>
        <v>41</v>
      </c>
      <c r="J16" s="175" t="s">
        <v>270</v>
      </c>
      <c r="K16" s="11"/>
      <c r="M16" s="239" t="s">
        <v>94</v>
      </c>
      <c r="N16" s="244">
        <v>4</v>
      </c>
      <c r="O16" s="240" t="s">
        <v>598</v>
      </c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1"/>
    </row>
    <row r="17" spans="1:27">
      <c r="A17" s="175" t="s">
        <v>154</v>
      </c>
      <c r="B17" s="11">
        <f>N10+N15</f>
        <v>41</v>
      </c>
      <c r="C17" s="2"/>
      <c r="D17" s="175" t="s">
        <v>284</v>
      </c>
      <c r="E17" s="11">
        <f>N18</f>
        <v>4</v>
      </c>
      <c r="F17" s="2"/>
      <c r="G17" s="175" t="s">
        <v>415</v>
      </c>
      <c r="H17" s="11">
        <f>N10+N19</f>
        <v>41</v>
      </c>
      <c r="J17" s="175" t="s">
        <v>271</v>
      </c>
      <c r="K17" s="11">
        <f>N11</f>
        <v>35</v>
      </c>
      <c r="M17" s="287" t="s">
        <v>95</v>
      </c>
      <c r="N17" s="1">
        <v>4</v>
      </c>
      <c r="O17" s="289" t="s">
        <v>599</v>
      </c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90"/>
    </row>
    <row r="18" spans="1:27" ht="13.5" thickBot="1">
      <c r="A18" s="176" t="s">
        <v>155</v>
      </c>
      <c r="B18" s="4">
        <f>N11</f>
        <v>35</v>
      </c>
      <c r="C18" s="141"/>
      <c r="D18" s="176" t="s">
        <v>285</v>
      </c>
      <c r="E18" s="4">
        <f>N11+N18</f>
        <v>39</v>
      </c>
      <c r="F18" s="141"/>
      <c r="G18" s="176" t="s">
        <v>416</v>
      </c>
      <c r="H18" s="4">
        <f>N20</f>
        <v>4</v>
      </c>
      <c r="J18" s="175" t="s">
        <v>272</v>
      </c>
      <c r="K18" s="11"/>
      <c r="M18" s="242" t="s">
        <v>96</v>
      </c>
      <c r="N18" s="179">
        <v>4</v>
      </c>
      <c r="O18" s="35" t="s">
        <v>600</v>
      </c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172"/>
    </row>
    <row r="19" spans="1:27">
      <c r="A19" s="175" t="s">
        <v>156</v>
      </c>
      <c r="B19" s="11">
        <f>N11+N15</f>
        <v>39</v>
      </c>
      <c r="D19" s="175" t="s">
        <v>286</v>
      </c>
      <c r="E19" s="11">
        <f>N11+N17</f>
        <v>39</v>
      </c>
      <c r="G19" s="175" t="s">
        <v>417</v>
      </c>
      <c r="H19" s="11">
        <f>N11+N20</f>
        <v>39</v>
      </c>
      <c r="J19" s="175" t="s">
        <v>273</v>
      </c>
      <c r="K19" s="11"/>
      <c r="M19" s="239" t="s">
        <v>97</v>
      </c>
      <c r="N19" s="244">
        <v>4</v>
      </c>
      <c r="O19" s="240" t="s">
        <v>587</v>
      </c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1"/>
    </row>
    <row r="20" spans="1:27">
      <c r="A20" s="175" t="s">
        <v>157</v>
      </c>
      <c r="B20" s="11">
        <f>N11+N15</f>
        <v>39</v>
      </c>
      <c r="D20" s="175" t="s">
        <v>287</v>
      </c>
      <c r="E20" s="11">
        <f>N11</f>
        <v>35</v>
      </c>
      <c r="G20" s="175" t="s">
        <v>418</v>
      </c>
      <c r="H20" s="11">
        <f>N11+N19</f>
        <v>39</v>
      </c>
      <c r="J20" s="175" t="s">
        <v>274</v>
      </c>
      <c r="K20" s="11"/>
      <c r="M20" s="287" t="s">
        <v>98</v>
      </c>
      <c r="N20" s="1">
        <v>4</v>
      </c>
      <c r="O20" s="289" t="s">
        <v>595</v>
      </c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90"/>
    </row>
    <row r="21" spans="1:27" ht="13.5" thickBot="1">
      <c r="A21" s="175" t="s">
        <v>158</v>
      </c>
      <c r="B21" s="11">
        <f>N14</f>
        <v>4</v>
      </c>
      <c r="D21" s="175" t="s">
        <v>288</v>
      </c>
      <c r="E21" s="11">
        <f>N11+N18</f>
        <v>39</v>
      </c>
      <c r="G21" s="175" t="s">
        <v>419</v>
      </c>
      <c r="H21" s="11">
        <f>N11+N19</f>
        <v>39</v>
      </c>
      <c r="J21" s="175" t="s">
        <v>275</v>
      </c>
      <c r="K21" s="11"/>
      <c r="M21" s="242" t="s">
        <v>99</v>
      </c>
      <c r="N21" s="179">
        <v>4</v>
      </c>
      <c r="O21" s="35" t="s">
        <v>596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172"/>
    </row>
    <row r="22" spans="1:27">
      <c r="A22" s="175" t="s">
        <v>159</v>
      </c>
      <c r="B22" s="11">
        <f>N11+N15</f>
        <v>39</v>
      </c>
      <c r="D22" s="175" t="s">
        <v>289</v>
      </c>
      <c r="E22" s="11">
        <f>N11+N18</f>
        <v>39</v>
      </c>
      <c r="G22" s="175" t="s">
        <v>420</v>
      </c>
      <c r="H22" s="11">
        <f>N11+N20</f>
        <v>39</v>
      </c>
      <c r="J22" s="175" t="s">
        <v>276</v>
      </c>
      <c r="K22" s="11"/>
    </row>
    <row r="23" spans="1:27">
      <c r="A23" s="175" t="s">
        <v>160</v>
      </c>
      <c r="B23" s="11">
        <f>N13</f>
        <v>4</v>
      </c>
      <c r="D23" s="175" t="s">
        <v>290</v>
      </c>
      <c r="E23" s="11">
        <f>N11+N18</f>
        <v>39</v>
      </c>
      <c r="G23" s="175" t="s">
        <v>421</v>
      </c>
      <c r="H23" s="11">
        <f>N11+N19</f>
        <v>39</v>
      </c>
      <c r="J23" s="175" t="s">
        <v>277</v>
      </c>
      <c r="K23" s="11"/>
    </row>
    <row r="24" spans="1:27">
      <c r="A24" s="175" t="s">
        <v>161</v>
      </c>
      <c r="B24" s="11">
        <f>N11+N13</f>
        <v>39</v>
      </c>
      <c r="D24" s="175" t="s">
        <v>291</v>
      </c>
      <c r="E24" s="11">
        <f>N11+N18</f>
        <v>39</v>
      </c>
      <c r="G24" s="175" t="s">
        <v>422</v>
      </c>
      <c r="H24" s="11">
        <f>N19</f>
        <v>4</v>
      </c>
      <c r="J24" s="175" t="s">
        <v>278</v>
      </c>
      <c r="K24" s="11"/>
    </row>
    <row r="25" spans="1:27">
      <c r="A25" s="175" t="s">
        <v>162</v>
      </c>
      <c r="B25" s="11">
        <f>N11+N13</f>
        <v>39</v>
      </c>
      <c r="D25" s="175" t="s">
        <v>292</v>
      </c>
      <c r="E25" s="11">
        <f>N17</f>
        <v>4</v>
      </c>
      <c r="G25" s="175" t="s">
        <v>423</v>
      </c>
      <c r="H25" s="11">
        <f>N11+N19</f>
        <v>39</v>
      </c>
      <c r="J25" s="175" t="s">
        <v>279</v>
      </c>
      <c r="K25" s="11"/>
    </row>
    <row r="26" spans="1:27">
      <c r="A26" s="175" t="s">
        <v>163</v>
      </c>
      <c r="B26" s="11">
        <f>N11+N14</f>
        <v>39</v>
      </c>
      <c r="D26" s="175" t="s">
        <v>293</v>
      </c>
      <c r="E26" s="11">
        <f>N11+N16</f>
        <v>39</v>
      </c>
      <c r="G26" s="175" t="s">
        <v>424</v>
      </c>
      <c r="H26" s="11">
        <f>N21</f>
        <v>4</v>
      </c>
      <c r="J26" s="175" t="s">
        <v>280</v>
      </c>
      <c r="K26" s="11"/>
    </row>
    <row r="27" spans="1:27">
      <c r="A27" s="175" t="s">
        <v>164</v>
      </c>
      <c r="B27" s="11">
        <f>N14</f>
        <v>4</v>
      </c>
      <c r="D27" s="175" t="s">
        <v>294</v>
      </c>
      <c r="E27" s="11">
        <f>N17</f>
        <v>4</v>
      </c>
      <c r="G27" s="175" t="s">
        <v>425</v>
      </c>
      <c r="H27" s="11">
        <f>N11+N20</f>
        <v>39</v>
      </c>
      <c r="J27" s="175" t="s">
        <v>281</v>
      </c>
      <c r="K27" s="11"/>
    </row>
    <row r="28" spans="1:27">
      <c r="A28" s="175" t="s">
        <v>165</v>
      </c>
      <c r="B28" s="11">
        <f>N11</f>
        <v>35</v>
      </c>
      <c r="D28" s="175" t="s">
        <v>295</v>
      </c>
      <c r="E28" s="11">
        <f>N11+N18</f>
        <v>39</v>
      </c>
      <c r="G28" s="175" t="s">
        <v>426</v>
      </c>
      <c r="H28" s="11">
        <f>N11+N19</f>
        <v>39</v>
      </c>
      <c r="J28" s="177" t="s">
        <v>282</v>
      </c>
      <c r="K28" s="173"/>
    </row>
    <row r="29" spans="1:27">
      <c r="A29" s="175" t="s">
        <v>166</v>
      </c>
      <c r="B29" s="11">
        <f>N11+N14</f>
        <v>39</v>
      </c>
      <c r="D29" s="175" t="s">
        <v>296</v>
      </c>
      <c r="E29" s="11">
        <f>N11+N16</f>
        <v>39</v>
      </c>
      <c r="G29" s="175" t="s">
        <v>427</v>
      </c>
      <c r="H29" s="11">
        <f>N11+N20</f>
        <v>39</v>
      </c>
      <c r="J29" s="175" t="s">
        <v>401</v>
      </c>
      <c r="K29" s="11"/>
    </row>
    <row r="30" spans="1:27">
      <c r="A30" s="175" t="s">
        <v>167</v>
      </c>
      <c r="B30" s="11">
        <f>N11+N14</f>
        <v>39</v>
      </c>
      <c r="D30" s="175" t="s">
        <v>297</v>
      </c>
      <c r="E30" s="11">
        <f>N11+N16</f>
        <v>39</v>
      </c>
      <c r="G30" s="175" t="s">
        <v>428</v>
      </c>
      <c r="H30" s="11">
        <f>N11+N19</f>
        <v>39</v>
      </c>
      <c r="J30" s="175" t="s">
        <v>402</v>
      </c>
      <c r="K30" s="11"/>
    </row>
    <row r="31" spans="1:27">
      <c r="A31" s="175" t="s">
        <v>168</v>
      </c>
      <c r="B31" s="11">
        <f>N11+N14</f>
        <v>39</v>
      </c>
      <c r="D31" s="175" t="s">
        <v>298</v>
      </c>
      <c r="E31" s="11">
        <f>N11+N16</f>
        <v>39</v>
      </c>
      <c r="G31" s="175" t="s">
        <v>429</v>
      </c>
      <c r="H31" s="11">
        <f>N11+N19</f>
        <v>39</v>
      </c>
      <c r="J31" s="175" t="s">
        <v>403</v>
      </c>
      <c r="K31" s="11">
        <f>N11</f>
        <v>35</v>
      </c>
    </row>
    <row r="32" spans="1:27">
      <c r="A32" s="177" t="s">
        <v>169</v>
      </c>
      <c r="B32" s="173">
        <f>N11+N15</f>
        <v>39</v>
      </c>
      <c r="C32" s="140"/>
      <c r="D32" s="177" t="s">
        <v>299</v>
      </c>
      <c r="E32" s="173">
        <f>N17</f>
        <v>4</v>
      </c>
      <c r="F32" s="140"/>
      <c r="G32" s="177" t="s">
        <v>430</v>
      </c>
      <c r="H32" s="173">
        <f>N11</f>
        <v>35</v>
      </c>
      <c r="J32" s="175" t="s">
        <v>404</v>
      </c>
      <c r="K32" s="11">
        <f>N11</f>
        <v>35</v>
      </c>
    </row>
    <row r="33" spans="1:11">
      <c r="A33" s="175" t="s">
        <v>170</v>
      </c>
      <c r="B33" s="11">
        <f>N13</f>
        <v>4</v>
      </c>
      <c r="D33" s="175" t="s">
        <v>300</v>
      </c>
      <c r="E33" s="11">
        <f>N16</f>
        <v>4</v>
      </c>
      <c r="G33" s="175" t="s">
        <v>431</v>
      </c>
      <c r="H33" s="11">
        <f>N19</f>
        <v>4</v>
      </c>
      <c r="J33" s="175" t="s">
        <v>405</v>
      </c>
      <c r="K33" s="11"/>
    </row>
    <row r="34" spans="1:11">
      <c r="A34" s="175" t="s">
        <v>171</v>
      </c>
      <c r="B34" s="11">
        <f>N13</f>
        <v>4</v>
      </c>
      <c r="D34" s="175" t="s">
        <v>301</v>
      </c>
      <c r="E34" s="11">
        <f>N18</f>
        <v>4</v>
      </c>
      <c r="G34" s="175" t="s">
        <v>432</v>
      </c>
      <c r="H34" s="11">
        <f>N20</f>
        <v>4</v>
      </c>
      <c r="J34" s="175" t="s">
        <v>406</v>
      </c>
      <c r="K34" s="11"/>
    </row>
    <row r="35" spans="1:11">
      <c r="A35" s="175" t="s">
        <v>172</v>
      </c>
      <c r="B35" s="11">
        <f>N14</f>
        <v>4</v>
      </c>
      <c r="D35" s="175" t="s">
        <v>302</v>
      </c>
      <c r="E35" s="11"/>
      <c r="G35" s="175" t="s">
        <v>433</v>
      </c>
      <c r="H35" s="11">
        <f>N21</f>
        <v>4</v>
      </c>
      <c r="J35" s="175" t="s">
        <v>407</v>
      </c>
      <c r="K35" s="11"/>
    </row>
    <row r="36" spans="1:11">
      <c r="A36" s="175" t="s">
        <v>173</v>
      </c>
      <c r="B36" s="11">
        <f>N15</f>
        <v>4</v>
      </c>
      <c r="D36" s="175" t="s">
        <v>303</v>
      </c>
      <c r="E36" s="11">
        <f>N16</f>
        <v>4</v>
      </c>
      <c r="G36" s="175" t="s">
        <v>434</v>
      </c>
      <c r="H36" s="11">
        <f>N21</f>
        <v>4</v>
      </c>
      <c r="J36" s="175" t="s">
        <v>408</v>
      </c>
      <c r="K36" s="11"/>
    </row>
    <row r="37" spans="1:11">
      <c r="A37" s="175" t="s">
        <v>174</v>
      </c>
      <c r="B37" s="11">
        <f>N15</f>
        <v>4</v>
      </c>
      <c r="D37" s="175" t="s">
        <v>304</v>
      </c>
      <c r="E37" s="11"/>
      <c r="G37" s="175" t="s">
        <v>435</v>
      </c>
      <c r="H37" s="11">
        <f>N21</f>
        <v>4</v>
      </c>
      <c r="J37" s="175" t="s">
        <v>409</v>
      </c>
      <c r="K37" s="11"/>
    </row>
    <row r="38" spans="1:11">
      <c r="A38" s="175" t="s">
        <v>175</v>
      </c>
      <c r="B38" s="11">
        <f>N13</f>
        <v>4</v>
      </c>
      <c r="D38" s="175" t="s">
        <v>305</v>
      </c>
      <c r="E38" s="11">
        <f>N17</f>
        <v>4</v>
      </c>
      <c r="G38" s="175" t="s">
        <v>436</v>
      </c>
      <c r="H38" s="11">
        <f>N20</f>
        <v>4</v>
      </c>
      <c r="J38" s="175" t="s">
        <v>410</v>
      </c>
      <c r="K38" s="11"/>
    </row>
    <row r="39" spans="1:11">
      <c r="A39" s="175" t="s">
        <v>176</v>
      </c>
      <c r="B39" s="11">
        <f>N14</f>
        <v>4</v>
      </c>
      <c r="D39" s="175" t="s">
        <v>306</v>
      </c>
      <c r="E39" s="11">
        <f>N16</f>
        <v>4</v>
      </c>
      <c r="G39" s="175" t="s">
        <v>437</v>
      </c>
      <c r="H39" s="11"/>
      <c r="J39" s="175" t="s">
        <v>411</v>
      </c>
      <c r="K39" s="11"/>
    </row>
    <row r="40" spans="1:11">
      <c r="A40" s="175" t="s">
        <v>177</v>
      </c>
      <c r="B40" s="11">
        <f>N14</f>
        <v>4</v>
      </c>
      <c r="D40" s="175" t="s">
        <v>307</v>
      </c>
      <c r="E40" s="11">
        <f>N17</f>
        <v>4</v>
      </c>
      <c r="G40" s="175" t="s">
        <v>438</v>
      </c>
      <c r="H40" s="11">
        <f>N20</f>
        <v>4</v>
      </c>
      <c r="J40" s="175" t="s">
        <v>412</v>
      </c>
      <c r="K40" s="11"/>
    </row>
    <row r="41" spans="1:11">
      <c r="A41" s="175" t="s">
        <v>178</v>
      </c>
      <c r="B41" s="11">
        <f>N13</f>
        <v>4</v>
      </c>
      <c r="D41" s="175" t="s">
        <v>308</v>
      </c>
      <c r="E41" s="11">
        <f>N18</f>
        <v>4</v>
      </c>
      <c r="G41" s="175" t="s">
        <v>439</v>
      </c>
      <c r="H41" s="11">
        <f>N19</f>
        <v>4</v>
      </c>
      <c r="J41" s="177" t="s">
        <v>413</v>
      </c>
      <c r="K41" s="173"/>
    </row>
    <row r="42" spans="1:11">
      <c r="A42" s="175" t="s">
        <v>179</v>
      </c>
      <c r="B42" s="11">
        <f>N15</f>
        <v>4</v>
      </c>
      <c r="D42" s="175" t="s">
        <v>309</v>
      </c>
      <c r="E42" s="11"/>
      <c r="G42" s="175" t="s">
        <v>440</v>
      </c>
      <c r="H42" s="11">
        <f>N20</f>
        <v>4</v>
      </c>
    </row>
    <row r="43" spans="1:11">
      <c r="A43" s="175" t="s">
        <v>180</v>
      </c>
      <c r="B43" s="11">
        <f>N15</f>
        <v>4</v>
      </c>
      <c r="D43" s="175" t="s">
        <v>310</v>
      </c>
      <c r="E43" s="11">
        <f>N18</f>
        <v>4</v>
      </c>
      <c r="G43" s="175" t="s">
        <v>441</v>
      </c>
      <c r="H43" s="11"/>
    </row>
    <row r="44" spans="1:11">
      <c r="A44" s="175" t="s">
        <v>181</v>
      </c>
      <c r="B44" s="11">
        <f>N15</f>
        <v>4</v>
      </c>
      <c r="D44" s="175" t="s">
        <v>311</v>
      </c>
      <c r="E44" s="11">
        <f>N17</f>
        <v>4</v>
      </c>
      <c r="G44" s="175" t="s">
        <v>442</v>
      </c>
      <c r="H44" s="11">
        <f>N19</f>
        <v>4</v>
      </c>
    </row>
    <row r="45" spans="1:11">
      <c r="A45" s="175" t="s">
        <v>182</v>
      </c>
      <c r="B45" s="11">
        <f>N13</f>
        <v>4</v>
      </c>
      <c r="D45" s="175" t="s">
        <v>312</v>
      </c>
      <c r="E45" s="11">
        <f>N17</f>
        <v>4</v>
      </c>
      <c r="G45" s="175" t="s">
        <v>443</v>
      </c>
      <c r="H45" s="11">
        <f>N20</f>
        <v>4</v>
      </c>
    </row>
    <row r="46" spans="1:11">
      <c r="A46" s="175" t="s">
        <v>183</v>
      </c>
      <c r="B46" s="11">
        <f>N15</f>
        <v>4</v>
      </c>
      <c r="D46" s="175" t="s">
        <v>313</v>
      </c>
      <c r="E46" s="11">
        <f>N18</f>
        <v>4</v>
      </c>
      <c r="G46" s="175" t="s">
        <v>444</v>
      </c>
      <c r="H46" s="11">
        <f>N21</f>
        <v>4</v>
      </c>
    </row>
    <row r="47" spans="1:11">
      <c r="A47" s="175" t="s">
        <v>184</v>
      </c>
      <c r="B47" s="11">
        <f>N15</f>
        <v>4</v>
      </c>
      <c r="D47" s="175" t="s">
        <v>314</v>
      </c>
      <c r="E47" s="11">
        <f>N16</f>
        <v>4</v>
      </c>
      <c r="G47" s="175" t="s">
        <v>445</v>
      </c>
      <c r="H47" s="11">
        <f>N21</f>
        <v>4</v>
      </c>
    </row>
    <row r="48" spans="1:11">
      <c r="A48" s="175" t="s">
        <v>185</v>
      </c>
      <c r="B48" s="11">
        <f>N14</f>
        <v>4</v>
      </c>
      <c r="D48" s="175" t="s">
        <v>315</v>
      </c>
      <c r="E48" s="11">
        <f>N17</f>
        <v>4</v>
      </c>
      <c r="G48" s="175" t="s">
        <v>446</v>
      </c>
      <c r="H48" s="11">
        <f>N20</f>
        <v>4</v>
      </c>
    </row>
    <row r="49" spans="1:8">
      <c r="A49" s="175" t="s">
        <v>186</v>
      </c>
      <c r="B49" s="11">
        <f>N14</f>
        <v>4</v>
      </c>
      <c r="D49" s="175" t="s">
        <v>316</v>
      </c>
      <c r="E49" s="11"/>
      <c r="G49" s="175" t="s">
        <v>447</v>
      </c>
      <c r="H49" s="11"/>
    </row>
    <row r="50" spans="1:8">
      <c r="A50" s="175" t="s">
        <v>187</v>
      </c>
      <c r="B50" s="11">
        <f>N15</f>
        <v>4</v>
      </c>
      <c r="D50" s="175" t="s">
        <v>317</v>
      </c>
      <c r="E50" s="11">
        <f>N17</f>
        <v>4</v>
      </c>
      <c r="G50" s="175" t="s">
        <v>448</v>
      </c>
      <c r="H50" s="11">
        <f>N21</f>
        <v>4</v>
      </c>
    </row>
    <row r="51" spans="1:8">
      <c r="A51" s="175" t="s">
        <v>188</v>
      </c>
      <c r="B51" s="11">
        <f>N14</f>
        <v>4</v>
      </c>
      <c r="D51" s="175" t="s">
        <v>318</v>
      </c>
      <c r="E51" s="11">
        <f>N18</f>
        <v>4</v>
      </c>
      <c r="G51" s="175" t="s">
        <v>449</v>
      </c>
      <c r="H51" s="11">
        <f>N20</f>
        <v>4</v>
      </c>
    </row>
    <row r="52" spans="1:8">
      <c r="A52" s="175" t="s">
        <v>189</v>
      </c>
      <c r="B52" s="11">
        <f>N15</f>
        <v>4</v>
      </c>
      <c r="D52" s="175" t="s">
        <v>319</v>
      </c>
      <c r="E52" s="11">
        <f>N18</f>
        <v>4</v>
      </c>
      <c r="G52" s="175" t="s">
        <v>450</v>
      </c>
      <c r="H52" s="11">
        <f>N20</f>
        <v>4</v>
      </c>
    </row>
    <row r="53" spans="1:8">
      <c r="A53" s="175" t="s">
        <v>190</v>
      </c>
      <c r="B53" s="11">
        <f>N14</f>
        <v>4</v>
      </c>
      <c r="D53" s="175" t="s">
        <v>320</v>
      </c>
      <c r="E53" s="11">
        <f>N17</f>
        <v>4</v>
      </c>
      <c r="G53" s="175" t="s">
        <v>451</v>
      </c>
      <c r="H53" s="11">
        <f>N19</f>
        <v>4</v>
      </c>
    </row>
    <row r="54" spans="1:8">
      <c r="A54" s="175" t="s">
        <v>191</v>
      </c>
      <c r="B54" s="11">
        <f>N15</f>
        <v>4</v>
      </c>
      <c r="D54" s="175" t="s">
        <v>321</v>
      </c>
      <c r="E54" s="11">
        <f>N18</f>
        <v>4</v>
      </c>
      <c r="G54" s="175" t="s">
        <v>452</v>
      </c>
      <c r="H54" s="11">
        <f>N19</f>
        <v>4</v>
      </c>
    </row>
    <row r="55" spans="1:8">
      <c r="A55" s="175" t="s">
        <v>192</v>
      </c>
      <c r="B55" s="11">
        <f>N13</f>
        <v>4</v>
      </c>
      <c r="D55" s="175" t="s">
        <v>322</v>
      </c>
      <c r="E55" s="11">
        <f>N18</f>
        <v>4</v>
      </c>
      <c r="G55" s="175" t="s">
        <v>453</v>
      </c>
      <c r="H55" s="11">
        <f>N21</f>
        <v>4</v>
      </c>
    </row>
    <row r="56" spans="1:8">
      <c r="A56" s="175" t="s">
        <v>193</v>
      </c>
      <c r="B56" s="11">
        <f>N13</f>
        <v>4</v>
      </c>
      <c r="D56" s="175" t="s">
        <v>323</v>
      </c>
      <c r="E56" s="11">
        <f>N16</f>
        <v>4</v>
      </c>
      <c r="G56" s="175" t="s">
        <v>454</v>
      </c>
      <c r="H56" s="11">
        <f>N20</f>
        <v>4</v>
      </c>
    </row>
    <row r="57" spans="1:8">
      <c r="A57" s="175" t="s">
        <v>194</v>
      </c>
      <c r="B57" s="11">
        <f>N13</f>
        <v>4</v>
      </c>
      <c r="D57" s="175" t="s">
        <v>324</v>
      </c>
      <c r="E57" s="11">
        <f>N17</f>
        <v>4</v>
      </c>
      <c r="G57" s="175" t="s">
        <v>455</v>
      </c>
      <c r="H57" s="11">
        <f>N19</f>
        <v>4</v>
      </c>
    </row>
    <row r="58" spans="1:8">
      <c r="A58" s="175" t="s">
        <v>195</v>
      </c>
      <c r="B58" s="11">
        <f>N14</f>
        <v>4</v>
      </c>
      <c r="D58" s="175" t="s">
        <v>325</v>
      </c>
      <c r="E58" s="11">
        <f>N18</f>
        <v>4</v>
      </c>
      <c r="G58" s="175" t="s">
        <v>456</v>
      </c>
      <c r="H58" s="11">
        <f>N21</f>
        <v>4</v>
      </c>
    </row>
    <row r="59" spans="1:8">
      <c r="A59" s="175" t="s">
        <v>196</v>
      </c>
      <c r="B59" s="11">
        <f>N13</f>
        <v>4</v>
      </c>
      <c r="D59" s="175" t="s">
        <v>326</v>
      </c>
      <c r="E59" s="11">
        <f>N16</f>
        <v>4</v>
      </c>
      <c r="G59" s="175" t="s">
        <v>457</v>
      </c>
      <c r="H59" s="11"/>
    </row>
    <row r="60" spans="1:8">
      <c r="A60" s="175" t="s">
        <v>197</v>
      </c>
      <c r="B60" s="11">
        <f>N14</f>
        <v>4</v>
      </c>
      <c r="D60" s="175" t="s">
        <v>327</v>
      </c>
      <c r="E60" s="11">
        <f>N16</f>
        <v>4</v>
      </c>
      <c r="G60" s="175" t="s">
        <v>458</v>
      </c>
      <c r="H60" s="11">
        <f>N20</f>
        <v>4</v>
      </c>
    </row>
    <row r="61" spans="1:8">
      <c r="A61" s="175" t="s">
        <v>198</v>
      </c>
      <c r="B61" s="11">
        <f>N13</f>
        <v>4</v>
      </c>
      <c r="D61" s="175" t="s">
        <v>328</v>
      </c>
      <c r="E61" s="11">
        <f>N17</f>
        <v>4</v>
      </c>
      <c r="G61" s="175" t="s">
        <v>459</v>
      </c>
      <c r="H61" s="11">
        <f>N21</f>
        <v>4</v>
      </c>
    </row>
    <row r="62" spans="1:8">
      <c r="A62" s="175" t="s">
        <v>199</v>
      </c>
      <c r="B62" s="11">
        <f>N15</f>
        <v>4</v>
      </c>
      <c r="D62" s="175" t="s">
        <v>329</v>
      </c>
      <c r="E62" s="11">
        <f>N17</f>
        <v>4</v>
      </c>
      <c r="G62" s="175" t="s">
        <v>460</v>
      </c>
      <c r="H62" s="11">
        <f>N19</f>
        <v>4</v>
      </c>
    </row>
    <row r="63" spans="1:8">
      <c r="A63" s="175" t="s">
        <v>200</v>
      </c>
      <c r="B63" s="11">
        <f>N14</f>
        <v>4</v>
      </c>
      <c r="D63" s="175" t="s">
        <v>330</v>
      </c>
      <c r="E63" s="11">
        <f>N16</f>
        <v>4</v>
      </c>
      <c r="G63" s="175" t="s">
        <v>461</v>
      </c>
      <c r="H63" s="11">
        <f>N19</f>
        <v>4</v>
      </c>
    </row>
    <row r="64" spans="1:8">
      <c r="A64" s="175" t="s">
        <v>201</v>
      </c>
      <c r="B64" s="11">
        <f>N14</f>
        <v>4</v>
      </c>
      <c r="D64" s="175" t="s">
        <v>331</v>
      </c>
      <c r="E64" s="11">
        <f>N18</f>
        <v>4</v>
      </c>
      <c r="G64" s="175" t="s">
        <v>462</v>
      </c>
      <c r="H64" s="11">
        <f>N19</f>
        <v>4</v>
      </c>
    </row>
    <row r="65" spans="1:8">
      <c r="A65" s="175" t="s">
        <v>202</v>
      </c>
      <c r="B65" s="11">
        <f>N14</f>
        <v>4</v>
      </c>
      <c r="D65" s="175" t="s">
        <v>332</v>
      </c>
      <c r="E65" s="11">
        <f>N16</f>
        <v>4</v>
      </c>
      <c r="G65" s="175" t="s">
        <v>463</v>
      </c>
      <c r="H65" s="11">
        <f>N20</f>
        <v>4</v>
      </c>
    </row>
    <row r="66" spans="1:8">
      <c r="A66" s="175" t="s">
        <v>203</v>
      </c>
      <c r="B66" s="11">
        <f>N15</f>
        <v>4</v>
      </c>
      <c r="D66" s="175" t="s">
        <v>333</v>
      </c>
      <c r="E66" s="11">
        <f>N18</f>
        <v>4</v>
      </c>
      <c r="G66" s="175" t="s">
        <v>464</v>
      </c>
      <c r="H66" s="11">
        <f>N21</f>
        <v>4</v>
      </c>
    </row>
    <row r="67" spans="1:8">
      <c r="A67" s="175" t="s">
        <v>204</v>
      </c>
      <c r="B67" s="11">
        <f>N14</f>
        <v>4</v>
      </c>
      <c r="D67" s="175" t="s">
        <v>334</v>
      </c>
      <c r="E67" s="11">
        <f>N18</f>
        <v>4</v>
      </c>
      <c r="G67" s="175" t="s">
        <v>465</v>
      </c>
      <c r="H67" s="11">
        <f>N21</f>
        <v>4</v>
      </c>
    </row>
    <row r="68" spans="1:8">
      <c r="A68" s="175" t="s">
        <v>205</v>
      </c>
      <c r="B68" s="11">
        <f>N15</f>
        <v>4</v>
      </c>
      <c r="D68" s="175" t="s">
        <v>335</v>
      </c>
      <c r="E68" s="11">
        <f>N18</f>
        <v>4</v>
      </c>
      <c r="G68" s="175" t="s">
        <v>466</v>
      </c>
      <c r="H68" s="11">
        <f>N21</f>
        <v>4</v>
      </c>
    </row>
    <row r="69" spans="1:8">
      <c r="A69" s="175" t="s">
        <v>206</v>
      </c>
      <c r="B69" s="11">
        <f>N14</f>
        <v>4</v>
      </c>
      <c r="D69" s="175" t="s">
        <v>336</v>
      </c>
      <c r="E69" s="11">
        <f>N17</f>
        <v>4</v>
      </c>
      <c r="G69" s="175" t="s">
        <v>467</v>
      </c>
      <c r="H69" s="11"/>
    </row>
    <row r="70" spans="1:8">
      <c r="A70" s="175" t="s">
        <v>207</v>
      </c>
      <c r="B70" s="11">
        <f>N15</f>
        <v>4</v>
      </c>
      <c r="D70" s="175" t="s">
        <v>337</v>
      </c>
      <c r="E70" s="11">
        <f>N16</f>
        <v>4</v>
      </c>
      <c r="G70" s="175" t="s">
        <v>468</v>
      </c>
      <c r="H70" s="11">
        <f>N19</f>
        <v>4</v>
      </c>
    </row>
    <row r="71" spans="1:8">
      <c r="A71" s="175" t="s">
        <v>208</v>
      </c>
      <c r="B71" s="11">
        <f>N14</f>
        <v>4</v>
      </c>
      <c r="D71" s="175" t="s">
        <v>338</v>
      </c>
      <c r="E71" s="11"/>
      <c r="G71" s="175" t="s">
        <v>469</v>
      </c>
      <c r="H71" s="11">
        <f>N19</f>
        <v>4</v>
      </c>
    </row>
    <row r="72" spans="1:8">
      <c r="A72" s="175" t="s">
        <v>209</v>
      </c>
      <c r="B72" s="11">
        <f>N14</f>
        <v>4</v>
      </c>
      <c r="D72" s="175" t="s">
        <v>339</v>
      </c>
      <c r="E72" s="11">
        <f>N18</f>
        <v>4</v>
      </c>
      <c r="G72" s="175" t="s">
        <v>470</v>
      </c>
      <c r="H72" s="11">
        <f>N20</f>
        <v>4</v>
      </c>
    </row>
    <row r="73" spans="1:8">
      <c r="A73" s="175" t="s">
        <v>210</v>
      </c>
      <c r="B73" s="11">
        <f>N13</f>
        <v>4</v>
      </c>
      <c r="D73" s="175" t="s">
        <v>340</v>
      </c>
      <c r="E73" s="11">
        <f>N18</f>
        <v>4</v>
      </c>
      <c r="G73" s="175" t="s">
        <v>471</v>
      </c>
      <c r="H73" s="11">
        <f>N21</f>
        <v>4</v>
      </c>
    </row>
    <row r="74" spans="1:8">
      <c r="A74" s="175" t="s">
        <v>211</v>
      </c>
      <c r="B74" s="11">
        <f>N15</f>
        <v>4</v>
      </c>
      <c r="D74" s="175" t="s">
        <v>341</v>
      </c>
      <c r="E74" s="11">
        <f>N16</f>
        <v>4</v>
      </c>
      <c r="G74" s="175" t="s">
        <v>472</v>
      </c>
      <c r="H74" s="11">
        <f>N20</f>
        <v>4</v>
      </c>
    </row>
    <row r="75" spans="1:8">
      <c r="A75" s="175" t="s">
        <v>212</v>
      </c>
      <c r="B75" s="11">
        <f>N14</f>
        <v>4</v>
      </c>
      <c r="D75" s="175" t="s">
        <v>342</v>
      </c>
      <c r="E75" s="11">
        <f>N16</f>
        <v>4</v>
      </c>
      <c r="G75" s="175" t="s">
        <v>473</v>
      </c>
      <c r="H75" s="11">
        <f>N21</f>
        <v>4</v>
      </c>
    </row>
    <row r="76" spans="1:8">
      <c r="A76" s="175" t="s">
        <v>213</v>
      </c>
      <c r="B76" s="11">
        <f>N13</f>
        <v>4</v>
      </c>
      <c r="D76" s="175" t="s">
        <v>343</v>
      </c>
      <c r="E76" s="11">
        <f>N17</f>
        <v>4</v>
      </c>
      <c r="G76" s="175" t="s">
        <v>474</v>
      </c>
      <c r="H76" s="11">
        <f>N21</f>
        <v>4</v>
      </c>
    </row>
    <row r="77" spans="1:8">
      <c r="A77" s="175" t="s">
        <v>214</v>
      </c>
      <c r="B77" s="11">
        <f>N13</f>
        <v>4</v>
      </c>
      <c r="D77" s="175" t="s">
        <v>344</v>
      </c>
      <c r="E77" s="11">
        <f>N18</f>
        <v>4</v>
      </c>
      <c r="G77" s="175" t="s">
        <v>475</v>
      </c>
      <c r="H77" s="11">
        <f>N20</f>
        <v>4</v>
      </c>
    </row>
    <row r="78" spans="1:8">
      <c r="A78" s="175" t="s">
        <v>215</v>
      </c>
      <c r="B78" s="11">
        <f>N13</f>
        <v>4</v>
      </c>
      <c r="D78" s="175" t="s">
        <v>345</v>
      </c>
      <c r="E78" s="11">
        <f>N17</f>
        <v>4</v>
      </c>
      <c r="G78" s="175" t="s">
        <v>476</v>
      </c>
      <c r="H78" s="11">
        <f>N21</f>
        <v>4</v>
      </c>
    </row>
    <row r="79" spans="1:8">
      <c r="A79" s="175" t="s">
        <v>216</v>
      </c>
      <c r="B79" s="11">
        <f>N15</f>
        <v>4</v>
      </c>
      <c r="D79" s="175" t="s">
        <v>346</v>
      </c>
      <c r="E79" s="11">
        <f>N17</f>
        <v>4</v>
      </c>
      <c r="G79" s="175" t="s">
        <v>477</v>
      </c>
      <c r="H79" s="11">
        <f>N21</f>
        <v>4</v>
      </c>
    </row>
    <row r="80" spans="1:8">
      <c r="A80" s="175" t="s">
        <v>217</v>
      </c>
      <c r="B80" s="11">
        <f>N13</f>
        <v>4</v>
      </c>
      <c r="D80" s="175" t="s">
        <v>347</v>
      </c>
      <c r="E80" s="11">
        <f>N17</f>
        <v>4</v>
      </c>
      <c r="G80" s="175" t="s">
        <v>478</v>
      </c>
      <c r="H80" s="11">
        <f>N20</f>
        <v>4</v>
      </c>
    </row>
    <row r="81" spans="1:28">
      <c r="A81" s="175" t="s">
        <v>218</v>
      </c>
      <c r="B81" s="11">
        <f>N15</f>
        <v>4</v>
      </c>
      <c r="D81" s="175" t="s">
        <v>348</v>
      </c>
      <c r="E81" s="11">
        <f>N17</f>
        <v>4</v>
      </c>
      <c r="G81" s="175" t="s">
        <v>479</v>
      </c>
      <c r="H81" s="11">
        <f>N21</f>
        <v>4</v>
      </c>
    </row>
    <row r="82" spans="1:28">
      <c r="A82" s="175" t="s">
        <v>219</v>
      </c>
      <c r="B82" s="11">
        <f>N15</f>
        <v>4</v>
      </c>
      <c r="D82" s="175" t="s">
        <v>349</v>
      </c>
      <c r="E82" s="11">
        <f>N17</f>
        <v>4</v>
      </c>
      <c r="G82" s="175" t="s">
        <v>480</v>
      </c>
      <c r="H82" s="11">
        <f>N21</f>
        <v>4</v>
      </c>
    </row>
    <row r="83" spans="1:28">
      <c r="A83" s="175" t="s">
        <v>220</v>
      </c>
      <c r="B83" s="11">
        <f>N13</f>
        <v>4</v>
      </c>
      <c r="D83" s="175" t="s">
        <v>350</v>
      </c>
      <c r="E83" s="11">
        <f>N17</f>
        <v>4</v>
      </c>
      <c r="G83" s="175" t="s">
        <v>481</v>
      </c>
      <c r="H83" s="11">
        <f>N20</f>
        <v>4</v>
      </c>
    </row>
    <row r="84" spans="1:28">
      <c r="A84" s="175" t="s">
        <v>221</v>
      </c>
      <c r="B84" s="11"/>
      <c r="D84" s="175" t="s">
        <v>351</v>
      </c>
      <c r="E84" s="11"/>
      <c r="G84" s="175" t="s">
        <v>482</v>
      </c>
      <c r="H84" s="11">
        <f>N19</f>
        <v>4</v>
      </c>
    </row>
    <row r="85" spans="1:28">
      <c r="A85" s="175" t="s">
        <v>222</v>
      </c>
      <c r="B85" s="11">
        <f>N15</f>
        <v>4</v>
      </c>
      <c r="D85" s="175" t="s">
        <v>352</v>
      </c>
      <c r="E85" s="11">
        <f>N16</f>
        <v>4</v>
      </c>
      <c r="G85" s="175" t="s">
        <v>483</v>
      </c>
      <c r="H85" s="11">
        <f>N20</f>
        <v>4</v>
      </c>
    </row>
    <row r="86" spans="1:28">
      <c r="A86" s="175" t="s">
        <v>223</v>
      </c>
      <c r="B86" s="11">
        <f>N15</f>
        <v>4</v>
      </c>
      <c r="D86" s="175" t="s">
        <v>353</v>
      </c>
      <c r="E86" s="11">
        <f>N18</f>
        <v>4</v>
      </c>
      <c r="G86" s="175" t="s">
        <v>484</v>
      </c>
      <c r="H86" s="11">
        <f>N19</f>
        <v>4</v>
      </c>
    </row>
    <row r="87" spans="1:28">
      <c r="A87" s="175" t="s">
        <v>224</v>
      </c>
      <c r="B87" s="11">
        <f>N13</f>
        <v>4</v>
      </c>
      <c r="D87" s="175" t="s">
        <v>354</v>
      </c>
      <c r="E87" s="11">
        <f>N16</f>
        <v>4</v>
      </c>
      <c r="G87" s="175" t="s">
        <v>485</v>
      </c>
      <c r="H87" s="11">
        <f>N20</f>
        <v>4</v>
      </c>
    </row>
    <row r="88" spans="1:28">
      <c r="A88" s="175" t="s">
        <v>225</v>
      </c>
      <c r="B88" s="11">
        <f>N13</f>
        <v>4</v>
      </c>
      <c r="D88" s="175" t="s">
        <v>355</v>
      </c>
      <c r="E88" s="11">
        <f>N17</f>
        <v>4</v>
      </c>
      <c r="G88" s="175" t="s">
        <v>486</v>
      </c>
      <c r="H88" s="11">
        <f>N21</f>
        <v>4</v>
      </c>
    </row>
    <row r="89" spans="1:28">
      <c r="A89" s="175" t="s">
        <v>226</v>
      </c>
      <c r="B89" s="11">
        <f>N13</f>
        <v>4</v>
      </c>
      <c r="D89" s="175" t="s">
        <v>356</v>
      </c>
      <c r="E89" s="11">
        <f>N16</f>
        <v>4</v>
      </c>
      <c r="G89" s="175" t="s">
        <v>487</v>
      </c>
      <c r="H89" s="11">
        <f>N20</f>
        <v>4</v>
      </c>
    </row>
    <row r="90" spans="1:28">
      <c r="A90" s="175" t="s">
        <v>227</v>
      </c>
      <c r="B90" s="11">
        <f>N15</f>
        <v>4</v>
      </c>
      <c r="D90" s="175" t="s">
        <v>357</v>
      </c>
      <c r="E90" s="11">
        <f>N17</f>
        <v>4</v>
      </c>
      <c r="G90" s="175" t="s">
        <v>488</v>
      </c>
      <c r="H90" s="11"/>
    </row>
    <row r="91" spans="1:28">
      <c r="A91" s="175" t="s">
        <v>228</v>
      </c>
      <c r="B91" s="11">
        <f>N14</f>
        <v>4</v>
      </c>
      <c r="D91" s="175" t="s">
        <v>358</v>
      </c>
      <c r="E91" s="11">
        <f>N18</f>
        <v>4</v>
      </c>
      <c r="G91" s="175" t="s">
        <v>489</v>
      </c>
      <c r="H91" s="11">
        <f>N21</f>
        <v>4</v>
      </c>
    </row>
    <row r="92" spans="1:28">
      <c r="A92" s="175" t="s">
        <v>229</v>
      </c>
      <c r="B92" s="11">
        <f>N14</f>
        <v>4</v>
      </c>
      <c r="D92" s="175" t="s">
        <v>359</v>
      </c>
      <c r="E92" s="11">
        <f>N18</f>
        <v>4</v>
      </c>
      <c r="G92" s="175" t="s">
        <v>490</v>
      </c>
      <c r="H92" s="11">
        <f>N21</f>
        <v>4</v>
      </c>
    </row>
    <row r="93" spans="1:28">
      <c r="A93" s="175" t="s">
        <v>230</v>
      </c>
      <c r="B93" s="11">
        <f>N13</f>
        <v>4</v>
      </c>
      <c r="D93" s="175" t="s">
        <v>360</v>
      </c>
      <c r="E93" s="11">
        <f>N16</f>
        <v>4</v>
      </c>
      <c r="G93" s="175" t="s">
        <v>491</v>
      </c>
      <c r="H93" s="11">
        <f>N21</f>
        <v>4</v>
      </c>
    </row>
    <row r="94" spans="1:28">
      <c r="A94" s="175" t="s">
        <v>231</v>
      </c>
      <c r="B94" s="11">
        <f>N14</f>
        <v>4</v>
      </c>
      <c r="D94" s="175" t="s">
        <v>361</v>
      </c>
      <c r="E94" s="11">
        <f>N18</f>
        <v>4</v>
      </c>
      <c r="G94" s="175" t="s">
        <v>492</v>
      </c>
      <c r="H94" s="11">
        <f>N19</f>
        <v>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>
      <c r="A95" s="175" t="s">
        <v>232</v>
      </c>
      <c r="B95" s="11">
        <f>N14</f>
        <v>4</v>
      </c>
      <c r="D95" s="175" t="s">
        <v>362</v>
      </c>
      <c r="E95" s="11">
        <f>N17</f>
        <v>4</v>
      </c>
      <c r="G95" s="175" t="s">
        <v>493</v>
      </c>
      <c r="H95" s="11">
        <f>N21</f>
        <v>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>
      <c r="A96" s="175" t="s">
        <v>233</v>
      </c>
      <c r="B96" s="11">
        <f>N14</f>
        <v>4</v>
      </c>
      <c r="D96" s="175" t="s">
        <v>363</v>
      </c>
      <c r="E96" s="11">
        <f>N16</f>
        <v>4</v>
      </c>
      <c r="G96" s="175" t="s">
        <v>494</v>
      </c>
      <c r="H96" s="11">
        <f>N19</f>
        <v>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>
      <c r="A97" s="175" t="s">
        <v>234</v>
      </c>
      <c r="B97" s="11">
        <f>N15</f>
        <v>4</v>
      </c>
      <c r="D97" s="175" t="s">
        <v>364</v>
      </c>
      <c r="E97" s="11">
        <f>N17</f>
        <v>4</v>
      </c>
      <c r="G97" s="175" t="s">
        <v>495</v>
      </c>
      <c r="H97" s="11">
        <f>N19</f>
        <v>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>
      <c r="A98" s="175" t="s">
        <v>235</v>
      </c>
      <c r="B98" s="11">
        <f>N14</f>
        <v>4</v>
      </c>
      <c r="D98" s="175" t="s">
        <v>365</v>
      </c>
      <c r="E98" s="11">
        <f>N17</f>
        <v>4</v>
      </c>
      <c r="G98" s="175" t="s">
        <v>496</v>
      </c>
      <c r="H98" s="11">
        <f>N20</f>
        <v>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>
      <c r="A99" s="175" t="s">
        <v>236</v>
      </c>
      <c r="B99" s="11">
        <f>N13</f>
        <v>4</v>
      </c>
      <c r="D99" s="175" t="s">
        <v>366</v>
      </c>
      <c r="E99" s="11">
        <f>N17</f>
        <v>4</v>
      </c>
      <c r="G99" s="175" t="s">
        <v>497</v>
      </c>
      <c r="H99" s="11">
        <f>N20</f>
        <v>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>
      <c r="A100" s="175" t="s">
        <v>237</v>
      </c>
      <c r="B100" s="11">
        <f>N15</f>
        <v>4</v>
      </c>
      <c r="D100" s="175" t="s">
        <v>367</v>
      </c>
      <c r="E100" s="11">
        <f>N16</f>
        <v>4</v>
      </c>
      <c r="G100" s="175" t="s">
        <v>498</v>
      </c>
      <c r="H100" s="1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>
      <c r="A101" s="175" t="s">
        <v>238</v>
      </c>
      <c r="B101" s="11"/>
      <c r="D101" s="175" t="s">
        <v>368</v>
      </c>
      <c r="E101" s="11">
        <f>N18</f>
        <v>4</v>
      </c>
      <c r="G101" s="175" t="s">
        <v>499</v>
      </c>
      <c r="H101" s="11">
        <f>N20</f>
        <v>4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>
      <c r="A102" s="175" t="s">
        <v>239</v>
      </c>
      <c r="B102" s="11">
        <f>N15</f>
        <v>4</v>
      </c>
      <c r="D102" s="175" t="s">
        <v>369</v>
      </c>
      <c r="E102" s="11">
        <f>N16</f>
        <v>4</v>
      </c>
      <c r="G102" s="175" t="s">
        <v>500</v>
      </c>
      <c r="H102" s="11">
        <f>N19</f>
        <v>4</v>
      </c>
      <c r="AA102" s="2"/>
      <c r="AB102" s="2"/>
    </row>
    <row r="103" spans="1:28">
      <c r="A103" s="175" t="s">
        <v>240</v>
      </c>
      <c r="B103" s="11">
        <f>N13</f>
        <v>4</v>
      </c>
      <c r="D103" s="175" t="s">
        <v>370</v>
      </c>
      <c r="E103" s="11">
        <f>N16</f>
        <v>4</v>
      </c>
      <c r="G103" s="175" t="s">
        <v>501</v>
      </c>
      <c r="H103" s="11"/>
      <c r="AA103" s="2"/>
      <c r="AB103" s="2"/>
    </row>
    <row r="104" spans="1:28">
      <c r="A104" s="175" t="s">
        <v>241</v>
      </c>
      <c r="B104" s="11">
        <f>N13</f>
        <v>4</v>
      </c>
      <c r="D104" s="175" t="s">
        <v>371</v>
      </c>
      <c r="E104" s="11">
        <f>N17</f>
        <v>4</v>
      </c>
      <c r="G104" s="175" t="s">
        <v>502</v>
      </c>
      <c r="H104" s="11">
        <f>N21</f>
        <v>4</v>
      </c>
      <c r="AA104" s="2"/>
      <c r="AB104" s="2"/>
    </row>
    <row r="105" spans="1:28">
      <c r="A105" s="175" t="s">
        <v>242</v>
      </c>
      <c r="B105" s="11">
        <f>N13</f>
        <v>4</v>
      </c>
      <c r="D105" s="175" t="s">
        <v>372</v>
      </c>
      <c r="E105" s="11">
        <f>N16</f>
        <v>4</v>
      </c>
      <c r="G105" s="175" t="s">
        <v>503</v>
      </c>
      <c r="H105" s="11">
        <f>N21</f>
        <v>4</v>
      </c>
      <c r="AA105" s="2"/>
      <c r="AB105" s="2"/>
    </row>
    <row r="106" spans="1:28">
      <c r="A106" s="175" t="s">
        <v>243</v>
      </c>
      <c r="B106" s="11">
        <f>N13</f>
        <v>4</v>
      </c>
      <c r="D106" s="175" t="s">
        <v>373</v>
      </c>
      <c r="E106" s="11"/>
      <c r="G106" s="175" t="s">
        <v>504</v>
      </c>
      <c r="H106" s="11">
        <f>N20</f>
        <v>4</v>
      </c>
      <c r="AA106" s="2"/>
      <c r="AB106" s="2"/>
    </row>
    <row r="107" spans="1:28">
      <c r="A107" s="175" t="s">
        <v>244</v>
      </c>
      <c r="B107" s="11">
        <f>N13</f>
        <v>4</v>
      </c>
      <c r="D107" s="175" t="s">
        <v>374</v>
      </c>
      <c r="E107" s="11">
        <f>N16</f>
        <v>4</v>
      </c>
      <c r="G107" s="175" t="s">
        <v>505</v>
      </c>
      <c r="H107" s="11">
        <f>N21</f>
        <v>4</v>
      </c>
    </row>
    <row r="108" spans="1:28">
      <c r="A108" s="175" t="s">
        <v>245</v>
      </c>
      <c r="B108" s="11">
        <f>N13</f>
        <v>4</v>
      </c>
      <c r="D108" s="175" t="s">
        <v>375</v>
      </c>
      <c r="E108" s="11">
        <f>N16</f>
        <v>4</v>
      </c>
      <c r="G108" s="175" t="s">
        <v>506</v>
      </c>
      <c r="H108" s="11">
        <f>N19</f>
        <v>4</v>
      </c>
    </row>
    <row r="109" spans="1:28">
      <c r="A109" s="175" t="s">
        <v>246</v>
      </c>
      <c r="B109" s="11"/>
      <c r="D109" s="175" t="s">
        <v>376</v>
      </c>
      <c r="E109" s="11">
        <f>N18</f>
        <v>4</v>
      </c>
      <c r="G109" s="175" t="s">
        <v>507</v>
      </c>
      <c r="H109" s="11">
        <f>N19</f>
        <v>4</v>
      </c>
    </row>
    <row r="110" spans="1:28">
      <c r="A110" s="175" t="s">
        <v>247</v>
      </c>
      <c r="B110" s="11"/>
      <c r="D110" s="175" t="s">
        <v>377</v>
      </c>
      <c r="E110" s="11">
        <f>N17</f>
        <v>4</v>
      </c>
      <c r="G110" s="175" t="s">
        <v>508</v>
      </c>
      <c r="H110" s="11">
        <f>N20</f>
        <v>4</v>
      </c>
    </row>
    <row r="111" spans="1:28">
      <c r="A111" s="175" t="s">
        <v>248</v>
      </c>
      <c r="B111" s="11">
        <f>N15</f>
        <v>4</v>
      </c>
      <c r="D111" s="175" t="s">
        <v>378</v>
      </c>
      <c r="E111" s="11">
        <f>N18</f>
        <v>4</v>
      </c>
      <c r="G111" s="175" t="s">
        <v>509</v>
      </c>
      <c r="H111" s="11">
        <f>N20</f>
        <v>4</v>
      </c>
    </row>
    <row r="112" spans="1:28">
      <c r="A112" s="175" t="s">
        <v>249</v>
      </c>
      <c r="B112" s="11">
        <f>N15</f>
        <v>4</v>
      </c>
      <c r="D112" s="175" t="s">
        <v>379</v>
      </c>
      <c r="E112" s="11">
        <f>N16</f>
        <v>4</v>
      </c>
      <c r="G112" s="175" t="s">
        <v>510</v>
      </c>
      <c r="H112" s="11">
        <f>N21</f>
        <v>4</v>
      </c>
    </row>
    <row r="113" spans="1:8">
      <c r="A113" s="175" t="s">
        <v>250</v>
      </c>
      <c r="B113" s="11"/>
      <c r="D113" s="175" t="s">
        <v>380</v>
      </c>
      <c r="E113" s="11">
        <f>N16</f>
        <v>4</v>
      </c>
      <c r="G113" s="175" t="s">
        <v>511</v>
      </c>
      <c r="H113" s="11">
        <f>N19</f>
        <v>4</v>
      </c>
    </row>
    <row r="114" spans="1:8">
      <c r="A114" s="175" t="s">
        <v>251</v>
      </c>
      <c r="B114" s="11">
        <f>N14</f>
        <v>4</v>
      </c>
      <c r="D114" s="175" t="s">
        <v>381</v>
      </c>
      <c r="E114" s="11">
        <f>N18</f>
        <v>4</v>
      </c>
      <c r="G114" s="175" t="s">
        <v>512</v>
      </c>
      <c r="H114" s="11">
        <f>N20</f>
        <v>4</v>
      </c>
    </row>
    <row r="115" spans="1:8">
      <c r="A115" s="175" t="s">
        <v>252</v>
      </c>
      <c r="B115" s="11">
        <f>N13</f>
        <v>4</v>
      </c>
      <c r="D115" s="175" t="s">
        <v>382</v>
      </c>
      <c r="E115" s="11">
        <f>N17</f>
        <v>4</v>
      </c>
      <c r="G115" s="175" t="s">
        <v>513</v>
      </c>
      <c r="H115" s="11">
        <f>N20</f>
        <v>4</v>
      </c>
    </row>
    <row r="116" spans="1:8">
      <c r="A116" s="175" t="s">
        <v>253</v>
      </c>
      <c r="B116" s="11">
        <f>N14</f>
        <v>4</v>
      </c>
      <c r="D116" s="175" t="s">
        <v>383</v>
      </c>
      <c r="E116" s="11">
        <f>N18</f>
        <v>4</v>
      </c>
      <c r="G116" s="175" t="s">
        <v>514</v>
      </c>
      <c r="H116" s="11">
        <f>N20</f>
        <v>4</v>
      </c>
    </row>
    <row r="117" spans="1:8">
      <c r="A117" s="175" t="s">
        <v>254</v>
      </c>
      <c r="B117" s="11">
        <f>N14</f>
        <v>4</v>
      </c>
      <c r="D117" s="175" t="s">
        <v>384</v>
      </c>
      <c r="E117" s="11">
        <f>N18</f>
        <v>4</v>
      </c>
      <c r="G117" s="175" t="s">
        <v>515</v>
      </c>
      <c r="H117" s="11">
        <f>N20</f>
        <v>4</v>
      </c>
    </row>
    <row r="118" spans="1:8">
      <c r="A118" s="175" t="s">
        <v>255</v>
      </c>
      <c r="B118" s="11">
        <f>N13</f>
        <v>4</v>
      </c>
      <c r="D118" s="175" t="s">
        <v>385</v>
      </c>
      <c r="E118" s="11">
        <f>N17</f>
        <v>4</v>
      </c>
      <c r="G118" s="175" t="s">
        <v>516</v>
      </c>
      <c r="H118" s="11">
        <f>N20</f>
        <v>4</v>
      </c>
    </row>
    <row r="119" spans="1:8">
      <c r="A119" s="175" t="s">
        <v>256</v>
      </c>
      <c r="B119" s="11">
        <f>N15</f>
        <v>4</v>
      </c>
      <c r="D119" s="175" t="s">
        <v>386</v>
      </c>
      <c r="E119" s="11">
        <f>N16</f>
        <v>4</v>
      </c>
      <c r="G119" s="175" t="s">
        <v>517</v>
      </c>
      <c r="H119" s="11">
        <f>N21</f>
        <v>4</v>
      </c>
    </row>
    <row r="120" spans="1:8">
      <c r="A120" s="175" t="s">
        <v>257</v>
      </c>
      <c r="B120" s="11"/>
      <c r="D120" s="175" t="s">
        <v>387</v>
      </c>
      <c r="E120" s="11">
        <f>N17</f>
        <v>4</v>
      </c>
      <c r="G120" s="175" t="s">
        <v>518</v>
      </c>
      <c r="H120" s="11">
        <f>N19</f>
        <v>4</v>
      </c>
    </row>
    <row r="121" spans="1:8">
      <c r="A121" s="175" t="s">
        <v>258</v>
      </c>
      <c r="B121" s="11">
        <f>N13</f>
        <v>4</v>
      </c>
      <c r="D121" s="175" t="s">
        <v>388</v>
      </c>
      <c r="E121" s="11">
        <f>N16</f>
        <v>4</v>
      </c>
      <c r="G121" s="175" t="s">
        <v>519</v>
      </c>
      <c r="H121" s="11">
        <f>N20</f>
        <v>4</v>
      </c>
    </row>
    <row r="122" spans="1:8" ht="13.5" thickBot="1">
      <c r="A122" s="178" t="s">
        <v>259</v>
      </c>
      <c r="B122" s="179"/>
      <c r="C122" s="35"/>
      <c r="D122" s="178" t="s">
        <v>389</v>
      </c>
      <c r="E122" s="179">
        <f>N16</f>
        <v>4</v>
      </c>
      <c r="F122" s="35"/>
      <c r="G122" s="178" t="s">
        <v>520</v>
      </c>
      <c r="H122" s="179">
        <f>N21</f>
        <v>4</v>
      </c>
    </row>
    <row r="123" spans="1:8">
      <c r="A123" s="175" t="s">
        <v>260</v>
      </c>
      <c r="B123" s="11"/>
      <c r="D123" s="175" t="s">
        <v>390</v>
      </c>
      <c r="E123" s="11"/>
      <c r="G123" s="175" t="s">
        <v>521</v>
      </c>
      <c r="H123" s="11"/>
    </row>
    <row r="124" spans="1:8">
      <c r="A124" s="175" t="s">
        <v>261</v>
      </c>
      <c r="B124" s="11"/>
      <c r="D124" s="175" t="s">
        <v>391</v>
      </c>
      <c r="E124" s="11"/>
      <c r="G124" s="175" t="s">
        <v>522</v>
      </c>
      <c r="H124" s="11"/>
    </row>
    <row r="125" spans="1:8">
      <c r="A125" s="175" t="s">
        <v>262</v>
      </c>
      <c r="B125" s="11"/>
      <c r="D125" s="175" t="s">
        <v>392</v>
      </c>
      <c r="E125" s="11"/>
      <c r="G125" s="175" t="s">
        <v>523</v>
      </c>
      <c r="H125" s="11"/>
    </row>
    <row r="126" spans="1:8">
      <c r="A126" s="175" t="s">
        <v>263</v>
      </c>
      <c r="B126" s="11"/>
      <c r="D126" s="175" t="s">
        <v>393</v>
      </c>
      <c r="E126" s="11"/>
      <c r="G126" s="175" t="s">
        <v>524</v>
      </c>
      <c r="H126" s="11"/>
    </row>
    <row r="127" spans="1:8">
      <c r="A127" s="175" t="s">
        <v>264</v>
      </c>
      <c r="B127" s="11"/>
      <c r="D127" s="175" t="s">
        <v>394</v>
      </c>
      <c r="E127" s="11"/>
      <c r="G127" s="175" t="s">
        <v>525</v>
      </c>
      <c r="H127" s="11"/>
    </row>
    <row r="128" spans="1:8">
      <c r="A128" s="175" t="s">
        <v>265</v>
      </c>
      <c r="B128" s="11"/>
      <c r="D128" s="175" t="s">
        <v>395</v>
      </c>
      <c r="E128" s="11"/>
      <c r="G128" s="175" t="s">
        <v>526</v>
      </c>
      <c r="H128" s="11"/>
    </row>
    <row r="129" spans="1:8">
      <c r="A129" s="175" t="s">
        <v>266</v>
      </c>
      <c r="B129" s="11"/>
      <c r="D129" s="175" t="s">
        <v>396</v>
      </c>
      <c r="E129" s="11"/>
      <c r="G129" s="175" t="s">
        <v>527</v>
      </c>
      <c r="H129" s="11"/>
    </row>
    <row r="130" spans="1:8">
      <c r="A130" s="175" t="s">
        <v>267</v>
      </c>
      <c r="B130" s="11"/>
      <c r="D130" s="175" t="s">
        <v>397</v>
      </c>
      <c r="E130" s="11"/>
      <c r="G130" s="175" t="s">
        <v>528</v>
      </c>
      <c r="H130" s="11"/>
    </row>
    <row r="131" spans="1:8">
      <c r="A131" s="175" t="s">
        <v>268</v>
      </c>
      <c r="B131" s="11"/>
      <c r="D131" s="175" t="s">
        <v>398</v>
      </c>
      <c r="E131" s="11"/>
      <c r="G131" s="175" t="s">
        <v>529</v>
      </c>
      <c r="H131" s="11"/>
    </row>
    <row r="132" spans="1:8">
      <c r="A132" s="177" t="s">
        <v>269</v>
      </c>
      <c r="B132" s="177" t="s">
        <v>531</v>
      </c>
      <c r="D132" s="177" t="s">
        <v>399</v>
      </c>
      <c r="E132" s="173"/>
      <c r="G132" s="177" t="s">
        <v>530</v>
      </c>
      <c r="H132" s="173"/>
    </row>
  </sheetData>
  <mergeCells count="2">
    <mergeCell ref="M11:M12"/>
    <mergeCell ref="N11:N12"/>
  </mergeCells>
  <pageMargins left="0.7" right="0.7" top="0.75" bottom="0.75" header="0.3" footer="0.3"/>
  <ignoredErrors>
    <ignoredError sqref="H2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H31" sqref="H31"/>
    </sheetView>
  </sheetViews>
  <sheetFormatPr defaultRowHeight="12.75"/>
  <cols>
    <col min="1" max="1" width="10.7109375" bestFit="1" customWidth="1"/>
  </cols>
  <sheetData>
    <row r="1" spans="1:13" ht="13.5" thickBot="1">
      <c r="A1" s="236" t="s">
        <v>611</v>
      </c>
    </row>
    <row r="2" spans="1:13" ht="13.5" thickBot="1">
      <c r="A2" s="63"/>
      <c r="B2" s="306" t="s">
        <v>110</v>
      </c>
      <c r="C2" s="307"/>
      <c r="D2" s="308"/>
      <c r="E2" s="308"/>
      <c r="F2" s="309"/>
      <c r="G2" s="309"/>
      <c r="H2" s="306" t="s">
        <v>111</v>
      </c>
      <c r="I2" s="307"/>
      <c r="J2" s="308"/>
      <c r="K2" s="308"/>
      <c r="L2" s="309"/>
      <c r="M2" s="310"/>
    </row>
    <row r="3" spans="1:13" ht="13.5" thickBot="1">
      <c r="A3" s="63"/>
      <c r="B3" s="327" t="s">
        <v>100</v>
      </c>
      <c r="C3" s="328"/>
      <c r="D3" s="329"/>
      <c r="E3" s="327" t="s">
        <v>101</v>
      </c>
      <c r="F3" s="328"/>
      <c r="G3" s="329"/>
      <c r="H3" s="327" t="s">
        <v>100</v>
      </c>
      <c r="I3" s="328"/>
      <c r="J3" s="329"/>
      <c r="K3" s="327" t="s">
        <v>101</v>
      </c>
      <c r="L3" s="328"/>
      <c r="M3" s="329"/>
    </row>
    <row r="4" spans="1:13" ht="13.5" thickBot="1">
      <c r="A4" s="63"/>
      <c r="B4" s="65" t="s">
        <v>548</v>
      </c>
      <c r="C4" s="66" t="s">
        <v>549</v>
      </c>
      <c r="D4" s="67" t="s">
        <v>550</v>
      </c>
      <c r="E4" s="65" t="s">
        <v>548</v>
      </c>
      <c r="F4" s="66" t="s">
        <v>549</v>
      </c>
      <c r="G4" s="67" t="s">
        <v>550</v>
      </c>
      <c r="H4" s="65" t="s">
        <v>548</v>
      </c>
      <c r="I4" s="66" t="s">
        <v>549</v>
      </c>
      <c r="J4" s="67" t="s">
        <v>550</v>
      </c>
      <c r="K4" s="65" t="s">
        <v>548</v>
      </c>
      <c r="L4" s="66" t="s">
        <v>549</v>
      </c>
      <c r="M4" s="67" t="s">
        <v>550</v>
      </c>
    </row>
    <row r="5" spans="1:13">
      <c r="A5" s="317" t="s">
        <v>103</v>
      </c>
      <c r="B5" s="142">
        <v>58.2</v>
      </c>
      <c r="C5" s="143">
        <v>59.5</v>
      </c>
      <c r="D5" s="150">
        <v>27</v>
      </c>
      <c r="E5" s="142">
        <v>58.1</v>
      </c>
      <c r="F5" s="143">
        <v>60</v>
      </c>
      <c r="G5" s="150">
        <v>28</v>
      </c>
      <c r="H5" s="142">
        <v>103.2</v>
      </c>
      <c r="I5" s="143">
        <v>98.6</v>
      </c>
      <c r="J5" s="150">
        <v>28</v>
      </c>
      <c r="K5" s="142">
        <v>100.6</v>
      </c>
      <c r="L5" s="143">
        <v>96.8</v>
      </c>
      <c r="M5" s="150">
        <v>26</v>
      </c>
    </row>
    <row r="6" spans="1:13">
      <c r="A6" s="318"/>
      <c r="B6" s="144">
        <v>59.2</v>
      </c>
      <c r="C6" s="145">
        <v>61.4</v>
      </c>
      <c r="D6" s="151">
        <v>28</v>
      </c>
      <c r="E6" s="144">
        <v>57.5</v>
      </c>
      <c r="F6" s="145">
        <v>59.3</v>
      </c>
      <c r="G6" s="151">
        <v>28</v>
      </c>
      <c r="H6" s="144">
        <v>101.1</v>
      </c>
      <c r="I6" s="145">
        <v>96.3</v>
      </c>
      <c r="J6" s="151">
        <v>30</v>
      </c>
      <c r="K6" s="144">
        <v>102.4</v>
      </c>
      <c r="L6" s="145">
        <v>98.1</v>
      </c>
      <c r="M6" s="151">
        <v>27</v>
      </c>
    </row>
    <row r="7" spans="1:13" ht="13.5" thickBot="1">
      <c r="A7" s="319"/>
      <c r="B7" s="146">
        <v>58.6</v>
      </c>
      <c r="C7" s="147">
        <v>60</v>
      </c>
      <c r="D7" s="152">
        <v>28</v>
      </c>
      <c r="E7" s="146">
        <v>59.8</v>
      </c>
      <c r="F7" s="147">
        <v>61.5</v>
      </c>
      <c r="G7" s="152">
        <v>31</v>
      </c>
      <c r="H7" s="146">
        <v>101.2</v>
      </c>
      <c r="I7" s="147">
        <v>97.2</v>
      </c>
      <c r="J7" s="152">
        <v>27</v>
      </c>
      <c r="K7" s="146">
        <v>100.6</v>
      </c>
      <c r="L7" s="147">
        <v>97.9</v>
      </c>
      <c r="M7" s="152">
        <v>27</v>
      </c>
    </row>
    <row r="8" spans="1:13">
      <c r="A8" s="317" t="s">
        <v>104</v>
      </c>
      <c r="B8" s="142">
        <v>57.3</v>
      </c>
      <c r="C8" s="143">
        <v>59.1</v>
      </c>
      <c r="D8" s="150">
        <v>26</v>
      </c>
      <c r="E8" s="142">
        <v>58.2</v>
      </c>
      <c r="F8" s="143">
        <v>58.8</v>
      </c>
      <c r="G8" s="150">
        <v>25</v>
      </c>
      <c r="H8" s="142">
        <v>103.1</v>
      </c>
      <c r="I8" s="143">
        <v>97.4</v>
      </c>
      <c r="J8" s="150">
        <v>28</v>
      </c>
      <c r="K8" s="142">
        <v>98</v>
      </c>
      <c r="L8" s="143">
        <v>94</v>
      </c>
      <c r="M8" s="150">
        <v>32</v>
      </c>
    </row>
    <row r="9" spans="1:13">
      <c r="A9" s="318"/>
      <c r="B9" s="144">
        <v>60.5</v>
      </c>
      <c r="C9" s="145">
        <v>60.4</v>
      </c>
      <c r="D9" s="151">
        <v>30</v>
      </c>
      <c r="E9" s="144">
        <v>57.4</v>
      </c>
      <c r="F9" s="145">
        <v>58.1</v>
      </c>
      <c r="G9" s="151">
        <v>31</v>
      </c>
      <c r="H9" s="144">
        <v>103.4</v>
      </c>
      <c r="I9" s="145">
        <v>98.9</v>
      </c>
      <c r="J9" s="151">
        <v>23</v>
      </c>
      <c r="K9" s="144">
        <v>103</v>
      </c>
      <c r="L9" s="145">
        <v>98.7</v>
      </c>
      <c r="M9" s="151">
        <v>26</v>
      </c>
    </row>
    <row r="10" spans="1:13" ht="13.5" thickBot="1">
      <c r="A10" s="319"/>
      <c r="B10" s="146">
        <v>59.6</v>
      </c>
      <c r="C10" s="147">
        <v>61</v>
      </c>
      <c r="D10" s="152">
        <v>26</v>
      </c>
      <c r="E10" s="146">
        <v>58.9</v>
      </c>
      <c r="F10" s="147">
        <v>59.6</v>
      </c>
      <c r="G10" s="152">
        <v>25</v>
      </c>
      <c r="H10" s="146">
        <v>101</v>
      </c>
      <c r="I10" s="147">
        <v>96.7</v>
      </c>
      <c r="J10" s="152">
        <v>28</v>
      </c>
      <c r="K10" s="146">
        <v>101.5</v>
      </c>
      <c r="L10" s="147">
        <v>97.8</v>
      </c>
      <c r="M10" s="152">
        <v>31</v>
      </c>
    </row>
    <row r="11" spans="1:13">
      <c r="A11" s="317" t="s">
        <v>105</v>
      </c>
      <c r="B11" s="142">
        <v>60.1</v>
      </c>
      <c r="C11" s="143">
        <v>61.8</v>
      </c>
      <c r="D11" s="150">
        <v>32</v>
      </c>
      <c r="E11" s="142">
        <v>57</v>
      </c>
      <c r="F11" s="143">
        <v>57.6</v>
      </c>
      <c r="G11" s="150">
        <v>29</v>
      </c>
      <c r="H11" s="142">
        <v>99.9</v>
      </c>
      <c r="I11" s="143">
        <v>97.4</v>
      </c>
      <c r="J11" s="150">
        <v>27</v>
      </c>
      <c r="K11" s="142">
        <v>101.6</v>
      </c>
      <c r="L11" s="143">
        <v>96.5</v>
      </c>
      <c r="M11" s="150">
        <v>34</v>
      </c>
    </row>
    <row r="12" spans="1:13">
      <c r="A12" s="318"/>
      <c r="B12" s="144">
        <v>58.1</v>
      </c>
      <c r="C12" s="145">
        <v>59.9</v>
      </c>
      <c r="D12" s="151">
        <v>28</v>
      </c>
      <c r="E12" s="144">
        <v>57.4</v>
      </c>
      <c r="F12" s="145">
        <v>58.4</v>
      </c>
      <c r="G12" s="151">
        <v>28</v>
      </c>
      <c r="H12" s="144">
        <v>104.1</v>
      </c>
      <c r="I12" s="145" t="s">
        <v>551</v>
      </c>
      <c r="J12" s="151">
        <v>28</v>
      </c>
      <c r="K12" s="144">
        <v>98.2</v>
      </c>
      <c r="L12" s="145">
        <v>94.5</v>
      </c>
      <c r="M12" s="151">
        <v>33</v>
      </c>
    </row>
    <row r="13" spans="1:13" ht="13.5" thickBot="1">
      <c r="A13" s="319"/>
      <c r="B13" s="146">
        <v>58.7</v>
      </c>
      <c r="C13" s="147">
        <v>59.9</v>
      </c>
      <c r="D13" s="152">
        <v>31</v>
      </c>
      <c r="E13" s="146">
        <v>58.1</v>
      </c>
      <c r="F13" s="147">
        <v>58.7</v>
      </c>
      <c r="G13" s="152">
        <v>28</v>
      </c>
      <c r="H13" s="146">
        <v>101.2</v>
      </c>
      <c r="I13" s="147">
        <v>97.1</v>
      </c>
      <c r="J13" s="152">
        <v>28</v>
      </c>
      <c r="K13" s="146">
        <v>100.9</v>
      </c>
      <c r="L13" s="147">
        <v>97.2</v>
      </c>
      <c r="M13" s="152">
        <v>30</v>
      </c>
    </row>
    <row r="14" spans="1:13">
      <c r="A14" s="317" t="s">
        <v>106</v>
      </c>
      <c r="B14" s="142">
        <v>59</v>
      </c>
      <c r="C14" s="143">
        <v>59.2</v>
      </c>
      <c r="D14" s="150">
        <v>31</v>
      </c>
      <c r="E14" s="142">
        <v>57</v>
      </c>
      <c r="F14" s="143">
        <v>58.1</v>
      </c>
      <c r="G14" s="150">
        <v>29</v>
      </c>
      <c r="H14" s="142">
        <v>100.8</v>
      </c>
      <c r="I14" s="143">
        <v>98.5</v>
      </c>
      <c r="J14" s="150">
        <v>31</v>
      </c>
      <c r="K14" s="142">
        <v>102</v>
      </c>
      <c r="L14" s="143">
        <v>96.4</v>
      </c>
      <c r="M14" s="150">
        <v>28</v>
      </c>
    </row>
    <row r="15" spans="1:13">
      <c r="A15" s="318"/>
      <c r="B15" s="144">
        <v>59.1</v>
      </c>
      <c r="C15" s="145">
        <v>59.4</v>
      </c>
      <c r="D15" s="151">
        <v>28</v>
      </c>
      <c r="E15" s="144">
        <v>59.5</v>
      </c>
      <c r="F15" s="145">
        <v>59.9</v>
      </c>
      <c r="G15" s="151">
        <v>29</v>
      </c>
      <c r="H15" s="144">
        <v>102.2</v>
      </c>
      <c r="I15" s="145">
        <v>98.4</v>
      </c>
      <c r="J15" s="151">
        <v>28</v>
      </c>
      <c r="K15" s="144">
        <v>100.2</v>
      </c>
      <c r="L15" s="145">
        <v>95.1</v>
      </c>
      <c r="M15" s="151">
        <v>30</v>
      </c>
    </row>
    <row r="16" spans="1:13" ht="13.5" thickBot="1">
      <c r="A16" s="319"/>
      <c r="B16" s="146">
        <v>59</v>
      </c>
      <c r="C16" s="147">
        <v>59.2</v>
      </c>
      <c r="D16" s="152">
        <v>27</v>
      </c>
      <c r="E16" s="146">
        <v>57.5</v>
      </c>
      <c r="F16" s="147">
        <v>58.7</v>
      </c>
      <c r="G16" s="152">
        <v>29</v>
      </c>
      <c r="H16" s="146">
        <v>99.7</v>
      </c>
      <c r="I16" s="147">
        <v>96.6</v>
      </c>
      <c r="J16" s="152">
        <v>31</v>
      </c>
      <c r="K16" s="146">
        <v>98.9</v>
      </c>
      <c r="L16" s="147">
        <v>94.4</v>
      </c>
      <c r="M16" s="152">
        <v>25</v>
      </c>
    </row>
    <row r="17" spans="1:14">
      <c r="A17" s="317" t="s">
        <v>107</v>
      </c>
      <c r="B17" s="142">
        <v>57.7</v>
      </c>
      <c r="C17" s="143">
        <v>59</v>
      </c>
      <c r="D17" s="150">
        <v>24</v>
      </c>
      <c r="E17" s="142">
        <v>59.8</v>
      </c>
      <c r="F17" s="143">
        <v>60.4</v>
      </c>
      <c r="G17" s="150">
        <v>22</v>
      </c>
      <c r="H17" s="142">
        <v>101.4</v>
      </c>
      <c r="I17" s="143">
        <v>97.4</v>
      </c>
      <c r="J17" s="150">
        <v>28</v>
      </c>
      <c r="K17" s="142">
        <v>101.3</v>
      </c>
      <c r="L17" s="143">
        <v>97</v>
      </c>
      <c r="M17" s="150">
        <v>28</v>
      </c>
    </row>
    <row r="18" spans="1:14">
      <c r="A18" s="318"/>
      <c r="B18" s="144">
        <v>57.1</v>
      </c>
      <c r="C18" s="145">
        <v>61.8</v>
      </c>
      <c r="D18" s="151">
        <v>26</v>
      </c>
      <c r="E18" s="144">
        <v>58.8</v>
      </c>
      <c r="F18" s="145">
        <v>59.4</v>
      </c>
      <c r="G18" s="151">
        <v>25</v>
      </c>
      <c r="H18" s="144">
        <v>103.9</v>
      </c>
      <c r="I18" s="145">
        <v>100.3</v>
      </c>
      <c r="J18" s="151">
        <v>25</v>
      </c>
      <c r="K18" s="144">
        <v>103.5</v>
      </c>
      <c r="L18" s="145" t="s">
        <v>551</v>
      </c>
      <c r="M18" s="151">
        <v>26</v>
      </c>
    </row>
    <row r="19" spans="1:14" ht="13.5" thickBot="1">
      <c r="A19" s="319"/>
      <c r="B19" s="148">
        <v>58.7</v>
      </c>
      <c r="C19" s="149">
        <v>60.8</v>
      </c>
      <c r="D19" s="153">
        <v>28</v>
      </c>
      <c r="E19" s="148">
        <v>58.7</v>
      </c>
      <c r="F19" s="149">
        <v>59.5</v>
      </c>
      <c r="G19" s="153">
        <v>26</v>
      </c>
      <c r="H19" s="148">
        <v>101.3</v>
      </c>
      <c r="I19" s="149">
        <v>98.6</v>
      </c>
      <c r="J19" s="153">
        <v>25</v>
      </c>
      <c r="K19" s="148" t="s">
        <v>551</v>
      </c>
      <c r="L19" s="149">
        <v>98.4</v>
      </c>
      <c r="M19" s="153">
        <v>25</v>
      </c>
    </row>
    <row r="20" spans="1:14">
      <c r="K20" s="63"/>
      <c r="L20" s="63"/>
      <c r="M20" s="63"/>
      <c r="N20" s="2"/>
    </row>
    <row r="21" spans="1:14" ht="13.5" thickBot="1">
      <c r="A21" s="236" t="s">
        <v>610</v>
      </c>
      <c r="K21" s="263"/>
      <c r="L21" s="263"/>
      <c r="M21" s="264"/>
      <c r="N21" s="2"/>
    </row>
    <row r="22" spans="1:14" ht="13.5" thickBot="1">
      <c r="A22" s="63"/>
      <c r="B22" s="65" t="s">
        <v>548</v>
      </c>
      <c r="C22" s="66" t="s">
        <v>549</v>
      </c>
      <c r="D22" s="261" t="s">
        <v>550</v>
      </c>
      <c r="E22" s="65" t="s">
        <v>548</v>
      </c>
      <c r="F22" s="262" t="s">
        <v>549</v>
      </c>
      <c r="G22" s="67" t="s">
        <v>550</v>
      </c>
      <c r="H22" s="65" t="s">
        <v>548</v>
      </c>
      <c r="I22" s="66" t="s">
        <v>549</v>
      </c>
      <c r="J22" s="67" t="s">
        <v>550</v>
      </c>
      <c r="K22" s="263"/>
      <c r="L22" s="263"/>
      <c r="M22" s="264"/>
      <c r="N22" s="2"/>
    </row>
    <row r="23" spans="1:14">
      <c r="A23" s="136" t="s">
        <v>126</v>
      </c>
      <c r="B23" s="254">
        <v>58</v>
      </c>
      <c r="C23" s="251">
        <v>60</v>
      </c>
      <c r="D23" s="260">
        <v>31</v>
      </c>
      <c r="E23" s="254">
        <v>57.7</v>
      </c>
      <c r="F23" s="251">
        <v>58.9</v>
      </c>
      <c r="G23" s="255">
        <v>28</v>
      </c>
      <c r="H23" s="254">
        <v>57.9</v>
      </c>
      <c r="I23" s="251">
        <v>58.7</v>
      </c>
      <c r="J23" s="255">
        <v>30</v>
      </c>
      <c r="K23" s="263"/>
      <c r="L23" s="263"/>
      <c r="M23" s="264"/>
      <c r="N23" s="2"/>
    </row>
    <row r="24" spans="1:14">
      <c r="A24" s="246" t="s">
        <v>127</v>
      </c>
      <c r="B24" s="144">
        <v>59.1</v>
      </c>
      <c r="C24" s="245">
        <v>59.8</v>
      </c>
      <c r="D24" s="256">
        <v>27</v>
      </c>
      <c r="E24" s="144">
        <v>57.8</v>
      </c>
      <c r="F24" s="245">
        <v>58.7</v>
      </c>
      <c r="G24" s="151">
        <v>28</v>
      </c>
      <c r="H24" s="144">
        <v>57.6</v>
      </c>
      <c r="I24" s="245">
        <v>58.4</v>
      </c>
      <c r="J24" s="151">
        <v>29</v>
      </c>
      <c r="K24" s="263"/>
      <c r="L24" s="263"/>
      <c r="M24" s="264"/>
      <c r="N24" s="2"/>
    </row>
    <row r="25" spans="1:14" ht="13.5" thickBot="1">
      <c r="A25" s="248" t="s">
        <v>128</v>
      </c>
      <c r="B25" s="146">
        <v>58.5</v>
      </c>
      <c r="C25" s="249">
        <v>59.6</v>
      </c>
      <c r="D25" s="257">
        <v>26</v>
      </c>
      <c r="E25" s="146">
        <v>58.2</v>
      </c>
      <c r="F25" s="249">
        <v>58.8</v>
      </c>
      <c r="G25" s="152">
        <v>27</v>
      </c>
      <c r="H25" s="146">
        <v>57.5</v>
      </c>
      <c r="I25" s="249">
        <v>59.2</v>
      </c>
      <c r="J25" s="152">
        <v>24</v>
      </c>
      <c r="K25" s="263"/>
      <c r="L25" s="263"/>
      <c r="M25" s="264"/>
      <c r="N25" s="2"/>
    </row>
    <row r="26" spans="1:14">
      <c r="A26" s="136" t="s">
        <v>603</v>
      </c>
      <c r="B26" s="142">
        <v>59.4</v>
      </c>
      <c r="C26" s="252">
        <v>61</v>
      </c>
      <c r="D26" s="258">
        <v>26</v>
      </c>
      <c r="E26" s="142">
        <v>59.2</v>
      </c>
      <c r="F26" s="252">
        <v>60.2</v>
      </c>
      <c r="G26" s="150">
        <v>28</v>
      </c>
      <c r="H26" s="142">
        <v>59.4</v>
      </c>
      <c r="I26" s="252">
        <v>60.2</v>
      </c>
      <c r="J26" s="150">
        <v>27</v>
      </c>
      <c r="K26" s="263"/>
      <c r="L26" s="263"/>
      <c r="M26" s="264"/>
      <c r="N26" s="2"/>
    </row>
    <row r="27" spans="1:14">
      <c r="A27" s="246" t="s">
        <v>130</v>
      </c>
      <c r="B27" s="144">
        <v>58.2</v>
      </c>
      <c r="C27" s="245">
        <v>59.1</v>
      </c>
      <c r="D27" s="256">
        <v>31</v>
      </c>
      <c r="E27" s="144">
        <v>58.2</v>
      </c>
      <c r="F27" s="245">
        <v>59.2</v>
      </c>
      <c r="G27" s="151">
        <v>26</v>
      </c>
      <c r="H27" s="144">
        <v>58.3</v>
      </c>
      <c r="I27" s="245">
        <v>59</v>
      </c>
      <c r="J27" s="151">
        <v>29</v>
      </c>
      <c r="K27" s="263"/>
      <c r="L27" s="263"/>
      <c r="M27" s="264"/>
      <c r="N27" s="2"/>
    </row>
    <row r="28" spans="1:14" ht="13.5" thickBot="1">
      <c r="A28" s="247" t="s">
        <v>131</v>
      </c>
      <c r="B28" s="148">
        <v>58.6</v>
      </c>
      <c r="C28" s="253">
        <v>58.7</v>
      </c>
      <c r="D28" s="259">
        <v>29</v>
      </c>
      <c r="E28" s="148">
        <v>57.2</v>
      </c>
      <c r="F28" s="253">
        <v>57.9</v>
      </c>
      <c r="G28" s="153">
        <v>29</v>
      </c>
      <c r="H28" s="148">
        <v>57.4</v>
      </c>
      <c r="I28" s="253">
        <v>58.2</v>
      </c>
      <c r="J28" s="153">
        <v>28</v>
      </c>
      <c r="K28" s="263"/>
      <c r="L28" s="263"/>
      <c r="M28" s="264"/>
      <c r="N28" s="2"/>
    </row>
    <row r="29" spans="1:14">
      <c r="A29" s="250" t="s">
        <v>132</v>
      </c>
      <c r="B29" s="254">
        <v>58.7</v>
      </c>
      <c r="C29" s="251">
        <v>59.8</v>
      </c>
      <c r="D29" s="260">
        <v>29</v>
      </c>
      <c r="E29" s="254">
        <v>57.7</v>
      </c>
      <c r="F29" s="251">
        <v>58</v>
      </c>
      <c r="G29" s="255">
        <v>27</v>
      </c>
      <c r="H29" s="254">
        <v>57.4</v>
      </c>
      <c r="I29" s="251">
        <v>57.9</v>
      </c>
      <c r="J29" s="255">
        <v>29</v>
      </c>
      <c r="K29" s="263"/>
      <c r="L29" s="263"/>
      <c r="M29" s="264"/>
      <c r="N29" s="2"/>
    </row>
    <row r="30" spans="1:14">
      <c r="A30" s="246" t="s">
        <v>133</v>
      </c>
      <c r="B30" s="144">
        <v>58.4</v>
      </c>
      <c r="C30" s="245">
        <v>59.3</v>
      </c>
      <c r="D30" s="256">
        <v>27</v>
      </c>
      <c r="E30" s="144">
        <v>59.6</v>
      </c>
      <c r="F30" s="245">
        <v>60.1</v>
      </c>
      <c r="G30" s="151">
        <v>27</v>
      </c>
      <c r="H30" s="144">
        <v>58.5</v>
      </c>
      <c r="I30" s="245">
        <v>59.9</v>
      </c>
      <c r="J30" s="151">
        <v>24</v>
      </c>
      <c r="K30" s="2"/>
      <c r="L30" s="2"/>
      <c r="M30" s="2"/>
      <c r="N30" s="2"/>
    </row>
    <row r="31" spans="1:14" ht="13.5" thickBot="1">
      <c r="A31" s="247" t="s">
        <v>134</v>
      </c>
      <c r="B31" s="148">
        <v>60</v>
      </c>
      <c r="C31" s="253">
        <v>60.5</v>
      </c>
      <c r="D31" s="259">
        <v>28</v>
      </c>
      <c r="E31" s="148">
        <v>57.7</v>
      </c>
      <c r="F31" s="253">
        <v>58.6</v>
      </c>
      <c r="G31" s="153">
        <v>26</v>
      </c>
      <c r="H31" s="148">
        <v>58.2</v>
      </c>
      <c r="I31" s="253">
        <v>58.7</v>
      </c>
      <c r="J31" s="153">
        <v>26</v>
      </c>
      <c r="K31" s="2"/>
      <c r="L31" s="2"/>
      <c r="M31" s="2"/>
      <c r="N31" s="2"/>
    </row>
    <row r="32" spans="1:14">
      <c r="K32" s="2"/>
      <c r="L32" s="2"/>
      <c r="M32" s="2"/>
      <c r="N32" s="2"/>
    </row>
  </sheetData>
  <mergeCells count="11">
    <mergeCell ref="B2:G2"/>
    <mergeCell ref="H2:M2"/>
    <mergeCell ref="A8:A10"/>
    <mergeCell ref="A11:A13"/>
    <mergeCell ref="A14:A16"/>
    <mergeCell ref="A17:A19"/>
    <mergeCell ref="B3:D3"/>
    <mergeCell ref="E3:G3"/>
    <mergeCell ref="H3:J3"/>
    <mergeCell ref="K3:M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6</vt:i4>
      </vt:variant>
    </vt:vector>
  </HeadingPairs>
  <TitlesOfParts>
    <vt:vector size="13" baseType="lpstr">
      <vt:lpstr>g's vs RPM</vt:lpstr>
      <vt:lpstr>Correlation Raw Data</vt:lpstr>
      <vt:lpstr>Correction</vt:lpstr>
      <vt:lpstr>Analysis</vt:lpstr>
      <vt:lpstr>Quality Check Raw Data</vt:lpstr>
      <vt:lpstr>Cloth Runs</vt:lpstr>
      <vt:lpstr>Extra Data</vt:lpstr>
      <vt:lpstr>Interaction Plot</vt:lpstr>
      <vt:lpstr>Least Squares Plot</vt:lpstr>
      <vt:lpstr>X-Bar Chart</vt:lpstr>
      <vt:lpstr>Range Chart</vt:lpstr>
      <vt:lpstr>Individual RMC Chart</vt:lpstr>
      <vt:lpstr>Moving Range Chart</vt:lpstr>
    </vt:vector>
  </TitlesOfParts>
  <Company>Whirlpool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 Siripuram</dc:creator>
  <cp:lastModifiedBy>Timothy Sutherland</cp:lastModifiedBy>
  <cp:lastPrinted>2010-01-19T20:20:38Z</cp:lastPrinted>
  <dcterms:created xsi:type="dcterms:W3CDTF">2003-09-16T13:33:14Z</dcterms:created>
  <dcterms:modified xsi:type="dcterms:W3CDTF">2010-08-09T20:45:10Z</dcterms:modified>
</cp:coreProperties>
</file>