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43.bin" ContentType="application/vnd.openxmlformats-officedocument.oleObject"/>
  <Override PartName="/xl/embeddings/oleObject52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41.bin" ContentType="application/vnd.openxmlformats-officedocument.oleObject"/>
  <Override PartName="/xl/embeddings/oleObject50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wmf" ContentType="image/x-wmf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embeddings/oleObject2.bin" ContentType="application/vnd.openxmlformats-officedocument.oleObject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3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6" windowWidth="15240" windowHeight="8052"/>
  </bookViews>
  <sheets>
    <sheet name="GUM steps" sheetId="3" r:id="rId1"/>
    <sheet name="Sphere Inc-Inc" sheetId="5" r:id="rId2"/>
    <sheet name="Sphere Inc-SSL" sheetId="6" r:id="rId3"/>
    <sheet name="Gonio Intensity" sheetId="8" r:id="rId4"/>
  </sheets>
  <calcPr calcId="125725"/>
</workbook>
</file>

<file path=xl/calcChain.xml><?xml version="1.0" encoding="utf-8"?>
<calcChain xmlns="http://schemas.openxmlformats.org/spreadsheetml/2006/main">
  <c r="I24" i="6"/>
  <c r="J24" s="1"/>
  <c r="I17"/>
  <c r="J17" s="1"/>
  <c r="E21" i="5" l="1"/>
  <c r="E22" s="1"/>
  <c r="I19"/>
  <c r="J19" s="1"/>
  <c r="K19" s="1"/>
  <c r="I18"/>
  <c r="J18" s="1"/>
  <c r="E17"/>
  <c r="E23" s="1"/>
  <c r="I15"/>
  <c r="J15" s="1"/>
  <c r="K15" s="1"/>
  <c r="I14"/>
  <c r="J14" s="1"/>
  <c r="E27" i="6"/>
  <c r="E28" s="1"/>
  <c r="I25"/>
  <c r="J25" s="1"/>
  <c r="K25" s="1"/>
  <c r="I23"/>
  <c r="J23" s="1"/>
  <c r="K23" s="1"/>
  <c r="I22"/>
  <c r="J22" s="1"/>
  <c r="K22" s="1"/>
  <c r="I21"/>
  <c r="J21" s="1"/>
  <c r="E20"/>
  <c r="K17" s="1"/>
  <c r="I18"/>
  <c r="J18" s="1"/>
  <c r="K18" s="1"/>
  <c r="I16"/>
  <c r="J16" s="1"/>
  <c r="K16" s="1"/>
  <c r="I15"/>
  <c r="J15" s="1"/>
  <c r="K15" s="1"/>
  <c r="I14"/>
  <c r="J14" s="1"/>
  <c r="E31" i="8"/>
  <c r="E32" s="1"/>
  <c r="I29"/>
  <c r="J29" s="1"/>
  <c r="K29" s="1"/>
  <c r="I28"/>
  <c r="J28" s="1"/>
  <c r="K28" s="1"/>
  <c r="I27"/>
  <c r="J27" s="1"/>
  <c r="K27" s="1"/>
  <c r="I26"/>
  <c r="J26" s="1"/>
  <c r="K26" s="1"/>
  <c r="I25"/>
  <c r="J25" s="1"/>
  <c r="K25" s="1"/>
  <c r="J24"/>
  <c r="K24" s="1"/>
  <c r="I24"/>
  <c r="J23"/>
  <c r="K23" s="1"/>
  <c r="I23"/>
  <c r="E22"/>
  <c r="E33" s="1"/>
  <c r="I20"/>
  <c r="J20" s="1"/>
  <c r="K20" s="1"/>
  <c r="I19"/>
  <c r="J19" s="1"/>
  <c r="K19" s="1"/>
  <c r="J18"/>
  <c r="K18" s="1"/>
  <c r="I18"/>
  <c r="J17"/>
  <c r="K17" s="1"/>
  <c r="I17"/>
  <c r="I16"/>
  <c r="J16" s="1"/>
  <c r="K16" s="1"/>
  <c r="I15"/>
  <c r="J15" s="1"/>
  <c r="K15" s="1"/>
  <c r="I14"/>
  <c r="J14" s="1"/>
  <c r="E29" i="6" l="1"/>
  <c r="I32" s="1"/>
  <c r="J32" s="1"/>
  <c r="K24"/>
  <c r="K14" i="5"/>
  <c r="J17"/>
  <c r="K18"/>
  <c r="J21"/>
  <c r="E39"/>
  <c r="I32"/>
  <c r="J32" s="1"/>
  <c r="K32" s="1"/>
  <c r="I24"/>
  <c r="J24" s="1"/>
  <c r="I29"/>
  <c r="J29" s="1"/>
  <c r="I34"/>
  <c r="J34" s="1"/>
  <c r="I26"/>
  <c r="J26" s="1"/>
  <c r="I31"/>
  <c r="J31" s="1"/>
  <c r="I36"/>
  <c r="J36" s="1"/>
  <c r="I28"/>
  <c r="J28" s="1"/>
  <c r="I30"/>
  <c r="J30" s="1"/>
  <c r="I27"/>
  <c r="J27" s="1"/>
  <c r="I33"/>
  <c r="J33" s="1"/>
  <c r="I25"/>
  <c r="J25" s="1"/>
  <c r="I35"/>
  <c r="J35" s="1"/>
  <c r="K21" i="6"/>
  <c r="J27"/>
  <c r="K14"/>
  <c r="J20"/>
  <c r="I40"/>
  <c r="J40" s="1"/>
  <c r="I34"/>
  <c r="J34" s="1"/>
  <c r="I38"/>
  <c r="J38" s="1"/>
  <c r="I31"/>
  <c r="J31" s="1"/>
  <c r="I41"/>
  <c r="J41" s="1"/>
  <c r="I35"/>
  <c r="J35" s="1"/>
  <c r="I30"/>
  <c r="J30" s="1"/>
  <c r="I39"/>
  <c r="J39" s="1"/>
  <c r="K14" i="8"/>
  <c r="J22"/>
  <c r="E51"/>
  <c r="I44"/>
  <c r="J44" s="1"/>
  <c r="K44" s="1"/>
  <c r="I36"/>
  <c r="J36" s="1"/>
  <c r="K36" s="1"/>
  <c r="I38"/>
  <c r="J38" s="1"/>
  <c r="K38" s="1"/>
  <c r="I37"/>
  <c r="J37" s="1"/>
  <c r="K37" s="1"/>
  <c r="I34"/>
  <c r="J34" s="1"/>
  <c r="K34" s="1"/>
  <c r="I41"/>
  <c r="J41" s="1"/>
  <c r="K41" s="1"/>
  <c r="I46"/>
  <c r="J46" s="1"/>
  <c r="K46" s="1"/>
  <c r="I45"/>
  <c r="J45" s="1"/>
  <c r="K45" s="1"/>
  <c r="I42"/>
  <c r="J42" s="1"/>
  <c r="K42" s="1"/>
  <c r="I39"/>
  <c r="J39" s="1"/>
  <c r="K39" s="1"/>
  <c r="I47"/>
  <c r="J47" s="1"/>
  <c r="K47" s="1"/>
  <c r="I43"/>
  <c r="J43" s="1"/>
  <c r="K43" s="1"/>
  <c r="I35"/>
  <c r="J35" s="1"/>
  <c r="K35" s="1"/>
  <c r="I48"/>
  <c r="J48" s="1"/>
  <c r="K48" s="1"/>
  <c r="I40"/>
  <c r="J40" s="1"/>
  <c r="K40" s="1"/>
  <c r="J31"/>
  <c r="K34" i="6" l="1"/>
  <c r="E44"/>
  <c r="K31" s="1"/>
  <c r="I33"/>
  <c r="J33" s="1"/>
  <c r="K33" s="1"/>
  <c r="K39"/>
  <c r="K30"/>
  <c r="K41"/>
  <c r="K38"/>
  <c r="K40"/>
  <c r="K32"/>
  <c r="I36"/>
  <c r="J36" s="1"/>
  <c r="K36" s="1"/>
  <c r="K27" i="5"/>
  <c r="K36"/>
  <c r="K26"/>
  <c r="K25"/>
  <c r="K29"/>
  <c r="K30"/>
  <c r="K28"/>
  <c r="K24"/>
  <c r="K35"/>
  <c r="K31"/>
  <c r="F22"/>
  <c r="K21"/>
  <c r="K33"/>
  <c r="K34"/>
  <c r="F23"/>
  <c r="K17"/>
  <c r="H20" i="6"/>
  <c r="H29" s="1"/>
  <c r="F29"/>
  <c r="K20"/>
  <c r="H27"/>
  <c r="H28" s="1"/>
  <c r="F28"/>
  <c r="K27"/>
  <c r="F32" i="8"/>
  <c r="H31"/>
  <c r="H32" s="1"/>
  <c r="K31"/>
  <c r="K22"/>
  <c r="H22"/>
  <c r="H33" s="1"/>
  <c r="F33"/>
  <c r="K35" i="6" l="1"/>
  <c r="I22" i="5"/>
  <c r="J22" s="1"/>
  <c r="I23"/>
  <c r="J23" s="1"/>
  <c r="K23" s="1"/>
  <c r="K38" s="1"/>
  <c r="K43" s="1"/>
  <c r="I28" i="6"/>
  <c r="J28" s="1"/>
  <c r="I29"/>
  <c r="J29" s="1"/>
  <c r="K29" s="1"/>
  <c r="K43" s="1"/>
  <c r="K48" s="1"/>
  <c r="I33" i="8"/>
  <c r="J33" s="1"/>
  <c r="K33" s="1"/>
  <c r="K50" s="1"/>
  <c r="K55" s="1"/>
  <c r="I32"/>
  <c r="J32" s="1"/>
  <c r="J39" i="5" l="1"/>
  <c r="H39" s="1"/>
  <c r="H41" s="1"/>
  <c r="K22"/>
  <c r="K28" i="6"/>
  <c r="J44"/>
  <c r="K32" i="8"/>
  <c r="J51"/>
  <c r="J41" i="5" l="1"/>
  <c r="K41" s="1"/>
  <c r="K39"/>
  <c r="K44" i="6"/>
  <c r="K49" s="1"/>
  <c r="H44"/>
  <c r="H46" s="1"/>
  <c r="J46" s="1"/>
  <c r="K46" s="1"/>
  <c r="K51" i="8"/>
  <c r="K56" s="1"/>
  <c r="H51"/>
  <c r="H53" s="1"/>
  <c r="J53" s="1"/>
  <c r="K53" s="1"/>
  <c r="K44" i="5" l="1"/>
</calcChain>
</file>

<file path=xl/sharedStrings.xml><?xml version="1.0" encoding="utf-8"?>
<sst xmlns="http://schemas.openxmlformats.org/spreadsheetml/2006/main" count="460" uniqueCount="206">
  <si>
    <t>Symbol</t>
  </si>
  <si>
    <t>lm</t>
  </si>
  <si>
    <t>V</t>
  </si>
  <si>
    <t>A</t>
  </si>
  <si>
    <t>4. Determine the covariances for all input quantities with correlated MUs.</t>
  </si>
  <si>
    <t>5. Calculate measurement results from input quantities with the model of evaluation.</t>
  </si>
  <si>
    <t>8. Report the result of the measurement together with the associated expanded MU</t>
  </si>
  <si>
    <t>1. Design a measurement equation (model of evaluation) for determination of the measurand including all input quantities that significantly contribute to the measurement result (value and associated MU).</t>
  </si>
  <si>
    <t>3. Determine for all input quantities the associated standard uncertainty using Type A evaluation (statistical method) or Type B evaluation (any other method).</t>
  </si>
  <si>
    <t>6. Determine the combined standard MU from the standard MUs and covariances of the input quantities and from the related sensitivity coefficients.</t>
  </si>
  <si>
    <t>7. Determine the effective DOF and the related value for the coverage factor for the intended confidence level.</t>
  </si>
  <si>
    <t>2. Determine the estimated value for all input quantities</t>
  </si>
  <si>
    <t>The Presentation of the results of Measurements can be divided into eight steps</t>
  </si>
  <si>
    <t xml:space="preserve">The output quantity is stated and the model of evaluation developed as an algebraic equation  combining all the input quantities to calculate the value of the output quantity.  </t>
  </si>
  <si>
    <t>Type</t>
  </si>
  <si>
    <t>Calibration of Luminous Flux by and Integrating Sphere</t>
  </si>
  <si>
    <t>No</t>
  </si>
  <si>
    <t>B</t>
  </si>
  <si>
    <t>¥</t>
  </si>
  <si>
    <t xml:space="preserve">cal. factor current DVM  </t>
  </si>
  <si>
    <t xml:space="preserve">variance </t>
  </si>
  <si>
    <t>Model</t>
  </si>
  <si>
    <t>Unit</t>
  </si>
  <si>
    <t>°C</t>
  </si>
  <si>
    <t>1/K</t>
  </si>
  <si>
    <t>1/h</t>
  </si>
  <si>
    <t>h</t>
  </si>
  <si>
    <t>burning time</t>
  </si>
  <si>
    <t>subscript 'R' refers to reference lamp standard</t>
  </si>
  <si>
    <t>subscript 's' refers to sphere</t>
  </si>
  <si>
    <t xml:space="preserve">ambient temp. difference </t>
  </si>
  <si>
    <t xml:space="preserve">ambient temp. coeff. </t>
  </si>
  <si>
    <t>relative aging coeff.</t>
  </si>
  <si>
    <r>
      <t>Quantity X</t>
    </r>
    <r>
      <rPr>
        <vertAlign val="subscript"/>
        <sz val="11"/>
        <rFont val="Calibri"/>
        <family val="2"/>
      </rPr>
      <t>i</t>
    </r>
  </si>
  <si>
    <r>
      <t>Abs. sensitivity 
c</t>
    </r>
    <r>
      <rPr>
        <vertAlign val="subscript"/>
        <sz val="11"/>
        <rFont val="Calibri"/>
        <family val="2"/>
      </rPr>
      <t>i</t>
    </r>
  </si>
  <si>
    <r>
      <t>Abs. contribution 
u</t>
    </r>
    <r>
      <rPr>
        <vertAlign val="subscript"/>
        <sz val="11"/>
        <rFont val="Calibri"/>
        <family val="2"/>
      </rPr>
      <t>i</t>
    </r>
    <r>
      <rPr>
        <sz val="11"/>
        <rFont val="Calibri"/>
        <family val="2"/>
      </rPr>
      <t>(y)</t>
    </r>
  </si>
  <si>
    <r>
      <t>Relative contribution 
u</t>
    </r>
    <r>
      <rPr>
        <vertAlign val="subscript"/>
        <sz val="11"/>
        <rFont val="Calibri"/>
        <family val="2"/>
      </rPr>
      <t>rel</t>
    </r>
    <r>
      <rPr>
        <sz val="11"/>
        <rFont val="Calibri"/>
        <family val="2"/>
      </rPr>
      <t>(y)</t>
    </r>
  </si>
  <si>
    <r>
      <t xml:space="preserve">found from approximation formula: </t>
    </r>
    <r>
      <rPr>
        <i/>
        <sz val="11"/>
        <rFont val="Calibri"/>
        <family val="2"/>
      </rPr>
      <t xml:space="preserve"> k</t>
    </r>
    <r>
      <rPr>
        <sz val="11"/>
        <rFont val="Calibri"/>
        <family val="2"/>
      </rPr>
      <t xml:space="preserve"> =</t>
    </r>
  </si>
  <si>
    <r>
      <t>Abs. std. uncertainty 
u(x</t>
    </r>
    <r>
      <rPr>
        <vertAlign val="subscript"/>
        <sz val="11"/>
        <rFont val="Calibri"/>
        <family val="2"/>
      </rPr>
      <t>i</t>
    </r>
    <r>
      <rPr>
        <sz val="11"/>
        <rFont val="Calibri"/>
        <family val="2"/>
      </rPr>
      <t>)</t>
    </r>
  </si>
  <si>
    <r>
      <t>Value
x</t>
    </r>
    <r>
      <rPr>
        <vertAlign val="subscript"/>
        <sz val="11"/>
        <rFont val="Calibri"/>
        <family val="2"/>
      </rPr>
      <t>i</t>
    </r>
  </si>
  <si>
    <r>
      <t xml:space="preserve">DOF
</t>
    </r>
    <r>
      <rPr>
        <sz val="11"/>
        <rFont val="Symbol"/>
        <family val="1"/>
        <charset val="2"/>
      </rPr>
      <t>n</t>
    </r>
  </si>
  <si>
    <t>K</t>
  </si>
  <si>
    <t>Ohm</t>
  </si>
  <si>
    <t>Table</t>
  </si>
  <si>
    <r>
      <rPr>
        <i/>
        <sz val="10"/>
        <rFont val="Symbol"/>
        <family val="1"/>
        <charset val="2"/>
      </rPr>
      <t>F</t>
    </r>
    <r>
      <rPr>
        <i/>
        <vertAlign val="subscript"/>
        <sz val="10"/>
        <rFont val="Cambria"/>
        <family val="1"/>
      </rPr>
      <t>R</t>
    </r>
  </si>
  <si>
    <t>R</t>
  </si>
  <si>
    <t>ambient temp. difference-REF</t>
  </si>
  <si>
    <t xml:space="preserve">ambient temp. coeff. -REF </t>
  </si>
  <si>
    <t>relative aging coeff.-REF</t>
  </si>
  <si>
    <t>burning time-REF</t>
  </si>
  <si>
    <t>correction factor-REF</t>
  </si>
  <si>
    <t>luminous flux-REF</t>
  </si>
  <si>
    <t>photometer-source</t>
  </si>
  <si>
    <t>photometer-REF</t>
  </si>
  <si>
    <t>current-lumen exponent-REF</t>
  </si>
  <si>
    <t>shunt resistor</t>
  </si>
  <si>
    <t>nominal current-source</t>
  </si>
  <si>
    <t>nominal current-REF</t>
  </si>
  <si>
    <r>
      <rPr>
        <i/>
        <sz val="10"/>
        <rFont val="Symbol"/>
        <family val="1"/>
        <charset val="2"/>
      </rPr>
      <t>F</t>
    </r>
    <r>
      <rPr>
        <i/>
        <vertAlign val="subscript"/>
        <sz val="10"/>
        <rFont val="Cambria"/>
        <family val="1"/>
      </rPr>
      <t>1</t>
    </r>
  </si>
  <si>
    <t>c</t>
  </si>
  <si>
    <t xml:space="preserve">sphere spatial response factor </t>
  </si>
  <si>
    <t>sphere spatial  response factor-REF</t>
  </si>
  <si>
    <t>shunt voltage-REF</t>
  </si>
  <si>
    <t xml:space="preserve"> </t>
  </si>
  <si>
    <t>nominal voltage - source</t>
  </si>
  <si>
    <t>correction factor -test lamp</t>
  </si>
  <si>
    <t>correction factor-test lamp</t>
  </si>
  <si>
    <t>photometer-test lamp</t>
  </si>
  <si>
    <t>photometer - AUX test lamp</t>
  </si>
  <si>
    <t>photometer-AUX REF</t>
  </si>
  <si>
    <t>measured voltage-test lamp</t>
  </si>
  <si>
    <t>luminous flux- test lamp</t>
  </si>
  <si>
    <t>intensity at nominal current</t>
  </si>
  <si>
    <t>amb.temp. difference - REF</t>
  </si>
  <si>
    <t>rel.temp.coeff. - REF</t>
  </si>
  <si>
    <t xml:space="preserve">angular tilt - REF   </t>
  </si>
  <si>
    <t>angular turn - REF</t>
  </si>
  <si>
    <t xml:space="preserve">relative distance variation - REF </t>
  </si>
  <si>
    <t>burning time - test lamp</t>
  </si>
  <si>
    <t>correction factor - test lamp</t>
  </si>
  <si>
    <t>rel.aging coeff. - REF</t>
  </si>
  <si>
    <t>burning time - REF</t>
  </si>
  <si>
    <t>correction factor source - REF</t>
  </si>
  <si>
    <t>cd</t>
  </si>
  <si>
    <t>luminous intensity - REF</t>
  </si>
  <si>
    <t>photometer signal - test lamp</t>
  </si>
  <si>
    <t>shunt voltage</t>
  </si>
  <si>
    <t>shunt voltage - REF</t>
  </si>
  <si>
    <t xml:space="preserve">current-intensity exponent </t>
  </si>
  <si>
    <t>current-intensity exponent - REF</t>
  </si>
  <si>
    <t xml:space="preserve">cal. factor - DVM  </t>
  </si>
  <si>
    <t>nominal current of test lamp</t>
  </si>
  <si>
    <t>nominal current - REF</t>
  </si>
  <si>
    <t>amb.temp. difference - test lamp</t>
  </si>
  <si>
    <t>rel.temp.coeff. - test lamp</t>
  </si>
  <si>
    <t>angular tilt - test lamp</t>
  </si>
  <si>
    <t>angular turn - test lamp</t>
  </si>
  <si>
    <t>rel.aging coeff. - test lamp</t>
  </si>
  <si>
    <t>relative dist. variation - test lamp</t>
  </si>
  <si>
    <t>photometer signal - REF</t>
  </si>
  <si>
    <t>stray light - test lamp</t>
  </si>
  <si>
    <t>stray light - REF</t>
  </si>
  <si>
    <t>detector non-linearity-REF</t>
  </si>
  <si>
    <t>detector non-linearity-test lamp</t>
  </si>
  <si>
    <t>test lamp variables do not have subscripts</t>
  </si>
  <si>
    <t>a</t>
  </si>
  <si>
    <t>g</t>
  </si>
  <si>
    <t>corS</t>
  </si>
  <si>
    <t>y</t>
  </si>
  <si>
    <t>U</t>
  </si>
  <si>
    <t>F</t>
  </si>
  <si>
    <t>cal. factor AC voltage</t>
  </si>
  <si>
    <t>cal. factor DC voltage</t>
  </si>
  <si>
    <t>test lamp variable do not have subscripts</t>
  </si>
  <si>
    <t>J</t>
  </si>
  <si>
    <t>I</t>
  </si>
  <si>
    <t>Measurement of Luminous Intensity by and a Goniometer</t>
  </si>
  <si>
    <t>current read by DVM using calibrated shunt</t>
  </si>
  <si>
    <t>Incandescent reference / Any type of test lamp</t>
  </si>
  <si>
    <t>broadband detector with lumen filter</t>
  </si>
  <si>
    <t>Measurement of Luminous Flux by and Integrating Sphere</t>
  </si>
  <si>
    <t>spectral detection</t>
  </si>
  <si>
    <t>manual entries are highlighted in blue</t>
  </si>
  <si>
    <r>
      <rPr>
        <i/>
        <sz val="11"/>
        <rFont val="Symbol"/>
        <family val="1"/>
        <charset val="2"/>
      </rPr>
      <t>DT</t>
    </r>
    <r>
      <rPr>
        <i/>
        <sz val="11"/>
        <rFont val="Cambria"/>
        <family val="1"/>
        <scheme val="major"/>
      </rPr>
      <t>a</t>
    </r>
  </si>
  <si>
    <r>
      <rPr>
        <i/>
        <sz val="11"/>
        <color rgb="FF000000"/>
        <rFont val="Symbol"/>
        <family val="1"/>
        <charset val="2"/>
      </rPr>
      <t>D</t>
    </r>
    <r>
      <rPr>
        <i/>
        <sz val="11"/>
        <color rgb="FF000000"/>
        <rFont val="Calibri"/>
        <family val="2"/>
      </rPr>
      <t>d</t>
    </r>
    <r>
      <rPr>
        <i/>
        <sz val="11"/>
        <color rgb="FF000000"/>
        <rFont val="Calibri"/>
        <family val="2"/>
      </rPr>
      <t>/d</t>
    </r>
  </si>
  <si>
    <r>
      <t>h</t>
    </r>
    <r>
      <rPr>
        <i/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q</t>
    </r>
    <r>
      <rPr>
        <i/>
        <sz val="11"/>
        <rFont val="Calibri"/>
        <family val="2"/>
      </rPr>
      <t>)</t>
    </r>
  </si>
  <si>
    <r>
      <t>k</t>
    </r>
    <r>
      <rPr>
        <i/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j</t>
    </r>
    <r>
      <rPr>
        <i/>
        <sz val="11"/>
        <rFont val="Calibri"/>
        <family val="2"/>
        <scheme val="minor"/>
      </rPr>
      <t>)</t>
    </r>
  </si>
  <si>
    <r>
      <t>S</t>
    </r>
    <r>
      <rPr>
        <i/>
        <sz val="11"/>
        <rFont val="Cambria"/>
        <family val="1"/>
        <scheme val="major"/>
      </rPr>
      <t>(</t>
    </r>
    <r>
      <rPr>
        <i/>
        <sz val="11"/>
        <rFont val="Symbol"/>
        <family val="1"/>
        <charset val="2"/>
      </rPr>
      <t>q</t>
    </r>
    <r>
      <rPr>
        <i/>
        <sz val="11"/>
        <rFont val="Cambria"/>
        <family val="1"/>
        <scheme val="major"/>
      </rPr>
      <t>)</t>
    </r>
  </si>
  <si>
    <r>
      <rPr>
        <i/>
        <sz val="11"/>
        <rFont val="Symbol"/>
        <family val="1"/>
        <charset val="2"/>
      </rPr>
      <t>D</t>
    </r>
    <r>
      <rPr>
        <i/>
        <sz val="11"/>
        <rFont val="Cambria"/>
        <family val="1"/>
        <scheme val="major"/>
      </rPr>
      <t>t</t>
    </r>
  </si>
  <si>
    <r>
      <rPr>
        <i/>
        <sz val="11"/>
        <rFont val="Symbol"/>
        <family val="1"/>
        <charset val="2"/>
      </rPr>
      <t>D</t>
    </r>
    <r>
      <rPr>
        <i/>
        <sz val="11"/>
        <rFont val="Cambria"/>
        <family val="1"/>
        <scheme val="major"/>
      </rPr>
      <t>T</t>
    </r>
    <r>
      <rPr>
        <i/>
        <vertAlign val="subscript"/>
        <sz val="11"/>
        <rFont val="Symbol"/>
        <family val="1"/>
        <charset val="2"/>
      </rPr>
      <t>a</t>
    </r>
    <r>
      <rPr>
        <i/>
        <vertAlign val="subscript"/>
        <sz val="11"/>
        <rFont val="Cambria"/>
        <family val="1"/>
        <scheme val="major"/>
      </rPr>
      <t>R</t>
    </r>
  </si>
  <si>
    <r>
      <rPr>
        <i/>
        <sz val="11"/>
        <rFont val="Symbol"/>
        <family val="1"/>
        <charset val="2"/>
      </rPr>
      <t>a</t>
    </r>
    <r>
      <rPr>
        <i/>
        <vertAlign val="subscript"/>
        <sz val="11"/>
        <rFont val="Cambria"/>
        <family val="1"/>
        <scheme val="major"/>
      </rPr>
      <t>R</t>
    </r>
  </si>
  <si>
    <r>
      <rPr>
        <i/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d</t>
    </r>
    <r>
      <rPr>
        <i/>
        <vertAlign val="subscript"/>
        <sz val="11"/>
        <color theme="1"/>
        <rFont val="Calibri"/>
        <family val="2"/>
        <scheme val="minor"/>
      </rPr>
      <t>R</t>
    </r>
    <r>
      <rPr>
        <i/>
        <sz val="11"/>
        <color theme="1"/>
        <rFont val="Calibri"/>
        <family val="2"/>
        <scheme val="minor"/>
      </rPr>
      <t>/d</t>
    </r>
    <r>
      <rPr>
        <i/>
        <vertAlign val="subscript"/>
        <sz val="11"/>
        <color theme="1"/>
        <rFont val="Calibri"/>
        <family val="2"/>
        <scheme val="minor"/>
      </rPr>
      <t>R</t>
    </r>
  </si>
  <si>
    <r>
      <t>h</t>
    </r>
    <r>
      <rPr>
        <i/>
        <vertAlign val="subscript"/>
        <sz val="11"/>
        <rFont val="Calibri"/>
        <family val="2"/>
        <scheme val="minor"/>
      </rPr>
      <t>R</t>
    </r>
    <r>
      <rPr>
        <i/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q</t>
    </r>
    <r>
      <rPr>
        <i/>
        <sz val="11"/>
        <rFont val="Calibri"/>
        <family val="2"/>
      </rPr>
      <t>)</t>
    </r>
  </si>
  <si>
    <r>
      <t>k</t>
    </r>
    <r>
      <rPr>
        <i/>
        <vertAlign val="subscript"/>
        <sz val="11"/>
        <rFont val="Calibri"/>
        <family val="2"/>
        <scheme val="minor"/>
      </rPr>
      <t>R</t>
    </r>
    <r>
      <rPr>
        <i/>
        <sz val="11"/>
        <rFont val="Calibri"/>
        <family val="2"/>
        <scheme val="minor"/>
      </rPr>
      <t>(</t>
    </r>
    <r>
      <rPr>
        <sz val="11"/>
        <rFont val="Symbol"/>
        <family val="1"/>
        <charset val="2"/>
      </rPr>
      <t>j</t>
    </r>
    <r>
      <rPr>
        <i/>
        <sz val="11"/>
        <rFont val="Calibri"/>
        <family val="2"/>
        <scheme val="minor"/>
      </rPr>
      <t>)</t>
    </r>
  </si>
  <si>
    <r>
      <t>S</t>
    </r>
    <r>
      <rPr>
        <i/>
        <vertAlign val="subscript"/>
        <sz val="11"/>
        <rFont val="Cambria"/>
        <family val="1"/>
        <scheme val="major"/>
      </rPr>
      <t>R</t>
    </r>
    <r>
      <rPr>
        <i/>
        <sz val="11"/>
        <rFont val="Cambria"/>
        <family val="1"/>
        <scheme val="major"/>
      </rPr>
      <t>(</t>
    </r>
    <r>
      <rPr>
        <i/>
        <sz val="11"/>
        <rFont val="Symbol"/>
        <family val="1"/>
        <charset val="2"/>
      </rPr>
      <t>q</t>
    </r>
    <r>
      <rPr>
        <i/>
        <sz val="11"/>
        <rFont val="Cambria"/>
        <family val="1"/>
        <scheme val="major"/>
      </rPr>
      <t>)</t>
    </r>
  </si>
  <si>
    <r>
      <rPr>
        <i/>
        <sz val="11"/>
        <rFont val="Symbol"/>
        <family val="1"/>
        <charset val="2"/>
      </rPr>
      <t>g</t>
    </r>
    <r>
      <rPr>
        <i/>
        <vertAlign val="subscript"/>
        <sz val="11"/>
        <rFont val="Cambria"/>
        <family val="1"/>
        <scheme val="major"/>
      </rPr>
      <t>R</t>
    </r>
  </si>
  <si>
    <r>
      <rPr>
        <i/>
        <sz val="11"/>
        <rFont val="Symbol"/>
        <family val="1"/>
        <charset val="2"/>
      </rPr>
      <t>D</t>
    </r>
    <r>
      <rPr>
        <i/>
        <sz val="11"/>
        <rFont val="Cambria"/>
        <family val="1"/>
        <scheme val="major"/>
      </rPr>
      <t>t</t>
    </r>
    <r>
      <rPr>
        <i/>
        <vertAlign val="subscript"/>
        <sz val="11"/>
        <rFont val="Cambria"/>
        <family val="1"/>
        <scheme val="major"/>
      </rPr>
      <t>R</t>
    </r>
  </si>
  <si>
    <r>
      <rPr>
        <b/>
        <i/>
        <sz val="11"/>
        <rFont val="Cambria"/>
        <family val="1"/>
        <scheme val="major"/>
      </rPr>
      <t>corS</t>
    </r>
    <r>
      <rPr>
        <b/>
        <i/>
        <vertAlign val="subscript"/>
        <sz val="11"/>
        <rFont val="Calibri"/>
        <family val="2"/>
        <scheme val="minor"/>
      </rPr>
      <t>R</t>
    </r>
  </si>
  <si>
    <t>correction factor - REF</t>
  </si>
  <si>
    <r>
      <t>corS</t>
    </r>
    <r>
      <rPr>
        <i/>
        <vertAlign val="subscript"/>
        <sz val="11"/>
        <rFont val="Cambria"/>
        <family val="1"/>
        <scheme val="major"/>
      </rPr>
      <t>R</t>
    </r>
  </si>
  <si>
    <t>correction  factor  -test lamp</t>
  </si>
  <si>
    <r>
      <rPr>
        <i/>
        <sz val="11"/>
        <rFont val="Symbol"/>
        <family val="1"/>
        <charset val="2"/>
      </rPr>
      <t>I</t>
    </r>
    <r>
      <rPr>
        <i/>
        <vertAlign val="subscript"/>
        <sz val="11"/>
        <rFont val="Cambria"/>
        <family val="1"/>
      </rPr>
      <t>R</t>
    </r>
  </si>
  <si>
    <r>
      <t>y</t>
    </r>
    <r>
      <rPr>
        <i/>
        <vertAlign val="subscript"/>
        <sz val="11"/>
        <rFont val="Cambria"/>
        <family val="1"/>
        <scheme val="major"/>
      </rPr>
      <t>R</t>
    </r>
  </si>
  <si>
    <r>
      <t>U</t>
    </r>
    <r>
      <rPr>
        <i/>
        <vertAlign val="subscript"/>
        <sz val="11"/>
        <rFont val="Cambria"/>
        <family val="1"/>
        <scheme val="major"/>
      </rPr>
      <t>R</t>
    </r>
  </si>
  <si>
    <r>
      <t>m</t>
    </r>
    <r>
      <rPr>
        <i/>
        <vertAlign val="subscript"/>
        <sz val="11"/>
        <rFont val="Cambria"/>
        <family val="1"/>
        <scheme val="major"/>
      </rPr>
      <t>J</t>
    </r>
  </si>
  <si>
    <r>
      <t>m</t>
    </r>
    <r>
      <rPr>
        <i/>
        <vertAlign val="subscript"/>
        <sz val="11"/>
        <rFont val="Cambria"/>
        <family val="1"/>
        <scheme val="major"/>
      </rPr>
      <t>JR</t>
    </r>
  </si>
  <si>
    <t>Spectral mismatch - test lamp</t>
  </si>
  <si>
    <t>Spectral mismatch - REF</t>
  </si>
  <si>
    <r>
      <t>F</t>
    </r>
    <r>
      <rPr>
        <i/>
        <vertAlign val="subscript"/>
        <sz val="11"/>
        <rFont val="Cambria"/>
        <family val="1"/>
        <scheme val="major"/>
      </rPr>
      <t>R</t>
    </r>
  </si>
  <si>
    <r>
      <t>H</t>
    </r>
    <r>
      <rPr>
        <i/>
        <sz val="11"/>
        <rFont val="Cambria"/>
        <family val="1"/>
        <scheme val="major"/>
      </rPr>
      <t>(</t>
    </r>
    <r>
      <rPr>
        <i/>
        <sz val="11"/>
        <rFont val="Symbol"/>
        <family val="1"/>
        <charset val="2"/>
      </rPr>
      <t>q</t>
    </r>
    <r>
      <rPr>
        <i/>
        <sz val="11"/>
        <rFont val="Cambria"/>
        <family val="1"/>
        <scheme val="major"/>
      </rPr>
      <t>)</t>
    </r>
  </si>
  <si>
    <r>
      <t>H</t>
    </r>
    <r>
      <rPr>
        <i/>
        <vertAlign val="subscript"/>
        <sz val="11"/>
        <rFont val="Cambria"/>
        <family val="1"/>
        <scheme val="major"/>
      </rPr>
      <t>R</t>
    </r>
    <r>
      <rPr>
        <i/>
        <sz val="11"/>
        <rFont val="Cambria"/>
        <family val="1"/>
        <scheme val="major"/>
      </rPr>
      <t>(</t>
    </r>
    <r>
      <rPr>
        <i/>
        <sz val="11"/>
        <rFont val="Symbol"/>
        <family val="1"/>
        <charset val="2"/>
      </rPr>
      <t>q</t>
    </r>
    <r>
      <rPr>
        <i/>
        <sz val="11"/>
        <rFont val="Cambria"/>
        <family val="1"/>
        <scheme val="major"/>
      </rPr>
      <t>)</t>
    </r>
  </si>
  <si>
    <t>Distribution sample - test lamp</t>
  </si>
  <si>
    <t>Ds</t>
  </si>
  <si>
    <t>Distribution sample - REF</t>
  </si>
  <si>
    <r>
      <t>Ds</t>
    </r>
    <r>
      <rPr>
        <i/>
        <vertAlign val="subscript"/>
        <sz val="11"/>
        <rFont val="Cambria"/>
        <family val="1"/>
        <scheme val="major"/>
      </rPr>
      <t>R</t>
    </r>
  </si>
  <si>
    <r>
      <t>J</t>
    </r>
    <r>
      <rPr>
        <i/>
        <vertAlign val="subscript"/>
        <sz val="11"/>
        <rFont val="Cambria"/>
        <family val="1"/>
        <scheme val="major"/>
      </rPr>
      <t>R</t>
    </r>
  </si>
  <si>
    <r>
      <t xml:space="preserve">found from approximation formula: </t>
    </r>
    <r>
      <rPr>
        <i/>
        <sz val="11"/>
        <rFont val="Calibri"/>
        <family val="2"/>
        <scheme val="minor"/>
      </rPr>
      <t xml:space="preserve"> k</t>
    </r>
    <r>
      <rPr>
        <sz val="11"/>
        <rFont val="Calibri"/>
        <family val="2"/>
        <scheme val="minor"/>
      </rPr>
      <t xml:space="preserve"> =</t>
    </r>
  </si>
  <si>
    <t>current read as DVM voltage with a shunt resistor, R</t>
  </si>
  <si>
    <r>
      <rPr>
        <i/>
        <sz val="10"/>
        <rFont val="Symbol"/>
        <family val="1"/>
        <charset val="2"/>
      </rPr>
      <t>D</t>
    </r>
    <r>
      <rPr>
        <i/>
        <sz val="10"/>
        <rFont val="Cambria"/>
        <family val="1"/>
        <scheme val="major"/>
      </rPr>
      <t>Ta</t>
    </r>
  </si>
  <si>
    <r>
      <rPr>
        <i/>
        <sz val="10"/>
        <rFont val="Symbol"/>
        <family val="1"/>
        <charset val="2"/>
      </rPr>
      <t>D</t>
    </r>
    <r>
      <rPr>
        <i/>
        <vertAlign val="subscript"/>
        <sz val="10"/>
        <rFont val="Cambria"/>
        <family val="1"/>
        <scheme val="major"/>
      </rPr>
      <t>s</t>
    </r>
    <r>
      <rPr>
        <i/>
        <sz val="10"/>
        <rFont val="Cambria"/>
        <family val="1"/>
        <scheme val="major"/>
      </rPr>
      <t>f</t>
    </r>
  </si>
  <si>
    <r>
      <rPr>
        <i/>
        <sz val="10"/>
        <rFont val="Symbol"/>
        <family val="1"/>
        <charset val="2"/>
      </rPr>
      <t>D</t>
    </r>
    <r>
      <rPr>
        <i/>
        <sz val="10"/>
        <rFont val="Cambria"/>
        <family val="1"/>
        <scheme val="major"/>
      </rPr>
      <t>t</t>
    </r>
  </si>
  <si>
    <r>
      <rPr>
        <i/>
        <sz val="10"/>
        <rFont val="Symbol"/>
        <family val="1"/>
        <charset val="2"/>
      </rPr>
      <t>D</t>
    </r>
    <r>
      <rPr>
        <i/>
        <sz val="10"/>
        <rFont val="Cambria"/>
        <family val="1"/>
        <scheme val="major"/>
      </rPr>
      <t>T</t>
    </r>
    <r>
      <rPr>
        <i/>
        <vertAlign val="subscript"/>
        <sz val="10"/>
        <rFont val="Symbol"/>
        <family val="1"/>
        <charset val="2"/>
      </rPr>
      <t>a</t>
    </r>
    <r>
      <rPr>
        <i/>
        <vertAlign val="subscript"/>
        <sz val="10"/>
        <rFont val="Cambria"/>
        <family val="1"/>
        <scheme val="major"/>
      </rPr>
      <t>R</t>
    </r>
  </si>
  <si>
    <r>
      <rPr>
        <i/>
        <sz val="10"/>
        <rFont val="Symbol"/>
        <family val="1"/>
        <charset val="2"/>
      </rPr>
      <t>a</t>
    </r>
    <r>
      <rPr>
        <i/>
        <vertAlign val="subscript"/>
        <sz val="10"/>
        <rFont val="Cambria"/>
        <family val="1"/>
        <scheme val="major"/>
      </rPr>
      <t>R</t>
    </r>
  </si>
  <si>
    <r>
      <rPr>
        <i/>
        <sz val="10"/>
        <rFont val="Symbol"/>
        <family val="1"/>
        <charset val="2"/>
      </rPr>
      <t>D</t>
    </r>
    <r>
      <rPr>
        <i/>
        <vertAlign val="subscript"/>
        <sz val="10"/>
        <rFont val="Cambria"/>
        <family val="1"/>
        <scheme val="major"/>
      </rPr>
      <t>s</t>
    </r>
    <r>
      <rPr>
        <i/>
        <sz val="10"/>
        <rFont val="Cambria"/>
        <family val="1"/>
        <scheme val="major"/>
      </rPr>
      <t>f</t>
    </r>
    <r>
      <rPr>
        <i/>
        <vertAlign val="subscript"/>
        <sz val="10"/>
        <rFont val="Cambria"/>
        <family val="1"/>
        <scheme val="major"/>
      </rPr>
      <t>R</t>
    </r>
  </si>
  <si>
    <r>
      <rPr>
        <i/>
        <sz val="10"/>
        <rFont val="Symbol"/>
        <family val="1"/>
        <charset val="2"/>
      </rPr>
      <t>g</t>
    </r>
    <r>
      <rPr>
        <i/>
        <vertAlign val="subscript"/>
        <sz val="10"/>
        <rFont val="Cambria"/>
        <family val="1"/>
        <scheme val="major"/>
      </rPr>
      <t>R</t>
    </r>
  </si>
  <si>
    <r>
      <rPr>
        <i/>
        <sz val="10"/>
        <rFont val="Symbol"/>
        <family val="1"/>
        <charset val="2"/>
      </rPr>
      <t>D</t>
    </r>
    <r>
      <rPr>
        <i/>
        <sz val="10"/>
        <rFont val="Cambria"/>
        <family val="1"/>
        <scheme val="major"/>
      </rPr>
      <t>t</t>
    </r>
    <r>
      <rPr>
        <i/>
        <vertAlign val="subscript"/>
        <sz val="10"/>
        <rFont val="Cambria"/>
        <family val="1"/>
        <scheme val="major"/>
      </rPr>
      <t>R</t>
    </r>
  </si>
  <si>
    <r>
      <t>corS</t>
    </r>
    <r>
      <rPr>
        <b/>
        <i/>
        <vertAlign val="subscript"/>
        <sz val="10"/>
        <rFont val="Cambria"/>
        <family val="1"/>
        <scheme val="major"/>
      </rPr>
      <t>R</t>
    </r>
  </si>
  <si>
    <r>
      <t>corS</t>
    </r>
    <r>
      <rPr>
        <i/>
        <vertAlign val="subscript"/>
        <sz val="10"/>
        <rFont val="Cambria"/>
        <family val="1"/>
        <scheme val="major"/>
      </rPr>
      <t>R</t>
    </r>
  </si>
  <si>
    <r>
      <t>y</t>
    </r>
    <r>
      <rPr>
        <i/>
        <vertAlign val="subscript"/>
        <sz val="10"/>
        <rFont val="Cambria"/>
        <family val="1"/>
        <scheme val="major"/>
      </rPr>
      <t>R</t>
    </r>
  </si>
  <si>
    <r>
      <t>y</t>
    </r>
    <r>
      <rPr>
        <i/>
        <vertAlign val="subscript"/>
        <sz val="10"/>
        <rFont val="Cambria"/>
        <family val="1"/>
        <scheme val="major"/>
      </rPr>
      <t>A</t>
    </r>
  </si>
  <si>
    <r>
      <t>y</t>
    </r>
    <r>
      <rPr>
        <i/>
        <vertAlign val="subscript"/>
        <sz val="10"/>
        <rFont val="Cambria"/>
        <family val="1"/>
        <scheme val="major"/>
      </rPr>
      <t>AR</t>
    </r>
  </si>
  <si>
    <r>
      <t>c</t>
    </r>
    <r>
      <rPr>
        <i/>
        <vertAlign val="subscript"/>
        <sz val="10"/>
        <rFont val="Cambria"/>
        <family val="1"/>
        <scheme val="major"/>
      </rPr>
      <t>U</t>
    </r>
  </si>
  <si>
    <t>voltage-lumen expoent - test lamp</t>
  </si>
  <si>
    <r>
      <t>m</t>
    </r>
    <r>
      <rPr>
        <i/>
        <vertAlign val="subscript"/>
        <sz val="10"/>
        <rFont val="Cambria"/>
        <family val="1"/>
        <scheme val="major"/>
      </rPr>
      <t>U</t>
    </r>
  </si>
  <si>
    <r>
      <t>U</t>
    </r>
    <r>
      <rPr>
        <i/>
        <vertAlign val="subscript"/>
        <sz val="10"/>
        <rFont val="Cambria"/>
        <family val="1"/>
        <scheme val="major"/>
      </rPr>
      <t>R</t>
    </r>
  </si>
  <si>
    <r>
      <t>c</t>
    </r>
    <r>
      <rPr>
        <i/>
        <vertAlign val="subscript"/>
        <sz val="10"/>
        <rFont val="Cambria"/>
        <family val="1"/>
        <scheme val="major"/>
      </rPr>
      <t>R</t>
    </r>
  </si>
  <si>
    <r>
      <t>m</t>
    </r>
    <r>
      <rPr>
        <i/>
        <vertAlign val="subscript"/>
        <sz val="10"/>
        <rFont val="Cambria"/>
        <family val="1"/>
        <scheme val="major"/>
      </rPr>
      <t>JR</t>
    </r>
  </si>
  <si>
    <r>
      <t>U</t>
    </r>
    <r>
      <rPr>
        <i/>
        <vertAlign val="subscript"/>
        <sz val="10"/>
        <rFont val="Cambria"/>
        <family val="1"/>
        <scheme val="major"/>
      </rPr>
      <t>0</t>
    </r>
  </si>
  <si>
    <r>
      <t>J</t>
    </r>
    <r>
      <rPr>
        <i/>
        <vertAlign val="subscript"/>
        <sz val="10"/>
        <rFont val="Cambria"/>
        <family val="1"/>
        <scheme val="major"/>
      </rPr>
      <t>R</t>
    </r>
  </si>
  <si>
    <t>Incandescent reference / Incandescent test lamp (secondary standard)</t>
  </si>
  <si>
    <t>current set using a voltmeter to measure the current through a calibrated shunt, R</t>
  </si>
  <si>
    <t>broadband detector with lumen photpic filter used to obtain signals</t>
  </si>
  <si>
    <t>variables relating to test lamp have no subscript</t>
  </si>
  <si>
    <t>sphere spatial response factor -test lamp</t>
  </si>
  <si>
    <r>
      <rPr>
        <i/>
        <sz val="10"/>
        <rFont val="Symbol"/>
        <family val="1"/>
        <charset val="2"/>
      </rPr>
      <t>D</t>
    </r>
    <r>
      <rPr>
        <i/>
        <vertAlign val="subscript"/>
        <sz val="10"/>
        <rFont val="Cambria"/>
        <family val="1"/>
        <scheme val="major"/>
      </rPr>
      <t>S</t>
    </r>
    <r>
      <rPr>
        <i/>
        <sz val="10"/>
        <rFont val="Cambria"/>
        <family val="1"/>
        <scheme val="major"/>
      </rPr>
      <t>f</t>
    </r>
  </si>
  <si>
    <t>relative aging coeff.-test lamp</t>
  </si>
  <si>
    <t>burning time-test lamp</t>
  </si>
  <si>
    <r>
      <rPr>
        <i/>
        <sz val="10"/>
        <rFont val="Symbol"/>
        <family val="1"/>
        <charset val="2"/>
      </rPr>
      <t>D</t>
    </r>
    <r>
      <rPr>
        <i/>
        <vertAlign val="subscript"/>
        <sz val="10"/>
        <rFont val="Cambria"/>
        <family val="1"/>
        <scheme val="major"/>
      </rPr>
      <t>S</t>
    </r>
    <r>
      <rPr>
        <i/>
        <sz val="10"/>
        <rFont val="Cambria"/>
        <family val="1"/>
        <scheme val="major"/>
      </rPr>
      <t>f</t>
    </r>
    <r>
      <rPr>
        <i/>
        <vertAlign val="subscript"/>
        <sz val="10"/>
        <rFont val="Cambria"/>
        <family val="1"/>
        <scheme val="major"/>
      </rPr>
      <t>R</t>
    </r>
  </si>
  <si>
    <t>photometer AUX-test lamp</t>
  </si>
  <si>
    <t>photometer AUX-REF</t>
  </si>
  <si>
    <t>shunt voltage-test lamp</t>
  </si>
  <si>
    <t>current-lumen exponent-test lamp</t>
  </si>
  <si>
    <r>
      <t>m</t>
    </r>
    <r>
      <rPr>
        <i/>
        <vertAlign val="subscript"/>
        <sz val="10"/>
        <rFont val="Cambria"/>
        <family val="1"/>
        <scheme val="major"/>
      </rPr>
      <t>J</t>
    </r>
  </si>
  <si>
    <t>spetral mismatch-test lamp</t>
  </si>
  <si>
    <t>spectral mismatch-REF</t>
  </si>
  <si>
    <r>
      <t>F</t>
    </r>
    <r>
      <rPr>
        <i/>
        <vertAlign val="subscript"/>
        <sz val="10"/>
        <rFont val="Cambria"/>
        <family val="1"/>
        <scheme val="major"/>
      </rPr>
      <t>R</t>
    </r>
  </si>
  <si>
    <t>Incandescent reference / SSL or CFL test lamp</t>
  </si>
  <si>
    <t>luminous flux - test lamp</t>
  </si>
  <si>
    <t>stray light</t>
  </si>
  <si>
    <t>stray light-REF</t>
  </si>
  <si>
    <r>
      <t>S(</t>
    </r>
    <r>
      <rPr>
        <i/>
        <sz val="10"/>
        <rFont val="Symbol"/>
        <family val="1"/>
        <charset val="2"/>
      </rPr>
      <t>q</t>
    </r>
    <r>
      <rPr>
        <i/>
        <sz val="10"/>
        <rFont val="Calibri"/>
        <family val="2"/>
        <scheme val="minor"/>
      </rPr>
      <t>)</t>
    </r>
  </si>
  <si>
    <r>
      <t>S</t>
    </r>
    <r>
      <rPr>
        <i/>
        <vertAlign val="subscript"/>
        <sz val="10"/>
        <rFont val="Calibri"/>
        <family val="2"/>
        <scheme val="minor"/>
      </rPr>
      <t>R</t>
    </r>
    <r>
      <rPr>
        <i/>
        <sz val="10"/>
        <rFont val="Calibri"/>
        <family val="2"/>
        <scheme val="minor"/>
      </rPr>
      <t>(</t>
    </r>
    <r>
      <rPr>
        <i/>
        <sz val="10"/>
        <rFont val="Symbol"/>
        <family val="1"/>
        <charset val="2"/>
      </rPr>
      <t>q</t>
    </r>
    <r>
      <rPr>
        <i/>
        <sz val="10"/>
        <rFont val="Calibri"/>
        <family val="2"/>
        <scheme val="minor"/>
      </rPr>
      <t>)</t>
    </r>
  </si>
  <si>
    <t>test lamp</t>
  </si>
  <si>
    <t>REF</t>
  </si>
  <si>
    <t>variance - REF</t>
  </si>
  <si>
    <t>variance - Test Lamp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</si>
</sst>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164" formatCode="0.0000"/>
    <numFmt numFmtId="165" formatCode="0.000"/>
    <numFmt numFmtId="166" formatCode="0.0"/>
    <numFmt numFmtId="167" formatCode="0.000000"/>
    <numFmt numFmtId="168" formatCode="0.00000"/>
    <numFmt numFmtId="169" formatCode="0.0000000"/>
  </numFmts>
  <fonts count="49">
    <font>
      <sz val="11"/>
      <color theme="1"/>
      <name val="Calibri"/>
      <family val="2"/>
      <scheme val="minor"/>
    </font>
    <font>
      <sz val="9"/>
      <name val="Arial"/>
    </font>
    <font>
      <b/>
      <sz val="9"/>
      <name val="Arial"/>
      <family val="2"/>
    </font>
    <font>
      <sz val="11"/>
      <name val="Calibri"/>
      <family val="2"/>
    </font>
    <font>
      <vertAlign val="subscript"/>
      <sz val="11"/>
      <name val="Calibri"/>
      <family val="2"/>
    </font>
    <font>
      <i/>
      <sz val="11"/>
      <name val="Calibri"/>
      <family val="2"/>
    </font>
    <font>
      <sz val="11"/>
      <name val="Symbol"/>
      <family val="1"/>
      <charset val="2"/>
    </font>
    <font>
      <i/>
      <sz val="10"/>
      <name val="Symbol"/>
      <family val="1"/>
      <charset val="2"/>
    </font>
    <font>
      <i/>
      <vertAlign val="subscript"/>
      <sz val="10"/>
      <name val="Symbol"/>
      <family val="1"/>
      <charset val="2"/>
    </font>
    <font>
      <i/>
      <sz val="10"/>
      <name val="Cambria"/>
      <family val="1"/>
    </font>
    <font>
      <i/>
      <vertAlign val="subscript"/>
      <sz val="10"/>
      <name val="Cambria"/>
      <family val="1"/>
    </font>
    <font>
      <sz val="9"/>
      <name val="Arial"/>
      <family val="2"/>
    </font>
    <font>
      <sz val="9"/>
      <color indexed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Symbol"/>
      <family val="1"/>
      <charset val="2"/>
    </font>
    <font>
      <i/>
      <sz val="11"/>
      <name val="Cambria"/>
      <family val="1"/>
    </font>
    <font>
      <i/>
      <vertAlign val="subscript"/>
      <sz val="11"/>
      <name val="Symbol"/>
      <family val="1"/>
      <charset val="2"/>
    </font>
    <font>
      <i/>
      <vertAlign val="subscript"/>
      <sz val="11"/>
      <name val="Cambria"/>
      <family val="1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mbria"/>
      <family val="1"/>
      <scheme val="major"/>
    </font>
    <font>
      <i/>
      <sz val="10"/>
      <name val="Cambria"/>
      <family val="1"/>
      <scheme val="maj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mbria"/>
      <family val="1"/>
      <scheme val="major"/>
    </font>
    <font>
      <sz val="12"/>
      <color theme="1"/>
      <name val="Calibri"/>
      <family val="2"/>
      <scheme val="minor"/>
    </font>
    <font>
      <b/>
      <i/>
      <sz val="11"/>
      <name val="Cambria"/>
      <family val="1"/>
      <scheme val="maj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rgb="FF000000"/>
      <name val="Symbol"/>
      <family val="1"/>
      <charset val="2"/>
    </font>
    <font>
      <i/>
      <vertAlign val="subscript"/>
      <sz val="11"/>
      <name val="Cambria"/>
      <family val="1"/>
      <scheme val="major"/>
    </font>
    <font>
      <i/>
      <sz val="11"/>
      <color theme="1"/>
      <name val="Symbol"/>
      <family val="1"/>
      <charset val="2"/>
    </font>
    <font>
      <i/>
      <vertAlign val="subscript"/>
      <sz val="11"/>
      <color theme="1"/>
      <name val="Calibri"/>
      <family val="2"/>
      <scheme val="minor"/>
    </font>
    <font>
      <i/>
      <vertAlign val="subscript"/>
      <sz val="11"/>
      <name val="Calibri"/>
      <family val="2"/>
      <scheme val="minor"/>
    </font>
    <font>
      <b/>
      <i/>
      <vertAlign val="subscript"/>
      <sz val="11"/>
      <name val="Calibri"/>
      <family val="2"/>
      <scheme val="minor"/>
    </font>
    <font>
      <sz val="11"/>
      <color rgb="FF0000FF"/>
      <name val="Symbol"/>
      <family val="1"/>
      <charset val="2"/>
    </font>
    <font>
      <i/>
      <vertAlign val="subscript"/>
      <sz val="10"/>
      <name val="Cambria"/>
      <family val="1"/>
      <scheme val="major"/>
    </font>
    <font>
      <b/>
      <i/>
      <vertAlign val="subscript"/>
      <sz val="10"/>
      <name val="Cambria"/>
      <family val="1"/>
      <scheme val="major"/>
    </font>
    <font>
      <sz val="12"/>
      <color theme="1"/>
      <name val="Times New Roman"/>
      <family val="1"/>
    </font>
    <font>
      <i/>
      <vertAlign val="sub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indexed="8"/>
        <bgColor indexed="22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1" applyBorder="0" applyAlignment="0" applyProtection="0"/>
  </cellStyleXfs>
  <cellXfs count="17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166" fontId="23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9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10" fontId="2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8" fontId="24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0" fontId="11" fillId="0" borderId="4" xfId="0" applyFont="1" applyBorder="1" applyAlignment="1">
      <alignment horizontal="center" vertical="top" wrapText="1"/>
    </xf>
    <xf numFmtId="168" fontId="11" fillId="0" borderId="5" xfId="0" applyNumberFormat="1" applyFont="1" applyBorder="1" applyAlignment="1">
      <alignment horizontal="center" vertical="top" wrapText="1"/>
    </xf>
    <xf numFmtId="167" fontId="11" fillId="0" borderId="6" xfId="0" applyNumberFormat="1" applyFont="1" applyBorder="1" applyAlignment="1">
      <alignment horizontal="center" vertical="top" wrapText="1"/>
    </xf>
    <xf numFmtId="167" fontId="12" fillId="0" borderId="6" xfId="0" applyNumberFormat="1" applyFont="1" applyBorder="1" applyAlignment="1">
      <alignment horizontal="center" vertical="top" wrapText="1"/>
    </xf>
    <xf numFmtId="165" fontId="11" fillId="0" borderId="5" xfId="0" applyNumberFormat="1" applyFont="1" applyBorder="1" applyAlignment="1">
      <alignment horizontal="center" vertical="top" wrapText="1"/>
    </xf>
    <xf numFmtId="166" fontId="11" fillId="0" borderId="5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2" fontId="11" fillId="0" borderId="4" xfId="0" applyNumberFormat="1" applyFont="1" applyBorder="1" applyAlignment="1">
      <alignment horizontal="center" vertical="top" wrapText="1"/>
    </xf>
    <xf numFmtId="11" fontId="22" fillId="0" borderId="1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justify" vertical="center" wrapText="1"/>
    </xf>
    <xf numFmtId="0" fontId="28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168" fontId="22" fillId="0" borderId="8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167" fontId="11" fillId="0" borderId="9" xfId="0" applyNumberFormat="1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68" fontId="24" fillId="0" borderId="10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/>
    </xf>
    <xf numFmtId="0" fontId="26" fillId="0" borderId="8" xfId="0" applyFont="1" applyBorder="1" applyAlignment="1">
      <alignment horizontal="center" vertical="center" wrapText="1"/>
    </xf>
    <xf numFmtId="166" fontId="23" fillId="0" borderId="8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11" fontId="24" fillId="0" borderId="10" xfId="0" applyNumberFormat="1" applyFont="1" applyBorder="1" applyAlignment="1">
      <alignment horizontal="center" vertical="center" wrapText="1"/>
    </xf>
    <xf numFmtId="0" fontId="22" fillId="0" borderId="8" xfId="1" applyFont="1" applyFill="1" applyBorder="1"/>
    <xf numFmtId="0" fontId="22" fillId="0" borderId="11" xfId="0" applyFont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top" wrapText="1"/>
    </xf>
    <xf numFmtId="0" fontId="22" fillId="0" borderId="1" xfId="1" applyFont="1" applyFill="1" applyBorder="1"/>
    <xf numFmtId="0" fontId="22" fillId="0" borderId="1" xfId="1" applyFont="1" applyFill="1" applyBorder="1" applyAlignment="1">
      <alignment horizontal="center" vertical="top" wrapText="1"/>
    </xf>
    <xf numFmtId="166" fontId="23" fillId="0" borderId="1" xfId="1" applyNumberFormat="1" applyFont="1" applyFill="1" applyBorder="1" applyAlignment="1">
      <alignment horizontal="center" vertical="top" wrapText="1"/>
    </xf>
    <xf numFmtId="164" fontId="22" fillId="0" borderId="1" xfId="1" applyNumberFormat="1" applyFont="1" applyFill="1" applyBorder="1" applyAlignment="1">
      <alignment horizontal="center" vertical="top" wrapText="1"/>
    </xf>
    <xf numFmtId="167" fontId="22" fillId="0" borderId="1" xfId="1" applyNumberFormat="1" applyFont="1" applyFill="1" applyBorder="1" applyAlignment="1">
      <alignment horizontal="center" vertical="top" wrapText="1"/>
    </xf>
    <xf numFmtId="0" fontId="23" fillId="0" borderId="1" xfId="1" applyFont="1" applyFill="1" applyBorder="1" applyAlignment="1">
      <alignment horizontal="center" vertical="top" wrapText="1"/>
    </xf>
    <xf numFmtId="167" fontId="23" fillId="0" borderId="1" xfId="1" applyNumberFormat="1" applyFont="1" applyFill="1" applyBorder="1" applyAlignment="1">
      <alignment horizontal="center" vertical="top" wrapText="1"/>
    </xf>
    <xf numFmtId="2" fontId="23" fillId="0" borderId="1" xfId="1" applyNumberFormat="1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horizontal="center" vertical="top" wrapText="1"/>
    </xf>
    <xf numFmtId="164" fontId="24" fillId="0" borderId="1" xfId="1" applyNumberFormat="1" applyFont="1" applyFill="1" applyBorder="1" applyAlignment="1">
      <alignment horizontal="center" vertical="top" wrapText="1"/>
    </xf>
    <xf numFmtId="0" fontId="24" fillId="0" borderId="1" xfId="1" applyFont="1" applyFill="1" applyBorder="1" applyAlignment="1">
      <alignment horizontal="center" vertical="top" wrapText="1"/>
    </xf>
    <xf numFmtId="168" fontId="22" fillId="0" borderId="1" xfId="1" applyNumberFormat="1" applyFont="1" applyFill="1" applyBorder="1" applyAlignment="1">
      <alignment horizontal="center" vertical="top" wrapText="1"/>
    </xf>
    <xf numFmtId="168" fontId="23" fillId="0" borderId="1" xfId="1" applyNumberFormat="1" applyFont="1" applyFill="1" applyBorder="1" applyAlignment="1">
      <alignment horizontal="center" vertical="top" wrapText="1"/>
    </xf>
    <xf numFmtId="0" fontId="24" fillId="0" borderId="1" xfId="1" applyFont="1" applyFill="1" applyBorder="1" applyAlignment="1">
      <alignment horizontal="justify" vertical="top" wrapText="1"/>
    </xf>
    <xf numFmtId="0" fontId="22" fillId="0" borderId="1" xfId="1" applyFont="1" applyFill="1" applyBorder="1" applyAlignment="1">
      <alignment horizontal="justify" vertical="top" wrapText="1"/>
    </xf>
    <xf numFmtId="165" fontId="23" fillId="0" borderId="1" xfId="1" applyNumberFormat="1" applyFont="1" applyFill="1" applyBorder="1" applyAlignment="1">
      <alignment horizontal="center" vertical="top" wrapText="1"/>
    </xf>
    <xf numFmtId="165" fontId="22" fillId="0" borderId="1" xfId="1" applyNumberFormat="1" applyFont="1" applyFill="1" applyBorder="1" applyAlignment="1">
      <alignment horizontal="center" vertical="top" wrapText="1"/>
    </xf>
    <xf numFmtId="164" fontId="23" fillId="0" borderId="1" xfId="1" applyNumberFormat="1" applyFont="1" applyFill="1" applyBorder="1" applyAlignment="1">
      <alignment horizontal="center" vertical="top" wrapText="1"/>
    </xf>
    <xf numFmtId="0" fontId="14" fillId="0" borderId="1" xfId="1" applyFont="1" applyFill="1" applyBorder="1"/>
    <xf numFmtId="0" fontId="22" fillId="0" borderId="1" xfId="1" applyFont="1" applyFill="1" applyBorder="1" applyAlignment="1">
      <alignment horizontal="center"/>
    </xf>
    <xf numFmtId="0" fontId="0" fillId="0" borderId="1" xfId="0" applyFont="1" applyBorder="1"/>
    <xf numFmtId="0" fontId="22" fillId="0" borderId="1" xfId="1" applyFont="1" applyFill="1" applyBorder="1" applyAlignment="1">
      <alignment horizontal="right"/>
    </xf>
    <xf numFmtId="2" fontId="24" fillId="0" borderId="1" xfId="1" applyNumberFormat="1" applyFont="1" applyFill="1" applyBorder="1" applyAlignment="1">
      <alignment horizontal="center" vertical="top" wrapText="1"/>
    </xf>
    <xf numFmtId="166" fontId="24" fillId="0" borderId="1" xfId="1" applyNumberFormat="1" applyFont="1" applyFill="1" applyBorder="1" applyAlignment="1">
      <alignment horizontal="center" vertical="top" wrapText="1"/>
    </xf>
    <xf numFmtId="10" fontId="25" fillId="0" borderId="1" xfId="1" applyNumberFormat="1" applyFont="1" applyFill="1" applyBorder="1" applyAlignment="1">
      <alignment horizontal="center"/>
    </xf>
    <xf numFmtId="0" fontId="15" fillId="0" borderId="1" xfId="1" applyFont="1" applyFill="1" applyBorder="1"/>
    <xf numFmtId="10" fontId="22" fillId="0" borderId="1" xfId="1" applyNumberFormat="1" applyFont="1" applyFill="1" applyBorder="1" applyAlignment="1">
      <alignment horizontal="center"/>
    </xf>
    <xf numFmtId="0" fontId="14" fillId="0" borderId="8" xfId="1" applyFont="1" applyFill="1" applyBorder="1" applyAlignment="1">
      <alignment horizontal="center" vertical="top" wrapText="1"/>
    </xf>
    <xf numFmtId="0" fontId="22" fillId="0" borderId="8" xfId="1" applyFont="1" applyFill="1" applyBorder="1" applyAlignment="1">
      <alignment horizontal="center" vertical="top" wrapText="1"/>
    </xf>
    <xf numFmtId="166" fontId="23" fillId="0" borderId="8" xfId="1" applyNumberFormat="1" applyFont="1" applyFill="1" applyBorder="1" applyAlignment="1">
      <alignment horizontal="center" vertical="top" wrapText="1"/>
    </xf>
    <xf numFmtId="168" fontId="22" fillId="0" borderId="8" xfId="1" applyNumberFormat="1" applyFont="1" applyFill="1" applyBorder="1" applyAlignment="1">
      <alignment horizontal="center" vertical="top" wrapText="1"/>
    </xf>
    <xf numFmtId="0" fontId="15" fillId="0" borderId="10" xfId="1" applyFont="1" applyFill="1" applyBorder="1" applyAlignment="1">
      <alignment horizontal="center" vertical="top" wrapText="1"/>
    </xf>
    <xf numFmtId="0" fontId="24" fillId="0" borderId="10" xfId="1" applyFont="1" applyFill="1" applyBorder="1" applyAlignment="1">
      <alignment horizontal="left" vertical="top" wrapText="1"/>
    </xf>
    <xf numFmtId="0" fontId="24" fillId="0" borderId="10" xfId="1" applyFont="1" applyFill="1" applyBorder="1" applyAlignment="1">
      <alignment vertical="top" wrapText="1"/>
    </xf>
    <xf numFmtId="164" fontId="24" fillId="0" borderId="10" xfId="1" applyNumberFormat="1" applyFont="1" applyFill="1" applyBorder="1" applyAlignment="1">
      <alignment horizontal="center" vertical="top" wrapText="1"/>
    </xf>
    <xf numFmtId="0" fontId="24" fillId="0" borderId="10" xfId="1" applyFont="1" applyFill="1" applyBorder="1" applyAlignment="1">
      <alignment horizontal="center" vertical="top" wrapText="1"/>
    </xf>
    <xf numFmtId="0" fontId="22" fillId="0" borderId="8" xfId="1" applyFont="1" applyFill="1" applyBorder="1" applyAlignment="1">
      <alignment horizontal="justify" vertical="top" wrapText="1"/>
    </xf>
    <xf numFmtId="164" fontId="22" fillId="0" borderId="8" xfId="1" applyNumberFormat="1" applyFont="1" applyFill="1" applyBorder="1" applyAlignment="1">
      <alignment horizontal="center" vertical="top" wrapText="1"/>
    </xf>
    <xf numFmtId="167" fontId="22" fillId="0" borderId="8" xfId="1" applyNumberFormat="1" applyFont="1" applyFill="1" applyBorder="1" applyAlignment="1">
      <alignment horizontal="center" vertical="top" wrapText="1"/>
    </xf>
    <xf numFmtId="0" fontId="24" fillId="0" borderId="10" xfId="1" applyFont="1" applyFill="1" applyBorder="1" applyAlignment="1">
      <alignment horizontal="justify" vertical="top" wrapText="1"/>
    </xf>
    <xf numFmtId="0" fontId="24" fillId="3" borderId="10" xfId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2" fillId="0" borderId="12" xfId="1" applyFont="1" applyFill="1" applyBorder="1" applyAlignment="1">
      <alignment horizontal="justify" vertical="top" wrapText="1"/>
    </xf>
    <xf numFmtId="0" fontId="32" fillId="0" borderId="12" xfId="0" applyFont="1" applyFill="1" applyBorder="1" applyAlignment="1">
      <alignment horizontal="center" vertical="center" wrapText="1"/>
    </xf>
    <xf numFmtId="0" fontId="33" fillId="0" borderId="0" xfId="0" applyFont="1"/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1" xfId="1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center"/>
    </xf>
    <xf numFmtId="3" fontId="24" fillId="0" borderId="10" xfId="1" applyNumberFormat="1" applyFont="1" applyFill="1" applyBorder="1" applyAlignment="1">
      <alignment horizontal="center" vertical="top" wrapText="1"/>
    </xf>
    <xf numFmtId="168" fontId="24" fillId="0" borderId="10" xfId="1" applyNumberFormat="1" applyFont="1" applyFill="1" applyBorder="1" applyAlignment="1">
      <alignment horizontal="center" vertical="top" wrapText="1"/>
    </xf>
    <xf numFmtId="3" fontId="36" fillId="0" borderId="8" xfId="1" applyNumberFormat="1" applyFont="1" applyFill="1" applyBorder="1" applyAlignment="1">
      <alignment horizontal="center" vertical="top" wrapText="1"/>
    </xf>
    <xf numFmtId="3" fontId="22" fillId="0" borderId="8" xfId="1" applyNumberFormat="1" applyFont="1" applyFill="1" applyBorder="1" applyAlignment="1">
      <alignment horizontal="center" vertical="top" wrapText="1"/>
    </xf>
    <xf numFmtId="166" fontId="22" fillId="0" borderId="8" xfId="1" applyNumberFormat="1" applyFont="1" applyFill="1" applyBorder="1" applyAlignment="1">
      <alignment horizontal="center" vertical="top" wrapText="1"/>
    </xf>
    <xf numFmtId="3" fontId="22" fillId="0" borderId="1" xfId="1" applyNumberFormat="1" applyFont="1" applyFill="1" applyBorder="1" applyAlignment="1">
      <alignment horizontal="center" vertical="top" wrapText="1"/>
    </xf>
    <xf numFmtId="166" fontId="22" fillId="0" borderId="1" xfId="1" applyNumberFormat="1" applyFont="1" applyFill="1" applyBorder="1" applyAlignment="1">
      <alignment horizontal="center" vertical="top" wrapText="1"/>
    </xf>
    <xf numFmtId="168" fontId="25" fillId="0" borderId="1" xfId="1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top" wrapText="1"/>
    </xf>
    <xf numFmtId="166" fontId="2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top" wrapText="1"/>
    </xf>
    <xf numFmtId="16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8" fontId="0" fillId="0" borderId="0" xfId="0" applyNumberFormat="1"/>
    <xf numFmtId="8" fontId="47" fillId="0" borderId="0" xfId="0" applyNumberFormat="1" applyFont="1" applyAlignment="1">
      <alignment vertical="center"/>
    </xf>
    <xf numFmtId="0" fontId="47" fillId="0" borderId="0" xfId="0" applyFont="1"/>
    <xf numFmtId="0" fontId="15" fillId="0" borderId="0" xfId="1" applyFont="1" applyFill="1" applyBorder="1"/>
    <xf numFmtId="0" fontId="22" fillId="0" borderId="0" xfId="1" applyFont="1" applyFill="1" applyBorder="1"/>
    <xf numFmtId="0" fontId="22" fillId="0" borderId="0" xfId="1" applyFont="1" applyFill="1" applyBorder="1" applyAlignment="1">
      <alignment horizontal="right"/>
    </xf>
    <xf numFmtId="10" fontId="22" fillId="0" borderId="0" xfId="1" applyNumberFormat="1" applyFont="1" applyFill="1" applyBorder="1" applyAlignment="1">
      <alignment horizontal="center"/>
    </xf>
    <xf numFmtId="0" fontId="22" fillId="0" borderId="3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8.e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3.wmf"/><Relationship Id="rId7" Type="http://schemas.openxmlformats.org/officeDocument/2006/relationships/image" Target="../media/image11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9922</xdr:colOff>
      <xdr:row>5</xdr:row>
      <xdr:rowOff>15388</xdr:rowOff>
    </xdr:from>
    <xdr:ext cx="2449481" cy="267702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327422" y="1206013"/>
              <a:ext cx="2449481" cy="267702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𝑐𝑜𝑟𝑆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/>
                          </a:rPr>
                          <m:t>1−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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𝑠𝑓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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𝑡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327422" y="1206013"/>
              <a:ext cx="2449481" cy="267702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𝑐𝑜𝑟𝑆=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1−</a:t>
              </a:r>
              <a:r>
                <a:rPr lang="en-US" sz="1100" b="0" i="0">
                  <a:latin typeface="Cambria Math"/>
                  <a:sym typeface="Symbol"/>
                </a:rPr>
                <a:t>𝑠𝑓</a:t>
              </a:r>
              <a:r>
                <a:rPr lang="en-US" sz="1100" b="0" i="0">
                  <a:latin typeface="Cambria Math"/>
                </a:rPr>
                <a:t>−</a:t>
              </a:r>
              <a:r>
                <a:rPr lang="en-US" sz="1100" b="0" i="0">
                  <a:latin typeface="Cambria Math"/>
                  <a:sym typeface="Symbol"/>
                </a:rPr>
                <a:t>𝑡)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307578</xdr:colOff>
      <xdr:row>6</xdr:row>
      <xdr:rowOff>8059</xdr:rowOff>
    </xdr:from>
    <xdr:ext cx="2476652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307578" y="1020090"/>
              <a:ext cx="2476652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𝑐𝑜𝑟𝑆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𝑠𝑓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𝛾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307578" y="1020090"/>
              <a:ext cx="2476652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𝑐𝑜𝑟𝑆〗_𝑅=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1−〖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𝑠𝑓〗_𝑅−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𝛾_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𝑡〗_𝑅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307578</xdr:colOff>
      <xdr:row>7</xdr:row>
      <xdr:rowOff>39688</xdr:rowOff>
    </xdr:from>
    <xdr:ext cx="4639571" cy="367601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16" name="TextBox 15"/>
            <xdr:cNvSpPr txBox="1"/>
          </xdr:nvSpPr>
          <xdr:spPr>
            <a:xfrm>
              <a:off x="307578" y="1359297"/>
              <a:ext cx="4639571" cy="36760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>
                  <a:sym typeface="Symbol"/>
                </a:rPr>
                <a:t>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=</m:t>
                  </m:r>
                  <m:sSub>
                    <m:sSubPr>
                      <m:ctrlPr>
                        <a:rPr lang="en-US" sz="1100" b="0" i="1">
                          <a:latin typeface="Cambria Math"/>
                        </a:rPr>
                      </m:ctrlPr>
                    </m:sSubPr>
                    <m:e>
                      <m: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  <a:sym typeface="Symbol"/>
                        </a:rPr>
                        <m:t></m:t>
                      </m:r>
                    </m:e>
                    <m:sub>
                      <m:r>
                        <a:rPr lang="en-US" sz="1100" b="0" i="1">
                          <a:latin typeface="Cambria Math"/>
                        </a:rPr>
                        <m:t>𝑅</m:t>
                      </m:r>
                    </m:sub>
                  </m:sSub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·</m:t>
                  </m:r>
                  <m:f>
                    <m:fPr>
                      <m:ctrlPr>
                        <a:rPr lang="en-US" sz="1100" b="0" i="1">
                          <a:latin typeface="Cambria Math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/>
                        </a:rPr>
                        <m:t>𝑦</m:t>
                      </m:r>
                    </m:num>
                    <m:den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𝑦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𝑅</m:t>
                          </m:r>
                        </m:sub>
                      </m:sSub>
                    </m:den>
                  </m:f>
                  <m:r>
                    <a:rPr lang="en-US" sz="1100" b="0" i="1">
                      <a:latin typeface="Cambria Math"/>
                    </a:rPr>
                    <m:t>·</m:t>
                  </m:r>
                  <m:f>
                    <m:fPr>
                      <m:ctrlPr>
                        <a:rPr lang="en-US" sz="11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𝑦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𝐴𝑅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𝑦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𝐴</m:t>
                          </m:r>
                        </m:sub>
                      </m:sSub>
                    </m:den>
                  </m:f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𝑈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·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𝑐</m:t>
                          </m:r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𝐽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·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𝑅</m:t>
                          </m:r>
                        </m:den>
                      </m:f>
                    </m:e>
                  </m:d>
                  <m:r>
                    <a:rPr lang="en-US" sz="1100" b="0" i="1" baseline="40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−</m:t>
                  </m:r>
                  <m:sSub>
                    <m:sSubPr>
                      <m:ctrlP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𝑚</m:t>
                      </m:r>
                    </m:e>
                    <m:sub>
                      <m: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𝐽</m:t>
                      </m:r>
                    </m:sub>
                  </m:sSub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𝑈</m:t>
                              </m:r>
                            </m:e>
                            <m:sub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𝑅</m:t>
                              </m:r>
                            </m:sub>
                          </m:sSub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·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𝑐</m:t>
                          </m:r>
                        </m:num>
                        <m:den>
                          <m:sSub>
                            <m:sSub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𝐽</m:t>
                              </m:r>
                            </m:e>
                            <m:sub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𝑅</m:t>
                              </m:r>
                            </m:sub>
                          </m:sSub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·</m:t>
                          </m:r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𝑅</m:t>
                          </m:r>
                        </m:den>
                      </m:f>
                    </m:e>
                  </m:d>
                  <m:sSub>
                    <m:sSubPr>
                      <m:ctrlP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𝑚</m:t>
                      </m:r>
                    </m:e>
                    <m:sub>
                      <m:r>
                        <a:rPr lang="en-US" sz="1100" b="0" i="1" baseline="4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𝐽𝑅</m:t>
                      </m:r>
                    </m:sub>
                  </m:sSub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·</m:t>
                  </m:r>
                  <m:d>
                    <m:d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f>
                        <m:f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𝐹</m:t>
                              </m:r>
                            </m:e>
                            <m:sub>
                              <m:r>
                                <a:rPr lang="en-US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𝑅</m:t>
                              </m:r>
                            </m:sub>
                          </m:sSub>
                        </m:num>
                        <m:den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𝐹</m:t>
                          </m:r>
                        </m:den>
                      </m:f>
                    </m:e>
                  </m:d>
                  <m:r>
                    <a:rPr lang="en-US" sz="11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·</m:t>
                  </m:r>
                  <m:f>
                    <m:fPr>
                      <m:ctrlP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𝑐𝑜𝑟𝑆</m:t>
                          </m:r>
                        </m:e>
                        <m:sub>
                          <m:r>
                            <a:rPr lang="en-US" sz="11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𝑅</m:t>
                          </m:r>
                        </m:sub>
                      </m:sSub>
                    </m:num>
                    <m:den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𝑐𝑜𝑟𝑆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>
        <xdr:sp macro="" textlink="">
          <xdr:nvSpPr>
            <xdr:cNvPr id="16" name="TextBox 15"/>
            <xdr:cNvSpPr txBox="1"/>
          </xdr:nvSpPr>
          <xdr:spPr>
            <a:xfrm>
              <a:off x="307578" y="1359297"/>
              <a:ext cx="4639571" cy="36760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>
                  <a:sym typeface="Symbol"/>
                </a:rPr>
                <a:t></a:t>
              </a:r>
              <a:r>
                <a:rPr lang="en-US" sz="1100" b="0" i="0">
                  <a:latin typeface="Cambria Math"/>
                </a:rPr>
                <a:t>=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_</a:t>
              </a:r>
              <a:r>
                <a:rPr lang="en-US" sz="1100" b="0" i="0">
                  <a:latin typeface="Cambria Math"/>
                </a:rPr>
                <a:t>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</a:t>
              </a:r>
              <a:r>
                <a:rPr lang="en-US" sz="1100" b="0" i="0">
                  <a:latin typeface="Cambria Math"/>
                </a:rPr>
                <a:t>𝑦/𝑦_𝑅 ·𝑦_𝐴𝑅/𝑦_𝐴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·((𝑈·𝑐)/(𝐽·𝑅))</a:t>
              </a:r>
              <a:r>
                <a:rPr lang="en-US" sz="1100" b="0" i="0" baseline="4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−𝑚_𝐽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·((𝑈_𝑅·𝑐)/(𝐽_𝑅·𝑅))</a:t>
              </a:r>
              <a:r>
                <a:rPr lang="en-US" sz="1100" b="0" i="0" baseline="4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𝑚_𝐽𝑅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·(𝐹_𝑅/𝐹)·〖𝑐𝑜𝑟𝑆〗_𝑅/𝑐𝑜𝑟𝑆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42158</xdr:rowOff>
    </xdr:from>
    <xdr:ext cx="3467100" cy="415041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26" name="TextBox 25"/>
            <xdr:cNvSpPr txBox="1"/>
          </xdr:nvSpPr>
          <xdr:spPr>
            <a:xfrm>
              <a:off x="314325" y="1756658"/>
              <a:ext cx="3467100" cy="41504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  <a:sym typeface="Symbol"/>
                      </a:rPr>
                      <m:t>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  <a:sym typeface="Symbol"/>
                          </a:rPr>
                          <m:t>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𝑦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𝐴𝑅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𝐴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den>
                        </m:f>
                      </m:e>
                    </m:d>
                    <m:sSub>
                      <m:sSubPr>
                        <m:ctrlP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Cambria Math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𝐽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</m:den>
                        </m:f>
                      </m:e>
                    </m:d>
                    <m:sSub>
                      <m:sSubPr>
                        <m:ctrlPr>
                          <a:rPr lang="en-US" sz="1100" b="0" i="1" baseline="5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 baseline="5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en-US" sz="1100" b="0" i="1" baseline="5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𝐽𝑅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𝑐𝑜𝑟𝑆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𝑐𝑜𝑟𝑆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6" name="TextBox 25"/>
            <xdr:cNvSpPr txBox="1"/>
          </xdr:nvSpPr>
          <xdr:spPr>
            <a:xfrm>
              <a:off x="314325" y="1756658"/>
              <a:ext cx="3467100" cy="41504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r>
                <a:rPr lang="en-US" sz="1100" b="0" i="0">
                  <a:latin typeface="Cambria Math"/>
                  <a:sym typeface="Symbol"/>
                </a:rPr>
                <a:t></a:t>
              </a:r>
              <a:r>
                <a:rPr lang="en-US" sz="1100" b="0" i="0">
                  <a:latin typeface="Cambria Math"/>
                </a:rPr>
                <a:t>=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_</a:t>
              </a:r>
              <a:r>
                <a:rPr lang="en-US" sz="1100" b="0" i="0">
                  <a:latin typeface="Cambria Math"/>
                </a:rPr>
                <a:t>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</a:t>
              </a:r>
              <a:r>
                <a:rPr lang="en-US" sz="1100" b="0" i="0">
                  <a:latin typeface="Cambria Math"/>
                </a:rPr>
                <a:t>𝑦/𝑦_𝑅 ·𝑦_𝐴𝑅/𝑦_𝐴 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·((𝑈·𝑐_𝑈)/𝑈_0 )</a:t>
              </a:r>
              <a:r>
                <a:rPr lang="en-US" sz="1100" b="0" i="0" baseline="4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𝑚_𝑈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·((𝑈_𝑅·𝑐_𝑅)/(𝑅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𝐽_𝑅 ))</a:t>
              </a:r>
              <a:r>
                <a:rPr lang="en-US" sz="1100" b="0" i="0" baseline="5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𝑚_𝐽𝑅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·〖𝑐𝑜𝑟𝑆〗_𝑅/𝑐𝑜𝑟𝑆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</xdr:colOff>
      <xdr:row>5</xdr:row>
      <xdr:rowOff>15388</xdr:rowOff>
    </xdr:from>
    <xdr:ext cx="2443528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27" name="TextBox 26"/>
            <xdr:cNvSpPr txBox="1"/>
          </xdr:nvSpPr>
          <xdr:spPr>
            <a:xfrm>
              <a:off x="333375" y="1129813"/>
              <a:ext cx="2443528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1"/>
                <a:t>corS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=</m:t>
                  </m:r>
                  <m:d>
                    <m:dPr>
                      <m:ctrlPr>
                        <a:rPr lang="en-US" sz="1100" i="1">
                          <a:latin typeface="Cambria Math"/>
                        </a:rPr>
                      </m:ctrlPr>
                    </m:dPr>
                    <m:e>
                      <m:r>
                        <a:rPr lang="en-US" sz="1100" b="0" i="1">
                          <a:latin typeface="Cambria Math"/>
                        </a:rPr>
                        <m:t>1</m:t>
                      </m:r>
                      <m:r>
                        <a:rPr lang="en-US" sz="1100" b="0" i="1">
                          <a:latin typeface="Cambria Math"/>
                          <a:sym typeface="Symbol"/>
                        </a:rPr>
                        <m:t>+</m:t>
                      </m:r>
                      <m:sSub>
                        <m:sSubPr>
                          <m:ctrlPr>
                            <a:rPr lang="en-US" sz="110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i="1">
                              <a:latin typeface="Cambria Math"/>
                              <a:ea typeface="Cambria Math"/>
                            </a:rPr>
                            <m:t>∆</m:t>
                          </m:r>
                          <m:r>
                            <a:rPr lang="en-US" sz="1100" b="0" i="1">
                              <a:latin typeface="Cambria Math"/>
                              <a:ea typeface="Cambria Math"/>
                            </a:rPr>
                            <m:t>𝑇</m:t>
                          </m:r>
                        </m:e>
                        <m:sub>
                          <m:r>
                            <a:rPr lang="en-US" sz="1100" i="1">
                              <a:latin typeface="Cambria Math"/>
                              <a:ea typeface="Cambria Math"/>
                            </a:rPr>
                            <m:t>𝛼</m:t>
                          </m:r>
                        </m:sub>
                      </m:s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  <a:sym typeface="Symbol"/>
                        </a:rPr>
                        <m:t></m:t>
                      </m:r>
                      <m:r>
                        <a:rPr lang="en-US" sz="1100" b="0" i="1" baseline="-25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𝑠</m:t>
                      </m:r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𝑓</m:t>
                      </m:r>
                      <m:r>
                        <a:rPr lang="en-US" sz="1100" b="0" i="1">
                          <a:latin typeface="Cambria Math"/>
                        </a:rPr>
                        <m:t>−</m:t>
                      </m:r>
                      <m:r>
                        <a:rPr lang="en-US" sz="1100" b="0" i="1">
                          <a:latin typeface="Cambria Math"/>
                          <a:sym typeface="Symbol"/>
                        </a:rPr>
                        <m:t></m:t>
                      </m:r>
                      <m:r>
                        <a:rPr lang="en-US" sz="1100" b="0" i="1">
                          <a:latin typeface="Cambria Math"/>
                          <a:sym typeface="Symbol"/>
                        </a:rPr>
                        <m:t>𝑡</m:t>
                      </m:r>
                    </m:e>
                  </m:d>
                </m:oMath>
              </a14:m>
              <a:endParaRPr lang="en-US" sz="1100"/>
            </a:p>
          </xdr:txBody>
        </xdr:sp>
      </mc:Choice>
      <mc:Fallback>
        <xdr:sp macro="" textlink="">
          <xdr:nvSpPr>
            <xdr:cNvPr id="27" name="TextBox 26"/>
            <xdr:cNvSpPr txBox="1"/>
          </xdr:nvSpPr>
          <xdr:spPr>
            <a:xfrm>
              <a:off x="333375" y="1129813"/>
              <a:ext cx="2443528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1"/>
                <a:t>corS</a:t>
              </a:r>
              <a:r>
                <a:rPr lang="en-US" sz="1100" b="0" i="0">
                  <a:latin typeface="Cambria Math"/>
                </a:rPr>
                <a:t>=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/>
                  <a:sym typeface="Symbol"/>
                </a:rPr>
                <a:t>+〖</a:t>
              </a:r>
              <a:r>
                <a:rPr lang="en-US" sz="1100" i="0">
                  <a:latin typeface="Cambria Math"/>
                  <a:ea typeface="Cambria Math"/>
                </a:rPr>
                <a:t>∆</a:t>
              </a:r>
              <a:r>
                <a:rPr lang="en-US" sz="1100" b="0" i="0">
                  <a:latin typeface="Cambria Math"/>
                  <a:ea typeface="Cambria Math"/>
                </a:rPr>
                <a:t>𝑇〗_</a:t>
              </a:r>
              <a:r>
                <a:rPr lang="en-US" sz="1100" i="0">
                  <a:latin typeface="Cambria Math"/>
                  <a:ea typeface="Cambria Math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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𝑓</a:t>
              </a:r>
              <a:r>
                <a:rPr lang="en-US" sz="1100" b="0" i="0">
                  <a:latin typeface="Cambria Math"/>
                </a:rPr>
                <a:t>−</a:t>
              </a:r>
              <a:r>
                <a:rPr lang="en-US" sz="1100" b="0" i="0">
                  <a:latin typeface="Cambria Math"/>
                  <a:sym typeface="Symbol"/>
                </a:rPr>
                <a:t>𝑡)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19049</xdr:colOff>
      <xdr:row>5</xdr:row>
      <xdr:rowOff>15388</xdr:rowOff>
    </xdr:from>
    <xdr:ext cx="2543175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40" name="TextBox 39"/>
            <xdr:cNvSpPr txBox="1"/>
          </xdr:nvSpPr>
          <xdr:spPr>
            <a:xfrm>
              <a:off x="333374" y="1129813"/>
              <a:ext cx="2543175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𝑐𝑜𝑟𝑆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+</m:t>
                        </m:r>
                        <m:sSub>
                          <m:sSub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latin typeface="Cambria Math"/>
                                <a:ea typeface="Cambria Math"/>
                              </a:rPr>
                              <m:t>∆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i="1">
                                <a:latin typeface="Cambria Math"/>
                                <a:ea typeface="Cambria Math"/>
                              </a:rPr>
                              <m:t>𝛼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  <a:sym typeface="Symbol"/>
                          </a:rPr>
                          <m:t></m:t>
                        </m:r>
                        <m:r>
                          <a:rPr lang="en-US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𝑠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𝑓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𝑆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𝜃</m:t>
                            </m:r>
                          </m:e>
                        </m:d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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𝑡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0" name="TextBox 39"/>
            <xdr:cNvSpPr txBox="1"/>
          </xdr:nvSpPr>
          <xdr:spPr>
            <a:xfrm>
              <a:off x="333374" y="1129813"/>
              <a:ext cx="2543175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𝑐𝑜𝑟𝑆=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</a:t>
              </a:r>
              <a:r>
                <a:rPr lang="en-US" sz="1100" b="0" i="0">
                  <a:latin typeface="Cambria Math"/>
                  <a:sym typeface="Symbol"/>
                </a:rPr>
                <a:t>+〖</a:t>
              </a:r>
              <a:r>
                <a:rPr lang="en-US" sz="1100" i="0">
                  <a:latin typeface="Cambria Math"/>
                  <a:ea typeface="Cambria Math"/>
                </a:rPr>
                <a:t>∆</a:t>
              </a:r>
              <a:r>
                <a:rPr lang="en-US" sz="1100" b="0" i="0">
                  <a:latin typeface="Cambria Math"/>
                  <a:ea typeface="Cambria Math"/>
                </a:rPr>
                <a:t>𝑇〗_</a:t>
              </a:r>
              <a:r>
                <a:rPr lang="en-US" sz="1100" i="0">
                  <a:latin typeface="Cambria Math"/>
                  <a:ea typeface="Cambria Math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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𝑓</a:t>
              </a:r>
              <a:r>
                <a:rPr lang="en-US" sz="1100" b="0" i="0">
                  <a:latin typeface="Cambria Math"/>
                </a:rPr>
                <a:t>−𝑆(</a:t>
              </a:r>
              <a:r>
                <a:rPr lang="en-US" sz="1100" b="0" i="0">
                  <a:latin typeface="Cambria Math"/>
                  <a:ea typeface="Cambria Math"/>
                </a:rPr>
                <a:t>𝜃)−</a:t>
              </a:r>
              <a:r>
                <a:rPr lang="en-US" sz="1100" b="0" i="0">
                  <a:latin typeface="Cambria Math"/>
                  <a:sym typeface="Symbol"/>
                </a:rPr>
                <a:t>𝑡)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9524</xdr:colOff>
      <xdr:row>6</xdr:row>
      <xdr:rowOff>36634</xdr:rowOff>
    </xdr:from>
    <xdr:ext cx="3438526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41" name="TextBox 40"/>
            <xdr:cNvSpPr txBox="1"/>
          </xdr:nvSpPr>
          <xdr:spPr>
            <a:xfrm>
              <a:off x="323849" y="1446334"/>
              <a:ext cx="3438526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𝑐𝑜𝑟𝑆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1+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𝛼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𝛼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 baseline="-25000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𝑠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𝑓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Cambria Math"/>
                                <a:cs typeface="+mn-cs"/>
                              </a:rPr>
                              <m:t>𝜃</m:t>
                            </m:r>
                          </m:e>
                        </m:d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Cambria Math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𝛾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1" name="TextBox 40"/>
            <xdr:cNvSpPr txBox="1"/>
          </xdr:nvSpPr>
          <xdr:spPr>
            <a:xfrm>
              <a:off x="323849" y="1446334"/>
              <a:ext cx="3438526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𝑐𝑜𝑟𝑆〗_𝑅=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1+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𝛼_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𝑇〗_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𝑅−〖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𝑓〗_𝑅−𝑆_𝑅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𝜃)−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𝛾_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𝑡〗_𝑅 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</xdr:row>
      <xdr:rowOff>15388</xdr:rowOff>
    </xdr:from>
    <xdr:ext cx="3895725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52" name="TextBox 51"/>
            <xdr:cNvSpPr txBox="1"/>
          </xdr:nvSpPr>
          <xdr:spPr>
            <a:xfrm>
              <a:off x="342900" y="1129813"/>
              <a:ext cx="3895725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 </m:t>
                    </m:r>
                    <m:r>
                      <a:rPr lang="en-US" sz="1100" b="0" i="1">
                        <a:latin typeface="Cambria Math"/>
                      </a:rPr>
                      <m:t>𝑐𝑜𝑟𝑆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/>
                          </a:rPr>
                          <m:t>1+</m:t>
                        </m:r>
                        <m:f>
                          <m:fPr>
                            <m:type m:val="lin"/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sym typeface="Symbol"/>
                              </a:rPr>
                              <m:t></m:t>
                            </m:r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𝛼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+2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  <a:sym typeface="Symbol"/>
                              </a:rPr>
                              <m:t>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  <a:sym typeface="Symbol"/>
                              </a:rPr>
                              <m:t>𝑑</m:t>
                            </m:r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𝑑</m:t>
                            </m:r>
                          </m:den>
                        </m:f>
                        <m:r>
                          <a:rPr lang="en-US" sz="1100" b="0" i="1">
                            <a:latin typeface="Cambria Math"/>
                          </a:rPr>
                          <m:t>+</m:t>
                        </m:r>
                        <m:r>
                          <a:rPr lang="en-US" sz="1100" b="0" i="1">
                            <a:latin typeface="Cambria Math"/>
                          </a:rPr>
                          <m:t>h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𝜃</m:t>
                            </m:r>
                          </m:e>
                        </m:d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𝑘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  <a:sym typeface="Symbol"/>
                              </a:rPr>
                              <m:t></m:t>
                            </m:r>
                          </m:e>
                        </m:d>
                        <m:r>
                          <a:rPr lang="en-US" sz="1100" b="0" i="1">
                            <a:latin typeface="Cambria Math"/>
                            <a:ea typeface="Cambria Math"/>
                            <a:sym typeface="Symbol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  <a:sym typeface="Symbol"/>
                          </a:rPr>
                          <m:t>𝑆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  <a:sym typeface="Symbol"/>
                          </a:rPr>
                          <m:t>()−</m:t>
                        </m:r>
                        <m:r>
                          <a:rPr lang="en-US" sz="1100" b="0" i="1">
                            <a:latin typeface="Cambria Math"/>
                            <a:sym typeface="Symbol"/>
                          </a:rPr>
                          <m:t>𝑡</m:t>
                        </m:r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2" name="TextBox 51"/>
            <xdr:cNvSpPr txBox="1"/>
          </xdr:nvSpPr>
          <xdr:spPr>
            <a:xfrm>
              <a:off x="342900" y="1129813"/>
              <a:ext cx="3895725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 𝑐𝑜𝑟𝑆=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b="0" i="0">
                  <a:latin typeface="Cambria Math"/>
                </a:rPr>
                <a:t>1+〖</a:t>
              </a:r>
              <a:r>
                <a:rPr lang="en-US" sz="1100" b="0" i="0">
                  <a:latin typeface="Cambria Math"/>
                  <a:sym typeface="Symbol"/>
                </a:rPr>
                <a:t>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𝑇〗_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𝑑〗∕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𝑑</a:t>
              </a:r>
              <a:r>
                <a:rPr lang="en-US" sz="1100" b="0" i="0">
                  <a:latin typeface="Cambria Math"/>
                </a:rPr>
                <a:t>+ℎ(</a:t>
              </a:r>
              <a:r>
                <a:rPr lang="en-US" sz="1100" b="0" i="0">
                  <a:latin typeface="Cambria Math"/>
                  <a:ea typeface="Cambria Math"/>
                </a:rPr>
                <a:t>𝜃)+𝑘(</a:t>
              </a:r>
              <a:r>
                <a:rPr lang="en-US" sz="1100" b="0" i="0">
                  <a:latin typeface="Cambria Math"/>
                  <a:ea typeface="Cambria Math"/>
                  <a:sym typeface="Symbol"/>
                </a:rPr>
                <a:t>)−𝑆()−</a:t>
              </a:r>
              <a:r>
                <a:rPr lang="en-US" sz="1100" b="0" i="0">
                  <a:latin typeface="Cambria Math"/>
                  <a:sym typeface="Symbol"/>
                </a:rPr>
                <a:t>𝑡)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6</xdr:row>
      <xdr:rowOff>46159</xdr:rowOff>
    </xdr:from>
    <xdr:ext cx="4629150" cy="264560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53" name="TextBox 52"/>
            <xdr:cNvSpPr txBox="1"/>
          </xdr:nvSpPr>
          <xdr:spPr>
            <a:xfrm>
              <a:off x="342900" y="1465384"/>
              <a:ext cx="4629150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𝑐𝑜𝑟𝑆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1+</m:t>
                        </m:r>
                        <m:f>
                          <m:fPr>
                            <m:type m:val="lin"/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𝛼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𝛼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  <m: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𝑑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𝑑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</m:den>
                        </m:f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h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𝜃</m:t>
                            </m:r>
                          </m:e>
                        </m:d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𝑘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  <a:sym typeface="Symbol"/>
                              </a:rPr>
                              <m:t></m:t>
                            </m:r>
                          </m:e>
                        </m:d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𝑆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𝛾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sSub>
                          <m:sSubPr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∆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3" name="TextBox 52"/>
            <xdr:cNvSpPr txBox="1"/>
          </xdr:nvSpPr>
          <xdr:spPr>
            <a:xfrm>
              <a:off x="342900" y="1465384"/>
              <a:ext cx="4629150" cy="264560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𝑐𝑜𝑟𝑆〗_𝑅=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1+〖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𝛼_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𝑇〗_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𝛼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𝑅+〖2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𝑑〗_𝑅〗∕𝑑_𝑅 +ℎ_𝑅 (𝜃)+𝑘_𝑅 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)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−𝑆_𝑅−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𝛾_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 〖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∆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𝑡〗_𝑅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7</xdr:row>
      <xdr:rowOff>13584</xdr:rowOff>
    </xdr:from>
    <xdr:ext cx="3981450" cy="415041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54" name="TextBox 53"/>
            <xdr:cNvSpPr txBox="1"/>
          </xdr:nvSpPr>
          <xdr:spPr>
            <a:xfrm>
              <a:off x="342900" y="1785234"/>
              <a:ext cx="3981450" cy="41504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 </m:t>
                    </m:r>
                    <m:r>
                      <a:rPr lang="en-US" sz="1100" b="0" i="1">
                        <a:latin typeface="Cambria Math"/>
                      </a:rPr>
                      <m:t>𝐼</m:t>
                    </m:r>
                    <m:r>
                      <a:rPr lang="en-US" sz="11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en-US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𝐼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𝑦</m:t>
                        </m:r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𝑦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𝑅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/>
                      </a:rPr>
                      <m:t>·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𝐽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den>
                        </m:f>
                      </m:e>
                    </m:d>
                    <m:r>
                      <a:rPr lang="en-US" sz="1100" b="0" i="1" baseline="400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𝐽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d>
                      <m:d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𝐽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𝑅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·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den>
                        </m:f>
                      </m:e>
                    </m:d>
                    <m:sSub>
                      <m:sSubPr>
                        <m:ctrlP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𝑚</m:t>
                        </m:r>
                      </m:e>
                      <m:sub>
                        <m:r>
                          <a:rPr lang="en-US" sz="1100" b="0" i="1" baseline="40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𝐽𝑅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𝐹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𝐹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·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𝐷𝑠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𝐷𝑠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  <a:sym typeface="Symbol"/>
                      </a:rPr>
                      <m:t>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𝜃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𝐻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(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𝜃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Cambria Math"/>
                        <a:cs typeface="+mn-cs"/>
                      </a:rPr>
                      <m:t>∙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𝑐𝑜𝑟𝑆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𝑐𝑜𝑟𝑆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4" name="TextBox 53"/>
            <xdr:cNvSpPr txBox="1"/>
          </xdr:nvSpPr>
          <xdr:spPr>
            <a:xfrm>
              <a:off x="342900" y="1785234"/>
              <a:ext cx="3981450" cy="415041"/>
            </a:xfrm>
            <a:prstGeom prst="rect">
              <a:avLst/>
            </a:prstGeom>
            <a:solidFill>
              <a:schemeClr val="bg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r>
                <a:rPr lang="en-US" sz="1100" b="0" i="0">
                  <a:latin typeface="Cambria Math"/>
                </a:rPr>
                <a:t> 𝐼=𝐼_𝑅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</a:t>
              </a:r>
              <a:r>
                <a:rPr lang="en-US" sz="1100" b="0" i="0">
                  <a:latin typeface="Cambria Math"/>
                </a:rPr>
                <a:t>𝑦/𝑦_𝑅 ·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((𝑈·𝑐)/(𝐽·𝑅))</a:t>
              </a:r>
              <a:r>
                <a:rPr lang="en-US" sz="1100" b="0" i="0" baseline="4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−𝑚_𝐽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·((𝑈_𝑅·𝑐)/(𝐽_𝑅·𝑅))</a:t>
              </a:r>
              <a:r>
                <a:rPr lang="en-US" sz="1100" b="0" i="0" baseline="4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𝑚_𝐽𝑅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·𝐹_𝑅/𝐹·〖𝐷𝑠〗_𝑅/𝐷𝑠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  <a:sym typeface="Symbol"/>
                </a:rPr>
                <a:t>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(𝐻_𝑅 (𝜃))/(𝐻(𝜃))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∙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〖𝑐𝑜𝑟𝑆〗_𝑅/𝑐𝑜𝑟𝑆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4.bin"/><Relationship Id="rId13" Type="http://schemas.openxmlformats.org/officeDocument/2006/relationships/oleObject" Target="../embeddings/oleObject29.bin"/><Relationship Id="rId18" Type="http://schemas.openxmlformats.org/officeDocument/2006/relationships/oleObject" Target="../embeddings/oleObject34.bin"/><Relationship Id="rId26" Type="http://schemas.openxmlformats.org/officeDocument/2006/relationships/oleObject" Target="../embeddings/oleObject42.bin"/><Relationship Id="rId3" Type="http://schemas.openxmlformats.org/officeDocument/2006/relationships/vmlDrawing" Target="../drawings/vmlDrawing2.vml"/><Relationship Id="rId21" Type="http://schemas.openxmlformats.org/officeDocument/2006/relationships/oleObject" Target="../embeddings/oleObject37.bin"/><Relationship Id="rId7" Type="http://schemas.openxmlformats.org/officeDocument/2006/relationships/oleObject" Target="../embeddings/oleObject23.bin"/><Relationship Id="rId12" Type="http://schemas.openxmlformats.org/officeDocument/2006/relationships/oleObject" Target="../embeddings/oleObject28.bin"/><Relationship Id="rId17" Type="http://schemas.openxmlformats.org/officeDocument/2006/relationships/oleObject" Target="../embeddings/oleObject33.bin"/><Relationship Id="rId25" Type="http://schemas.openxmlformats.org/officeDocument/2006/relationships/oleObject" Target="../embeddings/oleObject41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32.bin"/><Relationship Id="rId20" Type="http://schemas.openxmlformats.org/officeDocument/2006/relationships/oleObject" Target="../embeddings/oleObject36.bin"/><Relationship Id="rId29" Type="http://schemas.openxmlformats.org/officeDocument/2006/relationships/oleObject" Target="../embeddings/oleObject45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2.bin"/><Relationship Id="rId11" Type="http://schemas.openxmlformats.org/officeDocument/2006/relationships/oleObject" Target="../embeddings/oleObject27.bin"/><Relationship Id="rId24" Type="http://schemas.openxmlformats.org/officeDocument/2006/relationships/oleObject" Target="../embeddings/oleObject40.bin"/><Relationship Id="rId5" Type="http://schemas.openxmlformats.org/officeDocument/2006/relationships/oleObject" Target="../embeddings/oleObject21.bin"/><Relationship Id="rId15" Type="http://schemas.openxmlformats.org/officeDocument/2006/relationships/oleObject" Target="../embeddings/oleObject31.bin"/><Relationship Id="rId23" Type="http://schemas.openxmlformats.org/officeDocument/2006/relationships/oleObject" Target="../embeddings/oleObject39.bin"/><Relationship Id="rId28" Type="http://schemas.openxmlformats.org/officeDocument/2006/relationships/oleObject" Target="../embeddings/oleObject44.bin"/><Relationship Id="rId10" Type="http://schemas.openxmlformats.org/officeDocument/2006/relationships/oleObject" Target="../embeddings/oleObject26.bin"/><Relationship Id="rId19" Type="http://schemas.openxmlformats.org/officeDocument/2006/relationships/oleObject" Target="../embeddings/oleObject35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5.bin"/><Relationship Id="rId14" Type="http://schemas.openxmlformats.org/officeDocument/2006/relationships/oleObject" Target="../embeddings/oleObject30.bin"/><Relationship Id="rId22" Type="http://schemas.openxmlformats.org/officeDocument/2006/relationships/oleObject" Target="../embeddings/oleObject38.bin"/><Relationship Id="rId27" Type="http://schemas.openxmlformats.org/officeDocument/2006/relationships/oleObject" Target="../embeddings/oleObject43.bin"/><Relationship Id="rId30" Type="http://schemas.openxmlformats.org/officeDocument/2006/relationships/oleObject" Target="../embeddings/oleObject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1.bin"/><Relationship Id="rId13" Type="http://schemas.openxmlformats.org/officeDocument/2006/relationships/oleObject" Target="../embeddings/oleObject56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50.bin"/><Relationship Id="rId12" Type="http://schemas.openxmlformats.org/officeDocument/2006/relationships/oleObject" Target="../embeddings/oleObject55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59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49.bin"/><Relationship Id="rId11" Type="http://schemas.openxmlformats.org/officeDocument/2006/relationships/oleObject" Target="../embeddings/oleObject54.bin"/><Relationship Id="rId5" Type="http://schemas.openxmlformats.org/officeDocument/2006/relationships/oleObject" Target="../embeddings/oleObject48.bin"/><Relationship Id="rId15" Type="http://schemas.openxmlformats.org/officeDocument/2006/relationships/oleObject" Target="../embeddings/oleObject58.bin"/><Relationship Id="rId10" Type="http://schemas.openxmlformats.org/officeDocument/2006/relationships/oleObject" Target="../embeddings/oleObject53.bin"/><Relationship Id="rId4" Type="http://schemas.openxmlformats.org/officeDocument/2006/relationships/oleObject" Target="../embeddings/oleObject47.bin"/><Relationship Id="rId9" Type="http://schemas.openxmlformats.org/officeDocument/2006/relationships/oleObject" Target="../embeddings/oleObject52.bin"/><Relationship Id="rId14" Type="http://schemas.openxmlformats.org/officeDocument/2006/relationships/oleObject" Target="../embeddings/oleObject5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tabSelected="1" workbookViewId="0">
      <selection activeCell="B7" sqref="B7"/>
    </sheetView>
  </sheetViews>
  <sheetFormatPr defaultRowHeight="14.4"/>
  <cols>
    <col min="1" max="1" width="90.88671875" customWidth="1"/>
    <col min="2" max="2" width="8.6640625" customWidth="1"/>
  </cols>
  <sheetData>
    <row r="1" spans="1:1" ht="18">
      <c r="A1" s="4" t="s">
        <v>12</v>
      </c>
    </row>
    <row r="2" spans="1:1">
      <c r="A2" s="3"/>
    </row>
    <row r="3" spans="1:1" ht="28.8">
      <c r="A3" s="3" t="s">
        <v>7</v>
      </c>
    </row>
    <row r="4" spans="1:1" ht="28.8">
      <c r="A4" s="5" t="s">
        <v>13</v>
      </c>
    </row>
    <row r="5" spans="1:1">
      <c r="A5" s="3" t="s">
        <v>11</v>
      </c>
    </row>
    <row r="6" spans="1:1">
      <c r="A6" s="5"/>
    </row>
    <row r="7" spans="1:1" ht="28.8">
      <c r="A7" s="3" t="s">
        <v>8</v>
      </c>
    </row>
    <row r="9" spans="1:1">
      <c r="A9" s="3" t="s">
        <v>4</v>
      </c>
    </row>
    <row r="10" spans="1:1">
      <c r="A10" s="3"/>
    </row>
    <row r="11" spans="1:1">
      <c r="A11" s="3" t="s">
        <v>5</v>
      </c>
    </row>
    <row r="12" spans="1:1">
      <c r="A12" s="3"/>
    </row>
    <row r="13" spans="1:1" ht="28.8">
      <c r="A13" s="3" t="s">
        <v>9</v>
      </c>
    </row>
    <row r="14" spans="1:1">
      <c r="A14" s="3"/>
    </row>
    <row r="15" spans="1:1" ht="28.8">
      <c r="A15" s="3" t="s">
        <v>10</v>
      </c>
    </row>
    <row r="16" spans="1:1">
      <c r="A16" s="3"/>
    </row>
    <row r="17" spans="1:1">
      <c r="A17" s="3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zoomScale="96" zoomScaleNormal="96" workbookViewId="0">
      <selection activeCell="I7" sqref="I7"/>
    </sheetView>
  </sheetViews>
  <sheetFormatPr defaultRowHeight="14.4"/>
  <cols>
    <col min="1" max="1" width="4.6640625" customWidth="1"/>
    <col min="2" max="2" width="30.6640625" customWidth="1"/>
    <col min="3" max="3" width="7.5546875" bestFit="1" customWidth="1"/>
    <col min="4" max="4" width="5.33203125" bestFit="1" customWidth="1"/>
    <col min="5" max="5" width="8.88671875" customWidth="1"/>
    <col min="6" max="6" width="11.109375" bestFit="1" customWidth="1"/>
    <col min="7" max="7" width="8" customWidth="1"/>
    <col min="8" max="8" width="5.6640625" style="2" customWidth="1"/>
    <col min="9" max="9" width="10.109375" bestFit="1" customWidth="1"/>
    <col min="10" max="11" width="12" bestFit="1" customWidth="1"/>
  </cols>
  <sheetData>
    <row r="1" spans="1:11" ht="18">
      <c r="A1" s="47" t="s">
        <v>15</v>
      </c>
      <c r="I1" s="1"/>
    </row>
    <row r="2" spans="1:11" ht="18">
      <c r="A2" s="6" t="s">
        <v>179</v>
      </c>
    </row>
    <row r="3" spans="1:11" ht="18">
      <c r="A3" s="6"/>
      <c r="B3" t="s">
        <v>180</v>
      </c>
    </row>
    <row r="4" spans="1:11" ht="18">
      <c r="A4" s="6"/>
      <c r="B4" t="s">
        <v>181</v>
      </c>
    </row>
    <row r="5" spans="1:11" ht="18">
      <c r="A5" s="47" t="s">
        <v>21</v>
      </c>
    </row>
    <row r="6" spans="1:11" ht="23.25" customHeight="1"/>
    <row r="7" spans="1:11" ht="24" customHeight="1"/>
    <row r="8" spans="1:11" ht="34.5" customHeight="1"/>
    <row r="9" spans="1:11">
      <c r="B9" t="s">
        <v>182</v>
      </c>
    </row>
    <row r="10" spans="1:11">
      <c r="B10" t="s">
        <v>28</v>
      </c>
    </row>
    <row r="11" spans="1:11" ht="15" customHeight="1">
      <c r="B11" t="s">
        <v>29</v>
      </c>
    </row>
    <row r="12" spans="1:11" ht="15" customHeight="1">
      <c r="A12" s="47" t="s">
        <v>43</v>
      </c>
    </row>
    <row r="13" spans="1:11" ht="54" customHeight="1">
      <c r="A13" s="13" t="s">
        <v>16</v>
      </c>
      <c r="B13" s="13" t="s">
        <v>33</v>
      </c>
      <c r="C13" s="13" t="s">
        <v>0</v>
      </c>
      <c r="D13" s="13" t="s">
        <v>22</v>
      </c>
      <c r="E13" s="13" t="s">
        <v>39</v>
      </c>
      <c r="F13" s="13" t="s">
        <v>38</v>
      </c>
      <c r="G13" s="13" t="s">
        <v>14</v>
      </c>
      <c r="H13" s="13" t="s">
        <v>40</v>
      </c>
      <c r="I13" s="13" t="s">
        <v>34</v>
      </c>
      <c r="J13" s="13" t="s">
        <v>35</v>
      </c>
      <c r="K13" s="13" t="s">
        <v>36</v>
      </c>
    </row>
    <row r="14" spans="1:11" ht="18" customHeight="1">
      <c r="A14" s="13">
        <v>3</v>
      </c>
      <c r="B14" s="14" t="s">
        <v>183</v>
      </c>
      <c r="C14" s="41" t="s">
        <v>184</v>
      </c>
      <c r="D14" s="13"/>
      <c r="E14" s="31">
        <v>1E-3</v>
      </c>
      <c r="F14" s="32">
        <v>1.1999999999999999E-3</v>
      </c>
      <c r="G14" s="13" t="s">
        <v>17</v>
      </c>
      <c r="H14" s="39" t="s">
        <v>18</v>
      </c>
      <c r="I14" s="16">
        <f>(-($E$14+F14)+($E$14-F14))/(2*F14)</f>
        <v>-0.99999999999999978</v>
      </c>
      <c r="J14" s="25">
        <f>F14*I14</f>
        <v>-1.1999999999999997E-3</v>
      </c>
      <c r="K14" s="25">
        <f>J14/E$17</f>
        <v>-1.201237274392624E-3</v>
      </c>
    </row>
    <row r="15" spans="1:11" ht="18" customHeight="1">
      <c r="A15" s="13">
        <v>4</v>
      </c>
      <c r="B15" s="14" t="s">
        <v>185</v>
      </c>
      <c r="C15" s="134" t="s">
        <v>106</v>
      </c>
      <c r="D15" s="13" t="s">
        <v>25</v>
      </c>
      <c r="E15" s="18">
        <v>2.9999999999999997E-4</v>
      </c>
      <c r="F15" s="18">
        <v>2.9999999999999997E-4</v>
      </c>
      <c r="G15" s="13" t="s">
        <v>17</v>
      </c>
      <c r="H15" s="39" t="s">
        <v>18</v>
      </c>
      <c r="I15" s="16">
        <f>(-($E$15+F15)*$E$16+($E$15-F15)*$E$16)/(2*F15)</f>
        <v>-0.1</v>
      </c>
      <c r="J15" s="25">
        <f>F15*I15</f>
        <v>-2.9999999999999997E-5</v>
      </c>
      <c r="K15" s="25">
        <f>J15/E$17</f>
        <v>-3.0030931859815605E-5</v>
      </c>
    </row>
    <row r="16" spans="1:11" ht="18" customHeight="1">
      <c r="A16" s="13">
        <v>5</v>
      </c>
      <c r="B16" s="14" t="s">
        <v>186</v>
      </c>
      <c r="C16" s="40" t="s">
        <v>160</v>
      </c>
      <c r="D16" s="13" t="s">
        <v>26</v>
      </c>
      <c r="E16" s="19">
        <v>0.1</v>
      </c>
      <c r="F16" s="18">
        <v>0</v>
      </c>
      <c r="G16" s="13" t="s">
        <v>17</v>
      </c>
      <c r="H16" s="39" t="s">
        <v>18</v>
      </c>
      <c r="I16" s="11"/>
      <c r="J16" s="11"/>
      <c r="K16" s="11"/>
    </row>
    <row r="17" spans="1:11">
      <c r="A17" s="20">
        <v>6</v>
      </c>
      <c r="B17" s="21" t="s">
        <v>65</v>
      </c>
      <c r="C17" s="44" t="s">
        <v>107</v>
      </c>
      <c r="D17" s="22"/>
      <c r="E17" s="23">
        <f>1-$E$14-$E$15*$E$16</f>
        <v>0.99897000000000002</v>
      </c>
      <c r="F17" s="24"/>
      <c r="G17" s="24"/>
      <c r="H17" s="39" t="s">
        <v>18</v>
      </c>
      <c r="I17" s="24"/>
      <c r="J17" s="46">
        <f>SQRT(SUMPRODUCT(J14:J15,J14:J15))</f>
        <v>1.200374941424553E-3</v>
      </c>
      <c r="K17" s="23">
        <f>J17/E$17</f>
        <v>1.2016126024050303E-3</v>
      </c>
    </row>
    <row r="18" spans="1:11">
      <c r="A18" s="13">
        <v>9</v>
      </c>
      <c r="B18" s="14" t="s">
        <v>61</v>
      </c>
      <c r="C18" s="42" t="s">
        <v>187</v>
      </c>
      <c r="D18" s="13"/>
      <c r="E18" s="31">
        <v>0</v>
      </c>
      <c r="F18" s="28">
        <v>5.0000000000000001E-4</v>
      </c>
      <c r="G18" s="13" t="s">
        <v>17</v>
      </c>
      <c r="H18" s="39" t="s">
        <v>18</v>
      </c>
      <c r="I18" s="27">
        <f>(-($E$18+F18)+($E$18-F18))/(2*F18)</f>
        <v>-1</v>
      </c>
      <c r="J18" s="25">
        <f>F18*I18</f>
        <v>-5.0000000000000001E-4</v>
      </c>
      <c r="K18" s="25">
        <f>J18/E$21</f>
        <v>-5.0100200400801599E-4</v>
      </c>
    </row>
    <row r="19" spans="1:11">
      <c r="A19" s="13">
        <v>14</v>
      </c>
      <c r="B19" s="14" t="s">
        <v>48</v>
      </c>
      <c r="C19" s="40" t="s">
        <v>164</v>
      </c>
      <c r="D19" s="13" t="s">
        <v>25</v>
      </c>
      <c r="E19" s="18">
        <v>2.0000000000000001E-4</v>
      </c>
      <c r="F19" s="18">
        <v>1E-4</v>
      </c>
      <c r="G19" s="13" t="s">
        <v>17</v>
      </c>
      <c r="H19" s="39" t="s">
        <v>18</v>
      </c>
      <c r="I19" s="27">
        <f>(-($E$19+F19)*$E$20+($E$19-F19)*$E$20)/(2*F19)</f>
        <v>-10</v>
      </c>
      <c r="J19" s="25">
        <f>F19*I19</f>
        <v>-1E-3</v>
      </c>
      <c r="K19" s="25">
        <f>J19/E$21</f>
        <v>-1.002004008016032E-3</v>
      </c>
    </row>
    <row r="20" spans="1:11">
      <c r="A20" s="13">
        <v>15</v>
      </c>
      <c r="B20" s="14" t="s">
        <v>49</v>
      </c>
      <c r="C20" s="40" t="s">
        <v>165</v>
      </c>
      <c r="D20" s="13" t="s">
        <v>26</v>
      </c>
      <c r="E20" s="19">
        <v>10</v>
      </c>
      <c r="F20" s="18">
        <v>0</v>
      </c>
      <c r="G20" s="13" t="s">
        <v>17</v>
      </c>
      <c r="H20" s="39" t="s">
        <v>18</v>
      </c>
      <c r="I20" s="25"/>
      <c r="J20" s="26"/>
      <c r="K20" s="17"/>
    </row>
    <row r="21" spans="1:11" ht="15" thickBot="1">
      <c r="A21" s="20">
        <v>12</v>
      </c>
      <c r="B21" s="29" t="s">
        <v>50</v>
      </c>
      <c r="C21" s="44" t="s">
        <v>166</v>
      </c>
      <c r="D21" s="20"/>
      <c r="E21" s="23">
        <f>1-$E$18-$E$19*$E$20</f>
        <v>0.998</v>
      </c>
      <c r="F21" s="24"/>
      <c r="G21" s="24"/>
      <c r="H21" s="39" t="s">
        <v>18</v>
      </c>
      <c r="I21" s="24"/>
      <c r="J21" s="46">
        <f>SQRT(SUMPRODUCT(J18:J20,J18:J20))</f>
        <v>1.1180339887498947E-3</v>
      </c>
      <c r="K21" s="46">
        <f>J21/E$21</f>
        <v>1.1202745378255459E-3</v>
      </c>
    </row>
    <row r="22" spans="1:11" ht="15" thickBot="1">
      <c r="A22" s="13">
        <v>13</v>
      </c>
      <c r="B22" s="30" t="s">
        <v>50</v>
      </c>
      <c r="C22" s="45" t="s">
        <v>167</v>
      </c>
      <c r="D22" s="13"/>
      <c r="E22" s="16">
        <f>E21</f>
        <v>0.998</v>
      </c>
      <c r="F22" s="25">
        <f>J21</f>
        <v>1.1180339887498947E-3</v>
      </c>
      <c r="G22" s="13" t="s">
        <v>3</v>
      </c>
      <c r="H22" s="39" t="s">
        <v>18</v>
      </c>
      <c r="I22" s="53">
        <f>(($E$24*($E$25/$E$26)*($E$28/$E$27)*(($E$36*$E$29/($E$35*$E$37))^-$E$31)*(($E$36*$E$30/($E$35*$E$38))^$E$32)*($E$34/$E$33)*(($E$22+F22)/$E$23))-($E$24*($E$25/$E$26)*($E$28/$E$27)*(($E$36*$E$29/($E$35*$E$37))^-$E$31)*(($E$36*$E$30/($E$35*$E$38))^$E$32)*($E$34/$E$33)*(($E$22-F22)/$E$23)))/(2*F22)</f>
        <v>7026.3869811680715</v>
      </c>
      <c r="J22" s="50">
        <f>F22*I22</f>
        <v>7.8557394630556701</v>
      </c>
      <c r="K22" s="50">
        <f t="shared" ref="K22:K36" si="0">J22/E$39</f>
        <v>1.1202745378255015E-3</v>
      </c>
    </row>
    <row r="23" spans="1:11" ht="15" thickBot="1">
      <c r="A23" s="13">
        <v>14</v>
      </c>
      <c r="B23" s="30" t="s">
        <v>66</v>
      </c>
      <c r="C23" s="45" t="s">
        <v>107</v>
      </c>
      <c r="D23" s="13"/>
      <c r="E23" s="16">
        <f>E17</f>
        <v>0.99897000000000002</v>
      </c>
      <c r="F23" s="25">
        <f>J17</f>
        <v>1.200374941424553E-3</v>
      </c>
      <c r="G23" s="13" t="s">
        <v>3</v>
      </c>
      <c r="H23" s="39" t="s">
        <v>18</v>
      </c>
      <c r="I23" s="53">
        <f>(($E$24*($E$25/$E$26)*($E$28/$E$27)*(($E$36*$E$29/($E$35*$E$37))^-$E$31)*(($E$36*$E$30/($E$35*$E$38))^$E$32)*($E$34/$E$33)*($E$22/($E$23+F23)))-($E$24*($E$25/$E$26)*($E$28/$E$27)*(($E$36*$E$29/($E$35*$E$37))^-$E$31)*(($E$36*$E$30/($E$35*$E$38))^$E$32)*($E$34/$E$33)*($E$22/($E$23-F23))))/(2*F23)</f>
        <v>-7019.574493868663</v>
      </c>
      <c r="J23" s="50">
        <f t="shared" ref="J23:J36" si="1">F23*I23</f>
        <v>-8.4261213219028832</v>
      </c>
      <c r="K23" s="51">
        <f t="shared" si="0"/>
        <v>-1.2016143373834115E-3</v>
      </c>
    </row>
    <row r="24" spans="1:11" ht="15" thickBot="1">
      <c r="A24" s="13">
        <v>15</v>
      </c>
      <c r="B24" s="30" t="s">
        <v>51</v>
      </c>
      <c r="C24" s="43" t="s">
        <v>44</v>
      </c>
      <c r="D24" s="13" t="s">
        <v>1</v>
      </c>
      <c r="E24" s="15">
        <v>2800</v>
      </c>
      <c r="F24" s="31">
        <v>4.8</v>
      </c>
      <c r="G24" s="13" t="s">
        <v>17</v>
      </c>
      <c r="H24" s="39" t="s">
        <v>18</v>
      </c>
      <c r="I24" s="52">
        <f>((($E$24+F24)*($E$25/$E$26)*($E$28/$E$27)*(($E$36*$E$29/($E$35*$E$37))^-$E$31)*(($E$36*$E$30/($E$35*$E$38))^$E$32)*($E$34/$E$33)*($E$22/$E$23))-(($E$24-F24)*($E$25/$E$26)*($E$28/$E$27)*(($E$36*$E$29/($E$35*$E$37))^-$E$31)*(($E$36*$E$30/($E$35*$E$38))^$E$32)*($E$34/$E$33)*($E$22/$E$23)))/(2*F24)</f>
        <v>2.5044050740022312</v>
      </c>
      <c r="J24" s="50">
        <f t="shared" si="1"/>
        <v>12.02114435521071</v>
      </c>
      <c r="K24" s="50">
        <f t="shared" si="0"/>
        <v>1.7142857142857717E-3</v>
      </c>
    </row>
    <row r="25" spans="1:11" ht="15" thickBot="1">
      <c r="A25" s="13">
        <v>16</v>
      </c>
      <c r="B25" s="30" t="s">
        <v>52</v>
      </c>
      <c r="C25" s="45" t="s">
        <v>108</v>
      </c>
      <c r="D25" s="13" t="s">
        <v>2</v>
      </c>
      <c r="E25" s="18">
        <v>4.5789999999999997</v>
      </c>
      <c r="F25" s="18">
        <v>8.5000000000000006E-3</v>
      </c>
      <c r="G25" s="13" t="s">
        <v>3</v>
      </c>
      <c r="H25" s="18">
        <v>9</v>
      </c>
      <c r="I25" s="53">
        <f>(($E$24*(($E$25+F25)/$E$26)*($E$28/$E$27)*(($E$36*$E$29/($E$35*$E$37))^-$E$31)*(($E$36*$E$30/($E$35*$E$38))^$E$32)*($E$34/$E$33)*($E$22/$E$23))-($E$24*(($E$25-F25)/$E$26)*($E$28/$E$27)*(($E$36*$E$29/($E$35*$E$37))^-$E$31)*(($E$36*$E$30/($E$35*$E$38))^$E$32)*($E$34/$E$33)*($E$22/$E$23)))/(2*F25)</f>
        <v>1531.4117071861533</v>
      </c>
      <c r="J25" s="50">
        <f t="shared" si="1"/>
        <v>13.016999511082304</v>
      </c>
      <c r="K25" s="51">
        <f t="shared" si="0"/>
        <v>1.8563005022929138E-3</v>
      </c>
    </row>
    <row r="26" spans="1:11" ht="15" thickBot="1">
      <c r="A26" s="13">
        <v>17</v>
      </c>
      <c r="B26" s="30" t="s">
        <v>53</v>
      </c>
      <c r="C26" s="45" t="s">
        <v>168</v>
      </c>
      <c r="D26" s="13" t="s">
        <v>2</v>
      </c>
      <c r="E26" s="18">
        <v>1.7649999999999999</v>
      </c>
      <c r="F26" s="18">
        <v>6.9999999999999999E-4</v>
      </c>
      <c r="G26" s="13" t="s">
        <v>3</v>
      </c>
      <c r="H26" s="18">
        <v>9</v>
      </c>
      <c r="I26" s="53">
        <f>(($E$24*($E$25/($E$26+F26))*($E$28/$E$27)*(($E$36*$E$29/($E$35*$E$37))^-$E$31)*(($E$36*$E$30/($E$35*$E$38))^$E$32)*($E$34/$E$33)*($E$22/$E$23))-($E$24*($E$25/($E$26-F26))*($E$28/$E$27)*(($E$36*$E$29/($E$35*$E$37))^-$E$31)*(($E$36*$E$30/($E$35*$E$38))^$E$32)*($E$34/$E$33)*($E$22/$E$23)))/(2*F26)</f>
        <v>-3972.9945100212458</v>
      </c>
      <c r="J26" s="50">
        <f t="shared" si="1"/>
        <v>-2.781096157014872</v>
      </c>
      <c r="K26" s="50">
        <f t="shared" si="0"/>
        <v>-3.9660062895418798E-4</v>
      </c>
    </row>
    <row r="27" spans="1:11" ht="15" thickBot="1">
      <c r="A27" s="13">
        <v>18</v>
      </c>
      <c r="B27" s="30" t="s">
        <v>188</v>
      </c>
      <c r="C27" s="45" t="s">
        <v>169</v>
      </c>
      <c r="D27" s="13" t="s">
        <v>2</v>
      </c>
      <c r="E27" s="18">
        <v>3.1234000000000002</v>
      </c>
      <c r="F27" s="18">
        <v>1E-3</v>
      </c>
      <c r="G27" s="13" t="s">
        <v>3</v>
      </c>
      <c r="H27" s="18">
        <v>9</v>
      </c>
      <c r="I27" s="53">
        <f>(($E$24*($E$25/$E$26)*($E$28/($E$27+F27))*(($E$36*$E$29/($E$35*$E$37))^-$E$31)*(($E$36*$E$30/($E$35*$E$38))^$E$32)*($E$34/$E$33)*($E$22/$E$23))-($E$24*($E$25/$E$26)*($E$28/($E$27-F27))*(($E$36*$E$29/($E$35*$E$37))^-$E$31)*(($E$36*$E$30/($E$35*$E$38))^$E$32)*($E$34/$E$33)*($E$22/$E$23)))/(2*F27)</f>
        <v>-2245.0966658143443</v>
      </c>
      <c r="J27" s="50">
        <f t="shared" si="1"/>
        <v>-2.2450966658143443</v>
      </c>
      <c r="K27" s="51">
        <f t="shared" si="0"/>
        <v>-3.2016395674741783E-4</v>
      </c>
    </row>
    <row r="28" spans="1:11" ht="15" thickBot="1">
      <c r="A28" s="13">
        <v>19</v>
      </c>
      <c r="B28" s="30" t="s">
        <v>189</v>
      </c>
      <c r="C28" s="45" t="s">
        <v>170</v>
      </c>
      <c r="D28" s="13" t="s">
        <v>2</v>
      </c>
      <c r="E28" s="18">
        <v>3.1242999999999999</v>
      </c>
      <c r="F28" s="18">
        <v>1E-3</v>
      </c>
      <c r="G28" s="13" t="s">
        <v>3</v>
      </c>
      <c r="H28" s="18">
        <v>9</v>
      </c>
      <c r="I28" s="53">
        <f>(($E$24*($E$25/$E$26)*(($E$28+F28)/$E$27)*(($E$36*$E$29/($E$35*$E$37))^-$E$31)*(($E$36*$E$30/($E$35*$E$38))^$E$32)*($E$34/$E$33)*($E$22/$E$23))-($E$24*($E$25/$E$26)*(($E$28-F28)/$E$27)*(($E$36*$E$29/($E$35*$E$37))^-$E$31)*(($E$36*$E$30/($E$35*$E$38))^$E$32)*($E$34/$E$33)*($E$22/$E$23)))/(2*F28)</f>
        <v>2244.4497030392085</v>
      </c>
      <c r="J28" s="50">
        <f t="shared" si="1"/>
        <v>2.2444497030392085</v>
      </c>
      <c r="K28" s="50">
        <f t="shared" si="0"/>
        <v>3.2007169605988942E-4</v>
      </c>
    </row>
    <row r="29" spans="1:11" ht="15" thickBot="1">
      <c r="A29" s="13">
        <v>20</v>
      </c>
      <c r="B29" s="30" t="s">
        <v>190</v>
      </c>
      <c r="C29" s="45" t="s">
        <v>109</v>
      </c>
      <c r="D29" s="13" t="s">
        <v>2</v>
      </c>
      <c r="E29" s="28">
        <v>0.88</v>
      </c>
      <c r="F29" s="18">
        <v>1.2E-4</v>
      </c>
      <c r="G29" s="13" t="s">
        <v>3</v>
      </c>
      <c r="H29" s="18">
        <v>9</v>
      </c>
      <c r="I29" s="53">
        <f>(($E$24*($E$25/$E$26)*($E$28/$E$27)*(($E$36*($E$29+F29)/($E$35*$E$37))^-$E$31)*(($E$36*$E$30/($E$35*$E$38))^$E$32)*($E$34/$E$33)*($E$22/$E$23))-($E$24*($E$25/$E$26)*($E$28/$E$27)*(($E$36*($E$29-F29)/($E$35*$E$37))^-$E$31)*(($E$36*$E$30/($E$35*$E$38))^$E$32)*($E$34/$E$33)*($E$22/$E$23)))/(2*F29)</f>
        <v>-55461.200988797071</v>
      </c>
      <c r="J29" s="50">
        <f t="shared" si="1"/>
        <v>-6.6553441186556483</v>
      </c>
      <c r="K29" s="51">
        <f t="shared" si="0"/>
        <v>-9.4909111887686202E-4</v>
      </c>
    </row>
    <row r="30" spans="1:11" ht="15" thickBot="1">
      <c r="A30" s="13">
        <v>21</v>
      </c>
      <c r="B30" s="30" t="s">
        <v>62</v>
      </c>
      <c r="C30" s="45" t="s">
        <v>174</v>
      </c>
      <c r="D30" s="13" t="s">
        <v>2</v>
      </c>
      <c r="E30" s="28">
        <v>0.57999999999999996</v>
      </c>
      <c r="F30" s="18">
        <v>7.4999999999999993E-5</v>
      </c>
      <c r="G30" s="13" t="s">
        <v>3</v>
      </c>
      <c r="H30" s="18">
        <v>9</v>
      </c>
      <c r="I30" s="53">
        <f>(($E$24*($E$25/$E$26)*($E$28/$E$27)*(($E$36*$E$29/($E$35*$E$37))^-$E$31)*(($E$36*($E$30+F30)/($E$35*$E$38))^$E$32)*($E$34/$E$33)*($E$22/$E$23))-($E$24*($E$25/$E$26)*($E$28/$E$27)*(($E$36*$E$29/($E$35*$E$37))^-$E$31)*(($E$36*($E$30-F30)/($E$35*$E$38))^$E$32)*($E$34/$E$33)*($E$22/$E$23)))/(2*F30)</f>
        <v>86082.455026395721</v>
      </c>
      <c r="J30" s="50">
        <f t="shared" si="1"/>
        <v>6.4561841269796787</v>
      </c>
      <c r="K30" s="50">
        <f t="shared" si="0"/>
        <v>9.2068973557266802E-4</v>
      </c>
    </row>
    <row r="31" spans="1:11" ht="15" thickBot="1">
      <c r="A31" s="13">
        <v>22</v>
      </c>
      <c r="B31" s="30" t="s">
        <v>191</v>
      </c>
      <c r="C31" s="45" t="s">
        <v>192</v>
      </c>
      <c r="D31" s="13"/>
      <c r="E31" s="18">
        <v>6.96</v>
      </c>
      <c r="F31" s="18">
        <v>0.38</v>
      </c>
      <c r="G31" s="13" t="s">
        <v>17</v>
      </c>
      <c r="H31" s="39" t="s">
        <v>18</v>
      </c>
      <c r="I31" s="52">
        <f>(($E$24*($E$25/$E$26)*($E$28/$E$27)*(($E$36*$E$29/($E$35*$E$37))^-($E$31+F31))*(($E$36*$E$30/($E$35*$E$38))^$E$32)*($E$34/$E$33)*($E$22/$E$23))-($E$24*($E$25/$E$26)*($E$28/$E$27)*(($E$36*$E$29/($E$35*$E$37))^-($E$31-F31))*(($E$36*$E$30/($E$35*$E$38))^$E$32)*($E$34/$E$33)*($E$22/$E$23)))/(2*F31)</f>
        <v>-3.2844390828753793</v>
      </c>
      <c r="J31" s="50">
        <f t="shared" si="1"/>
        <v>-1.2480868514926442</v>
      </c>
      <c r="K31" s="51">
        <f t="shared" si="0"/>
        <v>-1.7798450767079606E-4</v>
      </c>
    </row>
    <row r="32" spans="1:11" ht="15" thickBot="1">
      <c r="A32" s="13">
        <v>23</v>
      </c>
      <c r="B32" s="30" t="s">
        <v>54</v>
      </c>
      <c r="C32" s="45" t="s">
        <v>176</v>
      </c>
      <c r="D32" s="13"/>
      <c r="E32" s="18">
        <v>7.12</v>
      </c>
      <c r="F32" s="18">
        <v>0.22</v>
      </c>
      <c r="G32" s="13" t="s">
        <v>17</v>
      </c>
      <c r="H32" s="39" t="s">
        <v>18</v>
      </c>
      <c r="I32" s="52">
        <f>(($E$24*($E$25/$E$26)*($E$28/$E$27)*(($E$36*$E$29/($E$35*$E$37))^-$E$31)*(($E$36*$E$30/($E$35*$E$38))^($E$32+F32))*($E$34/$E$33)*($E$22/$E$23))-($E$24*($E$25/$E$26)*($E$28/$E$27)*(($E$36*$E$29/($E$35*$E$37))^-$E$31)*(($E$36*$E$30/($E$35*$E$38))^($E$32-F32))*($E$34/$E$33)*($E$22/$E$23)))/(2*F32)</f>
        <v>-30.861602613958894</v>
      </c>
      <c r="J32" s="50">
        <f t="shared" si="1"/>
        <v>-6.7895525750709567</v>
      </c>
      <c r="K32" s="50">
        <f t="shared" si="0"/>
        <v>-9.6823003217585924E-4</v>
      </c>
    </row>
    <row r="33" spans="1:11" ht="15" thickBot="1">
      <c r="A33" s="13">
        <v>26</v>
      </c>
      <c r="B33" s="30" t="s">
        <v>193</v>
      </c>
      <c r="C33" s="45" t="s">
        <v>110</v>
      </c>
      <c r="D33" s="13"/>
      <c r="E33" s="18">
        <v>1</v>
      </c>
      <c r="F33" s="18">
        <v>1E-3</v>
      </c>
      <c r="G33" s="13" t="s">
        <v>17</v>
      </c>
      <c r="H33" s="39" t="s">
        <v>18</v>
      </c>
      <c r="I33" s="53">
        <f>(($E$24*($E$25/$E$26)*($E$28/$E$27)*(($E$36*$E$29/($E$35*$E$37))^-$E$31)*(($E$36*$E$30/($E$35*$E$38))^$E$32)*($E$34/($E$33+F33))*($E$22/$E$23))-($E$24*($E$25/$E$26)*($E$28/$E$27)*(($E$36*$E$29/($E$35*$E$37))^-$E$31)*(($E$36*$E$30/($E$35*$E$38))^$E$32)*($E$34/($E$33-F33))*($E$22/$E$23)))/(2*F33)</f>
        <v>-7012.3412195475794</v>
      </c>
      <c r="J33" s="50">
        <f t="shared" si="1"/>
        <v>-7.0123412195475794</v>
      </c>
      <c r="K33" s="51">
        <f t="shared" si="0"/>
        <v>-1.0000010000010494E-3</v>
      </c>
    </row>
    <row r="34" spans="1:11" ht="15" thickBot="1">
      <c r="A34" s="13">
        <v>27</v>
      </c>
      <c r="B34" s="30" t="s">
        <v>194</v>
      </c>
      <c r="C34" s="45" t="s">
        <v>195</v>
      </c>
      <c r="D34" s="13"/>
      <c r="E34" s="18">
        <v>1</v>
      </c>
      <c r="F34" s="18">
        <v>5.0000000000000001E-4</v>
      </c>
      <c r="G34" s="13" t="s">
        <v>17</v>
      </c>
      <c r="H34" s="39" t="s">
        <v>18</v>
      </c>
      <c r="I34" s="53">
        <f>(($E$24*($E$25/$E$26)*($E$28/$E$27)*(($E$36*$E$29/($E$35*$E$37))^-$E$31)*(($E$36*$E$30/($E$35*$E$38))^$E$32)*(($E$34+F34)/$E$33)*($E$22/$E$23))-($E$24*($E$25/$E$26)*($E$28/$E$27)*(($E$36*$E$29/($E$35*$E$37))^-$E$31)*(($E$36*$E$30/($E$35*$E$38))^$E$32)*(($E$34-F34)/$E$33)*($E$22/$E$23)))/(2*F34)</f>
        <v>7012.3342072047308</v>
      </c>
      <c r="J34" s="50">
        <f t="shared" si="1"/>
        <v>3.5061671036023654</v>
      </c>
      <c r="K34" s="50">
        <f t="shared" si="0"/>
        <v>4.9999999999990861E-4</v>
      </c>
    </row>
    <row r="35" spans="1:11" ht="15" customHeight="1" thickBot="1">
      <c r="A35" s="13">
        <v>28</v>
      </c>
      <c r="B35" s="30" t="s">
        <v>55</v>
      </c>
      <c r="C35" s="45" t="s">
        <v>45</v>
      </c>
      <c r="D35" s="13" t="s">
        <v>42</v>
      </c>
      <c r="E35" s="18">
        <v>0.10004200000000001</v>
      </c>
      <c r="F35" s="18">
        <v>6.0000000000000002E-6</v>
      </c>
      <c r="G35" s="13" t="s">
        <v>17</v>
      </c>
      <c r="H35" s="39" t="s">
        <v>18</v>
      </c>
      <c r="I35" s="53">
        <f>(($E$24*($E$25/$E$26)*($E$28/$E$27)*(($E$36*$E$29/($E$35*$E$37))^-$E$31)*(($E$36*$E$30/(($E$35+F35)*$E$38))^$E$32)*($E$34/$E$33)*($E$22/$E$23))-($E$24*($E$25/$E$26)*($E$28/$E$27)*(($E$36*$E$29/($E$35*$E$37))^-$E$31)*(($E$36*$E$30/(($E$35-F35)*$E$38))^$E$32)*($E$34/$E$33)*($E$22/$E$23)))/(2*F35)</f>
        <v>-499068.60890359891</v>
      </c>
      <c r="J35" s="50">
        <f t="shared" si="1"/>
        <v>-2.9944116534215937</v>
      </c>
      <c r="K35" s="50">
        <f t="shared" si="0"/>
        <v>-4.2702067028472162E-4</v>
      </c>
    </row>
    <row r="36" spans="1:11" ht="15" customHeight="1" thickBot="1">
      <c r="A36" s="13">
        <v>29</v>
      </c>
      <c r="B36" s="30" t="s">
        <v>19</v>
      </c>
      <c r="C36" s="45" t="s">
        <v>59</v>
      </c>
      <c r="D36" s="13"/>
      <c r="E36" s="18">
        <v>1.0003200000000001</v>
      </c>
      <c r="F36" s="18">
        <v>4.1E-5</v>
      </c>
      <c r="G36" s="13" t="s">
        <v>17</v>
      </c>
      <c r="H36" s="39" t="s">
        <v>18</v>
      </c>
      <c r="I36" s="54">
        <f>(($E$24*($E$25/$E$26)*($E$28/$E$27)*(($E$36*$E$29/($E$35*$E$37))^-$E$31)*((($E$36+F36)*$E$30/($E$35*$E$38))^$E$32)*($E$34/$E$33)*($E$22/$E$23))-($E$24*($E$25/$E$26)*($E$28/$E$27)*((($E$36-F36)*$E$29/($E$35*$E$37))^-$E$31)*(($E$36*$E$30/($E$35*$E$38))^$E$32)*($E$34/$E$33)*($E$22/$E$23)))/(2*F36)</f>
        <v>559.95745694927768</v>
      </c>
      <c r="J36" s="50">
        <f t="shared" si="1"/>
        <v>2.2958255734920385E-2</v>
      </c>
      <c r="K36" s="50">
        <f t="shared" si="0"/>
        <v>3.2739819661373281E-6</v>
      </c>
    </row>
    <row r="37" spans="1:11" ht="15" customHeight="1" thickBot="1">
      <c r="A37" s="13">
        <v>32</v>
      </c>
      <c r="B37" s="30" t="s">
        <v>56</v>
      </c>
      <c r="C37" s="45" t="s">
        <v>114</v>
      </c>
      <c r="D37" s="13" t="s">
        <v>3</v>
      </c>
      <c r="E37" s="32">
        <v>8.7949999999999999</v>
      </c>
      <c r="F37" s="13">
        <v>0</v>
      </c>
      <c r="G37" s="13"/>
      <c r="H37" s="13"/>
      <c r="I37" s="48"/>
      <c r="J37" s="48"/>
      <c r="K37" s="50"/>
    </row>
    <row r="38" spans="1:11" ht="15" thickBot="1">
      <c r="A38" s="13">
        <v>33</v>
      </c>
      <c r="B38" s="30" t="s">
        <v>57</v>
      </c>
      <c r="C38" s="45" t="s">
        <v>178</v>
      </c>
      <c r="D38" s="13" t="s">
        <v>3</v>
      </c>
      <c r="E38" s="32">
        <v>5.8250000000000002</v>
      </c>
      <c r="F38" s="13">
        <v>0</v>
      </c>
      <c r="G38" s="13"/>
      <c r="H38" s="13"/>
      <c r="I38" s="55"/>
      <c r="J38" s="48"/>
      <c r="K38" s="51">
        <f>SQRT(K23^2+K25^2+K27^2+K29^2+K31^2+K33^2)</f>
        <v>2.6314801855083975E-3</v>
      </c>
    </row>
    <row r="39" spans="1:11" ht="15" thickBot="1">
      <c r="A39" s="20">
        <v>34</v>
      </c>
      <c r="B39" s="29" t="s">
        <v>197</v>
      </c>
      <c r="C39" s="43" t="s">
        <v>58</v>
      </c>
      <c r="D39" s="13" t="s">
        <v>1</v>
      </c>
      <c r="E39" s="56">
        <f>$E$24*($E$25/$E$26)*($E$28/$E$27)*(($E$36*$E$29/($E$37*$E$35))^-$E$31)*(($E$36*$E$30/($E$38*$E$35))^$E$32)*($E$34/$E$33)*($E$22/$E$23)</f>
        <v>7012.3342072060132</v>
      </c>
      <c r="F39" s="24"/>
      <c r="G39" s="24"/>
      <c r="H39" s="156">
        <f>J39^4/(J25^4/H25+J26^4/H26+J27^4/H27+J28^4/H28+J29^4/H29+J30^4/H30)</f>
        <v>123.69095955712274</v>
      </c>
      <c r="I39" s="24"/>
      <c r="J39" s="34">
        <f>SQRT(SUMPRODUCT(J22:J36,J22:J36))</f>
        <v>25.856134463859188</v>
      </c>
      <c r="K39" s="23">
        <f>J39/E$39</f>
        <v>3.6872364750226701E-3</v>
      </c>
    </row>
    <row r="40" spans="1:11">
      <c r="A40" s="14"/>
      <c r="B40" s="14"/>
      <c r="C40" s="14"/>
      <c r="D40" s="14"/>
      <c r="E40" s="35"/>
      <c r="F40" s="35"/>
      <c r="G40" s="35"/>
      <c r="H40" s="155"/>
      <c r="I40" s="35"/>
      <c r="J40" s="35"/>
      <c r="K40" s="17"/>
    </row>
    <row r="41" spans="1:11">
      <c r="A41" s="14"/>
      <c r="B41" s="14"/>
      <c r="C41" s="14"/>
      <c r="D41" s="14"/>
      <c r="E41" s="12"/>
      <c r="F41" s="36"/>
      <c r="G41" s="37" t="s">
        <v>37</v>
      </c>
      <c r="H41" s="34">
        <f>ROUND(2*SQRT(1+3.3/H39),2)</f>
        <v>2.0299999999999998</v>
      </c>
      <c r="I41" s="14"/>
      <c r="J41" s="33">
        <f>$H41*J39</f>
        <v>52.48795296163415</v>
      </c>
      <c r="K41" s="23">
        <f>J41/E$39</f>
        <v>7.4850900442960198E-3</v>
      </c>
    </row>
    <row r="42" spans="1:11">
      <c r="A42" s="14"/>
      <c r="B42" s="14"/>
      <c r="C42" s="14"/>
      <c r="D42" s="14"/>
      <c r="E42" s="14"/>
      <c r="F42" s="14"/>
      <c r="G42" s="14"/>
      <c r="H42" s="35"/>
      <c r="I42" s="14"/>
      <c r="J42" s="14"/>
      <c r="K42" s="35"/>
    </row>
    <row r="43" spans="1:11" ht="15" customHeight="1">
      <c r="A43" s="14"/>
      <c r="B43" s="14"/>
      <c r="C43" s="14"/>
      <c r="D43" s="14"/>
      <c r="E43" s="14"/>
      <c r="F43" s="14"/>
      <c r="G43" s="14"/>
      <c r="H43" s="166" t="s">
        <v>205</v>
      </c>
      <c r="I43" s="167"/>
      <c r="J43" s="35"/>
      <c r="K43" s="38">
        <f>K38</f>
        <v>2.6314801855083975E-3</v>
      </c>
    </row>
    <row r="44" spans="1:11">
      <c r="A44" s="9"/>
      <c r="B44" s="7"/>
      <c r="C44" s="7"/>
      <c r="D44" s="7"/>
      <c r="E44" s="7"/>
      <c r="F44" s="7"/>
      <c r="G44" s="7"/>
      <c r="H44" s="168" t="s">
        <v>204</v>
      </c>
      <c r="I44" s="169"/>
      <c r="J44" s="8"/>
      <c r="K44" s="10">
        <f>SQRT(K39^2-K43^2)</f>
        <v>2.5828327193247137E-3</v>
      </c>
    </row>
  </sheetData>
  <pageMargins left="0.7" right="0.7" top="0.75" bottom="0.75" header="0.3" footer="0.3"/>
  <pageSetup scale="67" orientation="portrait" r:id="rId1"/>
  <drawing r:id="rId2"/>
  <legacyDrawing r:id="rId3"/>
  <oleObjects>
    <oleObject progId="Equation.3" shapeId="34889" r:id="rId4"/>
    <oleObject progId="Equation.3" shapeId="34890" r:id="rId5"/>
    <oleObject progId="Equation.3" shapeId="34891" r:id="rId6"/>
    <oleObject progId="Equation.3" shapeId="34892" r:id="rId7"/>
    <oleObject progId="Equation.3" shapeId="34893" r:id="rId8"/>
    <oleObject progId="Equation.3" shapeId="34894" r:id="rId9"/>
    <oleObject progId="Equation.3" shapeId="34895" r:id="rId10"/>
    <oleObject progId="Equation.3" shapeId="34902" r:id="rId11"/>
    <oleObject progId="Equation.3" shapeId="34930" r:id="rId12"/>
    <oleObject progId="Equation.3" shapeId="34934" r:id="rId13"/>
    <oleObject progId="Equation.3" shapeId="34935" r:id="rId14"/>
    <oleObject progId="Equation.3" shapeId="34936" r:id="rId15"/>
    <oleObject progId="Equation.3" shapeId="34937" r:id="rId16"/>
    <oleObject progId="Equation.3" shapeId="34938" r:id="rId17"/>
    <oleObject progId="Equation.3" shapeId="34939" r:id="rId18"/>
    <oleObject progId="Equation.3" shapeId="34940" r:id="rId19"/>
    <oleObject progId="Equation.3" shapeId="34941" r:id="rId20"/>
    <oleObject progId="Equation.3" shapeId="34942" r:id="rId21"/>
    <oleObject progId="Equation.3" shapeId="34943" r:id="rId22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zoomScaleNormal="100" workbookViewId="0">
      <selection activeCell="F8" sqref="F8"/>
    </sheetView>
  </sheetViews>
  <sheetFormatPr defaultRowHeight="14.4"/>
  <cols>
    <col min="1" max="1" width="4.6640625" customWidth="1"/>
    <col min="2" max="2" width="30.6640625" customWidth="1"/>
    <col min="3" max="3" width="7.5546875" bestFit="1" customWidth="1"/>
    <col min="4" max="4" width="5.33203125" bestFit="1" customWidth="1"/>
    <col min="5" max="5" width="8.88671875" customWidth="1"/>
    <col min="6" max="6" width="11.109375" bestFit="1" customWidth="1"/>
    <col min="7" max="7" width="8" customWidth="1"/>
    <col min="8" max="8" width="8.5546875" style="2" bestFit="1" customWidth="1"/>
    <col min="9" max="9" width="15.109375" bestFit="1" customWidth="1"/>
    <col min="10" max="11" width="12" bestFit="1" customWidth="1"/>
  </cols>
  <sheetData>
    <row r="1" spans="1:11" ht="18">
      <c r="A1" s="6" t="s">
        <v>120</v>
      </c>
      <c r="I1" s="1"/>
    </row>
    <row r="2" spans="1:11" ht="18">
      <c r="A2" s="6" t="s">
        <v>196</v>
      </c>
    </row>
    <row r="3" spans="1:11" s="133" customFormat="1" ht="15.6">
      <c r="B3" s="133" t="s">
        <v>121</v>
      </c>
      <c r="H3" s="137"/>
    </row>
    <row r="4" spans="1:11" s="133" customFormat="1" ht="15.6">
      <c r="B4" s="133" t="s">
        <v>157</v>
      </c>
      <c r="H4" s="137"/>
    </row>
    <row r="5" spans="1:11" ht="18">
      <c r="A5" s="47" t="s">
        <v>21</v>
      </c>
      <c r="E5" s="6"/>
    </row>
    <row r="6" spans="1:11" ht="23.25" customHeight="1"/>
    <row r="7" spans="1:11" ht="26.25" customHeight="1"/>
    <row r="8" spans="1:11" ht="38.25" customHeight="1"/>
    <row r="9" spans="1:11">
      <c r="B9" t="s">
        <v>104</v>
      </c>
    </row>
    <row r="10" spans="1:11">
      <c r="B10" t="s">
        <v>28</v>
      </c>
    </row>
    <row r="11" spans="1:11" ht="15" customHeight="1">
      <c r="B11" t="s">
        <v>29</v>
      </c>
    </row>
    <row r="12" spans="1:11" ht="15" customHeight="1">
      <c r="A12" s="47" t="s">
        <v>43</v>
      </c>
      <c r="E12" s="138" t="s">
        <v>122</v>
      </c>
    </row>
    <row r="13" spans="1:11" ht="54" customHeight="1">
      <c r="A13" s="13" t="s">
        <v>16</v>
      </c>
      <c r="B13" s="13" t="s">
        <v>33</v>
      </c>
      <c r="C13" s="13" t="s">
        <v>0</v>
      </c>
      <c r="D13" s="13" t="s">
        <v>22</v>
      </c>
      <c r="E13" s="13" t="s">
        <v>39</v>
      </c>
      <c r="F13" s="13" t="s">
        <v>38</v>
      </c>
      <c r="G13" s="13" t="s">
        <v>14</v>
      </c>
      <c r="H13" s="13" t="s">
        <v>40</v>
      </c>
      <c r="I13" s="13" t="s">
        <v>34</v>
      </c>
      <c r="J13" s="13" t="s">
        <v>35</v>
      </c>
      <c r="K13" s="13" t="s">
        <v>36</v>
      </c>
    </row>
    <row r="14" spans="1:11" ht="18" customHeight="1">
      <c r="A14" s="13">
        <v>1</v>
      </c>
      <c r="B14" s="14" t="s">
        <v>30</v>
      </c>
      <c r="C14" s="40" t="s">
        <v>158</v>
      </c>
      <c r="D14" s="13" t="s">
        <v>23</v>
      </c>
      <c r="E14" s="15">
        <v>2</v>
      </c>
      <c r="F14" s="15">
        <v>1</v>
      </c>
      <c r="G14" s="15" t="s">
        <v>3</v>
      </c>
      <c r="H14" s="153">
        <v>29</v>
      </c>
      <c r="I14" s="16">
        <f>(($E$15*($E$14+F14))-(E$15*($E$14-F14)))/(2*F14)</f>
        <v>2E-3</v>
      </c>
      <c r="J14" s="25">
        <f>F14*I14</f>
        <v>2E-3</v>
      </c>
      <c r="K14" s="25">
        <f>J14/E$20</f>
        <v>1.9920913971533012E-3</v>
      </c>
    </row>
    <row r="15" spans="1:11" ht="18" customHeight="1">
      <c r="A15" s="13">
        <v>2</v>
      </c>
      <c r="B15" s="14" t="s">
        <v>31</v>
      </c>
      <c r="C15" s="134" t="s">
        <v>105</v>
      </c>
      <c r="D15" s="13" t="s">
        <v>24</v>
      </c>
      <c r="E15" s="18">
        <v>2E-3</v>
      </c>
      <c r="F15" s="18">
        <v>1E-3</v>
      </c>
      <c r="G15" s="153" t="s">
        <v>3</v>
      </c>
      <c r="H15" s="153">
        <v>29</v>
      </c>
      <c r="I15" s="16">
        <f>((($E$15+F15)*$E$14)-(($E$15-F15)*$E$14))/(2*F15)</f>
        <v>2</v>
      </c>
      <c r="J15" s="25">
        <f>F15*I15</f>
        <v>2E-3</v>
      </c>
      <c r="K15" s="25">
        <f>J15/E$20</f>
        <v>1.9920913971533012E-3</v>
      </c>
    </row>
    <row r="16" spans="1:11" ht="18" customHeight="1">
      <c r="A16" s="13">
        <v>3</v>
      </c>
      <c r="B16" s="14" t="s">
        <v>60</v>
      </c>
      <c r="C16" s="41" t="s">
        <v>159</v>
      </c>
      <c r="D16" s="13"/>
      <c r="E16" s="15">
        <v>0</v>
      </c>
      <c r="F16" s="32">
        <v>1.1999999999999999E-3</v>
      </c>
      <c r="G16" s="13" t="s">
        <v>17</v>
      </c>
      <c r="H16" s="39" t="s">
        <v>18</v>
      </c>
      <c r="I16" s="16">
        <f>(-($E$16+F16)+($E$16-F16))/(2*F16)</f>
        <v>-1</v>
      </c>
      <c r="J16" s="25">
        <f>F16*I16</f>
        <v>-1.1999999999999999E-3</v>
      </c>
      <c r="K16" s="25">
        <f>J16/E$20</f>
        <v>-1.1952548382919807E-3</v>
      </c>
    </row>
    <row r="17" spans="1:13" ht="18" customHeight="1">
      <c r="A17" s="13">
        <v>4</v>
      </c>
      <c r="B17" s="14" t="s">
        <v>198</v>
      </c>
      <c r="C17" s="41" t="s">
        <v>200</v>
      </c>
      <c r="D17" s="13"/>
      <c r="E17" s="15">
        <v>0</v>
      </c>
      <c r="F17" s="32">
        <v>5.0000000000000001E-3</v>
      </c>
      <c r="G17" s="13" t="s">
        <v>17</v>
      </c>
      <c r="H17" s="39" t="s">
        <v>18</v>
      </c>
      <c r="I17" s="16">
        <f>(-($E$17+F17)+($E$17-F17))/(2*F17)</f>
        <v>-1</v>
      </c>
      <c r="J17" s="25">
        <f>F17*I17</f>
        <v>-5.0000000000000001E-3</v>
      </c>
      <c r="K17" s="25">
        <f>J17/E$20</f>
        <v>-4.980228492883253E-3</v>
      </c>
    </row>
    <row r="18" spans="1:13">
      <c r="A18" s="13">
        <v>5</v>
      </c>
      <c r="B18" s="14" t="s">
        <v>32</v>
      </c>
      <c r="C18" s="134" t="s">
        <v>106</v>
      </c>
      <c r="D18" s="13" t="s">
        <v>25</v>
      </c>
      <c r="E18" s="18">
        <v>2.9999999999999997E-4</v>
      </c>
      <c r="F18" s="18">
        <v>2.9999999999999997E-4</v>
      </c>
      <c r="G18" s="13" t="s">
        <v>17</v>
      </c>
      <c r="H18" s="39" t="s">
        <v>18</v>
      </c>
      <c r="I18" s="16">
        <f>(-($E$18+F18)*$E$19+($E$18-F18)*$E$19)/(2*F18)</f>
        <v>-0.1</v>
      </c>
      <c r="J18" s="25">
        <f>F18*I18</f>
        <v>-2.9999999999999997E-5</v>
      </c>
      <c r="K18" s="25">
        <f>J18/E$20</f>
        <v>-2.9881370957299516E-5</v>
      </c>
    </row>
    <row r="19" spans="1:13">
      <c r="A19" s="13">
        <v>6</v>
      </c>
      <c r="B19" s="14" t="s">
        <v>27</v>
      </c>
      <c r="C19" s="40" t="s">
        <v>160</v>
      </c>
      <c r="D19" s="13" t="s">
        <v>26</v>
      </c>
      <c r="E19" s="19">
        <v>0.1</v>
      </c>
      <c r="F19" s="18">
        <v>0</v>
      </c>
      <c r="G19" s="13" t="s">
        <v>17</v>
      </c>
      <c r="H19" s="39" t="s">
        <v>18</v>
      </c>
      <c r="I19" s="11"/>
      <c r="J19" s="11"/>
      <c r="K19" s="11"/>
    </row>
    <row r="20" spans="1:13" ht="15" thickBot="1">
      <c r="A20" s="67">
        <v>7</v>
      </c>
      <c r="B20" s="77" t="s">
        <v>65</v>
      </c>
      <c r="C20" s="69" t="s">
        <v>107</v>
      </c>
      <c r="D20" s="78"/>
      <c r="E20" s="70">
        <f>1-$E$16+$E$15*$E$14-$E$18*$E$19</f>
        <v>1.00397</v>
      </c>
      <c r="F20" s="71"/>
      <c r="G20" s="71"/>
      <c r="H20" s="79">
        <f>ROUND(J20^4/(J14^4/H14),0)</f>
        <v>2150</v>
      </c>
      <c r="I20" s="71"/>
      <c r="J20" s="73">
        <f>SQRT(SUMPRODUCT(J14:J18,J14:J18))</f>
        <v>5.8686369797424E-3</v>
      </c>
      <c r="K20" s="70">
        <f>J20/E$20</f>
        <v>5.8454306201802843E-3</v>
      </c>
    </row>
    <row r="21" spans="1:13">
      <c r="A21" s="60">
        <v>8</v>
      </c>
      <c r="B21" s="74" t="s">
        <v>46</v>
      </c>
      <c r="C21" s="75" t="s">
        <v>161</v>
      </c>
      <c r="D21" s="60" t="s">
        <v>23</v>
      </c>
      <c r="E21" s="76">
        <v>2</v>
      </c>
      <c r="F21" s="76">
        <v>1</v>
      </c>
      <c r="G21" s="76" t="s">
        <v>3</v>
      </c>
      <c r="H21" s="60">
        <v>29</v>
      </c>
      <c r="I21" s="64">
        <f>(($E$22*($E$21+F21))-$E$22*($E$21-F21))/(2*F21)</f>
        <v>1.5000000000000001E-4</v>
      </c>
      <c r="J21" s="64">
        <f>F21*I21</f>
        <v>1.5000000000000001E-4</v>
      </c>
      <c r="K21" s="64">
        <f>J21/E$27</f>
        <v>1.5001500150015003E-4</v>
      </c>
    </row>
    <row r="22" spans="1:13">
      <c r="A22" s="13">
        <v>9</v>
      </c>
      <c r="B22" s="14" t="s">
        <v>47</v>
      </c>
      <c r="C22" s="40" t="s">
        <v>162</v>
      </c>
      <c r="D22" s="13" t="s">
        <v>24</v>
      </c>
      <c r="E22" s="18">
        <v>1.4999999999999999E-4</v>
      </c>
      <c r="F22" s="18">
        <v>2.0000000000000002E-5</v>
      </c>
      <c r="G22" s="13" t="s">
        <v>17</v>
      </c>
      <c r="H22" s="39" t="s">
        <v>18</v>
      </c>
      <c r="I22" s="27">
        <f>(($E$22+F22)*$E$21-($E$22-F22)*$E$21)/(2*F22)</f>
        <v>1.9999999999999996</v>
      </c>
      <c r="J22" s="25">
        <f>F22*I22</f>
        <v>3.9999999999999996E-5</v>
      </c>
      <c r="K22" s="25">
        <f>J22/E$27</f>
        <v>4.0004000400039999E-5</v>
      </c>
    </row>
    <row r="23" spans="1:13">
      <c r="A23" s="13">
        <v>10</v>
      </c>
      <c r="B23" s="14" t="s">
        <v>61</v>
      </c>
      <c r="C23" s="42" t="s">
        <v>163</v>
      </c>
      <c r="D23" s="13"/>
      <c r="E23" s="15">
        <v>0</v>
      </c>
      <c r="F23" s="28">
        <v>5.0000000000000001E-4</v>
      </c>
      <c r="G23" s="13" t="s">
        <v>17</v>
      </c>
      <c r="H23" s="39" t="s">
        <v>18</v>
      </c>
      <c r="I23" s="27">
        <f>(-($E$23+F23)+($E$23-F23))/(2*F23)</f>
        <v>-1</v>
      </c>
      <c r="J23" s="25">
        <f>F23*I23</f>
        <v>-5.0000000000000001E-4</v>
      </c>
      <c r="K23" s="25">
        <f>J23/E$27</f>
        <v>-5.0005000500050005E-4</v>
      </c>
    </row>
    <row r="24" spans="1:13" ht="15">
      <c r="A24" s="13">
        <v>11</v>
      </c>
      <c r="B24" s="14" t="s">
        <v>199</v>
      </c>
      <c r="C24" s="42" t="s">
        <v>201</v>
      </c>
      <c r="D24" s="13"/>
      <c r="E24" s="15">
        <v>0</v>
      </c>
      <c r="F24" s="28">
        <v>2E-3</v>
      </c>
      <c r="G24" s="13" t="s">
        <v>17</v>
      </c>
      <c r="H24" s="39" t="s">
        <v>18</v>
      </c>
      <c r="I24" s="27">
        <f>(-($E$24+F24)+($E$24-F24))/(2*F24)</f>
        <v>-1</v>
      </c>
      <c r="J24" s="25">
        <f>F24*I24</f>
        <v>-2E-3</v>
      </c>
      <c r="K24" s="25">
        <f>J24/E$27</f>
        <v>-2.0002000200020002E-3</v>
      </c>
    </row>
    <row r="25" spans="1:13">
      <c r="A25" s="13">
        <v>12</v>
      </c>
      <c r="B25" s="14" t="s">
        <v>48</v>
      </c>
      <c r="C25" s="40" t="s">
        <v>164</v>
      </c>
      <c r="D25" s="13" t="s">
        <v>25</v>
      </c>
      <c r="E25" s="18">
        <v>2.0000000000000001E-4</v>
      </c>
      <c r="F25" s="18">
        <v>1E-4</v>
      </c>
      <c r="G25" s="13" t="s">
        <v>17</v>
      </c>
      <c r="H25" s="39" t="s">
        <v>18</v>
      </c>
      <c r="I25" s="27">
        <f>(-($E$25+F25)*$E$26+($E$25-F25)*$E$26)/(2*F25)</f>
        <v>-2.0000000000000004</v>
      </c>
      <c r="J25" s="25">
        <f>F25*I25</f>
        <v>-2.0000000000000006E-4</v>
      </c>
      <c r="K25" s="25">
        <f>J25/E$27</f>
        <v>-2.0002000200020008E-4</v>
      </c>
    </row>
    <row r="26" spans="1:13">
      <c r="A26" s="13">
        <v>13</v>
      </c>
      <c r="B26" s="14" t="s">
        <v>49</v>
      </c>
      <c r="C26" s="40" t="s">
        <v>165</v>
      </c>
      <c r="D26" s="13" t="s">
        <v>26</v>
      </c>
      <c r="E26" s="19">
        <v>2</v>
      </c>
      <c r="F26" s="18">
        <v>0</v>
      </c>
      <c r="G26" s="13" t="s">
        <v>17</v>
      </c>
      <c r="H26" s="39" t="s">
        <v>18</v>
      </c>
      <c r="I26" s="25"/>
      <c r="J26" s="26"/>
      <c r="K26" s="17"/>
    </row>
    <row r="27" spans="1:13" ht="15" thickBot="1">
      <c r="A27" s="67">
        <v>14</v>
      </c>
      <c r="B27" s="68" t="s">
        <v>50</v>
      </c>
      <c r="C27" s="69" t="s">
        <v>166</v>
      </c>
      <c r="D27" s="67"/>
      <c r="E27" s="70">
        <f>1-$E$23+$E$22*$E$21-$E$25*$E$26</f>
        <v>0.99990000000000001</v>
      </c>
      <c r="F27" s="71"/>
      <c r="G27" s="71"/>
      <c r="H27" s="72">
        <f>ROUND(J27^4/(J21^4/H21),0)</f>
        <v>1066138</v>
      </c>
      <c r="I27" s="71"/>
      <c r="J27" s="73">
        <f>SQRT(SUMPRODUCT(J21:J26,J21:J26))</f>
        <v>2.0770411647341031E-3</v>
      </c>
      <c r="K27" s="73">
        <f>J27/E$27</f>
        <v>2.0772488896230652E-3</v>
      </c>
    </row>
    <row r="28" spans="1:13" ht="15" thickBot="1">
      <c r="A28" s="60">
        <v>15</v>
      </c>
      <c r="B28" s="61" t="s">
        <v>50</v>
      </c>
      <c r="C28" s="62" t="s">
        <v>167</v>
      </c>
      <c r="D28" s="60"/>
      <c r="E28" s="63">
        <f>E27</f>
        <v>0.99990000000000001</v>
      </c>
      <c r="F28" s="64">
        <f>J27</f>
        <v>2.0770411647341031E-3</v>
      </c>
      <c r="G28" s="60" t="s">
        <v>3</v>
      </c>
      <c r="H28" s="65">
        <f>H27</f>
        <v>1066138</v>
      </c>
      <c r="I28" s="58">
        <f>(($E$30*($E$31/$E$32)*($E$34/$E$33)*($E$35*$E$36/$E$42)*(($E$38*$E$39/($E$40*$E$43))^$E$41)*($E$28+F28)/$E$29)-($E$30*($E$31/$E$32)*($E$34/$E$33)*($E$35*$E$36/$E$42)*(($E$38*$E$39/($E$40*$E$43))^$E$41)*($E$28-F28)/$E$29))/(2*F28)</f>
        <v>909.44069723956557</v>
      </c>
      <c r="J28" s="66">
        <f>F28*I28</f>
        <v>1.8889457650510619</v>
      </c>
      <c r="K28" s="66">
        <f t="shared" ref="K28:K41" si="0">J28/E$44</f>
        <v>2.077248889623083E-3</v>
      </c>
    </row>
    <row r="29" spans="1:13" ht="15" thickBot="1">
      <c r="A29" s="13">
        <v>16</v>
      </c>
      <c r="B29" s="30" t="s">
        <v>66</v>
      </c>
      <c r="C29" s="45" t="s">
        <v>107</v>
      </c>
      <c r="D29" s="13"/>
      <c r="E29" s="16">
        <f>E20</f>
        <v>1.00397</v>
      </c>
      <c r="F29" s="25">
        <f>J20</f>
        <v>5.8686369797424E-3</v>
      </c>
      <c r="G29" s="13" t="s">
        <v>3</v>
      </c>
      <c r="H29" s="59">
        <f>H20</f>
        <v>2150</v>
      </c>
      <c r="I29" s="54">
        <f>(($E$30*($E$31/$E$32)*($E$34/$E$33)*($E$35*$E$36/$E$42)*(($E$38*$E$39/($E$40*$E$43))^$E$41)*$E$28/($E$29+F29))-($E$30*($E$31/$E$32)*($E$34/$E$33)*($E$35*$E$36/$E$42)*(($E$38*$E$39/($E$40*$E$43))^$E$41)*$E$28/($E$29-F29)))/(2*F29)</f>
        <v>-905.78485996300299</v>
      </c>
      <c r="J29" s="50">
        <f t="shared" ref="J29:J41" si="1">F29*I29</f>
        <v>-5.3157225248696705</v>
      </c>
      <c r="K29" s="51">
        <f t="shared" si="0"/>
        <v>-5.845630359869779E-3</v>
      </c>
    </row>
    <row r="30" spans="1:13" ht="15" thickBot="1">
      <c r="A30" s="13">
        <v>17</v>
      </c>
      <c r="B30" s="30" t="s">
        <v>51</v>
      </c>
      <c r="C30" s="43" t="s">
        <v>44</v>
      </c>
      <c r="D30" s="13" t="s">
        <v>1</v>
      </c>
      <c r="E30" s="15">
        <v>1715</v>
      </c>
      <c r="F30" s="31">
        <v>8.6</v>
      </c>
      <c r="G30" s="13" t="s">
        <v>17</v>
      </c>
      <c r="H30" s="39" t="s">
        <v>18</v>
      </c>
      <c r="I30" s="49">
        <f>((($E$30+F30)*($E$31/$E$32)*($E$34/$E$33)*($E$35*$E$36/$E$42)*(($E$38*$E$39/($E$40*$E$43))^$E$41)*$E$28/$E$29)-(($E$30-F30)*($E$31/$E$32)*($E$34/$E$33)*($E$35*$E$36/$E$42)*(($E$38*$E$39/($E$40*$E$43))^$E$41)*$E$28/$E$29))/(2*F30)</f>
        <v>0.53023309222729087</v>
      </c>
      <c r="J30" s="50">
        <f t="shared" si="1"/>
        <v>4.5600045931547015</v>
      </c>
      <c r="K30" s="50">
        <f t="shared" si="0"/>
        <v>5.0145772594750527E-3</v>
      </c>
    </row>
    <row r="31" spans="1:13" ht="15" thickBot="1">
      <c r="A31" s="13">
        <v>18</v>
      </c>
      <c r="B31" s="30" t="s">
        <v>67</v>
      </c>
      <c r="C31" s="45" t="s">
        <v>108</v>
      </c>
      <c r="D31" s="13" t="s">
        <v>1</v>
      </c>
      <c r="E31" s="18">
        <v>920</v>
      </c>
      <c r="F31" s="18">
        <v>9.6</v>
      </c>
      <c r="G31" s="13" t="s">
        <v>3</v>
      </c>
      <c r="H31" s="18">
        <v>9</v>
      </c>
      <c r="I31" s="52">
        <f>(($E$30*(($E$31+F31)/$E$32)*($E$34/$E$33)*($E$35*$E$36/$E$42)*(($E$38*$E$39/($E$40*$E$43))^$E$41)*($E$28/$E$29))-($E$30*(($E$31-F31)/$E$32)*($E$34/$E$33)*($E$35*$E$36/$E$42)*(($E$38*$E$39/($E$40*$E$43))^$E$41)*($E$28/$E$29)))/(2*F31)</f>
        <v>0.98842364474982369</v>
      </c>
      <c r="J31" s="50">
        <f t="shared" si="1"/>
        <v>9.4888669895983071</v>
      </c>
      <c r="K31" s="51">
        <f t="shared" si="0"/>
        <v>1.0434782608695696E-2</v>
      </c>
      <c r="M31" t="s">
        <v>63</v>
      </c>
    </row>
    <row r="32" spans="1:13" ht="15" thickBot="1">
      <c r="A32" s="13">
        <v>19</v>
      </c>
      <c r="B32" s="30" t="s">
        <v>53</v>
      </c>
      <c r="C32" s="45" t="s">
        <v>168</v>
      </c>
      <c r="D32" s="13" t="s">
        <v>1</v>
      </c>
      <c r="E32" s="15">
        <v>1715</v>
      </c>
      <c r="F32" s="15">
        <v>5</v>
      </c>
      <c r="G32" s="13" t="s">
        <v>3</v>
      </c>
      <c r="H32" s="18">
        <v>9</v>
      </c>
      <c r="I32" s="52">
        <f>(($E$30*($E$31/($E$32+F32))*($E$34/$E$33)*($E$35*$E$36/$E$42)*(($E$38*$E$39/($E$40*$E$43))^$E$41)*($E$28/$E$29))-($E$30*($E$31/($E$32-F32))*($E$34/$E$33)*($E$35*$E$36/$E$42)*(($E$38*$E$39/($E$40*$E$43))^$E$41)*($E$28/$E$29)))/(2*F32)</f>
        <v>-0.5302375991725512</v>
      </c>
      <c r="J32" s="50">
        <f t="shared" si="1"/>
        <v>-2.651187995862756</v>
      </c>
      <c r="K32" s="50">
        <f t="shared" si="0"/>
        <v>-2.9154766761866698E-3</v>
      </c>
    </row>
    <row r="33" spans="1:11" ht="15" thickBot="1">
      <c r="A33" s="13">
        <v>20</v>
      </c>
      <c r="B33" s="30" t="s">
        <v>68</v>
      </c>
      <c r="C33" s="45" t="s">
        <v>169</v>
      </c>
      <c r="D33" s="13" t="s">
        <v>1</v>
      </c>
      <c r="E33" s="15">
        <v>790</v>
      </c>
      <c r="F33" s="15">
        <v>2</v>
      </c>
      <c r="G33" s="13" t="s">
        <v>3</v>
      </c>
      <c r="H33" s="18">
        <v>9</v>
      </c>
      <c r="I33" s="52">
        <f>(($E$30*($E$31/$E$32)*($E$34/($E$33+F33))*($E$35*$E$36/$E$42)*(($E$38*$E$39/($E$40*$E$43))^$E$41)*($E$28/$E$29))-($E$30*($E$31/$E$32)*($E$34/($E$33-F33))*($E$35*$E$36/$E$42)*(($E$38*$E$39/($E$40*$E$43))^$E$41)*($E$28/$E$29)))/(2*F33)</f>
        <v>-1.1510830144788144</v>
      </c>
      <c r="J33" s="50">
        <f t="shared" si="1"/>
        <v>-2.3021660289576289</v>
      </c>
      <c r="K33" s="51">
        <f t="shared" si="0"/>
        <v>-2.5316617956211915E-3</v>
      </c>
    </row>
    <row r="34" spans="1:11" ht="15" thickBot="1">
      <c r="A34" s="13">
        <v>21</v>
      </c>
      <c r="B34" s="30" t="s">
        <v>69</v>
      </c>
      <c r="C34" s="45" t="s">
        <v>170</v>
      </c>
      <c r="D34" s="13" t="s">
        <v>1</v>
      </c>
      <c r="E34" s="15">
        <v>805</v>
      </c>
      <c r="F34" s="15">
        <v>1</v>
      </c>
      <c r="G34" s="13" t="s">
        <v>3</v>
      </c>
      <c r="H34" s="18">
        <v>9</v>
      </c>
      <c r="I34" s="52">
        <f>(($E$30*($E$31/$E$32)*(($E$34+F34)/$E$33)*($E$35*$E$36/$E$42)*(($E$38*$E$39/($E$40*$E$43))^$E$41)*($E$28/$E$29))-($E$30*($E$31/$E$32)*(($E$34-F34)/$E$33)*($E$35*$E$36/$E$42)*(($E$38*$E$39/($E$40*$E$43))^$E$41)*($E$28/$E$29)))/(2*F34)</f>
        <v>1.1296270225711851</v>
      </c>
      <c r="J34" s="50">
        <f t="shared" si="1"/>
        <v>1.1296270225711851</v>
      </c>
      <c r="K34" s="50">
        <f t="shared" si="0"/>
        <v>1.2422360248446796E-3</v>
      </c>
    </row>
    <row r="35" spans="1:11" ht="15" thickBot="1">
      <c r="A35" s="13">
        <v>22</v>
      </c>
      <c r="B35" s="30" t="s">
        <v>70</v>
      </c>
      <c r="C35" s="45" t="s">
        <v>109</v>
      </c>
      <c r="D35" s="13" t="s">
        <v>2</v>
      </c>
      <c r="E35" s="19">
        <v>119.99</v>
      </c>
      <c r="F35" s="18">
        <v>1.2E-2</v>
      </c>
      <c r="G35" s="13" t="s">
        <v>3</v>
      </c>
      <c r="H35" s="18">
        <v>29</v>
      </c>
      <c r="I35" s="53">
        <f>(($E$30*($E$31/$E$32)*($E$34/$E$33)*(($E$35+F35)*$F$36/$E$42)*(($E$38*$E$39/($E$40*$E$43))^$E$41)*($E$28/$E$29))-($E$30*($E$31/$E$32)*($E$34/$E$33)*(($E$35-F35)*$F$36/$E$42)*(($E$38*$E$39/($E$40*$E$43))^$E$41)*($E$28/$E$29)))/(2*F35)</f>
        <v>7.892737834446403E-3</v>
      </c>
      <c r="J35" s="50">
        <f t="shared" si="1"/>
        <v>9.4712854013356842E-5</v>
      </c>
      <c r="K35" s="51">
        <f t="shared" si="0"/>
        <v>1.0415448366616302E-7</v>
      </c>
    </row>
    <row r="36" spans="1:11" ht="15" thickBot="1">
      <c r="A36" s="13">
        <v>23</v>
      </c>
      <c r="B36" s="30" t="s">
        <v>111</v>
      </c>
      <c r="C36" s="45" t="s">
        <v>171</v>
      </c>
      <c r="D36" s="13"/>
      <c r="E36" s="18">
        <v>0.99860000000000004</v>
      </c>
      <c r="F36" s="18">
        <v>1.0399999999999999E-3</v>
      </c>
      <c r="G36" s="13" t="s">
        <v>17</v>
      </c>
      <c r="H36" s="39" t="s">
        <v>18</v>
      </c>
      <c r="I36" s="54">
        <f>(($E$30*($E$31/$E$32)*($E$34/$E$33)*($E$35*($E$36+F36)/$E$42)*(($E$38*$E$39/($E$40*$E$43))^$E$41)*($E$28/$E$29))-($E$30*($E$31/$E$32)*($E$34/$E$33)*($E$35*($E$36-F36)/$E$42)*(($E$38*$E$39/($E$40*$E$43))^$E$41)*($E$28/$E$29)))/(2*F36)</f>
        <v>910.62462764865109</v>
      </c>
      <c r="J36" s="50">
        <f t="shared" si="1"/>
        <v>0.94704961275459709</v>
      </c>
      <c r="K36" s="50">
        <f t="shared" si="0"/>
        <v>1.0414580412578857E-3</v>
      </c>
    </row>
    <row r="37" spans="1:11" ht="15" thickBot="1">
      <c r="A37" s="13">
        <v>24</v>
      </c>
      <c r="B37" s="30" t="s">
        <v>172</v>
      </c>
      <c r="C37" s="45" t="s">
        <v>173</v>
      </c>
      <c r="D37" s="13"/>
      <c r="E37" s="18">
        <v>0.5</v>
      </c>
      <c r="F37" s="18">
        <v>0.1</v>
      </c>
      <c r="G37" s="13" t="s">
        <v>3</v>
      </c>
      <c r="H37" s="39">
        <v>9</v>
      </c>
      <c r="I37" s="54"/>
      <c r="J37" s="50"/>
      <c r="K37" s="50"/>
    </row>
    <row r="38" spans="1:11" ht="15" thickBot="1">
      <c r="A38" s="13">
        <v>25</v>
      </c>
      <c r="B38" s="30" t="s">
        <v>62</v>
      </c>
      <c r="C38" s="45" t="s">
        <v>174</v>
      </c>
      <c r="D38" s="13" t="s">
        <v>2</v>
      </c>
      <c r="E38" s="28">
        <v>8.4900000000000003E-2</v>
      </c>
      <c r="F38" s="18">
        <v>6.0000000000000002E-6</v>
      </c>
      <c r="G38" s="13" t="s">
        <v>3</v>
      </c>
      <c r="H38" s="18">
        <v>29</v>
      </c>
      <c r="I38" s="54">
        <f>(($E$30*($E$31/$E$32)*($E$34/$E$33)*($E$35*$E$36/$E$42)*((($E$38+F38)*$E$39/($E$40*$E$43))^$E$41)*($E$28/$E$29))-($E$30*($E$31/$E$32)*($E$34/$E$33)*($E$35*$E$36/$E$42)*((($E$38-F38)*$E$39/($E$40*$E$43))^$E$41)*($E$28/$E$29)))/(2*F38)</f>
        <v>76261.135588282516</v>
      </c>
      <c r="J38" s="50">
        <f t="shared" si="1"/>
        <v>0.45756681352969508</v>
      </c>
      <c r="K38" s="50">
        <f t="shared" si="0"/>
        <v>5.0318022513856447E-4</v>
      </c>
    </row>
    <row r="39" spans="1:11" ht="15" thickBot="1">
      <c r="A39" s="13">
        <v>26</v>
      </c>
      <c r="B39" s="30" t="s">
        <v>112</v>
      </c>
      <c r="C39" s="45" t="s">
        <v>175</v>
      </c>
      <c r="D39" s="13"/>
      <c r="E39" s="18">
        <v>0.99650000000000005</v>
      </c>
      <c r="F39" s="18">
        <v>4.3000000000000002E-5</v>
      </c>
      <c r="G39" s="13" t="s">
        <v>17</v>
      </c>
      <c r="H39" s="39" t="s">
        <v>18</v>
      </c>
      <c r="I39" s="54">
        <f>(($E$30*($E$31/$E$32)*($E$34/$E$33)*($E$35*$E$36/$E$42)*(($E$38*($E$39+F39)/($E$40*$E$43))^$E$41)*($E$28/$E$29))-($E$30*($E$31/$E$32)*($E$34/$E$33)*($E$35*$E$36/$E$42)*(($E$38*($E$39-F39)/($E$40*$E$43))^$E$41)*($E$28/$E$29)))/(2*F39)</f>
        <v>6497.3108936532144</v>
      </c>
      <c r="J39" s="50">
        <f t="shared" si="1"/>
        <v>0.27938436842708825</v>
      </c>
      <c r="K39" s="50">
        <f t="shared" si="0"/>
        <v>3.0723532662015171E-4</v>
      </c>
    </row>
    <row r="40" spans="1:11" ht="15" customHeight="1" thickBot="1">
      <c r="A40" s="13">
        <v>27</v>
      </c>
      <c r="B40" s="30" t="s">
        <v>55</v>
      </c>
      <c r="C40" s="45" t="s">
        <v>45</v>
      </c>
      <c r="D40" s="13" t="s">
        <v>42</v>
      </c>
      <c r="E40" s="18">
        <v>9.9999199999999996E-2</v>
      </c>
      <c r="F40" s="18">
        <v>7.1000000000000005E-5</v>
      </c>
      <c r="G40" s="13" t="s">
        <v>17</v>
      </c>
      <c r="H40" s="39" t="s">
        <v>18</v>
      </c>
      <c r="I40" s="54">
        <f>(($E$30*($E$31/$E$32)*($E$34/$E$33)*($E$35*$E$36/$E$42)*(($E$38*$E$39/(($E$40+F40)*$E$43))^$E$41)*($E$28/$E$29))-($E$30*($E$31/$E$32)*($E$34/$E$33)*($E$35*$E$36/$E$42)*(($E$38*$E$39/(($E$40-F40)*$E$43))^$E$41)*($E$28/$E$29)))/(2*F40)</f>
        <v>-64746.623241328212</v>
      </c>
      <c r="J40" s="50">
        <f t="shared" si="1"/>
        <v>-4.5970102501343035</v>
      </c>
      <c r="K40" s="50">
        <f t="shared" si="0"/>
        <v>-5.0552718952305547E-3</v>
      </c>
    </row>
    <row r="41" spans="1:11" ht="15" thickBot="1">
      <c r="A41" s="13">
        <v>28</v>
      </c>
      <c r="B41" s="30" t="s">
        <v>54</v>
      </c>
      <c r="C41" s="45" t="s">
        <v>176</v>
      </c>
      <c r="D41" s="13"/>
      <c r="E41" s="18">
        <v>7.12</v>
      </c>
      <c r="F41" s="18">
        <v>0.22</v>
      </c>
      <c r="G41" s="13" t="s">
        <v>17</v>
      </c>
      <c r="H41" s="39" t="s">
        <v>18</v>
      </c>
      <c r="I41" s="49">
        <f>(($E$30*($E$31/$E$32)*($E$34/$E$33)*($E$35*$E$36/$E$42)*(($E$38*$E$39/($E$40*$E$43))^($E$41+F41))*($E$28/$E$29))-($E$30*($E$31/$E$32)*($E$34/$E$33)*($E$35*$E$36/$E$42)*(($E$38*$E$39/($E$40*$E$43))^($E$41-F41))*($E$28/$E$29)))/(2*F41)</f>
        <v>-3.1810324205467437</v>
      </c>
      <c r="J41" s="50">
        <f t="shared" si="1"/>
        <v>-0.69982713252028361</v>
      </c>
      <c r="K41" s="50">
        <f t="shared" si="0"/>
        <v>-7.6959072137074743E-4</v>
      </c>
    </row>
    <row r="42" spans="1:11" ht="15" thickBot="1">
      <c r="A42" s="13">
        <v>29</v>
      </c>
      <c r="B42" s="30" t="s">
        <v>64</v>
      </c>
      <c r="C42" s="45" t="s">
        <v>177</v>
      </c>
      <c r="D42" s="13" t="s">
        <v>2</v>
      </c>
      <c r="E42" s="19">
        <v>120</v>
      </c>
      <c r="F42" s="13">
        <v>0</v>
      </c>
      <c r="G42" s="13"/>
      <c r="H42" s="39"/>
      <c r="I42" s="48"/>
      <c r="J42" s="48"/>
      <c r="K42" s="50"/>
    </row>
    <row r="43" spans="1:11" ht="15" thickBot="1">
      <c r="A43" s="13">
        <v>30</v>
      </c>
      <c r="B43" s="30" t="s">
        <v>57</v>
      </c>
      <c r="C43" s="45" t="s">
        <v>178</v>
      </c>
      <c r="D43" s="13" t="s">
        <v>3</v>
      </c>
      <c r="E43" s="32">
        <v>0.84899999999999998</v>
      </c>
      <c r="F43" s="13">
        <v>0</v>
      </c>
      <c r="G43" s="13"/>
      <c r="H43" s="39"/>
      <c r="I43" s="55"/>
      <c r="J43" s="48"/>
      <c r="K43" s="51">
        <f>SQRT(K29^2+K31^2+K33^2+K35^2)</f>
        <v>1.2225604028154417E-2</v>
      </c>
    </row>
    <row r="44" spans="1:11" ht="15" thickBot="1">
      <c r="A44" s="20">
        <v>29</v>
      </c>
      <c r="B44" s="29" t="s">
        <v>71</v>
      </c>
      <c r="C44" s="134" t="s">
        <v>110</v>
      </c>
      <c r="D44" s="13" t="s">
        <v>1</v>
      </c>
      <c r="E44" s="56">
        <f>$E$30*($E$31/$E$32)*($E$34/$E$33)*($E$35*$E$36/$E$42)*(($E$38*$E$39/($E$40*$E$43))^$E$41)*$E$28/$E$29</f>
        <v>909.34975316983389</v>
      </c>
      <c r="F44" s="24"/>
      <c r="G44" s="24"/>
      <c r="H44" s="57">
        <f>ROUND(J44^4/(J28^4/H28+J29^4/H29+J31^4/H31+J32^4/H32+J33^4/H33+J34^4/H34+J35^4/H35+J38^4/H38),0)</f>
        <v>35</v>
      </c>
      <c r="I44" s="24"/>
      <c r="J44" s="34">
        <f>SQRT(SUMPRODUCT(J28:J41,J28:J41))</f>
        <v>13.38165428384748</v>
      </c>
      <c r="K44" s="23">
        <f>J44/E$44</f>
        <v>1.4715629753240025E-2</v>
      </c>
    </row>
    <row r="45" spans="1:11">
      <c r="A45" s="14"/>
      <c r="B45" s="14"/>
      <c r="C45" s="14"/>
      <c r="D45" s="14"/>
      <c r="E45" s="35"/>
      <c r="F45" s="35"/>
      <c r="G45" s="35"/>
      <c r="H45" s="35"/>
      <c r="I45" s="35"/>
      <c r="J45" s="35"/>
      <c r="K45" s="17"/>
    </row>
    <row r="46" spans="1:11">
      <c r="A46" s="14"/>
      <c r="B46" s="14"/>
      <c r="C46" s="14"/>
      <c r="D46" s="14"/>
      <c r="E46" s="12"/>
      <c r="F46" s="36"/>
      <c r="G46" s="37" t="s">
        <v>37</v>
      </c>
      <c r="H46" s="34">
        <f>ROUND(2*SQRT(1+3.3/H44),2)</f>
        <v>2.09</v>
      </c>
      <c r="I46" s="14"/>
      <c r="J46" s="33">
        <f>$H46*J44</f>
        <v>27.96765745324123</v>
      </c>
      <c r="K46" s="23">
        <f>J46/E$44</f>
        <v>3.0755666184271648E-2</v>
      </c>
    </row>
    <row r="47" spans="1:11">
      <c r="A47" s="14"/>
      <c r="B47" s="14"/>
      <c r="C47" s="14"/>
      <c r="D47" s="14"/>
      <c r="E47" s="14"/>
      <c r="F47" s="14"/>
      <c r="G47" s="14"/>
      <c r="H47" s="35"/>
      <c r="I47" s="14"/>
      <c r="J47" s="14"/>
      <c r="K47" s="35"/>
    </row>
    <row r="48" spans="1:11">
      <c r="A48" s="14"/>
      <c r="B48" s="14"/>
      <c r="C48" s="14"/>
      <c r="D48" s="14"/>
      <c r="E48" s="14"/>
      <c r="F48" s="14"/>
      <c r="G48" s="14"/>
      <c r="H48" s="14"/>
      <c r="I48" s="166" t="s">
        <v>205</v>
      </c>
      <c r="J48" s="167"/>
      <c r="K48" s="38">
        <f>K43</f>
        <v>1.2225604028154417E-2</v>
      </c>
    </row>
    <row r="49" spans="1:11">
      <c r="A49" s="9"/>
      <c r="B49" s="7"/>
      <c r="C49" s="7"/>
      <c r="D49" s="7"/>
      <c r="E49" s="7"/>
      <c r="F49" s="7"/>
      <c r="G49" s="7"/>
      <c r="H49" s="14"/>
      <c r="I49" s="170" t="s">
        <v>204</v>
      </c>
      <c r="J49" s="171"/>
      <c r="K49" s="10">
        <f>SQRT(K44^2-K48^2)</f>
        <v>8.1905045742748702E-3</v>
      </c>
    </row>
  </sheetData>
  <pageMargins left="0.7" right="0.7" top="0.75" bottom="0.75" header="0.3" footer="0.3"/>
  <pageSetup scale="64" orientation="portrait" r:id="rId1"/>
  <drawing r:id="rId2"/>
  <legacyDrawing r:id="rId3"/>
  <oleObjects>
    <oleObject progId="Equation.3" shapeId="38913" r:id="rId4"/>
    <oleObject progId="Equation.3" shapeId="38914" r:id="rId5"/>
    <oleObject progId="Equation.3" shapeId="38915" r:id="rId6"/>
    <oleObject progId="Equation.3" shapeId="38916" r:id="rId7"/>
    <oleObject progId="Equation.3" shapeId="38917" r:id="rId8"/>
    <oleObject progId="Equation.3" shapeId="38918" r:id="rId9"/>
    <oleObject progId="Equation.3" shapeId="38919" r:id="rId10"/>
    <oleObject progId="Equation.3" shapeId="38922" r:id="rId11"/>
    <oleObject progId="Equation.3" shapeId="38923" r:id="rId12"/>
    <oleObject progId="Equation.3" shapeId="38927" r:id="rId13"/>
    <oleObject progId="Equation.3" shapeId="38928" r:id="rId14"/>
    <oleObject progId="Equation.3" shapeId="38929" r:id="rId15"/>
    <oleObject progId="Equation.3" shapeId="38930" r:id="rId16"/>
    <oleObject progId="Equation.3" shapeId="38931" r:id="rId17"/>
    <oleObject progId="Equation.3" shapeId="38932" r:id="rId18"/>
    <oleObject progId="Equation.3" shapeId="38933" r:id="rId19"/>
    <oleObject progId="Equation.3" shapeId="38936" r:id="rId20"/>
    <oleObject progId="Equation.3" shapeId="38937" r:id="rId21"/>
    <oleObject progId="Equation.3" shapeId="38938" r:id="rId22"/>
    <oleObject progId="Equation.3" shapeId="38939" r:id="rId23"/>
    <oleObject progId="Equation.3" shapeId="38940" r:id="rId24"/>
    <oleObject progId="Equation.3" shapeId="38941" r:id="rId25"/>
    <oleObject progId="Equation.3" shapeId="38942" r:id="rId26"/>
    <oleObject progId="Equation.3" shapeId="38943" r:id="rId27"/>
    <oleObject progId="Equation.3" shapeId="38944" r:id="rId28"/>
    <oleObject progId="Equation.3" shapeId="38945" r:id="rId29"/>
    <oleObject progId="Equation.3" shapeId="38946" r:id="rId30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V57"/>
  <sheetViews>
    <sheetView zoomScale="60" zoomScaleNormal="60" workbookViewId="0">
      <selection activeCell="I6" sqref="I6"/>
    </sheetView>
  </sheetViews>
  <sheetFormatPr defaultRowHeight="14.4"/>
  <cols>
    <col min="1" max="1" width="5.109375" customWidth="1"/>
    <col min="2" max="2" width="31" customWidth="1"/>
    <col min="5" max="5" width="9.33203125" bestFit="1" customWidth="1"/>
    <col min="6" max="6" width="11" customWidth="1"/>
    <col min="8" max="8" width="9.33203125" bestFit="1" customWidth="1"/>
    <col min="9" max="9" width="10.33203125" customWidth="1"/>
    <col min="10" max="10" width="12.88671875" customWidth="1"/>
    <col min="11" max="11" width="12.6640625" customWidth="1"/>
    <col min="20" max="20" width="9.88671875" bestFit="1" customWidth="1"/>
  </cols>
  <sheetData>
    <row r="1" spans="1:11" ht="18">
      <c r="A1" s="47" t="s">
        <v>116</v>
      </c>
    </row>
    <row r="2" spans="1:11" ht="18">
      <c r="A2" s="47" t="s">
        <v>118</v>
      </c>
    </row>
    <row r="3" spans="1:11" s="133" customFormat="1" ht="15.6">
      <c r="B3" s="133" t="s">
        <v>119</v>
      </c>
    </row>
    <row r="4" spans="1:11" s="133" customFormat="1" ht="15.6">
      <c r="B4" s="133" t="s">
        <v>117</v>
      </c>
    </row>
    <row r="5" spans="1:11" ht="18">
      <c r="A5" s="47" t="s">
        <v>21</v>
      </c>
    </row>
    <row r="6" spans="1:11" ht="24" customHeight="1"/>
    <row r="7" spans="1:11" ht="27.75" customHeight="1"/>
    <row r="8" spans="1:11" ht="38.25" customHeight="1">
      <c r="H8" s="2"/>
    </row>
    <row r="9" spans="1:11">
      <c r="B9" t="s">
        <v>113</v>
      </c>
    </row>
    <row r="10" spans="1:11">
      <c r="B10" t="s">
        <v>28</v>
      </c>
    </row>
    <row r="12" spans="1:11" ht="18">
      <c r="A12" s="47" t="s">
        <v>43</v>
      </c>
      <c r="E12" s="138" t="s">
        <v>122</v>
      </c>
      <c r="H12" s="2"/>
    </row>
    <row r="13" spans="1:11" ht="58.5" customHeight="1">
      <c r="A13" s="81" t="s">
        <v>16</v>
      </c>
      <c r="B13" s="81" t="s">
        <v>33</v>
      </c>
      <c r="C13" s="81" t="s">
        <v>0</v>
      </c>
      <c r="D13" s="81" t="s">
        <v>22</v>
      </c>
      <c r="E13" s="81" t="s">
        <v>39</v>
      </c>
      <c r="F13" s="81" t="s">
        <v>38</v>
      </c>
      <c r="G13" s="81" t="s">
        <v>14</v>
      </c>
      <c r="H13" s="81" t="s">
        <v>40</v>
      </c>
      <c r="I13" s="81" t="s">
        <v>34</v>
      </c>
      <c r="J13" s="81" t="s">
        <v>35</v>
      </c>
      <c r="K13" s="81" t="s">
        <v>36</v>
      </c>
    </row>
    <row r="14" spans="1:11">
      <c r="A14" s="82">
        <v>1</v>
      </c>
      <c r="B14" s="83" t="s">
        <v>93</v>
      </c>
      <c r="C14" s="125" t="s">
        <v>123</v>
      </c>
      <c r="D14" s="84" t="s">
        <v>23</v>
      </c>
      <c r="E14" s="85">
        <v>2</v>
      </c>
      <c r="F14" s="85">
        <v>1</v>
      </c>
      <c r="G14" s="85" t="s">
        <v>3</v>
      </c>
      <c r="H14" s="139">
        <v>29</v>
      </c>
      <c r="I14" s="86">
        <f>((1+($E$14+F14)*$E$15+2*$E$16+$E$17+$E$18-$E$19-$E$20*$E$21)-(1+($E$14-F14)*$E$15+2*$E$16+$E$17+$E$18-$E$19-$E$20*$E$21))/(2*F14)</f>
        <v>7.0000000000008944E-4</v>
      </c>
      <c r="J14" s="94">
        <f t="shared" ref="J14:J20" si="0">F14*I14</f>
        <v>7.0000000000008944E-4</v>
      </c>
      <c r="K14" s="94">
        <f t="shared" ref="K14:K20" si="1">J14/E$22</f>
        <v>6.9974109579464525E-4</v>
      </c>
    </row>
    <row r="15" spans="1:11">
      <c r="A15" s="82">
        <v>2</v>
      </c>
      <c r="B15" s="83" t="s">
        <v>94</v>
      </c>
      <c r="C15" s="135" t="s">
        <v>105</v>
      </c>
      <c r="D15" s="84" t="s">
        <v>24</v>
      </c>
      <c r="E15" s="88">
        <v>6.9999999999999999E-4</v>
      </c>
      <c r="F15" s="88">
        <v>2.9999999999999997E-4</v>
      </c>
      <c r="G15" s="84" t="s">
        <v>17</v>
      </c>
      <c r="H15" s="39" t="s">
        <v>18</v>
      </c>
      <c r="I15" s="99">
        <f>((1+$E$14*($E$15+F15)+2*$E$16+$E$17+$E$18-$E$19-$E$20*$E$21)-(1+$E$14*($E$15-F15)+2*$E$16+$E$17+$E$18-$E$19-$E$20*$E$21))/(2*F15)</f>
        <v>2.0000000000003348</v>
      </c>
      <c r="J15" s="94">
        <f t="shared" si="0"/>
        <v>6.0000000000010045E-4</v>
      </c>
      <c r="K15" s="94">
        <f t="shared" si="1"/>
        <v>5.9977808210971977E-4</v>
      </c>
    </row>
    <row r="16" spans="1:11">
      <c r="A16" s="82">
        <v>3</v>
      </c>
      <c r="B16" s="83" t="s">
        <v>98</v>
      </c>
      <c r="C16" s="140" t="s">
        <v>124</v>
      </c>
      <c r="D16" s="84"/>
      <c r="E16" s="85">
        <v>0</v>
      </c>
      <c r="F16" s="89">
        <v>2.9999999999999997E-4</v>
      </c>
      <c r="G16" s="84" t="s">
        <v>17</v>
      </c>
      <c r="H16" s="39" t="s">
        <v>18</v>
      </c>
      <c r="I16" s="99">
        <f>((1+$E$14*$E$15+2*($E$16+F16)+$E$17+$E$18-$E$19-$E$20*$E$21)-(1+$E$14*$E$15+2*($E$16-F16)+$E$17+$E$18-$E$19-$E$20*$E$21))/(2*F16)</f>
        <v>1.9999999999999649</v>
      </c>
      <c r="J16" s="94">
        <f>F16*I16</f>
        <v>5.9999999999998943E-4</v>
      </c>
      <c r="K16" s="94">
        <f t="shared" si="1"/>
        <v>5.9977808210960875E-4</v>
      </c>
    </row>
    <row r="17" spans="1:20">
      <c r="A17" s="82">
        <v>4</v>
      </c>
      <c r="B17" s="83" t="s">
        <v>95</v>
      </c>
      <c r="C17" s="126" t="s">
        <v>125</v>
      </c>
      <c r="D17" s="84"/>
      <c r="E17" s="85">
        <v>0</v>
      </c>
      <c r="F17" s="89">
        <v>1.5E-3</v>
      </c>
      <c r="G17" s="84" t="s">
        <v>17</v>
      </c>
      <c r="H17" s="39" t="s">
        <v>18</v>
      </c>
      <c r="I17" s="99">
        <f>((1+$E$14*$E$15+2*$E$16+($E$17+F17)+$E$18-$E$19-$E$20*$E$21)-(1+$E$14*$E$15+2*$E$16+($E$17-F17)+$E$18-$E$19-$E$20*$E$21))/(2*F17)</f>
        <v>1.000000000000038</v>
      </c>
      <c r="J17" s="94">
        <f t="shared" si="0"/>
        <v>1.5000000000000571E-3</v>
      </c>
      <c r="K17" s="94">
        <f t="shared" si="1"/>
        <v>1.4994452052741053E-3</v>
      </c>
    </row>
    <row r="18" spans="1:20">
      <c r="A18" s="82">
        <v>5</v>
      </c>
      <c r="B18" s="83" t="s">
        <v>96</v>
      </c>
      <c r="C18" s="126" t="s">
        <v>126</v>
      </c>
      <c r="D18" s="84"/>
      <c r="E18" s="85">
        <v>0</v>
      </c>
      <c r="F18" s="89">
        <v>6.4999999999999997E-4</v>
      </c>
      <c r="G18" s="84" t="s">
        <v>17</v>
      </c>
      <c r="H18" s="39" t="s">
        <v>18</v>
      </c>
      <c r="I18" s="99">
        <f>((1+$E$14*$E$15+2*$E$16+$E$17+($E$18+F18)-$E$19-$E$20*$E$21)-(1+$E$14*$E$15+2*$E$16+$E$17+($E$18-F18)-$E$19-$E$20*$E$21))/(2*F18)</f>
        <v>1.0000000000001461</v>
      </c>
      <c r="J18" s="94">
        <f t="shared" si="0"/>
        <v>6.5000000000009495E-4</v>
      </c>
      <c r="K18" s="94">
        <f t="shared" si="1"/>
        <v>6.4975958895218246E-4</v>
      </c>
    </row>
    <row r="19" spans="1:20">
      <c r="A19" s="82">
        <v>7</v>
      </c>
      <c r="B19" s="131" t="s">
        <v>100</v>
      </c>
      <c r="C19" s="132" t="s">
        <v>127</v>
      </c>
      <c r="D19" s="84"/>
      <c r="E19" s="88">
        <v>1E-3</v>
      </c>
      <c r="F19" s="88">
        <v>1E-3</v>
      </c>
      <c r="G19" s="84" t="s">
        <v>17</v>
      </c>
      <c r="H19" s="39" t="s">
        <v>18</v>
      </c>
      <c r="I19" s="99">
        <f>((1+$E$14*$E$15+2*$E$16+$E$17+$E$18-($E$19+F19)-$E$20*$E$21)-(1+$E$14*$E$15+2*$E$16+$E$17+$E$18-($E$19-F19)-$E$20*$E$21))/(2*F19)</f>
        <v>-1.0000000000000009</v>
      </c>
      <c r="J19" s="94">
        <f t="shared" si="0"/>
        <v>-1.0000000000000009E-3</v>
      </c>
      <c r="K19" s="94">
        <f t="shared" si="1"/>
        <v>-9.9963013684936652E-4</v>
      </c>
    </row>
    <row r="20" spans="1:20">
      <c r="A20" s="82">
        <v>6</v>
      </c>
      <c r="B20" s="83" t="s">
        <v>97</v>
      </c>
      <c r="C20" s="135" t="s">
        <v>106</v>
      </c>
      <c r="D20" s="84" t="s">
        <v>25</v>
      </c>
      <c r="E20" s="88">
        <v>2.9999999999999997E-4</v>
      </c>
      <c r="F20" s="88">
        <v>2.9999999999999997E-4</v>
      </c>
      <c r="G20" s="84" t="s">
        <v>17</v>
      </c>
      <c r="H20" s="39" t="s">
        <v>18</v>
      </c>
      <c r="I20" s="99">
        <f>((1+$E$14*$E$15+2*$E$16+$E$17+$E$18-$E$19-($E$20+F20)*$E$21)-(1+$E$14*$E$15+2*$E$16+$E$17+$E$18-$E$19-($E$20-F20)*$E$21))/(2*F20)</f>
        <v>-9.9999999999914976E-2</v>
      </c>
      <c r="J20" s="94">
        <f t="shared" si="0"/>
        <v>-2.9999999999974492E-5</v>
      </c>
      <c r="K20" s="94">
        <f t="shared" si="1"/>
        <v>-2.9988904105455468E-5</v>
      </c>
    </row>
    <row r="21" spans="1:20">
      <c r="A21" s="82">
        <v>8</v>
      </c>
      <c r="B21" s="83" t="s">
        <v>78</v>
      </c>
      <c r="C21" s="125" t="s">
        <v>128</v>
      </c>
      <c r="D21" s="84" t="s">
        <v>26</v>
      </c>
      <c r="E21" s="90">
        <v>0.1</v>
      </c>
      <c r="F21" s="88">
        <v>0</v>
      </c>
      <c r="G21" s="84" t="s">
        <v>17</v>
      </c>
      <c r="H21" s="39" t="s">
        <v>18</v>
      </c>
      <c r="I21" s="84"/>
      <c r="J21" s="94"/>
      <c r="K21" s="94"/>
    </row>
    <row r="22" spans="1:20" ht="15" thickBot="1">
      <c r="A22" s="114">
        <v>9</v>
      </c>
      <c r="B22" s="115" t="s">
        <v>79</v>
      </c>
      <c r="C22" s="136" t="s">
        <v>107</v>
      </c>
      <c r="D22" s="116"/>
      <c r="E22" s="117">
        <f>1+$E$14*$E$15+2*$E$16+$E$17+$E$18-$E$19-$E$20*$E$21</f>
        <v>1.0003700000000002</v>
      </c>
      <c r="F22" s="123"/>
      <c r="G22" s="123"/>
      <c r="H22" s="141">
        <f>ROUND(J22^4/(J14^4/H14),0)</f>
        <v>2880</v>
      </c>
      <c r="I22" s="123"/>
      <c r="J22" s="142">
        <f>SQRT(SUMPRODUCT(J14:J21,J14:J21))</f>
        <v>2.2098416232844672E-3</v>
      </c>
      <c r="K22" s="142">
        <f>J22/E$22</f>
        <v>2.2090242842992759E-3</v>
      </c>
    </row>
    <row r="23" spans="1:20" ht="16.2">
      <c r="A23" s="110">
        <v>10</v>
      </c>
      <c r="B23" s="80" t="s">
        <v>73</v>
      </c>
      <c r="C23" s="128" t="s">
        <v>129</v>
      </c>
      <c r="D23" s="111" t="s">
        <v>23</v>
      </c>
      <c r="E23" s="112">
        <v>2</v>
      </c>
      <c r="F23" s="112">
        <v>1</v>
      </c>
      <c r="G23" s="112" t="s">
        <v>3</v>
      </c>
      <c r="H23" s="143">
        <v>29</v>
      </c>
      <c r="I23" s="113">
        <f>((1+($E$23+F23)*$E$24+2*$E$25+$E$26+$E$27-$E$28-$E$29*$E$30)-(1+($E$23-F23)*$E$24+2*$E$25+$E$26+$E$27-$E$28-$E$29*$E$30))/(2*F23)</f>
        <v>1.4999999999998348E-4</v>
      </c>
      <c r="J23" s="113">
        <f t="shared" ref="J23:J29" si="2">F23*I23</f>
        <v>1.4999999999998348E-4</v>
      </c>
      <c r="K23" s="113">
        <f>J23/E35</f>
        <v>3.2758244158109523E-5</v>
      </c>
    </row>
    <row r="24" spans="1:20" ht="16.2">
      <c r="A24" s="82">
        <v>11</v>
      </c>
      <c r="B24" s="83" t="s">
        <v>74</v>
      </c>
      <c r="C24" s="125" t="s">
        <v>130</v>
      </c>
      <c r="D24" s="84" t="s">
        <v>24</v>
      </c>
      <c r="E24" s="88">
        <v>1.4999999999999999E-4</v>
      </c>
      <c r="F24" s="88">
        <v>2.0000000000000002E-5</v>
      </c>
      <c r="G24" s="84" t="s">
        <v>17</v>
      </c>
      <c r="H24" s="39" t="s">
        <v>18</v>
      </c>
      <c r="I24" s="120">
        <f>((1+$E$23*($E$24+F24)+2*$E$25+$E$26+$E$27-$E$28-$E$29*$E$30)-(1+$E$23*($E$24-F24)+2*$E$25+$E$26+$E$27-$E$28-$E$29*$E$30))/(2*F24)</f>
        <v>2.0000000000020002</v>
      </c>
      <c r="J24" s="94">
        <f t="shared" si="2"/>
        <v>4.0000000000040004E-5</v>
      </c>
      <c r="K24" s="94">
        <f>J24/E34</f>
        <v>1.4285714285728573E-7</v>
      </c>
    </row>
    <row r="25" spans="1:20" ht="15.6">
      <c r="A25" s="82">
        <v>12</v>
      </c>
      <c r="B25" s="83" t="s">
        <v>77</v>
      </c>
      <c r="C25" s="124" t="s">
        <v>131</v>
      </c>
      <c r="D25" s="84"/>
      <c r="E25" s="85">
        <v>0</v>
      </c>
      <c r="F25" s="95">
        <v>5.0000000000000001E-4</v>
      </c>
      <c r="G25" s="84" t="s">
        <v>17</v>
      </c>
      <c r="H25" s="39" t="s">
        <v>18</v>
      </c>
      <c r="I25" s="120">
        <f>((1+$E$23*$E$24+2*($E$25+F25)+$E$26+$E$27-$E$28-$E$29*$E$30)-(1+$E$23*$E$24+2*($E$25-F25)+$E$26+$E$27-$E$28-$E$29*$E$30))/(2*F25)</f>
        <v>1.9999999999998908</v>
      </c>
      <c r="J25" s="94">
        <f>F25*I25</f>
        <v>9.9999999999994538E-4</v>
      </c>
      <c r="K25" s="94">
        <f>J25/E32</f>
        <v>1.0057326762545967E-3</v>
      </c>
    </row>
    <row r="26" spans="1:20" ht="15.6">
      <c r="A26" s="82">
        <v>13</v>
      </c>
      <c r="B26" s="83" t="s">
        <v>75</v>
      </c>
      <c r="C26" s="126" t="s">
        <v>132</v>
      </c>
      <c r="D26" s="84"/>
      <c r="E26" s="85">
        <v>0</v>
      </c>
      <c r="F26" s="95">
        <v>2.0000000000000001E-4</v>
      </c>
      <c r="G26" s="84" t="s">
        <v>17</v>
      </c>
      <c r="H26" s="39" t="s">
        <v>18</v>
      </c>
      <c r="I26" s="120">
        <f>((1+$E$23*$E$24+2*$E$25+($E$26+F26)+$E$27-$E$28-$E$29*$E$30)-(1+$E$23*$E$24+2*$E$25+($E$26-F26)+$E$27-$E$28-$E$29*$E$30))/(2*F26)</f>
        <v>0.99999999999988987</v>
      </c>
      <c r="J26" s="94">
        <f t="shared" si="2"/>
        <v>1.9999999999997797E-4</v>
      </c>
      <c r="K26" s="94">
        <f>J26/E37</f>
        <v>2.2727272727270225E-4</v>
      </c>
    </row>
    <row r="27" spans="1:20" ht="15.6">
      <c r="A27" s="82">
        <v>14</v>
      </c>
      <c r="B27" s="83" t="s">
        <v>76</v>
      </c>
      <c r="C27" s="126" t="s">
        <v>133</v>
      </c>
      <c r="D27" s="84"/>
      <c r="E27" s="85">
        <v>0</v>
      </c>
      <c r="F27" s="95">
        <v>4.0000000000000002E-4</v>
      </c>
      <c r="G27" s="84" t="s">
        <v>17</v>
      </c>
      <c r="H27" s="39" t="s">
        <v>18</v>
      </c>
      <c r="I27" s="120">
        <f>((1+$E$23*$E$24+2*$E$25+$E$26+($E$27+F27)-$E$28-$E$29*$E$30)-(1+$E$23*$E$24+2*$E$25+$E$26+($E$27-F27)-$E$28-$E$29*$E$30))/(2*F27)</f>
        <v>0.99999999999988987</v>
      </c>
      <c r="J27" s="94">
        <f t="shared" si="2"/>
        <v>3.9999999999995595E-4</v>
      </c>
      <c r="K27" s="94">
        <f>J27/E33</f>
        <v>3.9985205473970216E-4</v>
      </c>
    </row>
    <row r="28" spans="1:20" ht="16.2">
      <c r="A28" s="82">
        <v>16</v>
      </c>
      <c r="B28" s="97" t="s">
        <v>101</v>
      </c>
      <c r="C28" s="132" t="s">
        <v>134</v>
      </c>
      <c r="D28" s="84"/>
      <c r="E28" s="88">
        <v>5.0000000000000001E-3</v>
      </c>
      <c r="F28" s="88">
        <v>1E-3</v>
      </c>
      <c r="G28" s="84" t="s">
        <v>17</v>
      </c>
      <c r="H28" s="39" t="s">
        <v>18</v>
      </c>
      <c r="I28" s="120">
        <f>((1+$E$23*$E$24+2*$E$25+$E$26+$E$27-($E$28+F28)-$E$29*$E$30)-(1+$E$23*$E$24+2*$E$25+$E$26+$E$27-($E$28-F28)-$E$29*$E$30))/(2*F28)</f>
        <v>-1.0000000000000009</v>
      </c>
      <c r="J28" s="94">
        <f t="shared" si="2"/>
        <v>-1.0000000000000009E-3</v>
      </c>
      <c r="K28" s="94">
        <f>J28/E34</f>
        <v>-3.5714285714285747E-6</v>
      </c>
    </row>
    <row r="29" spans="1:20" ht="16.2">
      <c r="A29" s="82">
        <v>15</v>
      </c>
      <c r="B29" s="83" t="s">
        <v>80</v>
      </c>
      <c r="C29" s="125" t="s">
        <v>135</v>
      </c>
      <c r="D29" s="84" t="s">
        <v>25</v>
      </c>
      <c r="E29" s="88">
        <v>2.0000000000000001E-4</v>
      </c>
      <c r="F29" s="88">
        <v>1E-4</v>
      </c>
      <c r="G29" s="84" t="s">
        <v>17</v>
      </c>
      <c r="H29" s="39" t="s">
        <v>18</v>
      </c>
      <c r="I29" s="120">
        <f>((1+$E$23*$E$24+2*$E$25+$E$26+$E$27-$E$28-($E$29+F29)*$E$30)-(1+$E$23*$E$24+2*$E$25+$E$26+$E$27-$E$28-($E$29-F29)*$E$30))/(2*F29)</f>
        <v>-5.0000000000000044</v>
      </c>
      <c r="J29" s="94">
        <f t="shared" si="2"/>
        <v>-5.0000000000000044E-4</v>
      </c>
      <c r="K29" s="94">
        <f>J29/E31</f>
        <v>-5.0286633812732619E-4</v>
      </c>
    </row>
    <row r="30" spans="1:20" ht="16.2">
      <c r="A30" s="82">
        <v>17</v>
      </c>
      <c r="B30" s="83" t="s">
        <v>81</v>
      </c>
      <c r="C30" s="125" t="s">
        <v>136</v>
      </c>
      <c r="D30" s="84" t="s">
        <v>26</v>
      </c>
      <c r="E30" s="90">
        <v>5</v>
      </c>
      <c r="F30" s="88">
        <v>0</v>
      </c>
      <c r="G30" s="84" t="s">
        <v>17</v>
      </c>
      <c r="H30" s="39" t="s">
        <v>18</v>
      </c>
      <c r="I30" s="94"/>
      <c r="J30" s="94"/>
      <c r="K30" s="94"/>
    </row>
    <row r="31" spans="1:20" ht="16.2" thickBot="1">
      <c r="A31" s="114">
        <v>18</v>
      </c>
      <c r="B31" s="122" t="s">
        <v>82</v>
      </c>
      <c r="C31" s="127" t="s">
        <v>137</v>
      </c>
      <c r="D31" s="118"/>
      <c r="E31" s="117">
        <f>1+$E$23*$E$24+2*$E$25+$E$26+$E$27-$E$28-$E$29*$E$30</f>
        <v>0.99429999999999996</v>
      </c>
      <c r="F31" s="123"/>
      <c r="G31" s="123"/>
      <c r="H31" s="141">
        <f>ROUND(J31^4/(J23^4/H23),0)</f>
        <v>350645</v>
      </c>
      <c r="I31" s="123"/>
      <c r="J31" s="142">
        <f>SQRT(SUMPRODUCT(J23:J30,J23:J30))</f>
        <v>1.5729272074701509E-3</v>
      </c>
      <c r="K31" s="142">
        <f>J31/E39</f>
        <v>2.2599528842961937E-4</v>
      </c>
      <c r="P31" s="157"/>
      <c r="Q31" s="158"/>
      <c r="R31" s="158"/>
      <c r="S31" s="158"/>
      <c r="T31" s="160"/>
    </row>
    <row r="32" spans="1:20" ht="16.2">
      <c r="A32" s="110">
        <v>19</v>
      </c>
      <c r="B32" s="119" t="s">
        <v>138</v>
      </c>
      <c r="C32" s="129" t="s">
        <v>139</v>
      </c>
      <c r="D32" s="111"/>
      <c r="E32" s="120">
        <f>E31</f>
        <v>0.99429999999999996</v>
      </c>
      <c r="F32" s="121">
        <f>J31</f>
        <v>1.5729272074701509E-3</v>
      </c>
      <c r="G32" s="111" t="s">
        <v>3</v>
      </c>
      <c r="H32" s="144">
        <f>H31</f>
        <v>350645</v>
      </c>
      <c r="I32" s="145">
        <f>(($E$34*($E$35/$E$36)*(($E$48*$E$37/($E$47*$E$49))^-$E$39)*(($E$48*$E$38/($E$47*$E$50))^$E$40)*($E$42/$E$41)*($E$44/$E$43)*($E$46/$E$45)*(($E$32+F32)/$E$33))-($E$34*($E$35/$E$36)*(($E$48*$E$37/($E$47*$E$49))^-$E$39)*(($E$48*$E$38/($E$47*$E$50))^$E$40)*($E$42/$E$41)*($E$44/$E$43)*($E$46/$E$45)*(($E$32-F32)/$E$33)))/(2*F32)</f>
        <v>672.53380916121523</v>
      </c>
      <c r="J32" s="113">
        <f>F32*I32</f>
        <v>1.0578467263732136</v>
      </c>
      <c r="K32" s="113">
        <f t="shared" ref="K32:K48" si="3">J32/E$51</f>
        <v>1.581944289922638E-3</v>
      </c>
      <c r="R32" s="158"/>
      <c r="S32" s="158"/>
      <c r="T32" s="160"/>
    </row>
    <row r="33" spans="1:22" ht="15.6">
      <c r="A33" s="82">
        <v>20</v>
      </c>
      <c r="B33" s="97" t="s">
        <v>140</v>
      </c>
      <c r="C33" s="130" t="s">
        <v>107</v>
      </c>
      <c r="D33" s="84"/>
      <c r="E33" s="86">
        <f>E22</f>
        <v>1.0003700000000002</v>
      </c>
      <c r="F33" s="87">
        <f>J22</f>
        <v>2.2098416232844672E-3</v>
      </c>
      <c r="G33" s="84" t="s">
        <v>3</v>
      </c>
      <c r="H33" s="146">
        <f>H22</f>
        <v>2880</v>
      </c>
      <c r="I33" s="147">
        <f>(($E$34*($E$35/$E$36)*(($E$48*$E$37/($E$47*$E$49))^-$E$39)*(($E$48*$E$38/($E$47*$E$50))^$E$40)*($E$42/$E$41)*($E$44/$E$43)*($E$46/$E$45)*($E$32/($E$33+F33))-($E$34*($E$35/$E$36)*(($E$48*$E$37/($E$47*$E$49))^-$E$39)*(($E$48*$E$38/($E$47*$E$50))^$E$40)*($E$42/$E$41)*($E$44/$E$43)*($E$46/$E$45)*$E$32/($E$33-F33)))/(2*F33))</f>
        <v>-668.4563007498848</v>
      </c>
      <c r="J33" s="94">
        <f t="shared" ref="J33:J48" si="4">F33*I33</f>
        <v>-1.4771825567438555</v>
      </c>
      <c r="K33" s="148">
        <f t="shared" si="3"/>
        <v>-2.2090350639226946E-3</v>
      </c>
      <c r="P33" s="158"/>
      <c r="Q33" s="158"/>
      <c r="R33" s="158"/>
      <c r="T33" s="160"/>
    </row>
    <row r="34" spans="1:22" ht="16.2">
      <c r="A34" s="82">
        <v>21</v>
      </c>
      <c r="B34" s="97" t="s">
        <v>84</v>
      </c>
      <c r="C34" s="149" t="s">
        <v>141</v>
      </c>
      <c r="D34" s="84" t="s">
        <v>83</v>
      </c>
      <c r="E34" s="90">
        <v>280</v>
      </c>
      <c r="F34" s="98">
        <v>0.68</v>
      </c>
      <c r="G34" s="84" t="s">
        <v>17</v>
      </c>
      <c r="H34" s="39" t="s">
        <v>18</v>
      </c>
      <c r="I34" s="99">
        <f>((($E$34+F34)*($E$35/$E$36)*(($E$48*$E$37/($E$47*$E$49))^-$E$39)*(($E$48*$E$38/($E$47*$E$50))^$E$40)*($E$42/$E$41)*($E$44/$E$43)*($E$46/$E$45)*($E$32/$E$33))-(($E$34-F34)*($E$35/$E$36)*(($E$48*$E$37/($E$47*$E$49))^-$E$39)*(($E$48*$E$38/($E$47*$E$50))^$E$40)*($E$42/$E$41)*($E$44/$E$43)*($E$46/$E$45)*($E$32/$E$33)))/(2*F34)</f>
        <v>2.3882155944609367</v>
      </c>
      <c r="J34" s="94">
        <f t="shared" si="4"/>
        <v>1.623986604233437</v>
      </c>
      <c r="K34" s="94">
        <f t="shared" si="3"/>
        <v>2.4285714285715572E-3</v>
      </c>
      <c r="R34" s="158"/>
      <c r="S34" s="158"/>
      <c r="T34" s="160"/>
    </row>
    <row r="35" spans="1:22" ht="15.6">
      <c r="A35" s="82">
        <v>22</v>
      </c>
      <c r="B35" s="97" t="s">
        <v>85</v>
      </c>
      <c r="C35" s="130" t="s">
        <v>108</v>
      </c>
      <c r="D35" s="84" t="s">
        <v>2</v>
      </c>
      <c r="E35" s="88">
        <v>4.5789999999999997</v>
      </c>
      <c r="F35" s="88">
        <v>8.5000000000000006E-3</v>
      </c>
      <c r="G35" s="84" t="s">
        <v>3</v>
      </c>
      <c r="H35" s="139">
        <v>9</v>
      </c>
      <c r="I35" s="147">
        <f>(($E$34*(($E$35+F35)/$E$36)*(($E$48*$E$37/($E$47*$E$49))^-$E$39)*(($E$48*$E$38/($E$47*$E$50))^$E$40)*($E$42/$E$41)*($E$44/$E$43)*($E$46/$E$45)*($E$32/$E$33))-($E$34*(($E$35-F35)/$E$36)*(($E$48*$E$37/($E$47*$E$49))^-$E$39)*(($E$48*$E$38/($E$47*$E$50))^$E$40)*($E$42/$E$41)*($E$44/$E$43)*($E$46/$E$45)*($E$32/$E$33)))/(2*F35)</f>
        <v>146.03633248502908</v>
      </c>
      <c r="J35" s="94">
        <f t="shared" si="4"/>
        <v>1.2413088261227472</v>
      </c>
      <c r="K35" s="148">
        <f t="shared" si="3"/>
        <v>1.8563005022928585E-3</v>
      </c>
      <c r="R35" s="158"/>
      <c r="S35" s="158"/>
      <c r="T35" s="160"/>
    </row>
    <row r="36" spans="1:22" ht="16.2">
      <c r="A36" s="82">
        <v>23</v>
      </c>
      <c r="B36" s="97" t="s">
        <v>99</v>
      </c>
      <c r="C36" s="130" t="s">
        <v>142</v>
      </c>
      <c r="D36" s="84" t="s">
        <v>2</v>
      </c>
      <c r="E36" s="88">
        <v>1.7649999999999999</v>
      </c>
      <c r="F36" s="88">
        <v>6.9999999999999999E-4</v>
      </c>
      <c r="G36" s="84" t="s">
        <v>3</v>
      </c>
      <c r="H36" s="139">
        <v>9</v>
      </c>
      <c r="I36" s="147">
        <f>(($E$34*($E$35/($E$36+F36))*(($E$48*$E$37/($E$47*$E$49))^-$E$39)*(($E$48*$E$38/($E$47*$E$50))^$E$40)*($E$42/$E$41)*($E$44/$E$43)*($E$46/$E$45)*($E$32/$E$33))-($E$34*($E$35/($E$36-F36))*(($E$48*$E$37/($E$47*$E$49))^-$E$39)*(($E$48*$E$38/($E$47*$E$50))^$E$40)*($E$42/$E$41)*($E$44/$E$43)*($E$46/$E$45)*($E$32/$E$33)))/(2*F36)</f>
        <v>-378.86712273664864</v>
      </c>
      <c r="J36" s="94">
        <f t="shared" si="4"/>
        <v>-0.26520698591565406</v>
      </c>
      <c r="K36" s="94">
        <f t="shared" si="3"/>
        <v>-3.9660062895429868E-4</v>
      </c>
      <c r="P36" s="158"/>
      <c r="Q36" s="158"/>
      <c r="R36" s="158"/>
      <c r="S36" s="158"/>
      <c r="T36" s="160"/>
    </row>
    <row r="37" spans="1:22" ht="15.6">
      <c r="A37" s="82">
        <v>24</v>
      </c>
      <c r="B37" s="97" t="s">
        <v>86</v>
      </c>
      <c r="C37" s="130" t="s">
        <v>109</v>
      </c>
      <c r="D37" s="84" t="s">
        <v>2</v>
      </c>
      <c r="E37" s="95">
        <v>0.88</v>
      </c>
      <c r="F37" s="88">
        <v>1.2E-4</v>
      </c>
      <c r="G37" s="84" t="s">
        <v>3</v>
      </c>
      <c r="H37" s="139">
        <v>9</v>
      </c>
      <c r="I37" s="150">
        <f>(($E$34*($E$35/$E$36)*(($E$48*($E$37+F37)/($E$47*$E$49))^-$E$39)*(($E$48*$E$38/($E$47*$E$50))^$E$40)*($E$42/$E$41)*($E$44/$E$43)*($E$46/$E$45)*($E$32/$E$33))-($E$34*($E$35/$E$36)*(($E$48*($E$37-F37)/($E$47*$E$49))^-$E$39)*(($E$48*$E$38/($E$47*$E$50))^$E$40)*($E$42/$E$41)*($E$44/$E$43)*($E$46/$E$45)*($E$32/$E$33)))/(2*F37)</f>
        <v>-5288.8131582202886</v>
      </c>
      <c r="J37" s="94">
        <f t="shared" si="4"/>
        <v>-0.6346575789864346</v>
      </c>
      <c r="K37" s="148">
        <f t="shared" si="3"/>
        <v>-9.4909111887680228E-4</v>
      </c>
      <c r="P37" s="158"/>
      <c r="Q37" s="158"/>
      <c r="R37" s="158"/>
      <c r="T37" s="160"/>
    </row>
    <row r="38" spans="1:22" ht="16.2">
      <c r="A38" s="82">
        <v>25</v>
      </c>
      <c r="B38" s="97" t="s">
        <v>87</v>
      </c>
      <c r="C38" s="130" t="s">
        <v>143</v>
      </c>
      <c r="D38" s="84" t="s">
        <v>2</v>
      </c>
      <c r="E38" s="95">
        <v>0.57999999999999996</v>
      </c>
      <c r="F38" s="88">
        <v>7.4999999999999993E-5</v>
      </c>
      <c r="G38" s="84" t="s">
        <v>3</v>
      </c>
      <c r="H38" s="139">
        <v>9</v>
      </c>
      <c r="I38" s="150">
        <f>(($E$34*($E$35/$E$36)*(($E$48*$E$37/($E$47*$E$49))^-$E$39)*(($E$48*($E$38+F38)/($E$47*$E$50))^$E$40)*($E$42/$E$41)*($E$44/$E$43)*($E$46/$E$45)*($E$32/$E$33))-($E$34*($E$35/$E$36)*(($E$48*$E$37/($E$47*$E$49))^-$E$39)*(($E$48*($E$38-F38)/($E$47*$E$50))^$E$40)*($E$42/$E$41)*($E$44/$E$43)*($E$46/$E$45)*($E$32/$E$33)))/(2*F38)</f>
        <v>8208.8741808441537</v>
      </c>
      <c r="J38" s="94">
        <f t="shared" si="4"/>
        <v>0.61566556356331148</v>
      </c>
      <c r="K38" s="94">
        <f t="shared" si="3"/>
        <v>9.2068973557268407E-4</v>
      </c>
      <c r="P38" s="157"/>
      <c r="Q38" s="158"/>
      <c r="R38" s="158"/>
      <c r="S38" s="158"/>
      <c r="T38" s="160"/>
    </row>
    <row r="39" spans="1:22" ht="16.2">
      <c r="A39" s="82">
        <v>26</v>
      </c>
      <c r="B39" s="97" t="s">
        <v>88</v>
      </c>
      <c r="C39" s="130" t="s">
        <v>144</v>
      </c>
      <c r="D39" s="84"/>
      <c r="E39" s="88">
        <v>6.96</v>
      </c>
      <c r="F39" s="88">
        <v>0.38</v>
      </c>
      <c r="G39" s="84" t="s">
        <v>17</v>
      </c>
      <c r="H39" s="39" t="s">
        <v>18</v>
      </c>
      <c r="I39" s="86">
        <f>(($E$34*($E$35/$E$36)*(($E$48*$E$37/($E$47*$E$49))^-($E$39+F39))*(($E$48*$E$38/($E$47*$E$50))^$E$40)*($E$42/$E$41)*($E$44/$E$43)*($E$46/$E$45)*($E$32/$E$33))-($E$34*($E$35/$E$36)*(($E$48*$E$37/($E$47*$E$49))^-($E$39-F39))*(($E$48*$E$38/($E$47*$E$50))^$E$40)*($E$42/$E$41)*($E$44/$E$43)*($E$46/$E$45)*($E$32/$E$33)))/(2*F39)</f>
        <v>-0.31320606710958027</v>
      </c>
      <c r="J39" s="94">
        <f>F39*I39</f>
        <v>-0.1190183055016405</v>
      </c>
      <c r="K39" s="148">
        <f t="shared" si="3"/>
        <v>-1.7798450767069068E-4</v>
      </c>
      <c r="T39" s="159"/>
      <c r="V39" s="159"/>
    </row>
    <row r="40" spans="1:22" ht="16.2">
      <c r="A40" s="82">
        <v>27</v>
      </c>
      <c r="B40" s="97" t="s">
        <v>89</v>
      </c>
      <c r="C40" s="130" t="s">
        <v>145</v>
      </c>
      <c r="D40" s="84"/>
      <c r="E40" s="88">
        <v>7.12</v>
      </c>
      <c r="F40" s="88">
        <v>0.22</v>
      </c>
      <c r="G40" s="84" t="s">
        <v>17</v>
      </c>
      <c r="H40" s="39" t="s">
        <v>18</v>
      </c>
      <c r="I40" s="86">
        <f>(($E$34*($E$35/$E$36)*(($E$48*$E$37/($E$47*$E$49))^-$E$39)*(($E$48*$E$38/($E$47*$E$50))^($E$40+F40))*($E$42/$E$41)*($E$44/$E$43)*($E$46/$E$45)*$E$32/$E$33)-($E$34*($E$35/$E$36)*(($E$48*$E$37/($E$47*$E$49))^-$E$39)*(($E$48*$E$38/($E$47*$E$50))^($E$40-F40))*($E$42/$E$41)*($E$44/$E$43)*($E$46/$E$45)*($E$32/$E$33)))/(2*F40)</f>
        <v>-2.9429808060135865</v>
      </c>
      <c r="J40" s="94">
        <f t="shared" si="4"/>
        <v>-0.64745577732298898</v>
      </c>
      <c r="K40" s="94">
        <f t="shared" si="3"/>
        <v>-9.6823003217591725E-4</v>
      </c>
    </row>
    <row r="41" spans="1:22" ht="15.6">
      <c r="A41" s="82">
        <v>28</v>
      </c>
      <c r="B41" s="97" t="s">
        <v>146</v>
      </c>
      <c r="C41" s="130" t="s">
        <v>110</v>
      </c>
      <c r="D41" s="84" t="s">
        <v>41</v>
      </c>
      <c r="E41" s="88">
        <v>2900</v>
      </c>
      <c r="F41" s="88">
        <v>25</v>
      </c>
      <c r="G41" s="84" t="s">
        <v>17</v>
      </c>
      <c r="H41" s="39" t="s">
        <v>18</v>
      </c>
      <c r="I41" s="86">
        <f>(($E$34*($E$35/$E$36)*(($E$48*$E$37/($E$47*$E$49))^-$E$39)*(($E$48*$E$38/($E$47*$E$50))^$E$40)*($E$42/($E$41+F41))*($E$44/$E$43)*($E$46/$E$45)*($E$32/$E$33))-($E$34*($E$35/$E$36)*(($E$48*$E$37/($E$47*$E$49))^-$E$39)*(($E$48*$E$38/($E$47*$E$50))^$E$40)*($E$42/($E$41-F41))*($E$44/$E$43)*($E$46/$E$45)*($E$32/$E$33)))/(2*F41)</f>
        <v>-0.23060347085273178</v>
      </c>
      <c r="J41" s="94">
        <f>F41*I41</f>
        <v>-5.7650867713182947</v>
      </c>
      <c r="K41" s="148">
        <f t="shared" si="3"/>
        <v>-8.6213303604608556E-3</v>
      </c>
      <c r="T41" s="161"/>
    </row>
    <row r="42" spans="1:22" ht="16.2">
      <c r="A42" s="82">
        <v>29</v>
      </c>
      <c r="B42" s="97" t="s">
        <v>147</v>
      </c>
      <c r="C42" s="130" t="s">
        <v>148</v>
      </c>
      <c r="D42" s="84" t="s">
        <v>41</v>
      </c>
      <c r="E42" s="88">
        <v>2800</v>
      </c>
      <c r="F42" s="88">
        <v>10</v>
      </c>
      <c r="G42" s="84" t="s">
        <v>17</v>
      </c>
      <c r="H42" s="39" t="s">
        <v>18</v>
      </c>
      <c r="I42" s="86">
        <f>(($E$34*($E$35/$E$36)*(($E$48*$E$37/($E$47*$E$49))^-$E$39)*(($E$48*$E$38/($E$47*$E$50))^$E$40)*(($E$42+F42)/$E$41)*($E$44/$E$43)*($E$46/$E$45)*($E$32/$E$33))-($E$34*($E$35/$E$36)*(($E$48*$E$37/($E$47*$E$49))^-$E$39)*(($E$48*$E$38/($E$47*$E$50))^$E$40)*(($E$42-F42)/$E$41)*($E$44/$E$43)*($E$46/$E$45)*($E$32/$E$33)))/(2*F42)</f>
        <v>0.23882155944608599</v>
      </c>
      <c r="J42" s="94">
        <f>F42*I42</f>
        <v>2.3882155944608598</v>
      </c>
      <c r="K42" s="94">
        <f t="shared" si="3"/>
        <v>3.5714285714286455E-3</v>
      </c>
      <c r="T42" s="159"/>
    </row>
    <row r="43" spans="1:22">
      <c r="A43" s="82">
        <v>30</v>
      </c>
      <c r="B43" s="97" t="s">
        <v>103</v>
      </c>
      <c r="C43" s="151" t="s">
        <v>149</v>
      </c>
      <c r="D43" s="84"/>
      <c r="E43" s="88">
        <v>1.002</v>
      </c>
      <c r="F43" s="88">
        <v>2E-3</v>
      </c>
      <c r="G43" s="84" t="s">
        <v>3</v>
      </c>
      <c r="H43" s="152">
        <v>9</v>
      </c>
      <c r="I43" s="147">
        <f>(($E$34*($E$35/$E$36)*(($E$48*$E$37/($E$47*$E$49))^-$E$39)*(($E$48*$E$38/($E$47*$E$50))^$E$40)*($E$42/$E$41)*($E$44/($E$43+F43))*($E$46/$E$45)*($E$32/$E$33))-($E$34*($E$35/$E$36)*(($E$48*$E$37/($E$47*$E$49))^-$E$39)*(($E$48*$E$38/($E$47*$E$50))^$E$40)*($E$42/$E$41)*($E$44/($E$43-F43))*($E$46/$E$45)*($E$32/$E$33)))/(2*F43)</f>
        <v>-667.36829400591091</v>
      </c>
      <c r="J43" s="94">
        <f t="shared" ref="J43:J44" si="5">F43*I43</f>
        <v>-1.3347365880118218</v>
      </c>
      <c r="K43" s="94">
        <f t="shared" si="3"/>
        <v>-1.9960159362550087E-3</v>
      </c>
      <c r="T43" s="159"/>
    </row>
    <row r="44" spans="1:22" ht="16.2">
      <c r="A44" s="82">
        <v>31</v>
      </c>
      <c r="B44" s="97" t="s">
        <v>102</v>
      </c>
      <c r="C44" s="132" t="s">
        <v>150</v>
      </c>
      <c r="D44" s="84"/>
      <c r="E44" s="98">
        <v>0.995</v>
      </c>
      <c r="F44" s="88">
        <v>2E-3</v>
      </c>
      <c r="G44" s="84" t="s">
        <v>3</v>
      </c>
      <c r="H44" s="153">
        <v>9</v>
      </c>
      <c r="I44" s="147">
        <f>(($E$34*($E$35/$E$36)*(($E$48*$E$37/($E$47*$E$49))^-$E$39)*(($E$48*$E$38/($E$47*$E$50))^$E$40)*($E$42/$E$41)*(($E$44+F44)/$E$43)*($E$46/$E$45)*($E$32/$E$33))-($E$34*($E$35/$E$36)*(($E$48*$E$37/($E$47*$E$49))^-$E$39)*(($E$48*$E$38/($E$47*$E$50))^$E$40)*($E$42/$E$41)*(($E$44-F44)/$E$43)*($E$46/$E$45)*($E$32/$E$33)))/(2*F44)</f>
        <v>672.06066979801449</v>
      </c>
      <c r="J44" s="94">
        <f t="shared" si="5"/>
        <v>1.344121339596029</v>
      </c>
      <c r="K44" s="94">
        <f t="shared" si="3"/>
        <v>2.0100502512562738E-3</v>
      </c>
    </row>
    <row r="45" spans="1:22">
      <c r="A45" s="82">
        <v>32</v>
      </c>
      <c r="B45" s="97" t="s">
        <v>151</v>
      </c>
      <c r="C45" s="130" t="s">
        <v>152</v>
      </c>
      <c r="D45" s="84"/>
      <c r="E45" s="98">
        <v>1</v>
      </c>
      <c r="F45" s="88">
        <v>0.01</v>
      </c>
      <c r="G45" s="84" t="s">
        <v>17</v>
      </c>
      <c r="H45" s="39" t="s">
        <v>18</v>
      </c>
      <c r="I45" s="147">
        <f>(($E$34*($E$35/$E$36)*(($E$48*$E$37/($E$47*$E$49))^-$E$39)*(($E$48*$E$38/($E$47*$E$50))^$E$40)*($E$42/$E$41)*($E$44/$E$43)*($E$46/($E$45+F45))*($E$32/$E$33))-($E$34*($E$35/$E$36)*(($E$48*$E$37/($E$47*$E$49))^-$E$39)*(($E$48*$E$38/($E$47*$E$50))^$E$40)*($E$42/$E$41)*($E$44/$E$43)*($E$46/($E$45-F45))*($E$32/$E$33)))/(2*F45)</f>
        <v>-668.76724317334606</v>
      </c>
      <c r="J45" s="94">
        <f>F45*I45</f>
        <v>-6.6876724317334606</v>
      </c>
      <c r="K45" s="148">
        <f t="shared" si="3"/>
        <v>-1.0001000100010029E-2</v>
      </c>
    </row>
    <row r="46" spans="1:22" ht="16.2">
      <c r="A46" s="82">
        <v>33</v>
      </c>
      <c r="B46" s="97" t="s">
        <v>153</v>
      </c>
      <c r="C46" s="130" t="s">
        <v>154</v>
      </c>
      <c r="D46" s="84"/>
      <c r="E46" s="98">
        <v>1</v>
      </c>
      <c r="F46" s="88">
        <v>1E-3</v>
      </c>
      <c r="G46" s="84" t="s">
        <v>17</v>
      </c>
      <c r="H46" s="39" t="s">
        <v>18</v>
      </c>
      <c r="I46" s="147">
        <f>(($E$34*($E$35/$E$36)*(($E$48*$E$37/($E$47*$E$49))^-$E$39)*(($E$48*$E$38/($E$47*$E$50))^$E$40)*($E$42/$E$41)*($E$44/$E$43)*(($E$46+F46)/$E$45)*($E$32/$E$33))-($E$34*($E$35/$E$36)*(($E$48*$E$37/($E$47*$E$49))^-$E$39)*(($E$48*$E$38/($E$47*$E$50))^$E$40)*($E$42/$E$41)*($E$44/$E$43)*(($E$46-F46)/$E$45)*($E$32/$E$33)))/(2*F46)</f>
        <v>668.7003664490021</v>
      </c>
      <c r="J46" s="94">
        <f>F46*I46</f>
        <v>0.6687003664490021</v>
      </c>
      <c r="K46" s="94">
        <f t="shared" si="3"/>
        <v>9.9999999999996294E-4</v>
      </c>
    </row>
    <row r="47" spans="1:22">
      <c r="A47" s="82">
        <v>34</v>
      </c>
      <c r="B47" s="97" t="s">
        <v>55</v>
      </c>
      <c r="C47" s="130" t="s">
        <v>45</v>
      </c>
      <c r="D47" s="84" t="s">
        <v>42</v>
      </c>
      <c r="E47" s="88">
        <v>0.10004200000000001</v>
      </c>
      <c r="F47" s="88">
        <v>6.0000000000000002E-6</v>
      </c>
      <c r="G47" s="84" t="s">
        <v>17</v>
      </c>
      <c r="H47" s="39" t="s">
        <v>18</v>
      </c>
      <c r="I47" s="150">
        <f>(($E$34*($E$35/$E$36)*(($E$48*$E$37/(($E$47+F47)*$E$49))^-$E$39)*(($E$48*$E$38/(($E$47+F47)*$E$50))^$E$40)*($E$42/$E$41)*($E$44/$E$43)*($E$46/$E$45)*($E$32/$E$33))-($E$34*($E$35/$E$36)*(($E$48*$E$37/(($E$47-F47)*$E$49))^-$E$39)*(($E$48*$E$38/(($E$47-F47)*$E$50))^$E$40)*($E$42/$E$41)*($E$44/$E$43)*($E$46/$E$45)*($E$32/$E$33)))/(2*F47)</f>
        <v>-1069.4714098823017</v>
      </c>
      <c r="J47" s="94">
        <f t="shared" si="4"/>
        <v>-6.4168284592938107E-3</v>
      </c>
      <c r="K47" s="94">
        <f t="shared" si="3"/>
        <v>-9.5959697066846865E-6</v>
      </c>
    </row>
    <row r="48" spans="1:22">
      <c r="A48" s="82">
        <v>35</v>
      </c>
      <c r="B48" s="97" t="s">
        <v>90</v>
      </c>
      <c r="C48" s="130" t="s">
        <v>59</v>
      </c>
      <c r="D48" s="84"/>
      <c r="E48" s="88">
        <v>1.0003200000000001</v>
      </c>
      <c r="F48" s="88">
        <v>4.1E-5</v>
      </c>
      <c r="G48" s="84" t="s">
        <v>17</v>
      </c>
      <c r="H48" s="39" t="s">
        <v>18</v>
      </c>
      <c r="I48" s="147">
        <f>(($E$34*($E$35/$E$36)*((($E$48+F48)*$E$37/($E$47*$E$49))^-$E$39)*((($E$48+F48)*$E$38/($E$47*$E$50))^$E$40)*($E$42/$E$41)*($E$44/$E$43)*($E$46/$E$45)*($E$32/$E$33))-($E$34*($E$35/$E$36)*((($E$48-F48)*$E$37/($E$47*$E$49))^-$E$39)*((($E$48-F48)*$E$38/($E$47*$E$50))^$E$40)*($E$42/$E$41)*($E$44/$E$43)*($E$46/$E$45)*($E$32/$E$33)))/(2*F48)</f>
        <v>106.95783216982728</v>
      </c>
      <c r="J48" s="94">
        <f t="shared" si="4"/>
        <v>4.385271118962919E-3</v>
      </c>
      <c r="K48" s="94">
        <f t="shared" si="3"/>
        <v>6.5579014742430167E-6</v>
      </c>
    </row>
    <row r="49" spans="1:11">
      <c r="A49" s="82">
        <v>36</v>
      </c>
      <c r="B49" s="97" t="s">
        <v>91</v>
      </c>
      <c r="C49" s="130" t="s">
        <v>114</v>
      </c>
      <c r="D49" s="84" t="s">
        <v>3</v>
      </c>
      <c r="E49" s="100">
        <v>8.7949999999999999</v>
      </c>
      <c r="F49" s="84">
        <v>0</v>
      </c>
      <c r="G49" s="84"/>
      <c r="H49" s="84"/>
      <c r="I49" s="84"/>
      <c r="J49" s="94"/>
      <c r="K49" s="148"/>
    </row>
    <row r="50" spans="1:11" ht="16.2">
      <c r="A50" s="82">
        <v>37</v>
      </c>
      <c r="B50" s="97" t="s">
        <v>92</v>
      </c>
      <c r="C50" s="130" t="s">
        <v>155</v>
      </c>
      <c r="D50" s="84" t="s">
        <v>3</v>
      </c>
      <c r="E50" s="100">
        <v>5.8250000000000002</v>
      </c>
      <c r="F50" s="84">
        <v>0</v>
      </c>
      <c r="G50" s="84"/>
      <c r="H50" s="84"/>
      <c r="I50" s="84"/>
      <c r="J50" s="94"/>
      <c r="K50" s="148">
        <f>SQRT(K33^2+K35^2+K37^2+K39^2+K45^2+K41^2)</f>
        <v>1.3550109965972933E-2</v>
      </c>
    </row>
    <row r="51" spans="1:11">
      <c r="A51" s="91">
        <v>38</v>
      </c>
      <c r="B51" s="96" t="s">
        <v>72</v>
      </c>
      <c r="C51" s="135" t="s">
        <v>115</v>
      </c>
      <c r="D51" s="84" t="s">
        <v>83</v>
      </c>
      <c r="E51" s="106">
        <f>$E$34*($E$35/$E$36)*(($E$48*$E$37/($E$47*$E$49))^-$E$39)*(($E$48*$E$38/($E$47*$E$50))^$E$40)*($E$42/$E$41)*($E$44/$E$43)*($E$46/$E$45)*($E$32/$E$33)</f>
        <v>668.70036644902689</v>
      </c>
      <c r="F51" s="93"/>
      <c r="G51" s="93"/>
      <c r="H51" s="154">
        <f>ROUND(J51^4/(J32^4/H32+J33^4/H33+J35^4/H35+J36^4/H36+J37^4/H37+J38^4/H38),0)</f>
        <v>31018</v>
      </c>
      <c r="I51" s="93"/>
      <c r="J51" s="92">
        <f>SQRT(SUMPRODUCT(J32:J48,J32:J48))</f>
        <v>9.8216591160383064</v>
      </c>
      <c r="K51" s="92">
        <f>J51/E$51</f>
        <v>1.4687683166967403E-2</v>
      </c>
    </row>
    <row r="52" spans="1:11">
      <c r="A52" s="101"/>
      <c r="B52" s="83"/>
      <c r="D52" s="83"/>
      <c r="E52" s="102"/>
      <c r="F52" s="102"/>
      <c r="G52" s="102"/>
      <c r="H52" s="102"/>
      <c r="I52" s="102"/>
      <c r="J52" s="102"/>
      <c r="K52" s="87"/>
    </row>
    <row r="53" spans="1:11">
      <c r="A53" s="101"/>
      <c r="B53" s="83"/>
      <c r="D53" s="83"/>
      <c r="E53" s="103"/>
      <c r="F53" s="104"/>
      <c r="G53" s="104" t="s">
        <v>156</v>
      </c>
      <c r="H53" s="105">
        <f>ROUND(2*SQRT(1+3.3/H51),2)</f>
        <v>2</v>
      </c>
      <c r="I53" s="83"/>
      <c r="J53" s="106">
        <f>$H53*J51</f>
        <v>19.643318232076613</v>
      </c>
      <c r="K53" s="92">
        <f>J53/E$51</f>
        <v>2.9375366333934807E-2</v>
      </c>
    </row>
    <row r="54" spans="1:11">
      <c r="A54" s="101"/>
      <c r="B54" s="83"/>
      <c r="C54" s="83"/>
      <c r="D54" s="83"/>
      <c r="E54" s="83"/>
      <c r="F54" s="83"/>
      <c r="G54" s="83"/>
      <c r="H54" s="83"/>
      <c r="I54" s="83"/>
      <c r="J54" s="83"/>
      <c r="K54" s="102"/>
    </row>
    <row r="55" spans="1:11">
      <c r="A55" s="101"/>
      <c r="B55" s="83"/>
      <c r="C55" s="83"/>
      <c r="D55" s="83"/>
      <c r="E55" s="83"/>
      <c r="F55" s="83"/>
      <c r="G55" s="83"/>
      <c r="H55" s="83"/>
      <c r="I55" s="102" t="s">
        <v>20</v>
      </c>
      <c r="J55" s="102" t="s">
        <v>202</v>
      </c>
      <c r="K55" s="107">
        <f>K50</f>
        <v>1.3550109965972933E-2</v>
      </c>
    </row>
    <row r="56" spans="1:11">
      <c r="A56" s="108"/>
      <c r="B56" s="83"/>
      <c r="C56" s="83"/>
      <c r="D56" s="83"/>
      <c r="E56" s="83"/>
      <c r="F56" s="83"/>
      <c r="G56" s="83"/>
      <c r="H56" s="83"/>
      <c r="I56" s="102" t="s">
        <v>20</v>
      </c>
      <c r="J56" s="102" t="s">
        <v>203</v>
      </c>
      <c r="K56" s="109">
        <f>SQRT(K51^2-K55^2)</f>
        <v>5.6676764836446538E-3</v>
      </c>
    </row>
    <row r="57" spans="1:11">
      <c r="A57" s="162"/>
      <c r="B57" s="163"/>
      <c r="C57" s="163"/>
      <c r="D57" s="163"/>
      <c r="E57" s="163"/>
      <c r="F57" s="163"/>
      <c r="G57" s="163"/>
      <c r="H57" s="163"/>
      <c r="I57" s="164"/>
      <c r="J57" s="163"/>
      <c r="K57" s="165"/>
    </row>
  </sheetData>
  <pageMargins left="0.7" right="0.7" top="0.75" bottom="0.75" header="0.3" footer="0.3"/>
  <pageSetup orientation="portrait" r:id="rId1"/>
  <drawing r:id="rId2"/>
  <legacyDrawing r:id="rId3"/>
  <oleObjects>
    <oleObject progId="Equation.3" shapeId="43009" r:id="rId4"/>
    <oleObject progId="Equation.3" shapeId="43010" r:id="rId5"/>
    <oleObject progId="Equation.3" shapeId="43011" r:id="rId6"/>
    <oleObject progId="Equation.3" shapeId="43012" r:id="rId7"/>
    <oleObject progId="Equation.3" shapeId="43013" r:id="rId8"/>
    <oleObject progId="Equation.3" shapeId="43014" r:id="rId9"/>
    <oleObject progId="Equation.3" shapeId="43015" r:id="rId10"/>
    <oleObject progId="Equation.3" shapeId="43016" r:id="rId11"/>
    <oleObject progId="Equation.3" shapeId="43018" r:id="rId12"/>
    <oleObject progId="Equation.3" shapeId="43019" r:id="rId13"/>
    <oleObject progId="Equation.3" shapeId="43024" r:id="rId14"/>
    <oleObject progId="Equation.3" shapeId="43029" r:id="rId15"/>
    <oleObject progId="Equation.3" shapeId="43052" r:id="rId1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GUM steps</vt:lpstr>
      <vt:lpstr>Sphere Inc-Inc</vt:lpstr>
      <vt:lpstr>Sphere Inc-SSL</vt:lpstr>
      <vt:lpstr>Gonio Intensity</vt:lpstr>
    </vt:vector>
  </TitlesOfParts>
  <Company>NIST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Lumen Uncertainty Procedure</dc:title>
  <dc:creator>Rolf S Bergman</dc:creator>
  <cp:lastModifiedBy>eer</cp:lastModifiedBy>
  <cp:lastPrinted>2011-01-04T03:27:53Z</cp:lastPrinted>
  <dcterms:created xsi:type="dcterms:W3CDTF">2010-03-22T13:03:55Z</dcterms:created>
  <dcterms:modified xsi:type="dcterms:W3CDTF">2011-06-30T15:59:30Z</dcterms:modified>
</cp:coreProperties>
</file>